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"/>
    </mc:Choice>
  </mc:AlternateContent>
  <xr:revisionPtr revIDLastSave="0" documentId="13_ncr:1_{C1703468-3FD2-C049-86FD-151EE2811BB9}" xr6:coauthVersionLast="47" xr6:coauthVersionMax="47" xr10:uidLastSave="{00000000-0000-0000-0000-000000000000}"/>
  <bookViews>
    <workbookView xWindow="860" yWindow="500" windowWidth="27940" windowHeight="17500" xr2:uid="{849E3CA0-3D5E-B042-9B2F-7B4935B8F54B}"/>
  </bookViews>
  <sheets>
    <sheet name="DCF" sheetId="26" r:id="rId1"/>
    <sheet name="BS" sheetId="18" r:id="rId2"/>
    <sheet name="CF" sheetId="17" r:id="rId3"/>
    <sheet name="PL" sheetId="13" r:id="rId4"/>
    <sheet name="Ввод &gt;&gt;&gt;" sheetId="8" r:id="rId5"/>
    <sheet name="Предпоссылки" sheetId="2" r:id="rId6"/>
    <sheet name="Рассчеты &gt;&gt;&gt;" sheetId="3" r:id="rId7"/>
    <sheet name="Выручка" sheetId="4" r:id="rId8"/>
    <sheet name="OpEx" sheetId="5" r:id="rId9"/>
    <sheet name="SG&amp;A" sheetId="7" r:id="rId10"/>
    <sheet name="NWC" sheetId="10" r:id="rId11"/>
    <sheet name="Налоги" sheetId="6" r:id="rId12"/>
    <sheet name="ОС" sheetId="11" r:id="rId13"/>
  </sheets>
  <definedNames>
    <definedName name="днигод">Предпоссылки!$I$11:$P$11</definedName>
    <definedName name="моднач">Предпоссылки!$D$5</definedName>
    <definedName name="начпер">Предпоссылки!$I$6:$P$6</definedName>
    <definedName name="CPI" localSheetId="7">Выручка!#REF!</definedName>
    <definedName name="CPI" localSheetId="11">Налоги!#REF!</definedName>
    <definedName name="CPI" localSheetId="12">ОС!#REF!</definedName>
    <definedName name="CPI" localSheetId="1">BS!#REF!</definedName>
    <definedName name="CPI" localSheetId="2">CF!#REF!</definedName>
    <definedName name="CPI" localSheetId="0">DCF!#REF!</definedName>
    <definedName name="CPI" localSheetId="10">NWC!#REF!</definedName>
    <definedName name="CPI" localSheetId="8">OpEx!#REF!</definedName>
    <definedName name="CPI" localSheetId="3">PL!#REF!</definedName>
    <definedName name="CPI" localSheetId="9">'SG&amp;A'!#REF!</definedName>
    <definedName name="CPI">Предпоссылки!$I$44:$AV$44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6" l="1"/>
  <c r="D20" i="26"/>
  <c r="I25" i="26" l="1"/>
  <c r="B62" i="6"/>
  <c r="B61" i="6"/>
  <c r="E61" i="6"/>
  <c r="J13" i="26" l="1"/>
  <c r="I13" i="26"/>
  <c r="J57" i="6" l="1"/>
  <c r="I57" i="6"/>
  <c r="K18" i="17" l="1"/>
  <c r="L18" i="17"/>
  <c r="M18" i="17"/>
  <c r="N18" i="17"/>
  <c r="O18" i="17"/>
  <c r="P18" i="17"/>
  <c r="Q18" i="17"/>
  <c r="R18" i="17"/>
  <c r="S18" i="17"/>
  <c r="T18" i="17"/>
  <c r="U18" i="17"/>
  <c r="V18" i="17"/>
  <c r="W18" i="17"/>
  <c r="X18" i="17"/>
  <c r="I28" i="6"/>
  <c r="J28" i="6"/>
  <c r="I27" i="6"/>
  <c r="J27" i="6"/>
  <c r="K15" i="11"/>
  <c r="J16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J8" i="11"/>
  <c r="I8" i="11"/>
  <c r="K7" i="11"/>
  <c r="L7" i="11"/>
  <c r="L22" i="11" s="1"/>
  <c r="L7" i="18" s="1"/>
  <c r="M7" i="11"/>
  <c r="M22" i="11" s="1"/>
  <c r="M7" i="18" s="1"/>
  <c r="N7" i="11"/>
  <c r="N22" i="11" s="1"/>
  <c r="N7" i="18" s="1"/>
  <c r="O7" i="11"/>
  <c r="O22" i="11" s="1"/>
  <c r="O7" i="18" s="1"/>
  <c r="P7" i="11"/>
  <c r="P22" i="11" s="1"/>
  <c r="P7" i="18" s="1"/>
  <c r="Q7" i="11"/>
  <c r="Q22" i="11" s="1"/>
  <c r="Q7" i="18" s="1"/>
  <c r="R7" i="11"/>
  <c r="R22" i="11" s="1"/>
  <c r="R7" i="18" s="1"/>
  <c r="S7" i="11"/>
  <c r="S22" i="11" s="1"/>
  <c r="S7" i="18" s="1"/>
  <c r="T7" i="11"/>
  <c r="T22" i="11" s="1"/>
  <c r="T7" i="18" s="1"/>
  <c r="U7" i="11"/>
  <c r="U22" i="11" s="1"/>
  <c r="U7" i="18" s="1"/>
  <c r="V7" i="11"/>
  <c r="V22" i="11" s="1"/>
  <c r="V7" i="18" s="1"/>
  <c r="W7" i="11"/>
  <c r="W22" i="11" s="1"/>
  <c r="W7" i="18" s="1"/>
  <c r="X7" i="11"/>
  <c r="X22" i="11" s="1"/>
  <c r="X7" i="18" s="1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J112" i="2"/>
  <c r="I112" i="2"/>
  <c r="J24" i="26"/>
  <c r="K22" i="11" l="1"/>
  <c r="K7" i="18" s="1"/>
  <c r="K24" i="26"/>
  <c r="J25" i="26"/>
  <c r="L24" i="26" l="1"/>
  <c r="K25" i="26"/>
  <c r="J11" i="7"/>
  <c r="J15" i="7" s="1"/>
  <c r="I11" i="7"/>
  <c r="I15" i="7" s="1"/>
  <c r="J35" i="6"/>
  <c r="I35" i="6"/>
  <c r="J25" i="6"/>
  <c r="I25" i="6"/>
  <c r="J16" i="5"/>
  <c r="I16" i="5"/>
  <c r="M24" i="26" l="1"/>
  <c r="L25" i="26"/>
  <c r="I58" i="6"/>
  <c r="I67" i="6" s="1"/>
  <c r="N24" i="26" l="1"/>
  <c r="M25" i="26"/>
  <c r="I7" i="17"/>
  <c r="K19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X19" i="17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I14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O24" i="26" l="1"/>
  <c r="N25" i="26"/>
  <c r="R21" i="11"/>
  <c r="S21" i="11"/>
  <c r="K21" i="11"/>
  <c r="T21" i="11"/>
  <c r="L21" i="11"/>
  <c r="Q21" i="11"/>
  <c r="X21" i="11"/>
  <c r="N21" i="11"/>
  <c r="P21" i="11"/>
  <c r="W21" i="11"/>
  <c r="V21" i="11"/>
  <c r="U21" i="11"/>
  <c r="M21" i="11"/>
  <c r="R13" i="17"/>
  <c r="O21" i="11"/>
  <c r="P24" i="26" l="1"/>
  <c r="O25" i="26"/>
  <c r="O12" i="26"/>
  <c r="O47" i="6"/>
  <c r="N12" i="26"/>
  <c r="N47" i="6"/>
  <c r="X12" i="26"/>
  <c r="X47" i="6"/>
  <c r="Q12" i="26"/>
  <c r="Q47" i="6"/>
  <c r="M12" i="26"/>
  <c r="M47" i="6"/>
  <c r="L12" i="26"/>
  <c r="L47" i="6"/>
  <c r="U12" i="26"/>
  <c r="U47" i="6"/>
  <c r="T12" i="26"/>
  <c r="T47" i="6"/>
  <c r="V12" i="26"/>
  <c r="V47" i="6"/>
  <c r="K12" i="26"/>
  <c r="K47" i="6"/>
  <c r="W12" i="26"/>
  <c r="W47" i="6"/>
  <c r="S12" i="26"/>
  <c r="S47" i="6"/>
  <c r="P12" i="26"/>
  <c r="P47" i="6"/>
  <c r="R12" i="26"/>
  <c r="R47" i="6"/>
  <c r="K13" i="17"/>
  <c r="K14" i="17" s="1"/>
  <c r="S13" i="17"/>
  <c r="L13" i="17"/>
  <c r="T13" i="17"/>
  <c r="Q13" i="17"/>
  <c r="U13" i="17"/>
  <c r="X13" i="17"/>
  <c r="V13" i="17"/>
  <c r="W13" i="17"/>
  <c r="O13" i="17"/>
  <c r="P13" i="17"/>
  <c r="N13" i="17"/>
  <c r="M13" i="17"/>
  <c r="Q24" i="26" l="1"/>
  <c r="P25" i="26"/>
  <c r="W12" i="10"/>
  <c r="X12" i="10"/>
  <c r="W20" i="10"/>
  <c r="X20" i="10"/>
  <c r="Q12" i="10"/>
  <c r="R12" i="10"/>
  <c r="S12" i="10"/>
  <c r="T12" i="10"/>
  <c r="U12" i="10"/>
  <c r="V12" i="10"/>
  <c r="Q20" i="10"/>
  <c r="R20" i="10"/>
  <c r="S20" i="10"/>
  <c r="T20" i="10"/>
  <c r="U20" i="10"/>
  <c r="V20" i="10"/>
  <c r="Q123" i="2"/>
  <c r="R123" i="2"/>
  <c r="S123" i="2"/>
  <c r="T123" i="2"/>
  <c r="U123" i="2"/>
  <c r="V123" i="2"/>
  <c r="W123" i="2"/>
  <c r="X123" i="2"/>
  <c r="Q10" i="2"/>
  <c r="R10" i="2"/>
  <c r="S10" i="2"/>
  <c r="T10" i="2"/>
  <c r="U10" i="2"/>
  <c r="V10" i="2"/>
  <c r="W10" i="2"/>
  <c r="X10" i="2"/>
  <c r="E129" i="2"/>
  <c r="E128" i="2"/>
  <c r="R24" i="26" l="1"/>
  <c r="Q25" i="26"/>
  <c r="J9" i="11"/>
  <c r="J24" i="11" s="1"/>
  <c r="J11" i="26" s="1"/>
  <c r="I9" i="11"/>
  <c r="I24" i="11" s="1"/>
  <c r="I11" i="26" s="1"/>
  <c r="S24" i="26" l="1"/>
  <c r="R25" i="26"/>
  <c r="I13" i="13"/>
  <c r="I6" i="17"/>
  <c r="I11" i="11"/>
  <c r="I39" i="6" s="1"/>
  <c r="J11" i="11"/>
  <c r="J39" i="6" s="1"/>
  <c r="J13" i="13"/>
  <c r="J6" i="17"/>
  <c r="I9" i="13"/>
  <c r="I12" i="10"/>
  <c r="J12" i="10"/>
  <c r="I20" i="10"/>
  <c r="J20" i="10"/>
  <c r="L20" i="10"/>
  <c r="M20" i="10"/>
  <c r="N20" i="10"/>
  <c r="O20" i="10"/>
  <c r="P20" i="10"/>
  <c r="K123" i="2"/>
  <c r="L123" i="2"/>
  <c r="M123" i="2"/>
  <c r="N123" i="2"/>
  <c r="O123" i="2"/>
  <c r="P123" i="2"/>
  <c r="D123" i="2"/>
  <c r="I18" i="11"/>
  <c r="J18" i="11" s="1"/>
  <c r="J23" i="11"/>
  <c r="I16" i="11"/>
  <c r="I23" i="11" s="1"/>
  <c r="I10" i="11"/>
  <c r="I121" i="2"/>
  <c r="I6" i="11" s="1"/>
  <c r="J122" i="2"/>
  <c r="L12" i="10"/>
  <c r="M12" i="10"/>
  <c r="N12" i="10"/>
  <c r="O12" i="10"/>
  <c r="P12" i="10"/>
  <c r="K12" i="10"/>
  <c r="T24" i="26" l="1"/>
  <c r="S25" i="26"/>
  <c r="I40" i="6"/>
  <c r="I41" i="6" s="1"/>
  <c r="J40" i="6"/>
  <c r="J7" i="11"/>
  <c r="I7" i="11"/>
  <c r="I22" i="11" s="1"/>
  <c r="I7" i="18" s="1"/>
  <c r="I21" i="11"/>
  <c r="I47" i="6" s="1"/>
  <c r="I25" i="11"/>
  <c r="J14" i="11"/>
  <c r="J10" i="11"/>
  <c r="J25" i="11" s="1"/>
  <c r="I123" i="2"/>
  <c r="J123" i="2"/>
  <c r="U24" i="26" l="1"/>
  <c r="T25" i="26"/>
  <c r="I10" i="13"/>
  <c r="J26" i="11"/>
  <c r="J5" i="18" s="1"/>
  <c r="J6" i="18"/>
  <c r="J21" i="11"/>
  <c r="J47" i="6" s="1"/>
  <c r="J15" i="11"/>
  <c r="I26" i="11"/>
  <c r="I5" i="18" s="1"/>
  <c r="I9" i="18" s="1"/>
  <c r="I6" i="18"/>
  <c r="L8" i="11"/>
  <c r="U8" i="11"/>
  <c r="N8" i="11"/>
  <c r="O8" i="11"/>
  <c r="T8" i="11"/>
  <c r="V8" i="11"/>
  <c r="W8" i="11"/>
  <c r="M8" i="11"/>
  <c r="X8" i="11"/>
  <c r="S8" i="11"/>
  <c r="K8" i="11"/>
  <c r="P8" i="11"/>
  <c r="R8" i="11"/>
  <c r="Q8" i="11"/>
  <c r="J12" i="26"/>
  <c r="I12" i="26"/>
  <c r="I48" i="6"/>
  <c r="I13" i="17"/>
  <c r="L14" i="17"/>
  <c r="V24" i="26" l="1"/>
  <c r="U25" i="26"/>
  <c r="J13" i="17"/>
  <c r="I14" i="17"/>
  <c r="I34" i="17"/>
  <c r="L16" i="11"/>
  <c r="K16" i="11"/>
  <c r="M16" i="11"/>
  <c r="S16" i="11"/>
  <c r="U16" i="11"/>
  <c r="N16" i="11"/>
  <c r="V16" i="11"/>
  <c r="T16" i="11"/>
  <c r="O16" i="11"/>
  <c r="Q16" i="11"/>
  <c r="P16" i="11"/>
  <c r="R16" i="11"/>
  <c r="X16" i="11"/>
  <c r="W16" i="11"/>
  <c r="J22" i="11"/>
  <c r="J7" i="18" s="1"/>
  <c r="J9" i="18" s="1"/>
  <c r="I68" i="6"/>
  <c r="M14" i="17"/>
  <c r="W24" i="26" l="1"/>
  <c r="V25" i="26"/>
  <c r="J14" i="17"/>
  <c r="J34" i="17"/>
  <c r="K23" i="11"/>
  <c r="K9" i="11"/>
  <c r="K11" i="11" s="1"/>
  <c r="N14" i="17"/>
  <c r="K17" i="11"/>
  <c r="X24" i="26" l="1"/>
  <c r="W25" i="26"/>
  <c r="K24" i="11"/>
  <c r="K11" i="26" s="1"/>
  <c r="L23" i="11"/>
  <c r="L9" i="11"/>
  <c r="L11" i="11" s="1"/>
  <c r="K13" i="13"/>
  <c r="O14" i="17"/>
  <c r="K19" i="11"/>
  <c r="K18" i="11"/>
  <c r="Y24" i="26" l="1"/>
  <c r="X25" i="26"/>
  <c r="Y25" i="26" s="1"/>
  <c r="K6" i="17"/>
  <c r="M23" i="11"/>
  <c r="M9" i="11"/>
  <c r="M11" i="11" s="1"/>
  <c r="P14" i="17"/>
  <c r="L17" i="11"/>
  <c r="L24" i="11" s="1"/>
  <c r="L11" i="26" s="1"/>
  <c r="N23" i="11" l="1"/>
  <c r="N9" i="11"/>
  <c r="N11" i="11" s="1"/>
  <c r="L19" i="11"/>
  <c r="M17" i="11" s="1"/>
  <c r="M24" i="11" s="1"/>
  <c r="M11" i="26" s="1"/>
  <c r="L13" i="13"/>
  <c r="L6" i="17"/>
  <c r="Q14" i="17"/>
  <c r="L18" i="11"/>
  <c r="O23" i="11" l="1"/>
  <c r="O9" i="11"/>
  <c r="O11" i="11" s="1"/>
  <c r="M13" i="13"/>
  <c r="M6" i="17"/>
  <c r="R14" i="17"/>
  <c r="M19" i="11"/>
  <c r="N17" i="11" s="1"/>
  <c r="N24" i="11" s="1"/>
  <c r="N11" i="26" s="1"/>
  <c r="M18" i="11"/>
  <c r="P23" i="11" l="1"/>
  <c r="P9" i="11"/>
  <c r="P11" i="11" s="1"/>
  <c r="N13" i="13"/>
  <c r="N6" i="17"/>
  <c r="S14" i="17"/>
  <c r="N19" i="11"/>
  <c r="O17" i="11" s="1"/>
  <c r="O24" i="11" s="1"/>
  <c r="O11" i="26" s="1"/>
  <c r="N18" i="11"/>
  <c r="Q23" i="11" l="1"/>
  <c r="Q9" i="11"/>
  <c r="Q11" i="11" s="1"/>
  <c r="O13" i="13"/>
  <c r="O6" i="17"/>
  <c r="T14" i="17"/>
  <c r="O19" i="11"/>
  <c r="O18" i="11"/>
  <c r="R23" i="11" l="1"/>
  <c r="R9" i="11"/>
  <c r="R11" i="11" s="1"/>
  <c r="U14" i="17"/>
  <c r="P17" i="11"/>
  <c r="P24" i="11" s="1"/>
  <c r="P11" i="26" s="1"/>
  <c r="S23" i="11" l="1"/>
  <c r="S9" i="11"/>
  <c r="S11" i="11" s="1"/>
  <c r="P6" i="17"/>
  <c r="P13" i="13"/>
  <c r="V14" i="17"/>
  <c r="P19" i="11"/>
  <c r="P18" i="11"/>
  <c r="T23" i="11" l="1"/>
  <c r="T9" i="11"/>
  <c r="T11" i="11" s="1"/>
  <c r="W14" i="17"/>
  <c r="X14" i="17"/>
  <c r="Q17" i="11"/>
  <c r="Q24" i="11" s="1"/>
  <c r="Q11" i="26" s="1"/>
  <c r="I7" i="10"/>
  <c r="U23" i="11" l="1"/>
  <c r="U9" i="11"/>
  <c r="U11" i="11" s="1"/>
  <c r="Q13" i="13"/>
  <c r="Q6" i="17"/>
  <c r="Q19" i="11"/>
  <c r="R17" i="11" s="1"/>
  <c r="R24" i="11" s="1"/>
  <c r="R11" i="26" s="1"/>
  <c r="Q18" i="11"/>
  <c r="J9" i="13"/>
  <c r="J7" i="10"/>
  <c r="I31" i="6"/>
  <c r="K27" i="6"/>
  <c r="I21" i="6"/>
  <c r="K17" i="6"/>
  <c r="K8" i="7"/>
  <c r="L8" i="7" s="1"/>
  <c r="K4" i="7"/>
  <c r="L4" i="7" s="1"/>
  <c r="J6" i="6"/>
  <c r="I6" i="6"/>
  <c r="I13" i="6" s="1"/>
  <c r="I9" i="6"/>
  <c r="K8" i="5"/>
  <c r="I58" i="2"/>
  <c r="I5" i="4" s="1"/>
  <c r="J58" i="2"/>
  <c r="J5" i="4" s="1"/>
  <c r="I59" i="2"/>
  <c r="I6" i="4" s="1"/>
  <c r="J59" i="2"/>
  <c r="J6" i="4" s="1"/>
  <c r="J40" i="2"/>
  <c r="K81" i="2"/>
  <c r="K5" i="6" s="1"/>
  <c r="I5" i="5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I4" i="5"/>
  <c r="K43" i="2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K40" i="2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I9" i="4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I8" i="4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I6" i="2"/>
  <c r="I7" i="2" s="1"/>
  <c r="J10" i="2"/>
  <c r="K10" i="2"/>
  <c r="L10" i="2"/>
  <c r="M10" i="2"/>
  <c r="N10" i="2"/>
  <c r="O10" i="2"/>
  <c r="P10" i="2"/>
  <c r="I10" i="2"/>
  <c r="L102" i="2"/>
  <c r="M102" i="2" s="1"/>
  <c r="N102" i="2" s="1"/>
  <c r="O102" i="2" s="1"/>
  <c r="P102" i="2" s="1"/>
  <c r="Q102" i="2" s="1"/>
  <c r="R102" i="2" s="1"/>
  <c r="S102" i="2" s="1"/>
  <c r="T102" i="2" s="1"/>
  <c r="U102" i="2" s="1"/>
  <c r="V102" i="2" s="1"/>
  <c r="W102" i="2" s="1"/>
  <c r="X102" i="2" s="1"/>
  <c r="L89" i="2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L88" i="2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L87" i="2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L95" i="2"/>
  <c r="M95" i="2" s="1"/>
  <c r="N95" i="2" s="1"/>
  <c r="O95" i="2" s="1"/>
  <c r="P95" i="2" s="1"/>
  <c r="L94" i="2"/>
  <c r="M94" i="2" s="1"/>
  <c r="N94" i="2" s="1"/>
  <c r="O94" i="2" s="1"/>
  <c r="P94" i="2" s="1"/>
  <c r="L81" i="2"/>
  <c r="M81" i="2" s="1"/>
  <c r="N81" i="2" s="1"/>
  <c r="O81" i="2" s="1"/>
  <c r="P81" i="2" s="1"/>
  <c r="K71" i="2"/>
  <c r="L71" i="2" s="1"/>
  <c r="M71" i="2" s="1"/>
  <c r="N71" i="2" s="1"/>
  <c r="O71" i="2" s="1"/>
  <c r="P71" i="2" s="1"/>
  <c r="K70" i="2"/>
  <c r="L70" i="2" s="1"/>
  <c r="M70" i="2" s="1"/>
  <c r="N70" i="2" s="1"/>
  <c r="O70" i="2" s="1"/>
  <c r="P70" i="2" s="1"/>
  <c r="J36" i="2"/>
  <c r="J41" i="6" s="1"/>
  <c r="J29" i="2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J35" i="2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J28" i="2"/>
  <c r="K28" i="2" s="1"/>
  <c r="L28" i="2" s="1"/>
  <c r="M28" i="2" s="1"/>
  <c r="N28" i="2" s="1"/>
  <c r="O28" i="2" s="1"/>
  <c r="P28" i="2" s="1"/>
  <c r="J27" i="2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J32" i="2"/>
  <c r="J26" i="2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E46" i="2"/>
  <c r="E47" i="2"/>
  <c r="J58" i="6" l="1"/>
  <c r="J48" i="6"/>
  <c r="V23" i="11"/>
  <c r="V9" i="11"/>
  <c r="V11" i="11" s="1"/>
  <c r="K9" i="5"/>
  <c r="R6" i="17"/>
  <c r="R13" i="13"/>
  <c r="J10" i="13"/>
  <c r="I6" i="5"/>
  <c r="R19" i="11"/>
  <c r="S17" i="11" s="1"/>
  <c r="S24" i="11" s="1"/>
  <c r="S11" i="26" s="1"/>
  <c r="K32" i="2"/>
  <c r="K48" i="6" s="1"/>
  <c r="J67" i="6"/>
  <c r="I14" i="6"/>
  <c r="I10" i="5" s="1"/>
  <c r="I11" i="5" s="1"/>
  <c r="P17" i="6"/>
  <c r="Q94" i="2"/>
  <c r="P27" i="6"/>
  <c r="Q95" i="2"/>
  <c r="P5" i="6"/>
  <c r="Q81" i="2"/>
  <c r="R18" i="11"/>
  <c r="P31" i="6"/>
  <c r="Q28" i="2"/>
  <c r="K36" i="2"/>
  <c r="I11" i="4"/>
  <c r="I14" i="4" s="1"/>
  <c r="O27" i="6"/>
  <c r="O9" i="6"/>
  <c r="J11" i="4"/>
  <c r="P21" i="6"/>
  <c r="N31" i="6"/>
  <c r="I12" i="4"/>
  <c r="N9" i="6"/>
  <c r="P9" i="6"/>
  <c r="O31" i="6"/>
  <c r="O5" i="6"/>
  <c r="M9" i="6"/>
  <c r="N21" i="6"/>
  <c r="L31" i="6"/>
  <c r="M27" i="6"/>
  <c r="K9" i="6"/>
  <c r="L5" i="6"/>
  <c r="J13" i="6"/>
  <c r="L5" i="7"/>
  <c r="N17" i="6"/>
  <c r="L21" i="6"/>
  <c r="L27" i="6"/>
  <c r="J31" i="6"/>
  <c r="J9" i="6"/>
  <c r="M17" i="6"/>
  <c r="K21" i="6"/>
  <c r="O21" i="6"/>
  <c r="M31" i="6"/>
  <c r="N5" i="6"/>
  <c r="N27" i="6"/>
  <c r="L9" i="6"/>
  <c r="M5" i="6"/>
  <c r="O17" i="6"/>
  <c r="M21" i="6"/>
  <c r="K31" i="6"/>
  <c r="L17" i="6"/>
  <c r="J21" i="6"/>
  <c r="K9" i="7"/>
  <c r="K28" i="6" s="1"/>
  <c r="K29" i="6" s="1"/>
  <c r="L9" i="7"/>
  <c r="L28" i="6" s="1"/>
  <c r="M8" i="7"/>
  <c r="N8" i="7" s="1"/>
  <c r="O8" i="7" s="1"/>
  <c r="P8" i="7" s="1"/>
  <c r="K5" i="7"/>
  <c r="M4" i="7"/>
  <c r="M5" i="7" s="1"/>
  <c r="L8" i="5"/>
  <c r="J12" i="4"/>
  <c r="I11" i="2"/>
  <c r="I62" i="6" s="1"/>
  <c r="J6" i="2"/>
  <c r="J7" i="2" s="1"/>
  <c r="I9" i="2"/>
  <c r="I1" i="2" s="1"/>
  <c r="J14" i="4" l="1"/>
  <c r="J68" i="6"/>
  <c r="I1" i="26"/>
  <c r="W23" i="11"/>
  <c r="W9" i="11"/>
  <c r="W11" i="11" s="1"/>
  <c r="S6" i="17"/>
  <c r="S13" i="13"/>
  <c r="I18" i="5"/>
  <c r="S19" i="11"/>
  <c r="T17" i="11" s="1"/>
  <c r="T24" i="11" s="1"/>
  <c r="T11" i="26" s="1"/>
  <c r="L32" i="2"/>
  <c r="L48" i="6" s="1"/>
  <c r="K68" i="6"/>
  <c r="J14" i="6"/>
  <c r="J10" i="5" s="1"/>
  <c r="J11" i="5" s="1"/>
  <c r="R81" i="2"/>
  <c r="Q5" i="6"/>
  <c r="R95" i="2"/>
  <c r="Q27" i="6"/>
  <c r="R28" i="2"/>
  <c r="Q21" i="6"/>
  <c r="Q9" i="6"/>
  <c r="Q31" i="6"/>
  <c r="R94" i="2"/>
  <c r="Q17" i="6"/>
  <c r="P9" i="7"/>
  <c r="P28" i="6" s="1"/>
  <c r="P29" i="6" s="1"/>
  <c r="P34" i="6" s="1"/>
  <c r="Q8" i="7"/>
  <c r="S18" i="11"/>
  <c r="I1" i="17"/>
  <c r="I1" i="18"/>
  <c r="I1" i="13"/>
  <c r="L36" i="2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I1" i="10"/>
  <c r="I1" i="11"/>
  <c r="K33" i="6"/>
  <c r="K6" i="6"/>
  <c r="L18" i="6"/>
  <c r="L19" i="6" s="1"/>
  <c r="K34" i="6"/>
  <c r="L29" i="6"/>
  <c r="L33" i="6" s="1"/>
  <c r="N9" i="7"/>
  <c r="N28" i="6" s="1"/>
  <c r="N29" i="6" s="1"/>
  <c r="N34" i="6" s="1"/>
  <c r="O9" i="7"/>
  <c r="O28" i="6" s="1"/>
  <c r="O29" i="6" s="1"/>
  <c r="O33" i="6" s="1"/>
  <c r="K18" i="6"/>
  <c r="K19" i="6" s="1"/>
  <c r="M18" i="6"/>
  <c r="M19" i="6" s="1"/>
  <c r="M9" i="7"/>
  <c r="M28" i="6" s="1"/>
  <c r="M29" i="6" s="1"/>
  <c r="I1" i="6"/>
  <c r="I1" i="7"/>
  <c r="N4" i="7"/>
  <c r="N5" i="7" s="1"/>
  <c r="M8" i="5"/>
  <c r="L9" i="5"/>
  <c r="I1" i="4"/>
  <c r="I1" i="5"/>
  <c r="I13" i="2"/>
  <c r="J11" i="2"/>
  <c r="J62" i="6" s="1"/>
  <c r="K6" i="2"/>
  <c r="K7" i="2" s="1"/>
  <c r="J9" i="2"/>
  <c r="J1" i="2" s="1"/>
  <c r="I54" i="6" l="1"/>
  <c r="I55" i="6" s="1"/>
  <c r="I66" i="6" s="1"/>
  <c r="I6" i="10"/>
  <c r="I19" i="10" s="1"/>
  <c r="J1" i="26"/>
  <c r="I6" i="13"/>
  <c r="X23" i="11"/>
  <c r="X9" i="11"/>
  <c r="X11" i="11" s="1"/>
  <c r="T13" i="13"/>
  <c r="T6" i="17"/>
  <c r="M32" i="2"/>
  <c r="M48" i="6" s="1"/>
  <c r="L68" i="6"/>
  <c r="K35" i="6"/>
  <c r="K10" i="7" s="1"/>
  <c r="P33" i="6"/>
  <c r="S95" i="2"/>
  <c r="R27" i="6"/>
  <c r="S28" i="2"/>
  <c r="R21" i="6"/>
  <c r="R31" i="6"/>
  <c r="R9" i="6"/>
  <c r="S94" i="2"/>
  <c r="R17" i="6"/>
  <c r="S81" i="2"/>
  <c r="R5" i="6"/>
  <c r="Q9" i="7"/>
  <c r="Q28" i="6" s="1"/>
  <c r="Q29" i="6" s="1"/>
  <c r="R8" i="7"/>
  <c r="T18" i="11"/>
  <c r="T19" i="11"/>
  <c r="J1" i="17"/>
  <c r="J1" i="18"/>
  <c r="J1" i="13"/>
  <c r="I51" i="6"/>
  <c r="I52" i="6" s="1"/>
  <c r="I5" i="13"/>
  <c r="J1" i="10"/>
  <c r="J1" i="11"/>
  <c r="I5" i="10"/>
  <c r="I11" i="10" s="1"/>
  <c r="I15" i="10" s="1"/>
  <c r="L24" i="6"/>
  <c r="L23" i="6"/>
  <c r="K7" i="6"/>
  <c r="K13" i="6"/>
  <c r="L6" i="6"/>
  <c r="L13" i="6" s="1"/>
  <c r="N33" i="6"/>
  <c r="O34" i="6"/>
  <c r="L34" i="6"/>
  <c r="K23" i="6"/>
  <c r="K24" i="6"/>
  <c r="M33" i="6"/>
  <c r="M34" i="6"/>
  <c r="M24" i="6"/>
  <c r="M23" i="6"/>
  <c r="N18" i="6"/>
  <c r="N19" i="6" s="1"/>
  <c r="O4" i="7"/>
  <c r="O5" i="7" s="1"/>
  <c r="J1" i="6"/>
  <c r="J1" i="7"/>
  <c r="N8" i="5"/>
  <c r="M9" i="5"/>
  <c r="J13" i="2"/>
  <c r="J1" i="4"/>
  <c r="J1" i="5"/>
  <c r="L6" i="2"/>
  <c r="L7" i="2" s="1"/>
  <c r="K9" i="2"/>
  <c r="K1" i="2" s="1"/>
  <c r="K11" i="2"/>
  <c r="K62" i="6" s="1"/>
  <c r="K1" i="26" l="1"/>
  <c r="I22" i="10"/>
  <c r="I26" i="10" s="1"/>
  <c r="N32" i="2"/>
  <c r="N48" i="6" s="1"/>
  <c r="M68" i="6"/>
  <c r="I65" i="6"/>
  <c r="I69" i="6" s="1"/>
  <c r="I73" i="6" s="1"/>
  <c r="I8" i="17" s="1"/>
  <c r="P35" i="6"/>
  <c r="P10" i="7" s="1"/>
  <c r="K25" i="6"/>
  <c r="K6" i="7" s="1"/>
  <c r="K11" i="7" s="1"/>
  <c r="L35" i="6"/>
  <c r="L10" i="7" s="1"/>
  <c r="M35" i="6"/>
  <c r="M10" i="7" s="1"/>
  <c r="L25" i="6"/>
  <c r="L6" i="7" s="1"/>
  <c r="M25" i="6"/>
  <c r="M6" i="7" s="1"/>
  <c r="N35" i="6"/>
  <c r="N10" i="7" s="1"/>
  <c r="O35" i="6"/>
  <c r="O10" i="7" s="1"/>
  <c r="I26" i="18"/>
  <c r="T28" i="2"/>
  <c r="S31" i="6"/>
  <c r="S9" i="6"/>
  <c r="S21" i="6"/>
  <c r="T94" i="2"/>
  <c r="S17" i="6"/>
  <c r="T81" i="2"/>
  <c r="S5" i="6"/>
  <c r="T95" i="2"/>
  <c r="S27" i="6"/>
  <c r="R9" i="7"/>
  <c r="R28" i="6" s="1"/>
  <c r="R29" i="6" s="1"/>
  <c r="S8" i="7"/>
  <c r="Q34" i="6"/>
  <c r="Q33" i="6"/>
  <c r="U17" i="11"/>
  <c r="U24" i="11" s="1"/>
  <c r="U11" i="26" s="1"/>
  <c r="K1" i="17"/>
  <c r="K1" i="18"/>
  <c r="I7" i="13"/>
  <c r="I11" i="13" s="1"/>
  <c r="K1" i="13"/>
  <c r="J51" i="6"/>
  <c r="J5" i="13"/>
  <c r="J5" i="10"/>
  <c r="K1" i="10"/>
  <c r="K1" i="11"/>
  <c r="K12" i="6"/>
  <c r="K11" i="6"/>
  <c r="L7" i="6"/>
  <c r="L11" i="6" s="1"/>
  <c r="M6" i="6"/>
  <c r="M13" i="6" s="1"/>
  <c r="N23" i="6"/>
  <c r="N24" i="6"/>
  <c r="O18" i="6"/>
  <c r="O19" i="6" s="1"/>
  <c r="P4" i="7"/>
  <c r="Q4" i="7" s="1"/>
  <c r="K1" i="6"/>
  <c r="K1" i="7"/>
  <c r="O8" i="5"/>
  <c r="N9" i="5"/>
  <c r="K1" i="4"/>
  <c r="K1" i="5"/>
  <c r="K13" i="2"/>
  <c r="K46" i="2" s="1"/>
  <c r="E52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M6" i="2"/>
  <c r="M7" i="2" s="1"/>
  <c r="L11" i="2"/>
  <c r="L62" i="6" s="1"/>
  <c r="L9" i="2"/>
  <c r="L1" i="2" s="1"/>
  <c r="J64" i="6" l="1"/>
  <c r="I75" i="6"/>
  <c r="I13" i="18" s="1"/>
  <c r="I76" i="6"/>
  <c r="I27" i="18" s="1"/>
  <c r="I29" i="18" s="1"/>
  <c r="J52" i="6"/>
  <c r="L1" i="26"/>
  <c r="U13" i="13"/>
  <c r="U6" i="17"/>
  <c r="L11" i="7"/>
  <c r="M11" i="7"/>
  <c r="U19" i="11"/>
  <c r="V17" i="11" s="1"/>
  <c r="V24" i="11" s="1"/>
  <c r="V11" i="26" s="1"/>
  <c r="O32" i="2"/>
  <c r="O48" i="6" s="1"/>
  <c r="N68" i="6"/>
  <c r="K14" i="6"/>
  <c r="K10" i="5" s="1"/>
  <c r="K11" i="5" s="1"/>
  <c r="N25" i="6"/>
  <c r="N6" i="7" s="1"/>
  <c r="N11" i="7" s="1"/>
  <c r="Q35" i="6"/>
  <c r="Q10" i="7" s="1"/>
  <c r="J11" i="10"/>
  <c r="J15" i="10" s="1"/>
  <c r="I12" i="18"/>
  <c r="U95" i="2"/>
  <c r="T27" i="6"/>
  <c r="U81" i="2"/>
  <c r="T5" i="6"/>
  <c r="U28" i="2"/>
  <c r="T31" i="6"/>
  <c r="T21" i="6"/>
  <c r="T9" i="6"/>
  <c r="U94" i="2"/>
  <c r="T17" i="6"/>
  <c r="R4" i="7"/>
  <c r="Q5" i="7"/>
  <c r="S9" i="7"/>
  <c r="S28" i="6" s="1"/>
  <c r="S29" i="6" s="1"/>
  <c r="T8" i="7"/>
  <c r="R33" i="6"/>
  <c r="R34" i="6"/>
  <c r="U18" i="11"/>
  <c r="I12" i="13"/>
  <c r="L1" i="17"/>
  <c r="L1" i="18"/>
  <c r="I8" i="13"/>
  <c r="L1" i="13"/>
  <c r="L1" i="10"/>
  <c r="L1" i="11"/>
  <c r="L12" i="6"/>
  <c r="N6" i="6"/>
  <c r="N13" i="6" s="1"/>
  <c r="M7" i="6"/>
  <c r="M11" i="6" s="1"/>
  <c r="O23" i="6"/>
  <c r="O24" i="6"/>
  <c r="P5" i="7"/>
  <c r="L1" i="6"/>
  <c r="L1" i="7"/>
  <c r="K47" i="2"/>
  <c r="E53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P8" i="5"/>
  <c r="Q8" i="5" s="1"/>
  <c r="O9" i="5"/>
  <c r="L13" i="2"/>
  <c r="L46" i="2" s="1"/>
  <c r="L58" i="2" s="1"/>
  <c r="L1" i="4"/>
  <c r="L1" i="5"/>
  <c r="K58" i="2"/>
  <c r="N6" i="2"/>
  <c r="N7" i="2" s="1"/>
  <c r="M11" i="2"/>
  <c r="M62" i="6" s="1"/>
  <c r="M9" i="2"/>
  <c r="M1" i="2" s="1"/>
  <c r="J65" i="6" l="1"/>
  <c r="I35" i="17"/>
  <c r="I36" i="17" s="1"/>
  <c r="I38" i="17" s="1"/>
  <c r="I18" i="17" s="1"/>
  <c r="M1" i="26"/>
  <c r="V13" i="13"/>
  <c r="V6" i="17"/>
  <c r="P32" i="2"/>
  <c r="P48" i="6" s="1"/>
  <c r="O68" i="6"/>
  <c r="V19" i="11"/>
  <c r="W17" i="11" s="1"/>
  <c r="W24" i="11" s="1"/>
  <c r="W11" i="26" s="1"/>
  <c r="R35" i="6"/>
  <c r="R10" i="7" s="1"/>
  <c r="O25" i="6"/>
  <c r="O6" i="7" s="1"/>
  <c r="O11" i="7" s="1"/>
  <c r="L14" i="6"/>
  <c r="L10" i="5" s="1"/>
  <c r="L11" i="5" s="1"/>
  <c r="J12" i="18"/>
  <c r="V28" i="2"/>
  <c r="U21" i="6"/>
  <c r="U31" i="6"/>
  <c r="U9" i="6"/>
  <c r="V81" i="2"/>
  <c r="U5" i="6"/>
  <c r="V95" i="2"/>
  <c r="U27" i="6"/>
  <c r="V94" i="2"/>
  <c r="U17" i="6"/>
  <c r="R8" i="5"/>
  <c r="Q9" i="5"/>
  <c r="U8" i="7"/>
  <c r="T9" i="7"/>
  <c r="T28" i="6" s="1"/>
  <c r="T29" i="6" s="1"/>
  <c r="S34" i="6"/>
  <c r="S33" i="6"/>
  <c r="Q18" i="6"/>
  <c r="Q19" i="6" s="1"/>
  <c r="R5" i="7"/>
  <c r="S4" i="7"/>
  <c r="V18" i="11"/>
  <c r="M1" i="17"/>
  <c r="M1" i="18"/>
  <c r="M1" i="13"/>
  <c r="M1" i="10"/>
  <c r="M1" i="11"/>
  <c r="N7" i="6"/>
  <c r="N11" i="6" s="1"/>
  <c r="K59" i="2"/>
  <c r="M12" i="6"/>
  <c r="O6" i="6"/>
  <c r="O13" i="6" s="1"/>
  <c r="L47" i="2"/>
  <c r="L59" i="2" s="1"/>
  <c r="P18" i="6"/>
  <c r="P19" i="6" s="1"/>
  <c r="M1" i="6"/>
  <c r="M1" i="7"/>
  <c r="P9" i="5"/>
  <c r="K5" i="4"/>
  <c r="K11" i="4" s="1"/>
  <c r="L5" i="4"/>
  <c r="L11" i="4" s="1"/>
  <c r="M1" i="4"/>
  <c r="M1" i="5"/>
  <c r="M13" i="2"/>
  <c r="M46" i="2" s="1"/>
  <c r="M58" i="2" s="1"/>
  <c r="O6" i="2"/>
  <c r="O7" i="2" s="1"/>
  <c r="N11" i="2"/>
  <c r="N62" i="6" s="1"/>
  <c r="N9" i="2"/>
  <c r="N1" i="2" s="1"/>
  <c r="I21" i="18" l="1"/>
  <c r="I19" i="17"/>
  <c r="N1" i="26"/>
  <c r="W13" i="13"/>
  <c r="W6" i="17"/>
  <c r="W19" i="11"/>
  <c r="X17" i="11" s="1"/>
  <c r="X24" i="11" s="1"/>
  <c r="X11" i="26" s="1"/>
  <c r="Q32" i="2"/>
  <c r="Q48" i="6" s="1"/>
  <c r="P68" i="6"/>
  <c r="S35" i="6"/>
  <c r="S10" i="7" s="1"/>
  <c r="M14" i="6"/>
  <c r="M10" i="5" s="1"/>
  <c r="M11" i="5" s="1"/>
  <c r="Q6" i="6"/>
  <c r="Q13" i="6" s="1"/>
  <c r="W95" i="2"/>
  <c r="V27" i="6"/>
  <c r="W81" i="2"/>
  <c r="V5" i="6"/>
  <c r="W94" i="2"/>
  <c r="V17" i="6"/>
  <c r="W28" i="2"/>
  <c r="V31" i="6"/>
  <c r="V9" i="6"/>
  <c r="V21" i="6"/>
  <c r="T34" i="6"/>
  <c r="T33" i="6"/>
  <c r="V8" i="7"/>
  <c r="U9" i="7"/>
  <c r="U28" i="6" s="1"/>
  <c r="U29" i="6" s="1"/>
  <c r="T4" i="7"/>
  <c r="S5" i="7"/>
  <c r="R18" i="6"/>
  <c r="R19" i="6" s="1"/>
  <c r="Q24" i="6"/>
  <c r="Q23" i="6"/>
  <c r="S8" i="5"/>
  <c r="R9" i="5"/>
  <c r="W18" i="11"/>
  <c r="N1" i="17"/>
  <c r="N1" i="18"/>
  <c r="N1" i="13"/>
  <c r="L6" i="4"/>
  <c r="L12" i="4" s="1"/>
  <c r="L14" i="4" s="1"/>
  <c r="K6" i="4"/>
  <c r="K12" i="4" s="1"/>
  <c r="K14" i="4" s="1"/>
  <c r="N12" i="6"/>
  <c r="N14" i="6" s="1"/>
  <c r="N1" i="10"/>
  <c r="N1" i="11"/>
  <c r="O7" i="6"/>
  <c r="O12" i="6" s="1"/>
  <c r="P6" i="6"/>
  <c r="P7" i="6" s="1"/>
  <c r="P23" i="6"/>
  <c r="P24" i="6"/>
  <c r="N1" i="6"/>
  <c r="N1" i="7"/>
  <c r="M47" i="2"/>
  <c r="M59" i="2" s="1"/>
  <c r="M5" i="4"/>
  <c r="M11" i="4" s="1"/>
  <c r="N1" i="4"/>
  <c r="N1" i="5"/>
  <c r="N13" i="2"/>
  <c r="N46" i="2" s="1"/>
  <c r="N58" i="2" s="1"/>
  <c r="P6" i="2"/>
  <c r="P7" i="2" s="1"/>
  <c r="Q6" i="2" s="1"/>
  <c r="Q7" i="2" s="1"/>
  <c r="O9" i="2"/>
  <c r="O1" i="2" s="1"/>
  <c r="O11" i="2"/>
  <c r="O62" i="6" s="1"/>
  <c r="O1" i="26" l="1"/>
  <c r="X6" i="17"/>
  <c r="X13" i="13"/>
  <c r="Q7" i="6"/>
  <c r="Q11" i="6" s="1"/>
  <c r="R32" i="2"/>
  <c r="R48" i="6" s="1"/>
  <c r="Q68" i="6"/>
  <c r="Q25" i="6"/>
  <c r="Q6" i="7" s="1"/>
  <c r="Q11" i="7" s="1"/>
  <c r="N10" i="5"/>
  <c r="N11" i="5" s="1"/>
  <c r="P25" i="6"/>
  <c r="P6" i="7" s="1"/>
  <c r="P11" i="7" s="1"/>
  <c r="T35" i="6"/>
  <c r="T10" i="7" s="1"/>
  <c r="X94" i="2"/>
  <c r="X17" i="6" s="1"/>
  <c r="W17" i="6"/>
  <c r="X28" i="2"/>
  <c r="W21" i="6"/>
  <c r="W31" i="6"/>
  <c r="W9" i="6"/>
  <c r="X81" i="2"/>
  <c r="X5" i="6" s="1"/>
  <c r="W5" i="6"/>
  <c r="X95" i="2"/>
  <c r="X27" i="6" s="1"/>
  <c r="W27" i="6"/>
  <c r="S18" i="6"/>
  <c r="S19" i="6" s="1"/>
  <c r="V9" i="7"/>
  <c r="V28" i="6" s="1"/>
  <c r="V29" i="6" s="1"/>
  <c r="W8" i="7"/>
  <c r="R24" i="6"/>
  <c r="R23" i="6"/>
  <c r="R6" i="6"/>
  <c r="T5" i="7"/>
  <c r="U4" i="7"/>
  <c r="U34" i="6"/>
  <c r="U33" i="6"/>
  <c r="S9" i="5"/>
  <c r="T8" i="5"/>
  <c r="X18" i="11"/>
  <c r="X19" i="11"/>
  <c r="R6" i="2"/>
  <c r="R7" i="2" s="1"/>
  <c r="Q11" i="2"/>
  <c r="Q62" i="6" s="1"/>
  <c r="Q9" i="2"/>
  <c r="Q1" i="2" s="1"/>
  <c r="O1" i="17"/>
  <c r="O1" i="18"/>
  <c r="K51" i="6"/>
  <c r="K5" i="13"/>
  <c r="L51" i="6"/>
  <c r="L5" i="13"/>
  <c r="O1" i="13"/>
  <c r="M6" i="4"/>
  <c r="M12" i="4" s="1"/>
  <c r="M14" i="4" s="1"/>
  <c r="O11" i="6"/>
  <c r="P13" i="6"/>
  <c r="O1" i="10"/>
  <c r="O1" i="11"/>
  <c r="L5" i="10"/>
  <c r="L11" i="10" s="1"/>
  <c r="L15" i="10" s="1"/>
  <c r="K5" i="10"/>
  <c r="K11" i="10" s="1"/>
  <c r="K15" i="10" s="1"/>
  <c r="P11" i="6"/>
  <c r="P12" i="6"/>
  <c r="O1" i="6"/>
  <c r="O1" i="7"/>
  <c r="N5" i="4"/>
  <c r="N11" i="4" s="1"/>
  <c r="N47" i="2"/>
  <c r="N59" i="2" s="1"/>
  <c r="O13" i="2"/>
  <c r="O46" i="2" s="1"/>
  <c r="O58" i="2" s="1"/>
  <c r="O1" i="4"/>
  <c r="O1" i="5"/>
  <c r="P11" i="2"/>
  <c r="P62" i="6" s="1"/>
  <c r="P9" i="2"/>
  <c r="P1" i="2" s="1"/>
  <c r="K52" i="6" l="1"/>
  <c r="L52" i="6"/>
  <c r="Q12" i="6"/>
  <c r="Q14" i="6" s="1"/>
  <c r="Q10" i="5" s="1"/>
  <c r="Q11" i="5" s="1"/>
  <c r="Q1" i="26"/>
  <c r="P1" i="26"/>
  <c r="S32" i="2"/>
  <c r="S48" i="6" s="1"/>
  <c r="R68" i="6"/>
  <c r="R25" i="6"/>
  <c r="R6" i="7" s="1"/>
  <c r="R11" i="7" s="1"/>
  <c r="O14" i="6"/>
  <c r="O10" i="5" s="1"/>
  <c r="O11" i="5" s="1"/>
  <c r="P14" i="6"/>
  <c r="P10" i="5" s="1"/>
  <c r="P11" i="5" s="1"/>
  <c r="U35" i="6"/>
  <c r="U10" i="7" s="1"/>
  <c r="X31" i="6"/>
  <c r="X9" i="6"/>
  <c r="X21" i="6"/>
  <c r="R7" i="6"/>
  <c r="R13" i="6"/>
  <c r="T9" i="5"/>
  <c r="U8" i="5"/>
  <c r="W9" i="7"/>
  <c r="W28" i="6" s="1"/>
  <c r="W29" i="6" s="1"/>
  <c r="X8" i="7"/>
  <c r="X9" i="7" s="1"/>
  <c r="X28" i="6" s="1"/>
  <c r="X29" i="6" s="1"/>
  <c r="U5" i="7"/>
  <c r="V4" i="7"/>
  <c r="S24" i="6"/>
  <c r="S23" i="6"/>
  <c r="S6" i="6"/>
  <c r="V33" i="6"/>
  <c r="V34" i="6"/>
  <c r="T18" i="6"/>
  <c r="T19" i="6" s="1"/>
  <c r="Q1" i="17"/>
  <c r="Q1" i="18"/>
  <c r="Q1" i="10"/>
  <c r="Q1" i="6"/>
  <c r="Q1" i="11"/>
  <c r="Q1" i="4"/>
  <c r="Q1" i="13"/>
  <c r="Q1" i="7"/>
  <c r="Q1" i="5"/>
  <c r="Q13" i="2"/>
  <c r="S6" i="2"/>
  <c r="S7" i="2" s="1"/>
  <c r="R9" i="2"/>
  <c r="R1" i="2" s="1"/>
  <c r="R11" i="2"/>
  <c r="R62" i="6" s="1"/>
  <c r="P1" i="17"/>
  <c r="P1" i="18"/>
  <c r="P1" i="13"/>
  <c r="M51" i="6"/>
  <c r="M5" i="13"/>
  <c r="I60" i="2"/>
  <c r="M5" i="10"/>
  <c r="M11" i="10" s="1"/>
  <c r="M15" i="10" s="1"/>
  <c r="P1" i="10"/>
  <c r="P1" i="11"/>
  <c r="P1" i="6"/>
  <c r="P1" i="7"/>
  <c r="O47" i="2"/>
  <c r="O59" i="2" s="1"/>
  <c r="M60" i="2"/>
  <c r="M74" i="2" s="1"/>
  <c r="L60" i="2"/>
  <c r="L74" i="2" s="1"/>
  <c r="J60" i="2"/>
  <c r="J74" i="2" s="1"/>
  <c r="K60" i="2"/>
  <c r="K74" i="2" s="1"/>
  <c r="O5" i="4"/>
  <c r="O11" i="4" s="1"/>
  <c r="N6" i="4"/>
  <c r="N12" i="4" s="1"/>
  <c r="N14" i="4" s="1"/>
  <c r="P1" i="4"/>
  <c r="P1" i="5"/>
  <c r="P13" i="2"/>
  <c r="P46" i="2" s="1"/>
  <c r="P58" i="2" s="1"/>
  <c r="N60" i="2"/>
  <c r="N74" i="2" s="1"/>
  <c r="L65" i="6" l="1"/>
  <c r="K65" i="6"/>
  <c r="M52" i="6"/>
  <c r="R1" i="26"/>
  <c r="T32" i="2"/>
  <c r="T48" i="6" s="1"/>
  <c r="S68" i="6"/>
  <c r="S25" i="6"/>
  <c r="S6" i="7" s="1"/>
  <c r="S11" i="7" s="1"/>
  <c r="V35" i="6"/>
  <c r="V10" i="7" s="1"/>
  <c r="K12" i="18"/>
  <c r="L12" i="18"/>
  <c r="U18" i="6"/>
  <c r="U19" i="6" s="1"/>
  <c r="W34" i="6"/>
  <c r="W33" i="6"/>
  <c r="U9" i="5"/>
  <c r="V8" i="5"/>
  <c r="S7" i="6"/>
  <c r="S13" i="6"/>
  <c r="T6" i="6"/>
  <c r="T24" i="6"/>
  <c r="T23" i="6"/>
  <c r="W4" i="7"/>
  <c r="V5" i="7"/>
  <c r="X33" i="6"/>
  <c r="X34" i="6"/>
  <c r="R12" i="6"/>
  <c r="R11" i="6"/>
  <c r="Q46" i="2"/>
  <c r="Q58" i="2" s="1"/>
  <c r="Q47" i="2"/>
  <c r="Q59" i="2" s="1"/>
  <c r="Q6" i="4" s="1"/>
  <c r="Q12" i="4" s="1"/>
  <c r="R13" i="2"/>
  <c r="R1" i="17"/>
  <c r="R1" i="18"/>
  <c r="R1" i="5"/>
  <c r="R1" i="10"/>
  <c r="R1" i="13"/>
  <c r="R1" i="11"/>
  <c r="R1" i="6"/>
  <c r="R1" i="7"/>
  <c r="R1" i="4"/>
  <c r="T6" i="2"/>
  <c r="T7" i="2" s="1"/>
  <c r="S11" i="2"/>
  <c r="S62" i="6" s="1"/>
  <c r="S9" i="2"/>
  <c r="S1" i="2" s="1"/>
  <c r="N51" i="6"/>
  <c r="N5" i="13"/>
  <c r="O6" i="4"/>
  <c r="O12" i="4" s="1"/>
  <c r="O14" i="4" s="1"/>
  <c r="N5" i="10"/>
  <c r="N11" i="10" s="1"/>
  <c r="N15" i="10" s="1"/>
  <c r="O60" i="2"/>
  <c r="O74" i="2" s="1"/>
  <c r="N4" i="5"/>
  <c r="N6" i="5" s="1"/>
  <c r="K4" i="5"/>
  <c r="K6" i="5" s="1"/>
  <c r="K13" i="5" s="1"/>
  <c r="J4" i="5"/>
  <c r="J6" i="5" s="1"/>
  <c r="L4" i="5"/>
  <c r="L6" i="5" s="1"/>
  <c r="M4" i="5"/>
  <c r="M6" i="5" s="1"/>
  <c r="P5" i="4"/>
  <c r="P11" i="4" s="1"/>
  <c r="P47" i="2"/>
  <c r="P59" i="2" s="1"/>
  <c r="M65" i="6" l="1"/>
  <c r="N52" i="6"/>
  <c r="J18" i="5"/>
  <c r="S1" i="26"/>
  <c r="U32" i="2"/>
  <c r="U48" i="6" s="1"/>
  <c r="T68" i="6"/>
  <c r="R14" i="6"/>
  <c r="R10" i="5" s="1"/>
  <c r="R11" i="5" s="1"/>
  <c r="T25" i="6"/>
  <c r="T6" i="7" s="1"/>
  <c r="T11" i="7" s="1"/>
  <c r="W35" i="6"/>
  <c r="W10" i="7" s="1"/>
  <c r="X35" i="6"/>
  <c r="X10" i="7" s="1"/>
  <c r="U6" i="6"/>
  <c r="U13" i="6" s="1"/>
  <c r="M12" i="18"/>
  <c r="S12" i="6"/>
  <c r="S11" i="6"/>
  <c r="V18" i="6"/>
  <c r="V19" i="6" s="1"/>
  <c r="W5" i="7"/>
  <c r="X4" i="7"/>
  <c r="X5" i="7" s="1"/>
  <c r="V9" i="5"/>
  <c r="W8" i="5"/>
  <c r="U24" i="6"/>
  <c r="U23" i="6"/>
  <c r="T7" i="6"/>
  <c r="T13" i="6"/>
  <c r="O4" i="5"/>
  <c r="R46" i="2"/>
  <c r="R58" i="2" s="1"/>
  <c r="R47" i="2"/>
  <c r="R59" i="2" s="1"/>
  <c r="R6" i="4" s="1"/>
  <c r="R12" i="4" s="1"/>
  <c r="S1" i="18"/>
  <c r="S1" i="17"/>
  <c r="S1" i="7"/>
  <c r="S1" i="5"/>
  <c r="S1" i="10"/>
  <c r="S1" i="13"/>
  <c r="S1" i="11"/>
  <c r="S1" i="6"/>
  <c r="S1" i="4"/>
  <c r="S13" i="2"/>
  <c r="Q5" i="4"/>
  <c r="Q11" i="4" s="1"/>
  <c r="Q14" i="4" s="1"/>
  <c r="Q60" i="2"/>
  <c r="Q74" i="2" s="1"/>
  <c r="U6" i="2"/>
  <c r="U7" i="2" s="1"/>
  <c r="T11" i="2"/>
  <c r="T62" i="6" s="1"/>
  <c r="T9" i="2"/>
  <c r="T1" i="2" s="1"/>
  <c r="O51" i="6"/>
  <c r="O5" i="13"/>
  <c r="P60" i="2"/>
  <c r="P74" i="2" s="1"/>
  <c r="O5" i="10"/>
  <c r="O11" i="10" s="1"/>
  <c r="O15" i="10" s="1"/>
  <c r="K14" i="5"/>
  <c r="K15" i="5"/>
  <c r="N14" i="5"/>
  <c r="N13" i="5"/>
  <c r="N15" i="5"/>
  <c r="M14" i="5"/>
  <c r="M13" i="5"/>
  <c r="M15" i="5"/>
  <c r="L15" i="5"/>
  <c r="L13" i="5"/>
  <c r="L14" i="5"/>
  <c r="P6" i="4"/>
  <c r="P12" i="4" s="1"/>
  <c r="P14" i="4" s="1"/>
  <c r="N65" i="6" l="1"/>
  <c r="J54" i="6"/>
  <c r="J55" i="6" s="1"/>
  <c r="J6" i="10"/>
  <c r="O52" i="6"/>
  <c r="T1" i="26"/>
  <c r="V32" i="2"/>
  <c r="V48" i="6" s="1"/>
  <c r="U68" i="6"/>
  <c r="O6" i="5"/>
  <c r="O14" i="5" s="1"/>
  <c r="U7" i="6"/>
  <c r="U12" i="6" s="1"/>
  <c r="L16" i="5"/>
  <c r="U25" i="6"/>
  <c r="U6" i="7" s="1"/>
  <c r="U11" i="7" s="1"/>
  <c r="M16" i="5"/>
  <c r="S14" i="6"/>
  <c r="S10" i="5" s="1"/>
  <c r="S11" i="5" s="1"/>
  <c r="N16" i="5"/>
  <c r="V6" i="6"/>
  <c r="V7" i="6" s="1"/>
  <c r="K16" i="5"/>
  <c r="X18" i="6"/>
  <c r="X19" i="6" s="1"/>
  <c r="X23" i="6" s="1"/>
  <c r="N12" i="18"/>
  <c r="T12" i="6"/>
  <c r="T11" i="6"/>
  <c r="W18" i="6"/>
  <c r="W19" i="6" s="1"/>
  <c r="V23" i="6"/>
  <c r="V24" i="6"/>
  <c r="X8" i="5"/>
  <c r="X9" i="5" s="1"/>
  <c r="W9" i="5"/>
  <c r="T1" i="18"/>
  <c r="T1" i="17"/>
  <c r="T1" i="7"/>
  <c r="T1" i="5"/>
  <c r="T1" i="10"/>
  <c r="T1" i="4"/>
  <c r="T1" i="13"/>
  <c r="T1" i="11"/>
  <c r="T1" i="6"/>
  <c r="Q5" i="13"/>
  <c r="Q51" i="6"/>
  <c r="Q5" i="10"/>
  <c r="Q11" i="10" s="1"/>
  <c r="Q15" i="10" s="1"/>
  <c r="T13" i="2"/>
  <c r="Q4" i="5"/>
  <c r="Q6" i="5" s="1"/>
  <c r="P4" i="5"/>
  <c r="R60" i="2"/>
  <c r="R74" i="2" s="1"/>
  <c r="R5" i="4"/>
  <c r="R11" i="4" s="1"/>
  <c r="R14" i="4" s="1"/>
  <c r="S46" i="2"/>
  <c r="S58" i="2" s="1"/>
  <c r="S47" i="2"/>
  <c r="S59" i="2" s="1"/>
  <c r="S6" i="4" s="1"/>
  <c r="S12" i="4" s="1"/>
  <c r="U9" i="2"/>
  <c r="U1" i="2" s="1"/>
  <c r="V6" i="2"/>
  <c r="V7" i="2" s="1"/>
  <c r="U11" i="2"/>
  <c r="U62" i="6" s="1"/>
  <c r="J6" i="13"/>
  <c r="J7" i="13" s="1"/>
  <c r="J11" i="13" s="1"/>
  <c r="P51" i="6"/>
  <c r="P5" i="13"/>
  <c r="P5" i="10"/>
  <c r="P11" i="10" s="1"/>
  <c r="P15" i="10" s="1"/>
  <c r="J19" i="10"/>
  <c r="O65" i="6" l="1"/>
  <c r="J66" i="6"/>
  <c r="P52" i="6"/>
  <c r="Q52" i="6"/>
  <c r="L18" i="5"/>
  <c r="N18" i="5"/>
  <c r="N6" i="10" s="1"/>
  <c r="M18" i="5"/>
  <c r="K18" i="5"/>
  <c r="K6" i="10" s="1"/>
  <c r="J22" i="10"/>
  <c r="J26" i="10" s="1"/>
  <c r="U1" i="26"/>
  <c r="T14" i="6"/>
  <c r="T10" i="5" s="1"/>
  <c r="T11" i="5" s="1"/>
  <c r="U11" i="6"/>
  <c r="U14" i="6" s="1"/>
  <c r="U10" i="5" s="1"/>
  <c r="U11" i="5" s="1"/>
  <c r="O13" i="5"/>
  <c r="O15" i="5"/>
  <c r="P6" i="5"/>
  <c r="P14" i="5" s="1"/>
  <c r="W32" i="2"/>
  <c r="W48" i="6" s="1"/>
  <c r="V68" i="6"/>
  <c r="X24" i="6"/>
  <c r="X25" i="6" s="1"/>
  <c r="X6" i="7" s="1"/>
  <c r="X11" i="7" s="1"/>
  <c r="V13" i="6"/>
  <c r="V25" i="6"/>
  <c r="V6" i="7" s="1"/>
  <c r="V11" i="7" s="1"/>
  <c r="W6" i="6"/>
  <c r="W7" i="6" s="1"/>
  <c r="X6" i="6"/>
  <c r="X7" i="6" s="1"/>
  <c r="O12" i="18"/>
  <c r="W23" i="6"/>
  <c r="W24" i="6"/>
  <c r="V11" i="6"/>
  <c r="V12" i="6"/>
  <c r="S5" i="4"/>
  <c r="S11" i="4" s="1"/>
  <c r="S14" i="4" s="1"/>
  <c r="S60" i="2"/>
  <c r="S74" i="2" s="1"/>
  <c r="R5" i="13"/>
  <c r="R5" i="10"/>
  <c r="R11" i="10" s="1"/>
  <c r="R15" i="10" s="1"/>
  <c r="R51" i="6"/>
  <c r="R4" i="5"/>
  <c r="R6" i="5" s="1"/>
  <c r="U13" i="2"/>
  <c r="T47" i="2"/>
  <c r="T59" i="2" s="1"/>
  <c r="T6" i="4" s="1"/>
  <c r="T12" i="4" s="1"/>
  <c r="T46" i="2"/>
  <c r="T58" i="2" s="1"/>
  <c r="U1" i="18"/>
  <c r="U1" i="17"/>
  <c r="U1" i="5"/>
  <c r="U1" i="7"/>
  <c r="U1" i="4"/>
  <c r="U1" i="13"/>
  <c r="U1" i="6"/>
  <c r="U1" i="11"/>
  <c r="U1" i="10"/>
  <c r="Q13" i="5"/>
  <c r="Q14" i="5"/>
  <c r="Q15" i="5"/>
  <c r="W6" i="2"/>
  <c r="W7" i="2" s="1"/>
  <c r="V11" i="2"/>
  <c r="V62" i="6" s="1"/>
  <c r="V9" i="2"/>
  <c r="V1" i="2" s="1"/>
  <c r="J12" i="13"/>
  <c r="J8" i="13"/>
  <c r="J69" i="6" l="1"/>
  <c r="Q65" i="6"/>
  <c r="P65" i="6"/>
  <c r="L54" i="6"/>
  <c r="L55" i="6" s="1"/>
  <c r="L6" i="10"/>
  <c r="M54" i="6"/>
  <c r="M55" i="6" s="1"/>
  <c r="M6" i="10"/>
  <c r="N6" i="13"/>
  <c r="N7" i="13" s="1"/>
  <c r="N8" i="13" s="1"/>
  <c r="N54" i="6"/>
  <c r="N55" i="6" s="1"/>
  <c r="K6" i="13"/>
  <c r="K7" i="13" s="1"/>
  <c r="K8" i="13" s="1"/>
  <c r="K54" i="6"/>
  <c r="J76" i="6"/>
  <c r="J27" i="18" s="1"/>
  <c r="J75" i="6"/>
  <c r="J13" i="18" s="1"/>
  <c r="R52" i="6"/>
  <c r="N13" i="7"/>
  <c r="N57" i="6" s="1"/>
  <c r="M6" i="13"/>
  <c r="M7" i="13" s="1"/>
  <c r="M8" i="13" s="1"/>
  <c r="O16" i="5"/>
  <c r="V1" i="26"/>
  <c r="P13" i="5"/>
  <c r="P15" i="5"/>
  <c r="X32" i="2"/>
  <c r="W68" i="6"/>
  <c r="V14" i="6"/>
  <c r="V10" i="5" s="1"/>
  <c r="V11" i="5" s="1"/>
  <c r="W13" i="6"/>
  <c r="W25" i="6"/>
  <c r="W6" i="7" s="1"/>
  <c r="W11" i="7" s="1"/>
  <c r="K13" i="7"/>
  <c r="K57" i="6" s="1"/>
  <c r="X13" i="6"/>
  <c r="Q16" i="5"/>
  <c r="M13" i="7"/>
  <c r="M57" i="6" s="1"/>
  <c r="P12" i="18"/>
  <c r="Q12" i="18"/>
  <c r="J26" i="18"/>
  <c r="X11" i="6"/>
  <c r="X12" i="6"/>
  <c r="W11" i="6"/>
  <c r="W12" i="6"/>
  <c r="S4" i="5"/>
  <c r="S6" i="5" s="1"/>
  <c r="T60" i="2"/>
  <c r="T74" i="2" s="1"/>
  <c r="T5" i="4"/>
  <c r="T11" i="4" s="1"/>
  <c r="T14" i="4" s="1"/>
  <c r="V1" i="18"/>
  <c r="V1" i="17"/>
  <c r="V1" i="11"/>
  <c r="V1" i="6"/>
  <c r="V1" i="4"/>
  <c r="V1" i="7"/>
  <c r="V1" i="5"/>
  <c r="V1" i="13"/>
  <c r="V1" i="10"/>
  <c r="U47" i="2"/>
  <c r="U59" i="2" s="1"/>
  <c r="U6" i="4" s="1"/>
  <c r="U12" i="4" s="1"/>
  <c r="U46" i="2"/>
  <c r="U58" i="2" s="1"/>
  <c r="S51" i="6"/>
  <c r="S5" i="10"/>
  <c r="S11" i="10" s="1"/>
  <c r="S15" i="10" s="1"/>
  <c r="S5" i="13"/>
  <c r="V13" i="2"/>
  <c r="R15" i="5"/>
  <c r="R14" i="5"/>
  <c r="R13" i="5"/>
  <c r="W11" i="2"/>
  <c r="W62" i="6" s="1"/>
  <c r="W9" i="2"/>
  <c r="W1" i="2" s="1"/>
  <c r="X6" i="2"/>
  <c r="X7" i="2" s="1"/>
  <c r="L6" i="13"/>
  <c r="L7" i="13" s="1"/>
  <c r="L13" i="7"/>
  <c r="L57" i="6" s="1"/>
  <c r="K64" i="6" l="1"/>
  <c r="J73" i="6"/>
  <c r="J8" i="17" s="1"/>
  <c r="J35" i="17" s="1"/>
  <c r="J36" i="17" s="1"/>
  <c r="J38" i="17" s="1"/>
  <c r="J18" i="17" s="1"/>
  <c r="J21" i="18" s="1"/>
  <c r="M66" i="6"/>
  <c r="L66" i="6"/>
  <c r="R65" i="6"/>
  <c r="N66" i="6"/>
  <c r="J29" i="18"/>
  <c r="L21" i="18"/>
  <c r="N21" i="18"/>
  <c r="K21" i="18"/>
  <c r="J19" i="17"/>
  <c r="X21" i="18"/>
  <c r="O21" i="18"/>
  <c r="V21" i="18"/>
  <c r="S21" i="18"/>
  <c r="X48" i="6"/>
  <c r="N15" i="7"/>
  <c r="N7" i="10" s="1"/>
  <c r="L58" i="6"/>
  <c r="L67" i="6" s="1"/>
  <c r="K55" i="6"/>
  <c r="K58" i="6"/>
  <c r="K67" i="6" s="1"/>
  <c r="M58" i="6"/>
  <c r="M67" i="6" s="1"/>
  <c r="S52" i="6"/>
  <c r="N58" i="6"/>
  <c r="N67" i="6" s="1"/>
  <c r="O18" i="5"/>
  <c r="O6" i="10" s="1"/>
  <c r="Q18" i="5"/>
  <c r="P16" i="5"/>
  <c r="W1" i="26"/>
  <c r="K15" i="7"/>
  <c r="M15" i="7"/>
  <c r="L15" i="7"/>
  <c r="W14" i="6"/>
  <c r="W10" i="5" s="1"/>
  <c r="W11" i="5" s="1"/>
  <c r="X14" i="6"/>
  <c r="X10" i="5" s="1"/>
  <c r="X11" i="5" s="1"/>
  <c r="R16" i="5"/>
  <c r="R12" i="18"/>
  <c r="U60" i="2"/>
  <c r="U74" i="2" s="1"/>
  <c r="U5" i="4"/>
  <c r="U11" i="4" s="1"/>
  <c r="U14" i="4" s="1"/>
  <c r="W1" i="17"/>
  <c r="W1" i="18"/>
  <c r="W1" i="13"/>
  <c r="W1" i="5"/>
  <c r="W1" i="11"/>
  <c r="W1" i="6"/>
  <c r="W1" i="10"/>
  <c r="W1" i="4"/>
  <c r="W1" i="7"/>
  <c r="W13" i="2"/>
  <c r="V46" i="2"/>
  <c r="V58" i="2" s="1"/>
  <c r="V47" i="2"/>
  <c r="V59" i="2" s="1"/>
  <c r="V6" i="4" s="1"/>
  <c r="V12" i="4" s="1"/>
  <c r="S15" i="5"/>
  <c r="S13" i="5"/>
  <c r="S14" i="5"/>
  <c r="T51" i="6"/>
  <c r="T5" i="10"/>
  <c r="T11" i="10" s="1"/>
  <c r="T15" i="10" s="1"/>
  <c r="T5" i="13"/>
  <c r="T4" i="5"/>
  <c r="T6" i="5" s="1"/>
  <c r="X11" i="2"/>
  <c r="X62" i="6" s="1"/>
  <c r="X9" i="2"/>
  <c r="X1" i="2" s="1"/>
  <c r="L8" i="13"/>
  <c r="U21" i="18" l="1"/>
  <c r="R21" i="18"/>
  <c r="T21" i="18"/>
  <c r="M21" i="18"/>
  <c r="W21" i="18"/>
  <c r="Q21" i="18"/>
  <c r="P21" i="18"/>
  <c r="N9" i="13"/>
  <c r="S65" i="6"/>
  <c r="X68" i="6"/>
  <c r="K66" i="6"/>
  <c r="K69" i="6" s="1"/>
  <c r="K73" i="6" s="1"/>
  <c r="K8" i="17" s="1"/>
  <c r="Q54" i="6"/>
  <c r="Q6" i="10"/>
  <c r="O54" i="6"/>
  <c r="T52" i="6"/>
  <c r="O13" i="7"/>
  <c r="O57" i="6" s="1"/>
  <c r="P18" i="5"/>
  <c r="P6" i="10" s="1"/>
  <c r="R18" i="5"/>
  <c r="O6" i="13"/>
  <c r="O7" i="13" s="1"/>
  <c r="O8" i="13" s="1"/>
  <c r="X1" i="26"/>
  <c r="K7" i="10"/>
  <c r="K19" i="10" s="1"/>
  <c r="M7" i="10"/>
  <c r="M19" i="10" s="1"/>
  <c r="M9" i="13"/>
  <c r="K9" i="13"/>
  <c r="S16" i="5"/>
  <c r="Q6" i="13"/>
  <c r="Q7" i="13" s="1"/>
  <c r="Q13" i="7"/>
  <c r="Q57" i="6" s="1"/>
  <c r="N19" i="10"/>
  <c r="S12" i="18"/>
  <c r="J7" i="17"/>
  <c r="X13" i="2"/>
  <c r="X1" i="17"/>
  <c r="X1" i="18"/>
  <c r="X1" i="13"/>
  <c r="X1" i="5"/>
  <c r="X1" i="7"/>
  <c r="X1" i="11"/>
  <c r="X1" i="10"/>
  <c r="X1" i="4"/>
  <c r="X1" i="6"/>
  <c r="W46" i="2"/>
  <c r="W58" i="2" s="1"/>
  <c r="W47" i="2"/>
  <c r="W59" i="2" s="1"/>
  <c r="W6" i="4" s="1"/>
  <c r="W12" i="4" s="1"/>
  <c r="U5" i="10"/>
  <c r="U11" i="10" s="1"/>
  <c r="U15" i="10" s="1"/>
  <c r="U51" i="6"/>
  <c r="U5" i="13"/>
  <c r="U4" i="5"/>
  <c r="U6" i="5" s="1"/>
  <c r="T14" i="5"/>
  <c r="T15" i="5"/>
  <c r="T13" i="5"/>
  <c r="V60" i="2"/>
  <c r="V74" i="2" s="1"/>
  <c r="V5" i="4"/>
  <c r="V11" i="4" s="1"/>
  <c r="V14" i="4" s="1"/>
  <c r="L7" i="10"/>
  <c r="L9" i="13"/>
  <c r="T65" i="6" l="1"/>
  <c r="L64" i="6"/>
  <c r="L69" i="6" s="1"/>
  <c r="L73" i="6" s="1"/>
  <c r="L8" i="17" s="1"/>
  <c r="K75" i="6"/>
  <c r="K13" i="18" s="1"/>
  <c r="R54" i="6"/>
  <c r="R55" i="6" s="1"/>
  <c r="R6" i="10"/>
  <c r="K76" i="6"/>
  <c r="K27" i="18" s="1"/>
  <c r="P6" i="13"/>
  <c r="P7" i="13" s="1"/>
  <c r="P8" i="13" s="1"/>
  <c r="P54" i="6"/>
  <c r="O58" i="6"/>
  <c r="O67" i="6" s="1"/>
  <c r="Q55" i="6"/>
  <c r="Q58" i="6"/>
  <c r="Q67" i="6" s="1"/>
  <c r="U52" i="6"/>
  <c r="O55" i="6"/>
  <c r="O15" i="7"/>
  <c r="O9" i="13" s="1"/>
  <c r="P13" i="7"/>
  <c r="P57" i="6" s="1"/>
  <c r="S18" i="5"/>
  <c r="K22" i="10"/>
  <c r="K26" i="10" s="1"/>
  <c r="K27" i="10" s="1"/>
  <c r="K13" i="26" s="1"/>
  <c r="N22" i="10"/>
  <c r="N26" i="10" s="1"/>
  <c r="Q8" i="13"/>
  <c r="Q15" i="7"/>
  <c r="T16" i="5"/>
  <c r="M26" i="18"/>
  <c r="M22" i="10"/>
  <c r="M26" i="10" s="1"/>
  <c r="R13" i="7"/>
  <c r="R57" i="6" s="1"/>
  <c r="R6" i="13"/>
  <c r="R7" i="13" s="1"/>
  <c r="K26" i="18"/>
  <c r="N26" i="18"/>
  <c r="L19" i="10"/>
  <c r="T12" i="18"/>
  <c r="U14" i="5"/>
  <c r="U13" i="5"/>
  <c r="U15" i="5"/>
  <c r="W5" i="4"/>
  <c r="W11" i="4" s="1"/>
  <c r="W14" i="4" s="1"/>
  <c r="W60" i="2"/>
  <c r="W74" i="2" s="1"/>
  <c r="V4" i="5"/>
  <c r="V6" i="5" s="1"/>
  <c r="V51" i="6"/>
  <c r="V5" i="10"/>
  <c r="V11" i="10" s="1"/>
  <c r="V15" i="10" s="1"/>
  <c r="V5" i="13"/>
  <c r="X46" i="2"/>
  <c r="X58" i="2" s="1"/>
  <c r="X47" i="2"/>
  <c r="X59" i="2" s="1"/>
  <c r="X6" i="4" s="1"/>
  <c r="X12" i="4" s="1"/>
  <c r="M64" i="6" l="1"/>
  <c r="M69" i="6" s="1"/>
  <c r="M73" i="6" s="1"/>
  <c r="M8" i="17" s="1"/>
  <c r="O66" i="6"/>
  <c r="U65" i="6"/>
  <c r="Q66" i="6"/>
  <c r="R66" i="6"/>
  <c r="S54" i="6"/>
  <c r="S55" i="6" s="1"/>
  <c r="S6" i="10"/>
  <c r="K29" i="18"/>
  <c r="N27" i="10"/>
  <c r="N13" i="26" s="1"/>
  <c r="L76" i="6"/>
  <c r="L27" i="18" s="1"/>
  <c r="L75" i="6"/>
  <c r="L13" i="18" s="1"/>
  <c r="R58" i="6"/>
  <c r="R67" i="6" s="1"/>
  <c r="P55" i="6"/>
  <c r="P58" i="6"/>
  <c r="P67" i="6" s="1"/>
  <c r="V52" i="6"/>
  <c r="O7" i="10"/>
  <c r="O19" i="10" s="1"/>
  <c r="O26" i="18" s="1"/>
  <c r="P15" i="7"/>
  <c r="P9" i="13" s="1"/>
  <c r="T18" i="5"/>
  <c r="Q9" i="13"/>
  <c r="Q7" i="10"/>
  <c r="Q19" i="10" s="1"/>
  <c r="R8" i="13"/>
  <c r="R15" i="7"/>
  <c r="U16" i="5"/>
  <c r="L26" i="18"/>
  <c r="L22" i="10"/>
  <c r="L26" i="10" s="1"/>
  <c r="L27" i="10" s="1"/>
  <c r="L13" i="26" s="1"/>
  <c r="S6" i="13"/>
  <c r="S7" i="13" s="1"/>
  <c r="S13" i="7"/>
  <c r="S57" i="6" s="1"/>
  <c r="U12" i="18"/>
  <c r="V15" i="5"/>
  <c r="V14" i="5"/>
  <c r="V13" i="5"/>
  <c r="W4" i="5"/>
  <c r="W6" i="5" s="1"/>
  <c r="W5" i="13"/>
  <c r="W5" i="10"/>
  <c r="W11" i="10" s="1"/>
  <c r="W15" i="10" s="1"/>
  <c r="W51" i="6"/>
  <c r="X5" i="4"/>
  <c r="X11" i="4" s="1"/>
  <c r="X14" i="4" s="1"/>
  <c r="X60" i="2"/>
  <c r="X74" i="2" s="1"/>
  <c r="K10" i="11"/>
  <c r="K25" i="11" s="1"/>
  <c r="M75" i="6" l="1"/>
  <c r="M13" i="18" s="1"/>
  <c r="N64" i="6"/>
  <c r="N69" i="6" s="1"/>
  <c r="N73" i="6" s="1"/>
  <c r="N8" i="17" s="1"/>
  <c r="M76" i="6"/>
  <c r="M27" i="18" s="1"/>
  <c r="M29" i="18" s="1"/>
  <c r="V65" i="6"/>
  <c r="P66" i="6"/>
  <c r="S66" i="6"/>
  <c r="L29" i="18"/>
  <c r="M27" i="10"/>
  <c r="M13" i="26" s="1"/>
  <c r="T54" i="6"/>
  <c r="T6" i="10"/>
  <c r="O22" i="10"/>
  <c r="O26" i="10" s="1"/>
  <c r="O27" i="10" s="1"/>
  <c r="O13" i="26" s="1"/>
  <c r="W52" i="6"/>
  <c r="S58" i="6"/>
  <c r="S67" i="6" s="1"/>
  <c r="P7" i="10"/>
  <c r="P19" i="10" s="1"/>
  <c r="P26" i="18" s="1"/>
  <c r="T6" i="13"/>
  <c r="T7" i="13" s="1"/>
  <c r="T8" i="13" s="1"/>
  <c r="K26" i="11"/>
  <c r="K5" i="18" s="1"/>
  <c r="K9" i="18" s="1"/>
  <c r="K6" i="18"/>
  <c r="U18" i="5"/>
  <c r="U6" i="10" s="1"/>
  <c r="Q22" i="10"/>
  <c r="Q26" i="10" s="1"/>
  <c r="R7" i="10"/>
  <c r="R19" i="10" s="1"/>
  <c r="S8" i="13"/>
  <c r="I14" i="13"/>
  <c r="I6" i="26" s="1"/>
  <c r="J14" i="13"/>
  <c r="J6" i="26" s="1"/>
  <c r="R9" i="13"/>
  <c r="S15" i="7"/>
  <c r="V16" i="5"/>
  <c r="T13" i="7"/>
  <c r="T57" i="6" s="1"/>
  <c r="V12" i="18"/>
  <c r="Q26" i="18"/>
  <c r="X4" i="5"/>
  <c r="X6" i="5" s="1"/>
  <c r="X5" i="13"/>
  <c r="X51" i="6"/>
  <c r="X5" i="10"/>
  <c r="X11" i="10" s="1"/>
  <c r="X15" i="10" s="1"/>
  <c r="W13" i="5"/>
  <c r="W15" i="5"/>
  <c r="W14" i="5"/>
  <c r="K39" i="6"/>
  <c r="K40" i="6" s="1"/>
  <c r="K41" i="6" s="1"/>
  <c r="W65" i="6" l="1"/>
  <c r="U13" i="7"/>
  <c r="U57" i="6" s="1"/>
  <c r="U58" i="6" s="1"/>
  <c r="U67" i="6" s="1"/>
  <c r="U54" i="6"/>
  <c r="P22" i="10"/>
  <c r="P26" i="10" s="1"/>
  <c r="P27" i="10" s="1"/>
  <c r="P13" i="26" s="1"/>
  <c r="T58" i="6"/>
  <c r="T67" i="6" s="1"/>
  <c r="T55" i="6"/>
  <c r="X52" i="6"/>
  <c r="K10" i="13"/>
  <c r="K11" i="13" s="1"/>
  <c r="V18" i="5"/>
  <c r="V6" i="10" s="1"/>
  <c r="R22" i="10"/>
  <c r="R26" i="10" s="1"/>
  <c r="R27" i="10" s="1"/>
  <c r="R13" i="26" s="1"/>
  <c r="S7" i="10"/>
  <c r="S19" i="10" s="1"/>
  <c r="S26" i="18" s="1"/>
  <c r="J15" i="13"/>
  <c r="J81" i="6"/>
  <c r="I81" i="6"/>
  <c r="I15" i="13"/>
  <c r="S9" i="13"/>
  <c r="T15" i="7"/>
  <c r="W16" i="5"/>
  <c r="U6" i="13"/>
  <c r="U7" i="13" s="1"/>
  <c r="W12" i="18"/>
  <c r="R26" i="18"/>
  <c r="X13" i="5"/>
  <c r="X14" i="5"/>
  <c r="X15" i="5"/>
  <c r="L10" i="11"/>
  <c r="L25" i="11" s="1"/>
  <c r="N75" i="6" l="1"/>
  <c r="N13" i="18" s="1"/>
  <c r="N76" i="6"/>
  <c r="N27" i="18" s="1"/>
  <c r="N29" i="18" s="1"/>
  <c r="O64" i="6"/>
  <c r="O69" i="6" s="1"/>
  <c r="O73" i="6" s="1"/>
  <c r="O8" i="17" s="1"/>
  <c r="T66" i="6"/>
  <c r="X65" i="6"/>
  <c r="Q27" i="10"/>
  <c r="Q13" i="26" s="1"/>
  <c r="U15" i="7"/>
  <c r="U7" i="10" s="1"/>
  <c r="U19" i="10" s="1"/>
  <c r="V54" i="6"/>
  <c r="U55" i="6"/>
  <c r="K12" i="13"/>
  <c r="K14" i="13"/>
  <c r="V13" i="7"/>
  <c r="V57" i="6" s="1"/>
  <c r="W18" i="5"/>
  <c r="L26" i="11"/>
  <c r="L5" i="18" s="1"/>
  <c r="L9" i="18" s="1"/>
  <c r="L6" i="18"/>
  <c r="S22" i="10"/>
  <c r="S26" i="10" s="1"/>
  <c r="S27" i="10" s="1"/>
  <c r="S13" i="26" s="1"/>
  <c r="I82" i="6"/>
  <c r="J82" i="6"/>
  <c r="T7" i="10"/>
  <c r="T19" i="10" s="1"/>
  <c r="U8" i="13"/>
  <c r="T9" i="13"/>
  <c r="X16" i="5"/>
  <c r="V6" i="13"/>
  <c r="V7" i="13" s="1"/>
  <c r="X12" i="18"/>
  <c r="L39" i="6"/>
  <c r="L40" i="6" s="1"/>
  <c r="L41" i="6" s="1"/>
  <c r="M10" i="11"/>
  <c r="P64" i="6" l="1"/>
  <c r="P69" i="6" s="1"/>
  <c r="P73" i="6" s="1"/>
  <c r="P8" i="17" s="1"/>
  <c r="O76" i="6"/>
  <c r="O27" i="18" s="1"/>
  <c r="O29" i="18" s="1"/>
  <c r="O75" i="6"/>
  <c r="O13" i="18" s="1"/>
  <c r="U66" i="6"/>
  <c r="W54" i="6"/>
  <c r="W6" i="10"/>
  <c r="U9" i="13"/>
  <c r="V55" i="6"/>
  <c r="V58" i="6"/>
  <c r="V67" i="6" s="1"/>
  <c r="K6" i="26"/>
  <c r="K15" i="13"/>
  <c r="K81" i="6"/>
  <c r="K82" i="6" s="1"/>
  <c r="W13" i="7"/>
  <c r="W57" i="6" s="1"/>
  <c r="W6" i="13"/>
  <c r="W7" i="13" s="1"/>
  <c r="W8" i="13" s="1"/>
  <c r="V15" i="7"/>
  <c r="X18" i="5"/>
  <c r="J16" i="13"/>
  <c r="T22" i="10"/>
  <c r="T26" i="10" s="1"/>
  <c r="T27" i="10" s="1"/>
  <c r="T13" i="26" s="1"/>
  <c r="U22" i="10"/>
  <c r="U26" i="10" s="1"/>
  <c r="I16" i="13"/>
  <c r="L10" i="13"/>
  <c r="L11" i="13" s="1"/>
  <c r="V8" i="13"/>
  <c r="M25" i="11"/>
  <c r="T26" i="18"/>
  <c r="N10" i="11"/>
  <c r="N25" i="11" s="1"/>
  <c r="Q64" i="6" l="1"/>
  <c r="Q69" i="6" s="1"/>
  <c r="Q73" i="6" s="1"/>
  <c r="Q8" i="17" s="1"/>
  <c r="P76" i="6"/>
  <c r="P27" i="18" s="1"/>
  <c r="P29" i="18" s="1"/>
  <c r="P75" i="6"/>
  <c r="P13" i="18" s="1"/>
  <c r="V66" i="6"/>
  <c r="U27" i="10"/>
  <c r="U13" i="26" s="1"/>
  <c r="X54" i="6"/>
  <c r="X6" i="10"/>
  <c r="W58" i="6"/>
  <c r="W67" i="6" s="1"/>
  <c r="W55" i="6"/>
  <c r="X13" i="7"/>
  <c r="X57" i="6" s="1"/>
  <c r="W15" i="7"/>
  <c r="K16" i="13"/>
  <c r="V7" i="10"/>
  <c r="V19" i="10" s="1"/>
  <c r="V26" i="18" s="1"/>
  <c r="V9" i="13"/>
  <c r="N26" i="11"/>
  <c r="N5" i="18" s="1"/>
  <c r="N9" i="18" s="1"/>
  <c r="N6" i="18"/>
  <c r="M26" i="11"/>
  <c r="M5" i="18" s="1"/>
  <c r="M9" i="18" s="1"/>
  <c r="M6" i="18"/>
  <c r="I17" i="13"/>
  <c r="I5" i="17" s="1"/>
  <c r="I9" i="17" s="1"/>
  <c r="I21" i="17" s="1"/>
  <c r="I7" i="26"/>
  <c r="I9" i="26" s="1"/>
  <c r="I15" i="26" s="1"/>
  <c r="J17" i="13"/>
  <c r="J5" i="17" s="1"/>
  <c r="J9" i="17" s="1"/>
  <c r="J21" i="17" s="1"/>
  <c r="J7" i="26"/>
  <c r="J9" i="26" s="1"/>
  <c r="J15" i="26" s="1"/>
  <c r="J28" i="26" s="1"/>
  <c r="L12" i="13"/>
  <c r="L14" i="13"/>
  <c r="L6" i="26" s="1"/>
  <c r="X6" i="13"/>
  <c r="X7" i="13" s="1"/>
  <c r="K7" i="17"/>
  <c r="U26" i="18"/>
  <c r="M39" i="6"/>
  <c r="M40" i="6" s="1"/>
  <c r="M41" i="6" s="1"/>
  <c r="R64" i="6" l="1"/>
  <c r="R69" i="6" s="1"/>
  <c r="R73" i="6" s="1"/>
  <c r="R8" i="17" s="1"/>
  <c r="Q75" i="6"/>
  <c r="Q13" i="18" s="1"/>
  <c r="Q76" i="6"/>
  <c r="Q27" i="18" s="1"/>
  <c r="Q29" i="18" s="1"/>
  <c r="W66" i="6"/>
  <c r="I23" i="17"/>
  <c r="J23" i="17" s="1"/>
  <c r="J11" i="18" s="1"/>
  <c r="J15" i="18" s="1"/>
  <c r="J17" i="18" s="1"/>
  <c r="X55" i="6"/>
  <c r="X58" i="6"/>
  <c r="X67" i="6" s="1"/>
  <c r="X15" i="7"/>
  <c r="X7" i="10" s="1"/>
  <c r="X19" i="10" s="1"/>
  <c r="I22" i="18"/>
  <c r="I24" i="18" s="1"/>
  <c r="J22" i="18"/>
  <c r="J24" i="18" s="1"/>
  <c r="W9" i="13"/>
  <c r="W7" i="10"/>
  <c r="W19" i="10" s="1"/>
  <c r="W22" i="10" s="1"/>
  <c r="W26" i="10" s="1"/>
  <c r="K17" i="13"/>
  <c r="K5" i="17" s="1"/>
  <c r="K9" i="17" s="1"/>
  <c r="K21" i="17" s="1"/>
  <c r="K7" i="26"/>
  <c r="K9" i="26" s="1"/>
  <c r="K15" i="26" s="1"/>
  <c r="K28" i="26" s="1"/>
  <c r="V22" i="10"/>
  <c r="V26" i="10" s="1"/>
  <c r="V27" i="10" s="1"/>
  <c r="V13" i="26" s="1"/>
  <c r="I28" i="26"/>
  <c r="I16" i="26"/>
  <c r="L15" i="13"/>
  <c r="L81" i="6"/>
  <c r="L82" i="6" s="1"/>
  <c r="M10" i="13"/>
  <c r="M11" i="13" s="1"/>
  <c r="X8" i="13"/>
  <c r="S64" i="6" l="1"/>
  <c r="S69" i="6" s="1"/>
  <c r="S73" i="6" s="1"/>
  <c r="S8" i="17" s="1"/>
  <c r="R76" i="6"/>
  <c r="R27" i="18" s="1"/>
  <c r="R29" i="18" s="1"/>
  <c r="R75" i="6"/>
  <c r="R13" i="18" s="1"/>
  <c r="X66" i="6"/>
  <c r="K23" i="17"/>
  <c r="K11" i="18" s="1"/>
  <c r="K15" i="18" s="1"/>
  <c r="K17" i="18" s="1"/>
  <c r="J16" i="26"/>
  <c r="J17" i="26" s="1"/>
  <c r="I17" i="26"/>
  <c r="I29" i="26"/>
  <c r="I11" i="18"/>
  <c r="I15" i="18" s="1"/>
  <c r="I17" i="18" s="1"/>
  <c r="W27" i="10"/>
  <c r="W13" i="26" s="1"/>
  <c r="X9" i="13"/>
  <c r="I33" i="18"/>
  <c r="J33" i="18"/>
  <c r="J34" i="18" s="1"/>
  <c r="K22" i="18"/>
  <c r="K24" i="18" s="1"/>
  <c r="X22" i="10"/>
  <c r="X26" i="10" s="1"/>
  <c r="X27" i="10" s="1"/>
  <c r="X13" i="26" s="1"/>
  <c r="M12" i="13"/>
  <c r="M14" i="13"/>
  <c r="M6" i="26" s="1"/>
  <c r="L16" i="13"/>
  <c r="W26" i="18"/>
  <c r="Q39" i="6"/>
  <c r="N39" i="6"/>
  <c r="N40" i="6" s="1"/>
  <c r="N41" i="6" s="1"/>
  <c r="T64" i="6" l="1"/>
  <c r="T69" i="6" s="1"/>
  <c r="T73" i="6" s="1"/>
  <c r="T8" i="17" s="1"/>
  <c r="S76" i="6"/>
  <c r="S27" i="18" s="1"/>
  <c r="S29" i="18" s="1"/>
  <c r="S75" i="6"/>
  <c r="S13" i="18" s="1"/>
  <c r="K16" i="26"/>
  <c r="K17" i="26" s="1"/>
  <c r="I34" i="18"/>
  <c r="J29" i="26"/>
  <c r="I30" i="26"/>
  <c r="K33" i="18"/>
  <c r="K34" i="18" s="1"/>
  <c r="L17" i="13"/>
  <c r="L22" i="18" s="1"/>
  <c r="L24" i="18" s="1"/>
  <c r="L7" i="26"/>
  <c r="L9" i="26" s="1"/>
  <c r="L15" i="26" s="1"/>
  <c r="M81" i="6"/>
  <c r="M82" i="6" s="1"/>
  <c r="M15" i="13"/>
  <c r="N10" i="13"/>
  <c r="N11" i="13" s="1"/>
  <c r="L7" i="17"/>
  <c r="X26" i="18"/>
  <c r="R39" i="6"/>
  <c r="O10" i="11"/>
  <c r="O25" i="11" s="1"/>
  <c r="U64" i="6" l="1"/>
  <c r="U69" i="6" s="1"/>
  <c r="U73" i="6" s="1"/>
  <c r="U8" i="17" s="1"/>
  <c r="T75" i="6"/>
  <c r="T13" i="18" s="1"/>
  <c r="T76" i="6"/>
  <c r="T27" i="18" s="1"/>
  <c r="T29" i="18" s="1"/>
  <c r="L16" i="26"/>
  <c r="L17" i="26" s="1"/>
  <c r="J30" i="26"/>
  <c r="K29" i="26"/>
  <c r="L33" i="18"/>
  <c r="O26" i="11"/>
  <c r="O5" i="18" s="1"/>
  <c r="O9" i="18" s="1"/>
  <c r="O6" i="18"/>
  <c r="L5" i="17"/>
  <c r="L9" i="17" s="1"/>
  <c r="L21" i="17" s="1"/>
  <c r="L28" i="26"/>
  <c r="N12" i="13"/>
  <c r="N14" i="13"/>
  <c r="N6" i="26" s="1"/>
  <c r="M16" i="13"/>
  <c r="M7" i="17"/>
  <c r="S39" i="6"/>
  <c r="R40" i="6"/>
  <c r="R41" i="6" s="1"/>
  <c r="V64" i="6" l="1"/>
  <c r="V69" i="6" s="1"/>
  <c r="V73" i="6" s="1"/>
  <c r="V8" i="17" s="1"/>
  <c r="U76" i="6"/>
  <c r="U27" i="18" s="1"/>
  <c r="U29" i="18" s="1"/>
  <c r="U75" i="6"/>
  <c r="U13" i="18" s="1"/>
  <c r="K30" i="26"/>
  <c r="L29" i="26"/>
  <c r="L30" i="26" s="1"/>
  <c r="L23" i="17"/>
  <c r="M17" i="13"/>
  <c r="M22" i="18" s="1"/>
  <c r="M24" i="18" s="1"/>
  <c r="M7" i="26"/>
  <c r="M9" i="26" s="1"/>
  <c r="M15" i="26" s="1"/>
  <c r="M16" i="26" s="1"/>
  <c r="R10" i="13"/>
  <c r="R11" i="13" s="1"/>
  <c r="N15" i="13"/>
  <c r="N81" i="6"/>
  <c r="N82" i="6" s="1"/>
  <c r="N7" i="17"/>
  <c r="T39" i="6"/>
  <c r="T40" i="6" s="1"/>
  <c r="T41" i="6" s="1"/>
  <c r="S40" i="6"/>
  <c r="S41" i="6" s="1"/>
  <c r="O39" i="6"/>
  <c r="O40" i="6" s="1"/>
  <c r="O41" i="6" s="1"/>
  <c r="W64" i="6" l="1"/>
  <c r="W69" i="6" s="1"/>
  <c r="W73" i="6" s="1"/>
  <c r="W8" i="17" s="1"/>
  <c r="V75" i="6"/>
  <c r="V13" i="18" s="1"/>
  <c r="V76" i="6"/>
  <c r="V27" i="18" s="1"/>
  <c r="V29" i="18" s="1"/>
  <c r="M17" i="26"/>
  <c r="L11" i="18"/>
  <c r="L15" i="18" s="1"/>
  <c r="L17" i="18" s="1"/>
  <c r="L34" i="18" s="1"/>
  <c r="M33" i="18"/>
  <c r="M28" i="26"/>
  <c r="M5" i="17"/>
  <c r="M9" i="17" s="1"/>
  <c r="M21" i="17" s="1"/>
  <c r="O10" i="13"/>
  <c r="O11" i="13" s="1"/>
  <c r="S10" i="13"/>
  <c r="S11" i="13" s="1"/>
  <c r="N16" i="13"/>
  <c r="R12" i="13"/>
  <c r="R14" i="13"/>
  <c r="R6" i="26" s="1"/>
  <c r="T10" i="13"/>
  <c r="T11" i="13" s="1"/>
  <c r="U39" i="6"/>
  <c r="P10" i="11"/>
  <c r="P25" i="11" s="1"/>
  <c r="X64" i="6" l="1"/>
  <c r="X69" i="6" s="1"/>
  <c r="X73" i="6" s="1"/>
  <c r="X8" i="17" s="1"/>
  <c r="W75" i="6"/>
  <c r="W13" i="18" s="1"/>
  <c r="W76" i="6"/>
  <c r="W27" i="18" s="1"/>
  <c r="W29" i="18" s="1"/>
  <c r="M29" i="26"/>
  <c r="M23" i="17"/>
  <c r="P26" i="11"/>
  <c r="P5" i="18" s="1"/>
  <c r="P9" i="18" s="1"/>
  <c r="P6" i="18"/>
  <c r="N17" i="13"/>
  <c r="N5" i="17" s="1"/>
  <c r="N9" i="17" s="1"/>
  <c r="N21" i="17" s="1"/>
  <c r="N7" i="26"/>
  <c r="N9" i="26" s="1"/>
  <c r="N15" i="26" s="1"/>
  <c r="N16" i="26" s="1"/>
  <c r="R81" i="6"/>
  <c r="R82" i="6" s="1"/>
  <c r="R15" i="13"/>
  <c r="T14" i="13"/>
  <c r="T6" i="26" s="1"/>
  <c r="T12" i="13"/>
  <c r="S12" i="13"/>
  <c r="S14" i="13"/>
  <c r="S6" i="26" s="1"/>
  <c r="O12" i="13"/>
  <c r="O14" i="13"/>
  <c r="O6" i="26" s="1"/>
  <c r="Q10" i="11"/>
  <c r="Q25" i="11" s="1"/>
  <c r="V39" i="6"/>
  <c r="V40" i="6" s="1"/>
  <c r="V41" i="6" s="1"/>
  <c r="U40" i="6"/>
  <c r="U41" i="6" s="1"/>
  <c r="X75" i="6" l="1"/>
  <c r="X13" i="18" s="1"/>
  <c r="X76" i="6"/>
  <c r="X27" i="18" s="1"/>
  <c r="X29" i="18" s="1"/>
  <c r="N22" i="18"/>
  <c r="N24" i="18" s="1"/>
  <c r="N33" i="18" s="1"/>
  <c r="N17" i="26"/>
  <c r="M30" i="26"/>
  <c r="N23" i="17"/>
  <c r="M11" i="18"/>
  <c r="M15" i="18" s="1"/>
  <c r="M17" i="18" s="1"/>
  <c r="M34" i="18" s="1"/>
  <c r="Q26" i="11"/>
  <c r="Q5" i="18" s="1"/>
  <c r="Q9" i="18" s="1"/>
  <c r="Q6" i="18"/>
  <c r="N28" i="26"/>
  <c r="R16" i="13"/>
  <c r="T81" i="6"/>
  <c r="T82" i="6" s="1"/>
  <c r="T15" i="13"/>
  <c r="U10" i="13"/>
  <c r="U11" i="13" s="1"/>
  <c r="O81" i="6"/>
  <c r="O82" i="6" s="1"/>
  <c r="O15" i="13"/>
  <c r="V10" i="13"/>
  <c r="V11" i="13" s="1"/>
  <c r="S15" i="13"/>
  <c r="S81" i="6"/>
  <c r="S82" i="6" s="1"/>
  <c r="O7" i="17"/>
  <c r="W39" i="6"/>
  <c r="W40" i="6" s="1"/>
  <c r="W41" i="6" s="1"/>
  <c r="R10" i="11"/>
  <c r="R25" i="11" s="1"/>
  <c r="P39" i="6"/>
  <c r="N29" i="26" l="1"/>
  <c r="N11" i="18"/>
  <c r="N15" i="18" s="1"/>
  <c r="N17" i="18" s="1"/>
  <c r="N34" i="18" s="1"/>
  <c r="R26" i="11"/>
  <c r="R5" i="18" s="1"/>
  <c r="R9" i="18" s="1"/>
  <c r="R6" i="18"/>
  <c r="R17" i="13"/>
  <c r="R5" i="17" s="1"/>
  <c r="R7" i="26"/>
  <c r="R9" i="26" s="1"/>
  <c r="U12" i="13"/>
  <c r="U14" i="13"/>
  <c r="U6" i="26" s="1"/>
  <c r="W10" i="13"/>
  <c r="W11" i="13" s="1"/>
  <c r="S16" i="13"/>
  <c r="T16" i="13"/>
  <c r="V12" i="13"/>
  <c r="V14" i="13"/>
  <c r="V6" i="26" s="1"/>
  <c r="O16" i="13"/>
  <c r="P40" i="6"/>
  <c r="P41" i="6" s="1"/>
  <c r="Q40" i="6"/>
  <c r="Q41" i="6" s="1"/>
  <c r="S10" i="11"/>
  <c r="S25" i="11" s="1"/>
  <c r="X39" i="6"/>
  <c r="X40" i="6" s="1"/>
  <c r="X41" i="6" s="1"/>
  <c r="N30" i="26" l="1"/>
  <c r="S26" i="11"/>
  <c r="S5" i="18" s="1"/>
  <c r="S9" i="18" s="1"/>
  <c r="S6" i="18"/>
  <c r="T17" i="13"/>
  <c r="T5" i="17" s="1"/>
  <c r="T7" i="26"/>
  <c r="T9" i="26" s="1"/>
  <c r="O17" i="13"/>
  <c r="O5" i="17" s="1"/>
  <c r="O9" i="17" s="1"/>
  <c r="O21" i="17" s="1"/>
  <c r="O7" i="26"/>
  <c r="O9" i="26" s="1"/>
  <c r="O15" i="26" s="1"/>
  <c r="O16" i="26" s="1"/>
  <c r="S17" i="13"/>
  <c r="S5" i="17" s="1"/>
  <c r="S7" i="26"/>
  <c r="S9" i="26" s="1"/>
  <c r="P10" i="13"/>
  <c r="P11" i="13" s="1"/>
  <c r="Q10" i="13"/>
  <c r="Q11" i="13" s="1"/>
  <c r="U81" i="6"/>
  <c r="U82" i="6" s="1"/>
  <c r="U15" i="13"/>
  <c r="X10" i="13"/>
  <c r="X11" i="13" s="1"/>
  <c r="V81" i="6"/>
  <c r="V82" i="6" s="1"/>
  <c r="V15" i="13"/>
  <c r="W12" i="13"/>
  <c r="W14" i="13"/>
  <c r="W6" i="26" s="1"/>
  <c r="T10" i="11"/>
  <c r="T25" i="11" s="1"/>
  <c r="O17" i="26" l="1"/>
  <c r="O23" i="17"/>
  <c r="T26" i="11"/>
  <c r="T5" i="18" s="1"/>
  <c r="T9" i="18" s="1"/>
  <c r="T6" i="18"/>
  <c r="O22" i="18"/>
  <c r="O24" i="18" s="1"/>
  <c r="O28" i="26"/>
  <c r="V16" i="13"/>
  <c r="W81" i="6"/>
  <c r="W82" i="6" s="1"/>
  <c r="W15" i="13"/>
  <c r="X12" i="13"/>
  <c r="X14" i="13"/>
  <c r="X6" i="26" s="1"/>
  <c r="U16" i="13"/>
  <c r="Q12" i="13"/>
  <c r="Q14" i="13"/>
  <c r="Q6" i="26" s="1"/>
  <c r="P12" i="13"/>
  <c r="P14" i="13"/>
  <c r="P6" i="26" s="1"/>
  <c r="U10" i="11"/>
  <c r="U25" i="11" s="1"/>
  <c r="O29" i="26" l="1"/>
  <c r="O30" i="26" s="1"/>
  <c r="O11" i="18"/>
  <c r="O15" i="18" s="1"/>
  <c r="O17" i="18" s="1"/>
  <c r="O33" i="18"/>
  <c r="U26" i="11"/>
  <c r="U5" i="18" s="1"/>
  <c r="U9" i="18" s="1"/>
  <c r="U6" i="18"/>
  <c r="U17" i="13"/>
  <c r="U5" i="17" s="1"/>
  <c r="U7" i="26"/>
  <c r="U9" i="26" s="1"/>
  <c r="V17" i="13"/>
  <c r="V5" i="17" s="1"/>
  <c r="V7" i="26"/>
  <c r="V9" i="26" s="1"/>
  <c r="Q15" i="13"/>
  <c r="Q81" i="6"/>
  <c r="Q82" i="6" s="1"/>
  <c r="X81" i="6"/>
  <c r="X82" i="6" s="1"/>
  <c r="X15" i="13"/>
  <c r="P15" i="13"/>
  <c r="P81" i="6"/>
  <c r="P82" i="6" s="1"/>
  <c r="W16" i="13"/>
  <c r="P7" i="17"/>
  <c r="Q7" i="17"/>
  <c r="V10" i="11"/>
  <c r="V25" i="11" s="1"/>
  <c r="O34" i="18" l="1"/>
  <c r="V26" i="11"/>
  <c r="V5" i="18" s="1"/>
  <c r="V9" i="18" s="1"/>
  <c r="V6" i="18"/>
  <c r="W17" i="13"/>
  <c r="W5" i="17" s="1"/>
  <c r="W7" i="26"/>
  <c r="W9" i="26" s="1"/>
  <c r="R15" i="26"/>
  <c r="R28" i="26" s="1"/>
  <c r="P16" i="13"/>
  <c r="X16" i="13"/>
  <c r="Q16" i="13"/>
  <c r="R7" i="17"/>
  <c r="W10" i="11"/>
  <c r="W25" i="11" s="1"/>
  <c r="W26" i="11" l="1"/>
  <c r="W5" i="18" s="1"/>
  <c r="W9" i="18" s="1"/>
  <c r="W6" i="18"/>
  <c r="Q17" i="13"/>
  <c r="Q5" i="17" s="1"/>
  <c r="Q9" i="17" s="1"/>
  <c r="Q21" i="17" s="1"/>
  <c r="Q7" i="26"/>
  <c r="Q9" i="26" s="1"/>
  <c r="Q15" i="26" s="1"/>
  <c r="Q28" i="26" s="1"/>
  <c r="X17" i="13"/>
  <c r="X5" i="17" s="1"/>
  <c r="X7" i="26"/>
  <c r="X9" i="26" s="1"/>
  <c r="S15" i="26"/>
  <c r="S28" i="26" s="1"/>
  <c r="P17" i="13"/>
  <c r="P7" i="26"/>
  <c r="P9" i="26" s="1"/>
  <c r="P15" i="26" s="1"/>
  <c r="R9" i="17"/>
  <c r="R21" i="17" s="1"/>
  <c r="S7" i="17"/>
  <c r="X10" i="11"/>
  <c r="X25" i="11" s="1"/>
  <c r="V22" i="18" l="1"/>
  <c r="V24" i="18" s="1"/>
  <c r="X26" i="11"/>
  <c r="X5" i="18" s="1"/>
  <c r="X9" i="18" s="1"/>
  <c r="X6" i="18"/>
  <c r="P28" i="26"/>
  <c r="P16" i="26"/>
  <c r="S22" i="18"/>
  <c r="S24" i="18" s="1"/>
  <c r="P22" i="18"/>
  <c r="P24" i="18" s="1"/>
  <c r="Q22" i="18"/>
  <c r="Q24" i="18" s="1"/>
  <c r="R22" i="18"/>
  <c r="R24" i="18" s="1"/>
  <c r="X22" i="18"/>
  <c r="X24" i="18" s="1"/>
  <c r="P5" i="17"/>
  <c r="P9" i="17" s="1"/>
  <c r="P21" i="17" s="1"/>
  <c r="P23" i="17" s="1"/>
  <c r="Q23" i="17" s="1"/>
  <c r="R23" i="17" s="1"/>
  <c r="U22" i="18"/>
  <c r="U24" i="18" s="1"/>
  <c r="W22" i="18"/>
  <c r="W24" i="18" s="1"/>
  <c r="T15" i="26"/>
  <c r="T28" i="26" s="1"/>
  <c r="T22" i="18"/>
  <c r="T24" i="18" s="1"/>
  <c r="S9" i="17"/>
  <c r="S21" i="17" s="1"/>
  <c r="T7" i="17"/>
  <c r="P29" i="26" l="1"/>
  <c r="P30" i="26" s="1"/>
  <c r="Q16" i="26"/>
  <c r="P17" i="26"/>
  <c r="S23" i="17"/>
  <c r="P33" i="18"/>
  <c r="P11" i="18"/>
  <c r="P15" i="18" s="1"/>
  <c r="P17" i="18" s="1"/>
  <c r="U15" i="26"/>
  <c r="U28" i="26" s="1"/>
  <c r="Q33" i="18"/>
  <c r="T9" i="17"/>
  <c r="T21" i="17" s="1"/>
  <c r="U7" i="17"/>
  <c r="Q29" i="26" l="1"/>
  <c r="Q30" i="26" s="1"/>
  <c r="R16" i="26"/>
  <c r="Q17" i="26"/>
  <c r="P34" i="18"/>
  <c r="T23" i="17"/>
  <c r="Q11" i="18"/>
  <c r="Q15" i="18" s="1"/>
  <c r="Q17" i="18" s="1"/>
  <c r="Q34" i="18" s="1"/>
  <c r="V15" i="26"/>
  <c r="V28" i="26" s="1"/>
  <c r="R33" i="18"/>
  <c r="U9" i="17"/>
  <c r="U21" i="17" s="1"/>
  <c r="V7" i="17"/>
  <c r="R29" i="26" l="1"/>
  <c r="R30" i="26" s="1"/>
  <c r="S16" i="26"/>
  <c r="R17" i="26"/>
  <c r="U23" i="17"/>
  <c r="R11" i="18"/>
  <c r="R15" i="18" s="1"/>
  <c r="R17" i="18" s="1"/>
  <c r="R34" i="18" s="1"/>
  <c r="W15" i="26"/>
  <c r="W28" i="26" s="1"/>
  <c r="S33" i="18"/>
  <c r="V9" i="17"/>
  <c r="V21" i="17" s="1"/>
  <c r="W7" i="17"/>
  <c r="S29" i="26" l="1"/>
  <c r="S30" i="26" s="1"/>
  <c r="S17" i="26"/>
  <c r="T16" i="26"/>
  <c r="V23" i="17"/>
  <c r="S11" i="18"/>
  <c r="S15" i="18" s="1"/>
  <c r="S17" i="18" s="1"/>
  <c r="S34" i="18" s="1"/>
  <c r="X15" i="26"/>
  <c r="D21" i="26" s="1"/>
  <c r="T33" i="18"/>
  <c r="W9" i="17"/>
  <c r="W21" i="17" s="1"/>
  <c r="X7" i="17"/>
  <c r="T29" i="26" l="1"/>
  <c r="T30" i="26" s="1"/>
  <c r="T17" i="26"/>
  <c r="U16" i="26"/>
  <c r="W23" i="17"/>
  <c r="T11" i="18"/>
  <c r="T15" i="18" s="1"/>
  <c r="T17" i="18" s="1"/>
  <c r="T34" i="18" s="1"/>
  <c r="X28" i="26"/>
  <c r="U33" i="18"/>
  <c r="X9" i="17"/>
  <c r="X21" i="17" s="1"/>
  <c r="U29" i="26" l="1"/>
  <c r="U30" i="26" s="1"/>
  <c r="Y28" i="26"/>
  <c r="Y15" i="26"/>
  <c r="U17" i="26"/>
  <c r="V16" i="26"/>
  <c r="X23" i="17"/>
  <c r="U11" i="18"/>
  <c r="U15" i="18" s="1"/>
  <c r="U17" i="18" s="1"/>
  <c r="U34" i="18" s="1"/>
  <c r="V33" i="18"/>
  <c r="D33" i="26" l="1"/>
  <c r="C53" i="26" s="1"/>
  <c r="D22" i="26"/>
  <c r="V29" i="26"/>
  <c r="V30" i="26" s="1"/>
  <c r="V17" i="26"/>
  <c r="W16" i="26"/>
  <c r="V11" i="18"/>
  <c r="V15" i="18" s="1"/>
  <c r="V17" i="18" s="1"/>
  <c r="V34" i="18" s="1"/>
  <c r="D34" i="26"/>
  <c r="C65" i="26" s="1"/>
  <c r="X33" i="18"/>
  <c r="W33" i="18"/>
  <c r="W29" i="26" l="1"/>
  <c r="W30" i="26" s="1"/>
  <c r="X16" i="26"/>
  <c r="W17" i="26"/>
  <c r="W11" i="18"/>
  <c r="W15" i="18" s="1"/>
  <c r="W17" i="18" s="1"/>
  <c r="W34" i="18" s="1"/>
  <c r="X11" i="18"/>
  <c r="X15" i="18" s="1"/>
  <c r="X17" i="18" s="1"/>
  <c r="X34" i="18" s="1"/>
  <c r="X29" i="26" l="1"/>
  <c r="X30" i="26" s="1"/>
  <c r="X17" i="26"/>
  <c r="D37" i="26"/>
  <c r="D39" i="26" a="1"/>
  <c r="D39" i="26" s="1"/>
  <c r="D38" i="26" a="1"/>
  <c r="D38" i="26" s="1"/>
  <c r="D43" i="26"/>
  <c r="D44" i="26" l="1" a="1"/>
  <c r="D44" i="26" s="1"/>
  <c r="D45" i="26" a="1"/>
  <c r="D45" i="2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<sst xmlns="http://schemas.openxmlformats.org/spreadsheetml/2006/main" count="690" uniqueCount="282">
  <si>
    <t>МВт</t>
  </si>
  <si>
    <t>Гкал/ч</t>
  </si>
  <si>
    <t>%</t>
  </si>
  <si>
    <t>руб./кВт*ч</t>
  </si>
  <si>
    <t>руб./Гкал</t>
  </si>
  <si>
    <t>лет</t>
  </si>
  <si>
    <t>тыс. руб.</t>
  </si>
  <si>
    <t>г/кВт*ч</t>
  </si>
  <si>
    <t>руб/1000 куб м</t>
  </si>
  <si>
    <t>тут/1000 куб м</t>
  </si>
  <si>
    <t xml:space="preserve">Цена ээ </t>
  </si>
  <si>
    <t xml:space="preserve">Цена тэ </t>
  </si>
  <si>
    <t xml:space="preserve">УРУТ ээ </t>
  </si>
  <si>
    <t xml:space="preserve">УРУТ тэ </t>
  </si>
  <si>
    <t xml:space="preserve">Цена на газ </t>
  </si>
  <si>
    <t xml:space="preserve">К перевода нат. топлива </t>
  </si>
  <si>
    <t>Показатель</t>
  </si>
  <si>
    <t>Ед. измерения</t>
  </si>
  <si>
    <t>кг/Гкал</t>
  </si>
  <si>
    <t>Выручка</t>
  </si>
  <si>
    <t>Полезная выработка ЭЭ</t>
  </si>
  <si>
    <t>Уст. мощность ЭЭ</t>
  </si>
  <si>
    <t>Уст. мощность ТЭ</t>
  </si>
  <si>
    <t>кВТ*ч</t>
  </si>
  <si>
    <t>Полезная выработка ТЭ</t>
  </si>
  <si>
    <t>Гкал</t>
  </si>
  <si>
    <t>Период</t>
  </si>
  <si>
    <t>час</t>
  </si>
  <si>
    <t>Часов в периоде</t>
  </si>
  <si>
    <t>Константа</t>
  </si>
  <si>
    <t>Максимальная выработка, ЭЭ</t>
  </si>
  <si>
    <t>Максимальная выработка, ТЭ</t>
  </si>
  <si>
    <t>год</t>
  </si>
  <si>
    <t>месяц</t>
  </si>
  <si>
    <t>Комментарий</t>
  </si>
  <si>
    <t>кВТ</t>
  </si>
  <si>
    <t>кВТ в МВт</t>
  </si>
  <si>
    <t>Начало инвестиционного периода</t>
  </si>
  <si>
    <t>Начало периода</t>
  </si>
  <si>
    <t>Конец периода</t>
  </si>
  <si>
    <t>Вводные данные</t>
  </si>
  <si>
    <t>Дней в периоде</t>
  </si>
  <si>
    <t>дни</t>
  </si>
  <si>
    <t>Часов в дне</t>
  </si>
  <si>
    <t>Полезная выработка (по вводным данным) ЭЭ</t>
  </si>
  <si>
    <t>Полезная выработка (по вводным данным) ТЭ</t>
  </si>
  <si>
    <t>КИУМ ЭЭ</t>
  </si>
  <si>
    <t>КИУМ (пик расчетный) ЭЭ</t>
  </si>
  <si>
    <t>КИУМ (пик расчетный) ТЭ</t>
  </si>
  <si>
    <t>КИУМ ТЭ</t>
  </si>
  <si>
    <t>Максимальный КИУМ из расчета по вводным данным</t>
  </si>
  <si>
    <t>Сценарий роста цен ЭЭ №1</t>
  </si>
  <si>
    <t>Сценарий роста цен ТЭ №1</t>
  </si>
  <si>
    <t>CPI</t>
  </si>
  <si>
    <t>PPI</t>
  </si>
  <si>
    <t>Налоги</t>
  </si>
  <si>
    <t>Дата и время</t>
  </si>
  <si>
    <t>Макроэкономические предпоссылки</t>
  </si>
  <si>
    <t>Предпоссылки инвестиционной модели</t>
  </si>
  <si>
    <t>Метрики</t>
  </si>
  <si>
    <t>Предпоссылки выручки</t>
  </si>
  <si>
    <t>НДС</t>
  </si>
  <si>
    <t>в рамках базы</t>
  </si>
  <si>
    <t>сверх базы</t>
  </si>
  <si>
    <t>база</t>
  </si>
  <si>
    <t>руб.</t>
  </si>
  <si>
    <t>Налог на прибыль</t>
  </si>
  <si>
    <t>Налог на недвижимость</t>
  </si>
  <si>
    <t>Источник</t>
  </si>
  <si>
    <t>1.1</t>
  </si>
  <si>
    <t>1.2</t>
  </si>
  <si>
    <t>1.3</t>
  </si>
  <si>
    <t>2</t>
  </si>
  <si>
    <t>Макроэкономические и налоговые предпоссылки</t>
  </si>
  <si>
    <t>2.1</t>
  </si>
  <si>
    <t>2.2</t>
  </si>
  <si>
    <t>3</t>
  </si>
  <si>
    <t>3.1</t>
  </si>
  <si>
    <t>3.2</t>
  </si>
  <si>
    <t>Предпоссылки инвестиционного проекта</t>
  </si>
  <si>
    <t>#</t>
  </si>
  <si>
    <t>Сценарий роста цен на газ №1</t>
  </si>
  <si>
    <t>Отчисления ЕСН</t>
  </si>
  <si>
    <t>Отчисления на травматизм</t>
  </si>
  <si>
    <t>1 группа</t>
  </si>
  <si>
    <t>https://nalog-nalog.ru/strahovye_vznosy/raschet_ischislenie_strahovyh_vznosov/predelnaya-baza-po-vznosam-razmery-namecheny/</t>
  </si>
  <si>
    <t>Общие предпоссылки</t>
  </si>
  <si>
    <t>1.4</t>
  </si>
  <si>
    <t>WACC</t>
  </si>
  <si>
    <t>LTGR</t>
  </si>
  <si>
    <t>https://www.gov.spb.ru/static/writable/ckeditor/uploads/2022/07/04/21/%D0%9A%D0%BD%D0%B8%D0%B3%D0%B0_10_%D0%93%D0%BB%D0%B0%D0%B2%D0%B0_10_lIpCxU7.pdf</t>
  </si>
  <si>
    <t>Расчет потенциально максимального КИУМ</t>
  </si>
  <si>
    <t>Полезная выработка</t>
  </si>
  <si>
    <t xml:space="preserve">Цены реализации </t>
  </si>
  <si>
    <t>Налоги на персонал</t>
  </si>
  <si>
    <t>Налоги на бизнес</t>
  </si>
  <si>
    <t>Предпоссылки</t>
  </si>
  <si>
    <t>Переменные издержки</t>
  </si>
  <si>
    <t>Цены на топливо</t>
  </si>
  <si>
    <t>Операционный персонал</t>
  </si>
  <si>
    <t>Количество операционных сотрудников</t>
  </si>
  <si>
    <t>чел.</t>
  </si>
  <si>
    <t>Зарплаты операционного персонала</t>
  </si>
  <si>
    <t>Расход газа</t>
  </si>
  <si>
    <t>Расход топлива</t>
  </si>
  <si>
    <t>Предельное потребление газа по вводному условию</t>
  </si>
  <si>
    <t>Общая выработка от максимальной</t>
  </si>
  <si>
    <t>тыс. куб. м</t>
  </si>
  <si>
    <t>3.3</t>
  </si>
  <si>
    <t>SG&amp;A</t>
  </si>
  <si>
    <t>Количество персонала</t>
  </si>
  <si>
    <t>Общий и административный персонал</t>
  </si>
  <si>
    <t>Зарплаты</t>
  </si>
  <si>
    <t>Коммерческий персонал</t>
  </si>
  <si>
    <t>Средняя зарплата общего и административного персонала</t>
  </si>
  <si>
    <t>Средняя зарплата коммерческого персонала</t>
  </si>
  <si>
    <t>тыс. руб. в месяц</t>
  </si>
  <si>
    <t>3.4</t>
  </si>
  <si>
    <t>CAPEX</t>
  </si>
  <si>
    <t>Прочие расходы</t>
  </si>
  <si>
    <t>Ремонт</t>
  </si>
  <si>
    <t>ГСМ</t>
  </si>
  <si>
    <t xml:space="preserve">Прочие операционные расходы </t>
  </si>
  <si>
    <t>Прочие расходы SG&amp;A от операционных расходов</t>
  </si>
  <si>
    <t>Выработка энергии</t>
  </si>
  <si>
    <t>Здание</t>
  </si>
  <si>
    <t>Оборудование</t>
  </si>
  <si>
    <t>Для расчета расхода газа</t>
  </si>
  <si>
    <t>Расчет на основании операционных расходов</t>
  </si>
  <si>
    <t>Прочие общехозяйственные расходы</t>
  </si>
  <si>
    <t>Месяцев в периоде</t>
  </si>
  <si>
    <t>Основные средства</t>
  </si>
  <si>
    <t>Расчет выручки</t>
  </si>
  <si>
    <t>Цена реализации ЭЭ</t>
  </si>
  <si>
    <t>Цена реализации ТЭ</t>
  </si>
  <si>
    <t>Выручка от реализации ЭЭ</t>
  </si>
  <si>
    <t>Выручка от реализации ТЭ</t>
  </si>
  <si>
    <t>Итого выручка</t>
  </si>
  <si>
    <t>1</t>
  </si>
  <si>
    <t>тыс руб.</t>
  </si>
  <si>
    <t>Увеличение мощности ЭЭ</t>
  </si>
  <si>
    <t>Увеличение мощности ТЭ</t>
  </si>
  <si>
    <t>OpEx</t>
  </si>
  <si>
    <t>Добавил на случай расчета через УРУТ, в расчетах использовал условия из письма</t>
  </si>
  <si>
    <t>Расходы на топливо</t>
  </si>
  <si>
    <t>Расходы на персонал</t>
  </si>
  <si>
    <t>Средняя зарплата операционного персонала</t>
  </si>
  <si>
    <t>Расходы на персонал до социальных налогов</t>
  </si>
  <si>
    <t>Годовая средняя зарплата</t>
  </si>
  <si>
    <t>Социальный налог в рамках базы</t>
  </si>
  <si>
    <t>Социальный налог сверх базы</t>
  </si>
  <si>
    <t>База социального налога</t>
  </si>
  <si>
    <t>Итого</t>
  </si>
  <si>
    <t>Налог на травматизм</t>
  </si>
  <si>
    <t>Социальные налоги</t>
  </si>
  <si>
    <t>Прочие операционные расходы</t>
  </si>
  <si>
    <t>Итого OpEx</t>
  </si>
  <si>
    <t>Административный и коммерческий персонал</t>
  </si>
  <si>
    <t>Расчет от операционных расходов</t>
  </si>
  <si>
    <t>Общехозяйственные расходы</t>
  </si>
  <si>
    <t>Итого SG&amp;A</t>
  </si>
  <si>
    <t>OpEx за вычетом зарплаты</t>
  </si>
  <si>
    <t>Итого расходы на топливо</t>
  </si>
  <si>
    <t>OpeEx</t>
  </si>
  <si>
    <t>Текущие активы</t>
  </si>
  <si>
    <t>Working Capital</t>
  </si>
  <si>
    <t>3.5</t>
  </si>
  <si>
    <t>Оборачиваемость запасов</t>
  </si>
  <si>
    <t>Оборачиваемость ДЗ</t>
  </si>
  <si>
    <t>Оборачиваемость КЗ</t>
  </si>
  <si>
    <t>Дебиторская задолженность</t>
  </si>
  <si>
    <t>Оборачиваемость дебиторской задолженности</t>
  </si>
  <si>
    <t>Денежные средства</t>
  </si>
  <si>
    <t>Срок строительства</t>
  </si>
  <si>
    <t>НДС к оплате</t>
  </si>
  <si>
    <t>х</t>
  </si>
  <si>
    <t>Порядковый номер периода</t>
  </si>
  <si>
    <t xml:space="preserve">Остаточная стоимость </t>
  </si>
  <si>
    <t>Амортизация за период</t>
  </si>
  <si>
    <t>Здания</t>
  </si>
  <si>
    <t>Первоначальная стоимость</t>
  </si>
  <si>
    <t>Накопленная амортизация</t>
  </si>
  <si>
    <t>Средняя остаточная стоимость ОС</t>
  </si>
  <si>
    <t>Остаточная стоимость здания</t>
  </si>
  <si>
    <t>SG&amp;A за вычетом зарплаты</t>
  </si>
  <si>
    <t>тыс. руб</t>
  </si>
  <si>
    <t>Срок полезного использования здания и оборудования</t>
  </si>
  <si>
    <t>Текущие обязательства</t>
  </si>
  <si>
    <t>Кредиторская задолженность</t>
  </si>
  <si>
    <t>Оборачиваемость кредиторской задолженности</t>
  </si>
  <si>
    <t>Итого текущие обязательства</t>
  </si>
  <si>
    <t>Итого текущие активы</t>
  </si>
  <si>
    <t>ОС</t>
  </si>
  <si>
    <t>NWC</t>
  </si>
  <si>
    <t>Инвестиции в собственный капитал</t>
  </si>
  <si>
    <t>EBITDA</t>
  </si>
  <si>
    <t>Gross profit</t>
  </si>
  <si>
    <t>Gross profit margin</t>
  </si>
  <si>
    <t>EBITDA margin</t>
  </si>
  <si>
    <t>Амортизация</t>
  </si>
  <si>
    <t>EBIT</t>
  </si>
  <si>
    <t xml:space="preserve">тыс. руб. </t>
  </si>
  <si>
    <t>4</t>
  </si>
  <si>
    <t>Налогооблагаемая прибыль</t>
  </si>
  <si>
    <t xml:space="preserve">Налог </t>
  </si>
  <si>
    <t>Ebit margin</t>
  </si>
  <si>
    <t>Прибыль</t>
  </si>
  <si>
    <t>CF statement</t>
  </si>
  <si>
    <t xml:space="preserve">Итого текущие обязательства </t>
  </si>
  <si>
    <t>Balance sheet</t>
  </si>
  <si>
    <t>Незавершенное строительство</t>
  </si>
  <si>
    <t>от Выручки</t>
  </si>
  <si>
    <t>Первоначальные основные средства</t>
  </si>
  <si>
    <t>НДС к возмещению</t>
  </si>
  <si>
    <t>Change in working capital</t>
  </si>
  <si>
    <t>Денежный поток от операционной деятельности</t>
  </si>
  <si>
    <t>Денежный поток от инвестиционной деятельности</t>
  </si>
  <si>
    <t>Денежный поток от финансовой деятельности</t>
  </si>
  <si>
    <t>Вложение в собственный капитал</t>
  </si>
  <si>
    <t>Итоговый денежный поток</t>
  </si>
  <si>
    <t>Изменение NWC</t>
  </si>
  <si>
    <t>Активы</t>
  </si>
  <si>
    <t xml:space="preserve">Итого активы </t>
  </si>
  <si>
    <t>Капитал и обязательства</t>
  </si>
  <si>
    <t>Уставный капитал</t>
  </si>
  <si>
    <t>Нераспределенная прибыль</t>
  </si>
  <si>
    <t>Итого внеоборотные активы</t>
  </si>
  <si>
    <t xml:space="preserve">Итого оборотные активы </t>
  </si>
  <si>
    <t>Итого пассивы</t>
  </si>
  <si>
    <t>Предпоссылки DCF</t>
  </si>
  <si>
    <t xml:space="preserve">Остаток денежных средств </t>
  </si>
  <si>
    <t>База для расчета</t>
  </si>
  <si>
    <t>НДС с CAPEX</t>
  </si>
  <si>
    <t>НДС с Выручки</t>
  </si>
  <si>
    <t>НДС с OpEx</t>
  </si>
  <si>
    <t>НДС с SG&amp;A</t>
  </si>
  <si>
    <t>Баланс НДС на начало периода</t>
  </si>
  <si>
    <t>НДС с выручки</t>
  </si>
  <si>
    <t>Баланс НДС на конец периода</t>
  </si>
  <si>
    <t>(-)</t>
  </si>
  <si>
    <t>от SG&amp;A, OpEx</t>
  </si>
  <si>
    <t>Остаточная стоимость</t>
  </si>
  <si>
    <t>Амортизация первоночальных ОС</t>
  </si>
  <si>
    <r>
      <t>Строительство (</t>
    </r>
    <r>
      <rPr>
        <b/>
        <sz val="10"/>
        <color theme="0"/>
        <rFont val="Calibri"/>
        <family val="2"/>
        <scheme val="minor"/>
      </rPr>
      <t>Долговое финансирование, транспорт и СAPEX на поддержание ОС не учитывал в данной модели)</t>
    </r>
  </si>
  <si>
    <t>NOPAT</t>
  </si>
  <si>
    <t>СAPEX</t>
  </si>
  <si>
    <t>Итого собственный капитал</t>
  </si>
  <si>
    <t>FCFF</t>
  </si>
  <si>
    <t>DCF</t>
  </si>
  <si>
    <t>Период дисконтирования</t>
  </si>
  <si>
    <t>Фактор дисконтирования</t>
  </si>
  <si>
    <t>Terminal period</t>
  </si>
  <si>
    <t>NPV</t>
  </si>
  <si>
    <t>IRR</t>
  </si>
  <si>
    <t>Флаг строительства</t>
  </si>
  <si>
    <t>Флаг эксплуатации</t>
  </si>
  <si>
    <t xml:space="preserve">Незавершенное строительство </t>
  </si>
  <si>
    <t>Изменение баланса НДС</t>
  </si>
  <si>
    <t>Расходы в период строительства</t>
  </si>
  <si>
    <t>Финансирование строительства</t>
  </si>
  <si>
    <t>Итого расходы в период строительства</t>
  </si>
  <si>
    <t>Период строительства</t>
  </si>
  <si>
    <t>Период эксплуатации</t>
  </si>
  <si>
    <t>Check</t>
  </si>
  <si>
    <t>https://www.economy.gov.ru/material/file/ea2fd3ce38f2e28d51c312acf2be0917/prognoz_socialno_ekonom_razvitiya_rf_2023-2025.pdf</t>
  </si>
  <si>
    <t>Payback period</t>
  </si>
  <si>
    <t>Период оплаты НДС</t>
  </si>
  <si>
    <t>Кумулятивный FCFF</t>
  </si>
  <si>
    <t>Проверка периода окупаемости</t>
  </si>
  <si>
    <t>Кумулятивный DCF</t>
  </si>
  <si>
    <t>Полные периоды с начала проекта при которых кумулятивный CF негативный</t>
  </si>
  <si>
    <t>Доля года при котором наступает положительный поток</t>
  </si>
  <si>
    <t>Итого Payback Period</t>
  </si>
  <si>
    <t>Discounted Payback period</t>
  </si>
  <si>
    <t>Полные периоды с начала проекта при которых кумулятивный DCF негативный</t>
  </si>
  <si>
    <t>(+)</t>
  </si>
  <si>
    <t>Долговое финансирование, транспорт и СAPEX на поддержание ОС не учитываются в данной модели</t>
  </si>
  <si>
    <t>Анализ чувствительности</t>
  </si>
  <si>
    <t>P&amp;L</t>
  </si>
  <si>
    <t>Итого Discounted Payback Period</t>
  </si>
  <si>
    <t>Terminal value</t>
  </si>
  <si>
    <t>Discounted Terminal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</si>
</sst>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* #,##0.00\ _₽_-;\-* #,##0.00\ _₽_-;_-* &quot;-&quot;??\ _₽_-;_-@_-"/>
    <numFmt numFmtId="165" formatCode="_(* #,##0_);_(* \(#,##0\);_(* &quot;-&quot;_);@_)"/>
    <numFmt numFmtId="166" formatCode="_-* #,##0_-;\-* #,##0_-;_-* &quot;-&quot;??_-;_-@_-"/>
    <numFmt numFmtId="167" formatCode="0.0%"/>
    <numFmt numFmtId="168" formatCode="_(* #,##0.0_);_(* \(#,##0.0\);_(* &quot;-&quot;_);@_)"/>
    <numFmt numFmtId="169" formatCode="_(* #,##0_)_ ;_(* \(#,##0\)_ ;&quot;-&quot;_)_ ;_(@_ "/>
    <numFmt numFmtId="170" formatCode="#,##0.0%_);\(#,##0.0%\);\-_);@"/>
    <numFmt numFmtId="171" formatCode="_(* #,##0.00_);_(* \(#,##0.00\);_(* &quot;-&quot;_);@_)"/>
    <numFmt numFmtId="172" formatCode="#,##0_);\(#,##0\);&quot;-  &quot;;&quot; &quot;@"/>
  </numFmts>
  <fonts count="26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theme="7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theme="0"/>
      <name val="Calibri (Основной текст)"/>
      <charset val="204"/>
    </font>
    <font>
      <b/>
      <sz val="10"/>
      <color theme="0"/>
      <name val="Calibri"/>
      <family val="2"/>
      <scheme val="minor"/>
    </font>
    <font>
      <b/>
      <i/>
      <sz val="10"/>
      <color theme="1"/>
      <name val="Helvetica"/>
      <family val="2"/>
    </font>
    <font>
      <b/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FFFF"/>
      <name val="Calibri"/>
      <family val="2"/>
      <charset val="204"/>
      <scheme val="minor"/>
    </font>
    <font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color theme="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E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theme="2" tint="-0.34998626667073579"/>
      </left>
      <right style="dotted">
        <color theme="2" tint="-0.34998626667073579"/>
      </right>
      <top style="dotted">
        <color theme="2" tint="-0.34998626667073579"/>
      </top>
      <bottom style="dotted">
        <color theme="2" tint="-0.34998626667073579"/>
      </bottom>
      <diagonal/>
    </border>
    <border>
      <left style="dotted">
        <color theme="2" tint="-0.34998626667073579"/>
      </left>
      <right style="dotted">
        <color theme="2" tint="-0.34998626667073579"/>
      </right>
      <top style="medium">
        <color indexed="64"/>
      </top>
      <bottom style="dotted">
        <color theme="2" tint="-0.34998626667073579"/>
      </bottom>
      <diagonal/>
    </border>
    <border>
      <left style="dotted">
        <color theme="2" tint="-0.34998626667073579"/>
      </left>
      <right style="medium">
        <color indexed="64"/>
      </right>
      <top style="dotted">
        <color theme="2" tint="-0.34998626667073579"/>
      </top>
      <bottom style="dotted">
        <color theme="2" tint="-0.34998626667073579"/>
      </bottom>
      <diagonal/>
    </border>
    <border>
      <left style="dotted">
        <color theme="2" tint="-0.34998626667073579"/>
      </left>
      <right style="medium">
        <color indexed="64"/>
      </right>
      <top style="dotted">
        <color theme="2" tint="-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3" tint="0.39994506668294322"/>
      </top>
      <bottom/>
      <diagonal/>
    </border>
    <border>
      <left style="dotted">
        <color theme="2" tint="-0.34998626667073579"/>
      </left>
      <right style="dotted">
        <color theme="2" tint="-0.34998626667073579"/>
      </right>
      <top/>
      <bottom style="dotted">
        <color theme="2" tint="-0.34998626667073579"/>
      </bottom>
      <diagonal/>
    </border>
    <border>
      <left style="dotted">
        <color theme="2" tint="-0.34998626667073579"/>
      </left>
      <right style="dotted">
        <color theme="2" tint="-0.34998626667073579"/>
      </right>
      <top style="dotted">
        <color theme="2" tint="-0.34998626667073579"/>
      </top>
      <bottom/>
      <diagonal/>
    </border>
    <border>
      <left style="dotted">
        <color theme="2" tint="-0.34998626667073579"/>
      </left>
      <right style="dotted">
        <color theme="2" tint="-0.34998626667073579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dotted">
        <color theme="2" tint="-0.34998626667073579"/>
      </left>
      <right style="dotted">
        <color theme="2" tint="-0.34998626667073579"/>
      </right>
      <top style="dotted">
        <color theme="2" tint="-0.34998626667073579"/>
      </top>
      <bottom style="medium">
        <color indexed="64"/>
      </bottom>
      <diagonal/>
    </border>
    <border>
      <left style="dotted">
        <color rgb="FF989494"/>
      </left>
      <right style="dotted">
        <color rgb="FF989494"/>
      </right>
      <top style="dotted">
        <color rgb="FF989494"/>
      </top>
      <bottom style="dotted">
        <color rgb="FF989494"/>
      </bottom>
      <diagonal/>
    </border>
    <border>
      <left/>
      <right/>
      <top style="thin">
        <color theme="3" tint="0.39994506668294322"/>
      </top>
      <bottom style="medium">
        <color theme="3" tint="0.39994506668294322"/>
      </bottom>
      <diagonal/>
    </border>
    <border>
      <left/>
      <right/>
      <top style="thin">
        <color indexed="64"/>
      </top>
      <bottom style="medium">
        <color theme="3" tint="0.39994506668294322"/>
      </bottom>
      <diagonal/>
    </border>
    <border>
      <left/>
      <right/>
      <top style="thin">
        <color indexed="64"/>
      </top>
      <bottom/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/>
      <right/>
      <top style="thin">
        <color indexed="64"/>
      </top>
      <bottom style="medium">
        <color rgb="FF8497B0"/>
      </bottom>
      <diagonal/>
    </border>
    <border>
      <left style="dotted">
        <color rgb="FFAEAAAA"/>
      </left>
      <right style="dotted">
        <color rgb="FFAEAAAA"/>
      </right>
      <top style="dotted">
        <color rgb="FFAEAAAA"/>
      </top>
      <bottom style="dotted">
        <color rgb="FFAEAAAA"/>
      </bottom>
      <diagonal/>
    </border>
    <border>
      <left style="dotted">
        <color theme="2" tint="-0.24994659260841701"/>
      </left>
      <right style="dotted">
        <color theme="2" tint="-0.24994659260841701"/>
      </right>
      <top/>
      <bottom style="dotted">
        <color theme="2" tint="-0.2499465926084170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theme="2" tint="-0.24994659260841701"/>
      </left>
      <right style="medium">
        <color indexed="64"/>
      </right>
      <top style="medium">
        <color indexed="64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medium">
        <color indexed="64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medium">
        <color indexed="64"/>
      </right>
      <top style="dotted">
        <color theme="2" tint="-0.24994659260841701"/>
      </top>
      <bottom style="medium">
        <color indexed="64"/>
      </bottom>
      <diagonal/>
    </border>
    <border>
      <left style="dotted">
        <color theme="2" tint="-0.24994659260841701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theme="2" tint="-0.2499465926084170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5" fontId="3" fillId="4" borderId="14" applyAlignment="0">
      <alignment horizontal="right" vertical="center"/>
    </xf>
    <xf numFmtId="165" fontId="4" fillId="3" borderId="14">
      <alignment vertical="center"/>
    </xf>
    <xf numFmtId="0" fontId="10" fillId="0" borderId="20" applyNumberFormat="0" applyAlignment="0">
      <alignment vertical="center"/>
    </xf>
    <xf numFmtId="165" fontId="3" fillId="3" borderId="14" applyAlignment="0">
      <alignment horizontal="right" vertical="center"/>
    </xf>
    <xf numFmtId="169" fontId="10" fillId="3" borderId="32" applyNumberFormat="0" applyAlignment="0">
      <alignment vertical="center" wrapText="1"/>
    </xf>
    <xf numFmtId="170" fontId="4" fillId="3" borderId="35" applyNumberFormat="0">
      <alignment vertical="center"/>
    </xf>
    <xf numFmtId="172" fontId="25" fillId="0" borderId="0" applyFont="0" applyFill="0" applyBorder="0" applyProtection="0">
      <alignment vertical="top"/>
    </xf>
  </cellStyleXfs>
  <cellXfs count="211">
    <xf numFmtId="0" fontId="0" fillId="0" borderId="0" xfId="0"/>
    <xf numFmtId="0" fontId="0" fillId="3" borderId="0" xfId="0" applyFill="1"/>
    <xf numFmtId="43" fontId="4" fillId="6" borderId="14" xfId="1" applyFont="1" applyFill="1" applyBorder="1" applyAlignment="1">
      <alignment vertical="center"/>
    </xf>
    <xf numFmtId="9" fontId="4" fillId="6" borderId="14" xfId="2" applyFont="1" applyFill="1" applyBorder="1" applyAlignment="1">
      <alignment vertical="center"/>
    </xf>
    <xf numFmtId="9" fontId="5" fillId="5" borderId="14" xfId="2" applyFont="1" applyFill="1" applyBorder="1" applyAlignment="1">
      <alignment vertical="top"/>
    </xf>
    <xf numFmtId="14" fontId="4" fillId="6" borderId="14" xfId="1" applyNumberFormat="1" applyFont="1" applyFill="1" applyBorder="1" applyAlignment="1">
      <alignment vertical="center"/>
    </xf>
    <xf numFmtId="0" fontId="5" fillId="5" borderId="14" xfId="2" applyNumberFormat="1" applyFont="1" applyFill="1" applyBorder="1" applyAlignment="1">
      <alignment vertical="top"/>
    </xf>
    <xf numFmtId="43" fontId="5" fillId="5" borderId="14" xfId="1" applyFont="1" applyFill="1" applyBorder="1" applyAlignment="1">
      <alignment vertical="top"/>
    </xf>
    <xf numFmtId="166" fontId="5" fillId="5" borderId="14" xfId="1" applyNumberFormat="1" applyFont="1" applyFill="1" applyBorder="1" applyAlignment="1">
      <alignment vertical="top"/>
    </xf>
    <xf numFmtId="43" fontId="5" fillId="5" borderId="15" xfId="1" applyFont="1" applyFill="1" applyBorder="1" applyAlignment="1">
      <alignment vertical="top"/>
    </xf>
    <xf numFmtId="9" fontId="4" fillId="3" borderId="16" xfId="2" applyFont="1" applyFill="1" applyBorder="1" applyAlignment="1">
      <alignment vertical="center"/>
    </xf>
    <xf numFmtId="9" fontId="4" fillId="3" borderId="17" xfId="2" applyFont="1" applyFill="1" applyBorder="1" applyAlignment="1">
      <alignment vertical="center"/>
    </xf>
    <xf numFmtId="167" fontId="5" fillId="5" borderId="14" xfId="0" applyNumberFormat="1" applyFont="1" applyFill="1" applyBorder="1" applyAlignment="1">
      <alignment vertical="center"/>
    </xf>
    <xf numFmtId="0" fontId="4" fillId="6" borderId="14" xfId="1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7" fillId="0" borderId="0" xfId="0" applyFont="1"/>
    <xf numFmtId="0" fontId="7" fillId="3" borderId="0" xfId="0" applyFont="1" applyFill="1" applyAlignment="1">
      <alignment horizontal="left" vertical="center"/>
    </xf>
    <xf numFmtId="0" fontId="7" fillId="3" borderId="0" xfId="0" applyFont="1" applyFill="1"/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/>
    <xf numFmtId="43" fontId="7" fillId="3" borderId="0" xfId="1" applyFont="1" applyFill="1" applyBorder="1"/>
    <xf numFmtId="0" fontId="7" fillId="7" borderId="7" xfId="0" applyFont="1" applyFill="1" applyBorder="1"/>
    <xf numFmtId="0" fontId="7" fillId="7" borderId="8" xfId="0" applyFont="1" applyFill="1" applyBorder="1" applyAlignment="1">
      <alignment horizontal="left"/>
    </xf>
    <xf numFmtId="0" fontId="7" fillId="7" borderId="9" xfId="0" applyFont="1" applyFill="1" applyBorder="1"/>
    <xf numFmtId="0" fontId="7" fillId="7" borderId="10" xfId="0" applyFont="1" applyFill="1" applyBorder="1"/>
    <xf numFmtId="0" fontId="7" fillId="7" borderId="0" xfId="0" applyFont="1" applyFill="1" applyAlignment="1">
      <alignment horizontal="left"/>
    </xf>
    <xf numFmtId="0" fontId="7" fillId="7" borderId="11" xfId="0" applyFont="1" applyFill="1" applyBorder="1"/>
    <xf numFmtId="0" fontId="8" fillId="7" borderId="10" xfId="0" applyFont="1" applyFill="1" applyBorder="1"/>
    <xf numFmtId="0" fontId="7" fillId="7" borderId="0" xfId="0" applyFont="1" applyFill="1" applyAlignment="1">
      <alignment horizontal="left" vertical="center"/>
    </xf>
    <xf numFmtId="0" fontId="7" fillId="7" borderId="0" xfId="0" applyFont="1" applyFill="1"/>
    <xf numFmtId="0" fontId="8" fillId="7" borderId="12" xfId="0" applyFont="1" applyFill="1" applyBorder="1"/>
    <xf numFmtId="0" fontId="7" fillId="7" borderId="13" xfId="0" applyFont="1" applyFill="1" applyBorder="1" applyAlignment="1">
      <alignment horizontal="left" vertical="center"/>
    </xf>
    <xf numFmtId="0" fontId="7" fillId="7" borderId="13" xfId="0" applyFont="1" applyFill="1" applyBorder="1"/>
    <xf numFmtId="2" fontId="7" fillId="3" borderId="0" xfId="0" applyNumberFormat="1" applyFont="1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wrapText="1" indent="1"/>
    </xf>
    <xf numFmtId="167" fontId="4" fillId="6" borderId="14" xfId="2" applyNumberFormat="1" applyFont="1" applyFill="1" applyBorder="1" applyAlignment="1">
      <alignment vertical="center"/>
    </xf>
    <xf numFmtId="0" fontId="9" fillId="3" borderId="0" xfId="0" applyFont="1" applyFill="1"/>
    <xf numFmtId="166" fontId="5" fillId="5" borderId="0" xfId="1" applyNumberFormat="1" applyFont="1" applyFill="1" applyBorder="1" applyAlignment="1">
      <alignment vertical="top"/>
    </xf>
    <xf numFmtId="9" fontId="4" fillId="3" borderId="0" xfId="2" applyFont="1" applyFill="1" applyBorder="1" applyAlignment="1">
      <alignment vertical="center"/>
    </xf>
    <xf numFmtId="14" fontId="5" fillId="3" borderId="0" xfId="2" applyNumberFormat="1" applyFont="1" applyFill="1" applyBorder="1" applyAlignment="1">
      <alignment vertical="top"/>
    </xf>
    <xf numFmtId="166" fontId="5" fillId="3" borderId="0" xfId="1" applyNumberFormat="1" applyFont="1" applyFill="1" applyBorder="1" applyAlignment="1">
      <alignment vertical="top"/>
    </xf>
    <xf numFmtId="0" fontId="6" fillId="3" borderId="0" xfId="0" applyFont="1" applyFill="1" applyAlignment="1">
      <alignment horizontal="center"/>
    </xf>
    <xf numFmtId="0" fontId="6" fillId="3" borderId="19" xfId="0" applyFont="1" applyFill="1" applyBorder="1" applyAlignment="1">
      <alignment horizontal="center"/>
    </xf>
    <xf numFmtId="14" fontId="5" fillId="5" borderId="21" xfId="2" applyNumberFormat="1" applyFont="1" applyFill="1" applyBorder="1" applyAlignment="1">
      <alignment vertical="top"/>
    </xf>
    <xf numFmtId="14" fontId="4" fillId="6" borderId="22" xfId="1" applyNumberFormat="1" applyFont="1" applyFill="1" applyBorder="1" applyAlignment="1">
      <alignment vertical="center"/>
    </xf>
    <xf numFmtId="0" fontId="4" fillId="6" borderId="21" xfId="1" applyNumberFormat="1" applyFont="1" applyFill="1" applyBorder="1" applyAlignment="1">
      <alignment vertical="center"/>
    </xf>
    <xf numFmtId="0" fontId="11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4" fillId="6" borderId="22" xfId="1" applyNumberFormat="1" applyFont="1" applyFill="1" applyBorder="1" applyAlignment="1">
      <alignment vertical="center"/>
    </xf>
    <xf numFmtId="167" fontId="5" fillId="5" borderId="21" xfId="0" applyNumberFormat="1" applyFont="1" applyFill="1" applyBorder="1" applyAlignment="1">
      <alignment vertical="center"/>
    </xf>
    <xf numFmtId="0" fontId="11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67" fontId="5" fillId="5" borderId="22" xfId="0" applyNumberFormat="1" applyFont="1" applyFill="1" applyBorder="1" applyAlignment="1">
      <alignment vertical="center"/>
    </xf>
    <xf numFmtId="0" fontId="4" fillId="6" borderId="0" xfId="1" applyNumberFormat="1" applyFont="1" applyFill="1" applyBorder="1" applyAlignment="1">
      <alignment vertical="center"/>
    </xf>
    <xf numFmtId="0" fontId="7" fillId="2" borderId="13" xfId="0" applyFont="1" applyFill="1" applyBorder="1" applyAlignment="1">
      <alignment horizontal="left"/>
    </xf>
    <xf numFmtId="0" fontId="7" fillId="2" borderId="13" xfId="0" applyFont="1" applyFill="1" applyBorder="1"/>
    <xf numFmtId="0" fontId="7" fillId="2" borderId="1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49" fontId="7" fillId="3" borderId="0" xfId="0" applyNumberFormat="1" applyFont="1" applyFill="1"/>
    <xf numFmtId="49" fontId="11" fillId="2" borderId="2" xfId="0" applyNumberFormat="1" applyFont="1" applyFill="1" applyBorder="1"/>
    <xf numFmtId="0" fontId="11" fillId="2" borderId="3" xfId="0" applyFont="1" applyFill="1" applyBorder="1" applyAlignment="1">
      <alignment horizontal="left"/>
    </xf>
    <xf numFmtId="0" fontId="5" fillId="3" borderId="0" xfId="2" applyNumberFormat="1" applyFont="1" applyFill="1" applyBorder="1" applyAlignment="1">
      <alignment vertical="top"/>
    </xf>
    <xf numFmtId="0" fontId="7" fillId="2" borderId="8" xfId="0" applyFont="1" applyFill="1" applyBorder="1" applyAlignment="1">
      <alignment horizontal="left"/>
    </xf>
    <xf numFmtId="0" fontId="7" fillId="2" borderId="8" xfId="0" applyFont="1" applyFill="1" applyBorder="1"/>
    <xf numFmtId="0" fontId="7" fillId="2" borderId="8" xfId="0" applyFont="1" applyFill="1" applyBorder="1" applyAlignment="1">
      <alignment horizontal="center" vertical="center"/>
    </xf>
    <xf numFmtId="0" fontId="4" fillId="2" borderId="8" xfId="1" applyNumberFormat="1" applyFont="1" applyFill="1" applyBorder="1" applyAlignment="1">
      <alignment vertical="center"/>
    </xf>
    <xf numFmtId="0" fontId="4" fillId="2" borderId="9" xfId="1" applyNumberFormat="1" applyFont="1" applyFill="1" applyBorder="1" applyAlignment="1">
      <alignment vertical="center"/>
    </xf>
    <xf numFmtId="0" fontId="13" fillId="2" borderId="8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3" fillId="2" borderId="26" xfId="0" applyFont="1" applyFill="1" applyBorder="1" applyAlignment="1">
      <alignment horizontal="left"/>
    </xf>
    <xf numFmtId="0" fontId="6" fillId="2" borderId="27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7" fillId="2" borderId="24" xfId="0" applyFont="1" applyFill="1" applyBorder="1"/>
    <xf numFmtId="0" fontId="11" fillId="2" borderId="3" xfId="0" applyFont="1" applyFill="1" applyBorder="1"/>
    <xf numFmtId="0" fontId="7" fillId="2" borderId="9" xfId="0" applyFont="1" applyFill="1" applyBorder="1"/>
    <xf numFmtId="43" fontId="4" fillId="6" borderId="0" xfId="1" applyFont="1" applyFill="1" applyBorder="1" applyAlignment="1">
      <alignment vertical="center"/>
    </xf>
    <xf numFmtId="0" fontId="0" fillId="3" borderId="0" xfId="0" applyFill="1" applyAlignment="1">
      <alignment horizontal="left" wrapText="1"/>
    </xf>
    <xf numFmtId="0" fontId="5" fillId="5" borderId="14" xfId="0" applyFont="1" applyFill="1" applyBorder="1" applyAlignment="1">
      <alignment vertical="center"/>
    </xf>
    <xf numFmtId="166" fontId="4" fillId="6" borderId="14" xfId="1" applyNumberFormat="1" applyFont="1" applyFill="1" applyBorder="1" applyAlignment="1">
      <alignment vertical="center"/>
    </xf>
    <xf numFmtId="0" fontId="6" fillId="3" borderId="0" xfId="0" applyFont="1" applyFill="1"/>
    <xf numFmtId="167" fontId="4" fillId="6" borderId="0" xfId="2" applyNumberFormat="1" applyFont="1" applyFill="1" applyBorder="1" applyAlignment="1">
      <alignment vertical="center"/>
    </xf>
    <xf numFmtId="167" fontId="5" fillId="3" borderId="0" xfId="0" applyNumberFormat="1" applyFont="1" applyFill="1" applyAlignment="1">
      <alignment vertical="center"/>
    </xf>
    <xf numFmtId="0" fontId="7" fillId="3" borderId="3" xfId="0" applyFont="1" applyFill="1" applyBorder="1"/>
    <xf numFmtId="166" fontId="4" fillId="6" borderId="0" xfId="1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15" fillId="3" borderId="0" xfId="0" applyFont="1" applyFill="1" applyAlignment="1">
      <alignment horizontal="left" indent="1"/>
    </xf>
    <xf numFmtId="0" fontId="14" fillId="3" borderId="0" xfId="0" applyFont="1" applyFill="1" applyAlignment="1">
      <alignment horizontal="left" indent="1"/>
    </xf>
    <xf numFmtId="0" fontId="16" fillId="3" borderId="29" xfId="6" applyFont="1" applyFill="1" applyBorder="1" applyAlignment="1">
      <alignment horizontal="left" indent="1"/>
    </xf>
    <xf numFmtId="0" fontId="0" fillId="3" borderId="6" xfId="0" applyFill="1" applyBorder="1" applyAlignment="1">
      <alignment horizontal="left" wrapText="1"/>
    </xf>
    <xf numFmtId="0" fontId="7" fillId="3" borderId="0" xfId="0" applyFont="1" applyFill="1" applyAlignment="1">
      <alignment horizontal="left" indent="1"/>
    </xf>
    <xf numFmtId="0" fontId="6" fillId="3" borderId="0" xfId="0" applyFont="1" applyFill="1" applyAlignment="1">
      <alignment horizontal="left" indent="1"/>
    </xf>
    <xf numFmtId="0" fontId="7" fillId="3" borderId="8" xfId="0" applyFont="1" applyFill="1" applyBorder="1"/>
    <xf numFmtId="0" fontId="7" fillId="3" borderId="13" xfId="0" applyFont="1" applyFill="1" applyBorder="1"/>
    <xf numFmtId="166" fontId="4" fillId="6" borderId="30" xfId="1" applyNumberFormat="1" applyFont="1" applyFill="1" applyBorder="1" applyAlignment="1">
      <alignment vertical="center"/>
    </xf>
    <xf numFmtId="166" fontId="4" fillId="6" borderId="17" xfId="1" applyNumberFormat="1" applyFont="1" applyFill="1" applyBorder="1" applyAlignment="1">
      <alignment vertical="center"/>
    </xf>
    <xf numFmtId="0" fontId="8" fillId="7" borderId="7" xfId="0" applyFont="1" applyFill="1" applyBorder="1"/>
    <xf numFmtId="0" fontId="7" fillId="7" borderId="8" xfId="0" applyFont="1" applyFill="1" applyBorder="1" applyAlignment="1">
      <alignment horizontal="left" vertical="center"/>
    </xf>
    <xf numFmtId="0" fontId="7" fillId="7" borderId="8" xfId="0" applyFont="1" applyFill="1" applyBorder="1"/>
    <xf numFmtId="0" fontId="9" fillId="7" borderId="12" xfId="0" applyFont="1" applyFill="1" applyBorder="1"/>
    <xf numFmtId="0" fontId="5" fillId="5" borderId="15" xfId="2" applyNumberFormat="1" applyFont="1" applyFill="1" applyBorder="1" applyAlignment="1">
      <alignment vertical="top"/>
    </xf>
    <xf numFmtId="0" fontId="7" fillId="3" borderId="9" xfId="0" applyFont="1" applyFill="1" applyBorder="1"/>
    <xf numFmtId="166" fontId="4" fillId="6" borderId="16" xfId="1" applyNumberFormat="1" applyFont="1" applyFill="1" applyBorder="1" applyAlignment="1">
      <alignment vertical="center"/>
    </xf>
    <xf numFmtId="0" fontId="5" fillId="7" borderId="8" xfId="2" applyNumberFormat="1" applyFont="1" applyFill="1" applyBorder="1" applyAlignment="1">
      <alignment vertical="top"/>
    </xf>
    <xf numFmtId="0" fontId="5" fillId="5" borderId="30" xfId="2" applyNumberFormat="1" applyFont="1" applyFill="1" applyBorder="1" applyAlignment="1">
      <alignment vertical="top"/>
    </xf>
    <xf numFmtId="0" fontId="6" fillId="7" borderId="8" xfId="0" applyFont="1" applyFill="1" applyBorder="1"/>
    <xf numFmtId="164" fontId="7" fillId="3" borderId="0" xfId="0" applyNumberFormat="1" applyFont="1" applyFill="1"/>
    <xf numFmtId="0" fontId="17" fillId="3" borderId="0" xfId="0" applyFont="1" applyFill="1"/>
    <xf numFmtId="9" fontId="5" fillId="3" borderId="0" xfId="2" applyFont="1" applyFill="1" applyBorder="1" applyAlignment="1">
      <alignment vertical="top"/>
    </xf>
    <xf numFmtId="43" fontId="5" fillId="5" borderId="14" xfId="1" applyFont="1" applyFill="1" applyBorder="1" applyAlignment="1">
      <alignment vertical="center"/>
    </xf>
    <xf numFmtId="166" fontId="5" fillId="5" borderId="14" xfId="1" applyNumberFormat="1" applyFont="1" applyFill="1" applyBorder="1" applyAlignment="1">
      <alignment vertical="center"/>
    </xf>
    <xf numFmtId="0" fontId="8" fillId="3" borderId="0" xfId="0" applyFont="1" applyFill="1" applyAlignment="1">
      <alignment horizontal="left" indent="1"/>
    </xf>
    <xf numFmtId="0" fontId="7" fillId="3" borderId="10" xfId="0" applyFont="1" applyFill="1" applyBorder="1"/>
    <xf numFmtId="0" fontId="7" fillId="3" borderId="11" xfId="0" applyFont="1" applyFill="1" applyBorder="1"/>
    <xf numFmtId="0" fontId="7" fillId="3" borderId="24" xfId="0" applyFont="1" applyFill="1" applyBorder="1"/>
    <xf numFmtId="43" fontId="4" fillId="3" borderId="0" xfId="1" applyFont="1" applyFill="1" applyBorder="1" applyAlignment="1">
      <alignment vertical="center"/>
    </xf>
    <xf numFmtId="0" fontId="13" fillId="2" borderId="8" xfId="0" applyFont="1" applyFill="1" applyBorder="1"/>
    <xf numFmtId="0" fontId="18" fillId="9" borderId="0" xfId="0" applyFont="1" applyFill="1"/>
    <xf numFmtId="165" fontId="10" fillId="3" borderId="33" xfId="8" applyNumberFormat="1" applyBorder="1" applyAlignment="1"/>
    <xf numFmtId="0" fontId="12" fillId="2" borderId="3" xfId="0" applyFont="1" applyFill="1" applyBorder="1"/>
    <xf numFmtId="0" fontId="20" fillId="2" borderId="3" xfId="0" applyFont="1" applyFill="1" applyBorder="1"/>
    <xf numFmtId="165" fontId="10" fillId="3" borderId="34" xfId="8" applyNumberFormat="1" applyBorder="1" applyAlignment="1"/>
    <xf numFmtId="9" fontId="4" fillId="6" borderId="0" xfId="2" applyFont="1" applyFill="1" applyBorder="1" applyAlignment="1">
      <alignment vertical="center"/>
    </xf>
    <xf numFmtId="0" fontId="13" fillId="2" borderId="3" xfId="0" applyFont="1" applyFill="1" applyBorder="1"/>
    <xf numFmtId="165" fontId="4" fillId="3" borderId="35" xfId="9" applyNumberFormat="1">
      <alignment vertical="center"/>
    </xf>
    <xf numFmtId="165" fontId="4" fillId="8" borderId="35" xfId="9" applyNumberFormat="1" applyFill="1">
      <alignment vertical="center"/>
    </xf>
    <xf numFmtId="165" fontId="7" fillId="3" borderId="0" xfId="0" applyNumberFormat="1" applyFont="1" applyFill="1"/>
    <xf numFmtId="165" fontId="10" fillId="3" borderId="0" xfId="8" applyNumberFormat="1" applyBorder="1" applyAlignment="1"/>
    <xf numFmtId="0" fontId="21" fillId="3" borderId="0" xfId="0" applyFont="1" applyFill="1" applyAlignment="1">
      <alignment horizontal="left" indent="1"/>
    </xf>
    <xf numFmtId="165" fontId="4" fillId="3" borderId="35" xfId="9" applyNumberFormat="1" applyAlignment="1">
      <alignment horizontal="right" vertical="center"/>
    </xf>
    <xf numFmtId="10" fontId="4" fillId="3" borderId="35" xfId="9" applyNumberFormat="1" applyAlignment="1">
      <alignment horizontal="right" vertical="center"/>
    </xf>
    <xf numFmtId="165" fontId="10" fillId="9" borderId="36" xfId="0" applyNumberFormat="1" applyFont="1" applyFill="1" applyBorder="1"/>
    <xf numFmtId="165" fontId="10" fillId="3" borderId="0" xfId="8" applyNumberFormat="1" applyBorder="1" applyAlignment="1">
      <alignment horizontal="left" indent="1"/>
    </xf>
    <xf numFmtId="49" fontId="11" fillId="2" borderId="7" xfId="0" applyNumberFormat="1" applyFont="1" applyFill="1" applyBorder="1" applyAlignment="1">
      <alignment horizontal="left"/>
    </xf>
    <xf numFmtId="49" fontId="7" fillId="3" borderId="12" xfId="0" applyNumberFormat="1" applyFont="1" applyFill="1" applyBorder="1" applyAlignment="1">
      <alignment horizontal="left"/>
    </xf>
    <xf numFmtId="0" fontId="19" fillId="2" borderId="13" xfId="0" applyFont="1" applyFill="1" applyBorder="1" applyAlignment="1">
      <alignment horizontal="left"/>
    </xf>
    <xf numFmtId="49" fontId="11" fillId="2" borderId="7" xfId="0" applyNumberFormat="1" applyFont="1" applyFill="1" applyBorder="1"/>
    <xf numFmtId="49" fontId="7" fillId="3" borderId="12" xfId="0" applyNumberFormat="1" applyFont="1" applyFill="1" applyBorder="1"/>
    <xf numFmtId="0" fontId="11" fillId="2" borderId="13" xfId="0" applyFont="1" applyFill="1" applyBorder="1" applyAlignment="1">
      <alignment horizontal="left"/>
    </xf>
    <xf numFmtId="0" fontId="13" fillId="2" borderId="13" xfId="0" applyFont="1" applyFill="1" applyBorder="1" applyAlignment="1">
      <alignment horizontal="left"/>
    </xf>
    <xf numFmtId="0" fontId="4" fillId="2" borderId="24" xfId="1" applyNumberFormat="1" applyFont="1" applyFill="1" applyBorder="1" applyAlignment="1">
      <alignment vertical="center"/>
    </xf>
    <xf numFmtId="165" fontId="4" fillId="9" borderId="37" xfId="0" applyNumberFormat="1" applyFont="1" applyFill="1" applyBorder="1" applyAlignment="1">
      <alignment vertical="center"/>
    </xf>
    <xf numFmtId="165" fontId="4" fillId="3" borderId="38" xfId="9" applyNumberFormat="1" applyBorder="1">
      <alignment vertical="center"/>
    </xf>
    <xf numFmtId="166" fontId="5" fillId="5" borderId="22" xfId="1" applyNumberFormat="1" applyFont="1" applyFill="1" applyBorder="1" applyAlignment="1">
      <alignment vertical="top"/>
    </xf>
    <xf numFmtId="167" fontId="5" fillId="5" borderId="23" xfId="0" applyNumberFormat="1" applyFont="1" applyFill="1" applyBorder="1" applyAlignment="1">
      <alignment vertical="center"/>
    </xf>
    <xf numFmtId="167" fontId="4" fillId="6" borderId="22" xfId="2" applyNumberFormat="1" applyFont="1" applyFill="1" applyBorder="1" applyAlignment="1">
      <alignment vertical="center"/>
    </xf>
    <xf numFmtId="0" fontId="11" fillId="2" borderId="13" xfId="0" applyFont="1" applyFill="1" applyBorder="1"/>
    <xf numFmtId="49" fontId="22" fillId="10" borderId="2" xfId="0" applyNumberFormat="1" applyFont="1" applyFill="1" applyBorder="1"/>
    <xf numFmtId="0" fontId="18" fillId="10" borderId="3" xfId="0" applyFont="1" applyFill="1" applyBorder="1"/>
    <xf numFmtId="0" fontId="18" fillId="10" borderId="4" xfId="0" applyFont="1" applyFill="1" applyBorder="1"/>
    <xf numFmtId="49" fontId="18" fillId="9" borderId="0" xfId="0" applyNumberFormat="1" applyFont="1" applyFill="1"/>
    <xf numFmtId="166" fontId="4" fillId="9" borderId="31" xfId="0" applyNumberFormat="1" applyFont="1" applyFill="1" applyBorder="1" applyAlignment="1">
      <alignment vertical="center"/>
    </xf>
    <xf numFmtId="165" fontId="4" fillId="9" borderId="0" xfId="0" applyNumberFormat="1" applyFont="1" applyFill="1" applyAlignment="1">
      <alignment vertical="center"/>
    </xf>
    <xf numFmtId="0" fontId="17" fillId="3" borderId="0" xfId="0" applyFont="1" applyFill="1" applyAlignment="1">
      <alignment horizontal="left"/>
    </xf>
    <xf numFmtId="165" fontId="23" fillId="3" borderId="35" xfId="9" applyNumberFormat="1" applyFont="1">
      <alignment vertical="center"/>
    </xf>
    <xf numFmtId="165" fontId="10" fillId="9" borderId="0" xfId="0" applyNumberFormat="1" applyFont="1" applyFill="1"/>
    <xf numFmtId="0" fontId="24" fillId="10" borderId="3" xfId="0" applyFont="1" applyFill="1" applyBorder="1"/>
    <xf numFmtId="49" fontId="7" fillId="3" borderId="0" xfId="0" applyNumberFormat="1" applyFont="1" applyFill="1" applyAlignment="1">
      <alignment horizontal="center"/>
    </xf>
    <xf numFmtId="168" fontId="4" fillId="3" borderId="35" xfId="9" applyNumberFormat="1">
      <alignment vertical="center"/>
    </xf>
    <xf numFmtId="171" fontId="4" fillId="3" borderId="35" xfId="9" applyNumberFormat="1">
      <alignment vertical="center"/>
    </xf>
    <xf numFmtId="0" fontId="7" fillId="11" borderId="0" xfId="0" applyFont="1" applyFill="1" applyAlignment="1">
      <alignment horizontal="center"/>
    </xf>
    <xf numFmtId="0" fontId="6" fillId="12" borderId="0" xfId="0" applyFont="1" applyFill="1" applyAlignment="1">
      <alignment horizontal="center" vertical="center"/>
    </xf>
    <xf numFmtId="165" fontId="7" fillId="3" borderId="0" xfId="0" applyNumberFormat="1" applyFont="1" applyFill="1" applyAlignment="1">
      <alignment horizontal="center"/>
    </xf>
    <xf numFmtId="0" fontId="2" fillId="3" borderId="0" xfId="3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11" fillId="2" borderId="5" xfId="0" applyFont="1" applyFill="1" applyBorder="1"/>
    <xf numFmtId="0" fontId="13" fillId="2" borderId="1" xfId="0" applyFont="1" applyFill="1" applyBorder="1"/>
    <xf numFmtId="168" fontId="4" fillId="3" borderId="35" xfId="9" applyNumberFormat="1" applyAlignment="1">
      <alignment horizontal="center" vertical="center"/>
    </xf>
    <xf numFmtId="171" fontId="4" fillId="3" borderId="35" xfId="9" applyNumberFormat="1" applyAlignment="1">
      <alignment horizontal="center" vertical="center"/>
    </xf>
    <xf numFmtId="168" fontId="4" fillId="3" borderId="41" xfId="9" applyNumberFormat="1" applyBorder="1">
      <alignment vertical="center"/>
    </xf>
    <xf numFmtId="0" fontId="6" fillId="3" borderId="10" xfId="0" applyFont="1" applyFill="1" applyBorder="1"/>
    <xf numFmtId="0" fontId="15" fillId="3" borderId="10" xfId="0" applyFont="1" applyFill="1" applyBorder="1" applyAlignment="1">
      <alignment horizontal="left" indent="1"/>
    </xf>
    <xf numFmtId="2" fontId="4" fillId="3" borderId="42" xfId="2" applyNumberFormat="1" applyFont="1" applyFill="1" applyBorder="1" applyAlignment="1">
      <alignment vertical="center"/>
    </xf>
    <xf numFmtId="0" fontId="6" fillId="3" borderId="12" xfId="0" applyFont="1" applyFill="1" applyBorder="1"/>
    <xf numFmtId="2" fontId="4" fillId="3" borderId="43" xfId="2" applyNumberFormat="1" applyFont="1" applyFill="1" applyBorder="1" applyAlignment="1">
      <alignment vertical="center"/>
    </xf>
    <xf numFmtId="0" fontId="15" fillId="3" borderId="7" xfId="0" applyFont="1" applyFill="1" applyBorder="1" applyAlignment="1">
      <alignment horizontal="left" indent="1"/>
    </xf>
    <xf numFmtId="0" fontId="11" fillId="2" borderId="4" xfId="0" applyFont="1" applyFill="1" applyBorder="1"/>
    <xf numFmtId="9" fontId="7" fillId="3" borderId="44" xfId="0" applyNumberFormat="1" applyFont="1" applyFill="1" applyBorder="1"/>
    <xf numFmtId="9" fontId="7" fillId="3" borderId="6" xfId="0" applyNumberFormat="1" applyFont="1" applyFill="1" applyBorder="1"/>
    <xf numFmtId="0" fontId="7" fillId="3" borderId="7" xfId="0" applyFont="1" applyFill="1" applyBorder="1"/>
    <xf numFmtId="0" fontId="6" fillId="3" borderId="10" xfId="0" applyFont="1" applyFill="1" applyBorder="1" applyAlignment="1">
      <alignment horizontal="center"/>
    </xf>
    <xf numFmtId="9" fontId="7" fillId="3" borderId="46" xfId="0" applyNumberFormat="1" applyFont="1" applyFill="1" applyBorder="1"/>
    <xf numFmtId="9" fontId="7" fillId="3" borderId="47" xfId="0" applyNumberFormat="1" applyFont="1" applyFill="1" applyBorder="1"/>
    <xf numFmtId="165" fontId="4" fillId="3" borderId="42" xfId="9" applyNumberFormat="1" applyBorder="1">
      <alignment vertical="center"/>
    </xf>
    <xf numFmtId="9" fontId="7" fillId="3" borderId="48" xfId="0" applyNumberFormat="1" applyFont="1" applyFill="1" applyBorder="1"/>
    <xf numFmtId="165" fontId="4" fillId="13" borderId="35" xfId="9" applyNumberFormat="1" applyFill="1">
      <alignment vertical="center"/>
    </xf>
    <xf numFmtId="9" fontId="7" fillId="3" borderId="10" xfId="0" applyNumberFormat="1" applyFont="1" applyFill="1" applyBorder="1"/>
    <xf numFmtId="0" fontId="6" fillId="3" borderId="12" xfId="0" applyFont="1" applyFill="1" applyBorder="1" applyAlignment="1">
      <alignment horizontal="right"/>
    </xf>
    <xf numFmtId="10" fontId="4" fillId="3" borderId="42" xfId="2" applyNumberFormat="1" applyFont="1" applyFill="1" applyBorder="1" applyAlignment="1">
      <alignment vertical="center"/>
    </xf>
    <xf numFmtId="10" fontId="4" fillId="3" borderId="45" xfId="9" applyNumberFormat="1" applyBorder="1" applyAlignment="1">
      <alignment horizontal="right" vertical="center"/>
    </xf>
    <xf numFmtId="10" fontId="4" fillId="3" borderId="42" xfId="9" applyNumberFormat="1" applyBorder="1" applyAlignment="1">
      <alignment horizontal="right" vertical="center"/>
    </xf>
    <xf numFmtId="0" fontId="20" fillId="2" borderId="3" xfId="0" applyFont="1" applyFill="1" applyBorder="1" applyAlignment="1">
      <alignment horizontal="center"/>
    </xf>
    <xf numFmtId="168" fontId="4" fillId="3" borderId="45" xfId="9" applyNumberFormat="1" applyBorder="1">
      <alignment vertical="center"/>
    </xf>
    <xf numFmtId="10" fontId="4" fillId="13" borderId="35" xfId="9" applyNumberFormat="1" applyFill="1" applyAlignment="1">
      <alignment horizontal="right" vertical="center"/>
    </xf>
    <xf numFmtId="0" fontId="2" fillId="3" borderId="0" xfId="3" applyFill="1"/>
  </cellXfs>
  <cellStyles count="11">
    <cellStyle name="![M] Normal" xfId="9" xr:uid="{76FE3455-3198-3E43-BE79-25EB77976017}"/>
    <cellStyle name="![M]AssLink" xfId="7" xr:uid="{2F28444D-31A2-1544-83CD-7FB4FB15991E}"/>
    <cellStyle name="![M]Formula" xfId="5" xr:uid="{3157552F-6113-E443-BBEE-17AC8934D246}"/>
    <cellStyle name="![M]InputAss" xfId="4" xr:uid="{25C36017-7538-3D4A-9C6A-7747C77FBF89}"/>
    <cellStyle name="![M]Subtotal L2" xfId="6" xr:uid="{E06F0B47-DB10-7648-8001-50B57FB33143}"/>
    <cellStyle name="![M]Total L2" xfId="8" xr:uid="{719E48A8-1722-C64A-AA58-778D43B965BA}"/>
    <cellStyle name="Гиперссылка" xfId="3" builtinId="8"/>
    <cellStyle name="Обычный" xfId="0" builtinId="0"/>
    <cellStyle name="Процентный" xfId="2" builtinId="5"/>
    <cellStyle name="Финансовый" xfId="1" builtinId="3"/>
    <cellStyle name="Normal 2" xfId="10" xr:uid="{63850E75-C27B-B543-A9FD-0232F3980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conomy.gov.ru/material/file/ea2fd3ce38f2e28d51c312acf2be0917/prognoz_socialno_ekonom_razvitiya_rf_2023-2025.pdf" TargetMode="External"/><Relationship Id="rId1" Type="http://schemas.openxmlformats.org/officeDocument/2006/relationships/hyperlink" Target="https://www.economy.gov.ru/material/file/ea2fd3ce38f2e28d51c312acf2be0917/prognoz_socialno_ekonom_razvitiya_rf_2023-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63D5-DB57-CD43-9EBE-70052E875541}">
  <sheetPr>
    <tabColor theme="9"/>
  </sheetPr>
  <dimension ref="A1:Y97"/>
  <sheetViews>
    <sheetView tabSelected="1" zoomScale="90" zoomScaleNormal="90" workbookViewId="0">
      <pane ySplit="1" topLeftCell="A3" activePane="bottomLeft" state="frozen"/>
      <selection activeCell="C1" sqref="C1"/>
      <selection pane="bottomLeft" activeCell="E21" sqref="E21"/>
    </sheetView>
  </sheetViews>
  <sheetFormatPr baseColWidth="10" defaultRowHeight="14"/>
  <cols>
    <col min="1" max="1" width="17" style="71" customWidth="1"/>
    <col min="2" max="2" width="46.83203125" style="20" customWidth="1"/>
    <col min="3" max="3" width="18.83203125" style="20" customWidth="1"/>
    <col min="4" max="4" width="16.83203125" style="20" customWidth="1"/>
    <col min="5" max="5" width="15" style="20" bestFit="1" customWidth="1"/>
    <col min="6" max="6" width="12.1640625" style="20" customWidth="1"/>
    <col min="7" max="7" width="13.1640625" style="20" customWidth="1"/>
    <col min="8" max="8" width="10.1640625" style="20" customWidth="1"/>
    <col min="9" max="16" width="15" style="20" bestFit="1" customWidth="1"/>
    <col min="17" max="24" width="10.83203125" style="20"/>
    <col min="25" max="25" width="12.1640625" style="20" customWidth="1"/>
    <col min="26" max="16384" width="10.83203125" style="20"/>
  </cols>
  <sheetData>
    <row r="1" spans="1:25" ht="20" thickBot="1">
      <c r="A1" s="135" t="s">
        <v>248</v>
      </c>
      <c r="B1" s="14" t="s">
        <v>16</v>
      </c>
      <c r="C1" s="15" t="s">
        <v>17</v>
      </c>
      <c r="D1" s="16" t="s">
        <v>40</v>
      </c>
      <c r="E1" s="16" t="s">
        <v>29</v>
      </c>
      <c r="F1" s="16" t="s">
        <v>68</v>
      </c>
      <c r="G1" s="16" t="s">
        <v>34</v>
      </c>
      <c r="H1" s="98"/>
      <c r="I1" s="17">
        <f>Предпоссылки!I1</f>
        <v>2023</v>
      </c>
      <c r="J1" s="17">
        <f>Предпоссылки!J1</f>
        <v>2024</v>
      </c>
      <c r="K1" s="17">
        <f>Предпоссылки!K1</f>
        <v>2025</v>
      </c>
      <c r="L1" s="17">
        <f>Предпоссылки!L1</f>
        <v>2026</v>
      </c>
      <c r="M1" s="17">
        <f>Предпоссылки!M1</f>
        <v>2027</v>
      </c>
      <c r="N1" s="17">
        <f>Предпоссылки!N1</f>
        <v>2028</v>
      </c>
      <c r="O1" s="17">
        <f>Предпоссылки!O1</f>
        <v>2029</v>
      </c>
      <c r="P1" s="17">
        <f>Предпоссылки!P1</f>
        <v>2030</v>
      </c>
      <c r="Q1" s="17">
        <f>Предпоссылки!Q1</f>
        <v>2031</v>
      </c>
      <c r="R1" s="17">
        <f>Предпоссылки!R1</f>
        <v>2032</v>
      </c>
      <c r="S1" s="17">
        <f>Предпоссылки!S1</f>
        <v>2033</v>
      </c>
      <c r="T1" s="17">
        <f>Предпоссылки!T1</f>
        <v>2034</v>
      </c>
      <c r="U1" s="17">
        <f>Предпоссылки!U1</f>
        <v>2035</v>
      </c>
      <c r="V1" s="17">
        <f>Предпоссылки!V1</f>
        <v>2036</v>
      </c>
      <c r="W1" s="17">
        <f>Предпоссылки!W1</f>
        <v>2037</v>
      </c>
      <c r="X1" s="179">
        <f>Предпоссылки!X1</f>
        <v>2038</v>
      </c>
      <c r="Y1" s="182" t="s">
        <v>251</v>
      </c>
    </row>
    <row r="2" spans="1:25" ht="15" thickBot="1">
      <c r="A2" s="20" t="s">
        <v>80</v>
      </c>
      <c r="B2" s="22" t="s">
        <v>176</v>
      </c>
      <c r="C2" s="22" t="s">
        <v>175</v>
      </c>
      <c r="H2" s="47"/>
      <c r="I2" s="67">
        <v>0</v>
      </c>
      <c r="J2" s="67">
        <v>1</v>
      </c>
      <c r="K2" s="67">
        <v>2</v>
      </c>
      <c r="L2" s="67">
        <v>3</v>
      </c>
      <c r="M2" s="67">
        <v>4</v>
      </c>
      <c r="N2" s="67">
        <v>5</v>
      </c>
      <c r="O2" s="67">
        <v>6</v>
      </c>
      <c r="P2" s="67">
        <v>7</v>
      </c>
      <c r="Q2" s="67">
        <v>8</v>
      </c>
      <c r="R2" s="67">
        <v>9</v>
      </c>
      <c r="S2" s="67">
        <v>10</v>
      </c>
      <c r="T2" s="67">
        <v>11</v>
      </c>
      <c r="U2" s="67">
        <v>12</v>
      </c>
      <c r="V2" s="67">
        <v>13</v>
      </c>
      <c r="W2" s="67">
        <v>14</v>
      </c>
      <c r="X2" s="180">
        <v>15</v>
      </c>
      <c r="Y2" s="181"/>
    </row>
    <row r="3" spans="1:25" ht="15" thickBot="1">
      <c r="A3" s="72" t="s">
        <v>138</v>
      </c>
      <c r="B3" s="138" t="s">
        <v>248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192"/>
    </row>
    <row r="6" spans="1:25">
      <c r="B6" s="20" t="s">
        <v>200</v>
      </c>
      <c r="C6" s="20" t="s">
        <v>6</v>
      </c>
      <c r="I6" s="139">
        <f>PL!I14</f>
        <v>0</v>
      </c>
      <c r="J6" s="139">
        <f>PL!J14</f>
        <v>0</v>
      </c>
      <c r="K6" s="139">
        <f>PL!K14</f>
        <v>228712.33333333334</v>
      </c>
      <c r="L6" s="139">
        <f>PL!L14</f>
        <v>265659.88888888888</v>
      </c>
      <c r="M6" s="139">
        <f>PL!M14</f>
        <v>278660.59259259258</v>
      </c>
      <c r="N6" s="139">
        <f>PL!N14</f>
        <v>295899.17283950618</v>
      </c>
      <c r="O6" s="139">
        <f>PL!O14</f>
        <v>311315.30041152262</v>
      </c>
      <c r="P6" s="139">
        <f>PL!P14</f>
        <v>328444.59039780521</v>
      </c>
      <c r="Q6" s="139">
        <f>PL!Q14</f>
        <v>346143.60405121173</v>
      </c>
      <c r="R6" s="139">
        <f>PL!R14</f>
        <v>365803.850582838</v>
      </c>
      <c r="S6" s="139">
        <f>PL!S14</f>
        <v>383348.78889674338</v>
      </c>
      <c r="T6" s="139">
        <f>PL!T14</f>
        <v>402907.82926685194</v>
      </c>
      <c r="U6" s="139">
        <f>PL!U14</f>
        <v>423145.33495795686</v>
      </c>
      <c r="V6" s="139">
        <f>PL!V14</f>
        <v>445696.62379269162</v>
      </c>
      <c r="W6" s="139">
        <f>PL!W14</f>
        <v>465780.96966626856</v>
      </c>
      <c r="X6" s="139">
        <f>PL!X14</f>
        <v>488239.60401072633</v>
      </c>
    </row>
    <row r="7" spans="1:25">
      <c r="B7" s="20" t="s">
        <v>66</v>
      </c>
      <c r="C7" s="20" t="s">
        <v>6</v>
      </c>
      <c r="I7" s="139">
        <f>PL!I16</f>
        <v>0</v>
      </c>
      <c r="J7" s="139">
        <f>PL!J16</f>
        <v>0</v>
      </c>
      <c r="K7" s="139">
        <f>PL!K16</f>
        <v>-45742</v>
      </c>
      <c r="L7" s="139">
        <f>PL!L16</f>
        <v>-53132</v>
      </c>
      <c r="M7" s="139">
        <f>PL!M16</f>
        <v>-55732</v>
      </c>
      <c r="N7" s="139">
        <f>PL!N16</f>
        <v>-59180</v>
      </c>
      <c r="O7" s="139">
        <f>PL!O16</f>
        <v>-62263</v>
      </c>
      <c r="P7" s="139">
        <f>PL!P16</f>
        <v>-65689</v>
      </c>
      <c r="Q7" s="139">
        <f>PL!Q16</f>
        <v>-69229</v>
      </c>
      <c r="R7" s="139">
        <f>PL!R16</f>
        <v>-73161</v>
      </c>
      <c r="S7" s="139">
        <f>PL!S16</f>
        <v>-76670</v>
      </c>
      <c r="T7" s="139">
        <f>PL!T16</f>
        <v>-80582</v>
      </c>
      <c r="U7" s="139">
        <f>PL!U16</f>
        <v>-84629</v>
      </c>
      <c r="V7" s="139">
        <f>PL!V16</f>
        <v>-89139</v>
      </c>
      <c r="W7" s="139">
        <f>PL!W16</f>
        <v>-93156</v>
      </c>
      <c r="X7" s="139">
        <f>PL!X16</f>
        <v>-97648</v>
      </c>
    </row>
    <row r="9" spans="1:25" ht="15" thickBot="1">
      <c r="B9" s="133" t="s">
        <v>244</v>
      </c>
      <c r="C9" s="133" t="s">
        <v>6</v>
      </c>
      <c r="D9" s="133"/>
      <c r="E9" s="133"/>
      <c r="F9" s="133"/>
      <c r="G9" s="133"/>
      <c r="H9" s="133"/>
      <c r="I9" s="133">
        <f>I6+I7</f>
        <v>0</v>
      </c>
      <c r="J9" s="133">
        <f t="shared" ref="J9:X9" si="0">J6+J7</f>
        <v>0</v>
      </c>
      <c r="K9" s="133">
        <f t="shared" si="0"/>
        <v>182970.33333333334</v>
      </c>
      <c r="L9" s="133">
        <f t="shared" si="0"/>
        <v>212527.88888888888</v>
      </c>
      <c r="M9" s="133">
        <f t="shared" si="0"/>
        <v>222928.59259259258</v>
      </c>
      <c r="N9" s="133">
        <f t="shared" si="0"/>
        <v>236719.17283950618</v>
      </c>
      <c r="O9" s="133">
        <f t="shared" si="0"/>
        <v>249052.30041152262</v>
      </c>
      <c r="P9" s="133">
        <f t="shared" si="0"/>
        <v>262755.59039780521</v>
      </c>
      <c r="Q9" s="133">
        <f t="shared" si="0"/>
        <v>276914.60405121173</v>
      </c>
      <c r="R9" s="133">
        <f t="shared" si="0"/>
        <v>292642.850582838</v>
      </c>
      <c r="S9" s="133">
        <f t="shared" si="0"/>
        <v>306678.78889674338</v>
      </c>
      <c r="T9" s="133">
        <f t="shared" si="0"/>
        <v>322325.82926685194</v>
      </c>
      <c r="U9" s="133">
        <f t="shared" si="0"/>
        <v>338516.33495795686</v>
      </c>
      <c r="V9" s="133">
        <f t="shared" si="0"/>
        <v>356557.62379269162</v>
      </c>
      <c r="W9" s="133">
        <f t="shared" si="0"/>
        <v>372624.96966626856</v>
      </c>
      <c r="X9" s="133">
        <f t="shared" si="0"/>
        <v>390591.60401072633</v>
      </c>
    </row>
    <row r="11" spans="1:25">
      <c r="B11" s="20" t="s">
        <v>199</v>
      </c>
      <c r="C11" s="20" t="s">
        <v>6</v>
      </c>
      <c r="I11" s="139">
        <f>ОС!I24</f>
        <v>0</v>
      </c>
      <c r="J11" s="139">
        <f>ОС!J24</f>
        <v>0</v>
      </c>
      <c r="K11" s="139">
        <f>ОС!K24</f>
        <v>66666.666666666657</v>
      </c>
      <c r="L11" s="139">
        <f>ОС!L24</f>
        <v>65111.111111111109</v>
      </c>
      <c r="M11" s="139">
        <f>ОС!M24</f>
        <v>63607.407407407409</v>
      </c>
      <c r="N11" s="139">
        <f>ОС!N24</f>
        <v>62153.827160493827</v>
      </c>
      <c r="O11" s="139">
        <f>ОС!O24</f>
        <v>60748.699588477364</v>
      </c>
      <c r="P11" s="139">
        <f>ОС!P24</f>
        <v>59390.409602194784</v>
      </c>
      <c r="Q11" s="139">
        <f>ОС!Q24</f>
        <v>58077.395948788289</v>
      </c>
      <c r="R11" s="139">
        <f>ОС!R24</f>
        <v>56808.149417162014</v>
      </c>
      <c r="S11" s="139">
        <f>ОС!S24</f>
        <v>55581.21110325661</v>
      </c>
      <c r="T11" s="139">
        <f>ОС!T24</f>
        <v>54395.170733148065</v>
      </c>
      <c r="U11" s="139">
        <f>ОС!U24</f>
        <v>53248.665042043125</v>
      </c>
      <c r="V11" s="139">
        <f>ОС!V24</f>
        <v>52140.376207308356</v>
      </c>
      <c r="W11" s="139">
        <f>ОС!W24</f>
        <v>51069.030333731411</v>
      </c>
      <c r="X11" s="139">
        <f>ОС!X24</f>
        <v>50033.395989273689</v>
      </c>
    </row>
    <row r="12" spans="1:25">
      <c r="B12" s="20" t="s">
        <v>245</v>
      </c>
      <c r="C12" s="20" t="s">
        <v>6</v>
      </c>
      <c r="I12" s="139">
        <f>-ОС!I21</f>
        <v>-600000</v>
      </c>
      <c r="J12" s="139">
        <f>-ОС!J21</f>
        <v>-1400000</v>
      </c>
      <c r="K12" s="139">
        <f>-ОС!K21</f>
        <v>0</v>
      </c>
      <c r="L12" s="139">
        <f>-ОС!L21</f>
        <v>0</v>
      </c>
      <c r="M12" s="139">
        <f>-ОС!M21</f>
        <v>0</v>
      </c>
      <c r="N12" s="139">
        <f>-ОС!N21</f>
        <v>0</v>
      </c>
      <c r="O12" s="139">
        <f>-ОС!O21</f>
        <v>0</v>
      </c>
      <c r="P12" s="139">
        <f>-ОС!P21</f>
        <v>0</v>
      </c>
      <c r="Q12" s="139">
        <f>-ОС!Q21</f>
        <v>0</v>
      </c>
      <c r="R12" s="139">
        <f>-ОС!R21</f>
        <v>0</v>
      </c>
      <c r="S12" s="139">
        <f>-ОС!S21</f>
        <v>0</v>
      </c>
      <c r="T12" s="139">
        <f>-ОС!T21</f>
        <v>0</v>
      </c>
      <c r="U12" s="139">
        <f>-ОС!U21</f>
        <v>0</v>
      </c>
      <c r="V12" s="139">
        <f>-ОС!V21</f>
        <v>0</v>
      </c>
      <c r="W12" s="139">
        <f>-ОС!W21</f>
        <v>0</v>
      </c>
      <c r="X12" s="139">
        <f>-ОС!X21</f>
        <v>0</v>
      </c>
    </row>
    <row r="13" spans="1:25">
      <c r="B13" s="20" t="s">
        <v>220</v>
      </c>
      <c r="C13" s="20" t="s">
        <v>6</v>
      </c>
      <c r="I13" s="139">
        <f>-NWC!I27</f>
        <v>0</v>
      </c>
      <c r="J13" s="139">
        <f>-NWC!J27</f>
        <v>0</v>
      </c>
      <c r="K13" s="139">
        <f>-NWC!K27</f>
        <v>-24802</v>
      </c>
      <c r="L13" s="139">
        <f>-NWC!L27</f>
        <v>-3416</v>
      </c>
      <c r="M13" s="139">
        <f>-NWC!M27</f>
        <v>-908</v>
      </c>
      <c r="N13" s="139">
        <f>-NWC!N27</f>
        <v>-1179</v>
      </c>
      <c r="O13" s="139">
        <f>-NWC!O27</f>
        <v>-1198</v>
      </c>
      <c r="P13" s="139">
        <f>-NWC!P27</f>
        <v>-1260</v>
      </c>
      <c r="Q13" s="139">
        <f>-NWC!Q27</f>
        <v>-1311</v>
      </c>
      <c r="R13" s="139">
        <f>-NWC!R27</f>
        <v>-1378</v>
      </c>
      <c r="S13" s="139">
        <f>-NWC!S27</f>
        <v>-1402</v>
      </c>
      <c r="T13" s="139">
        <f>-NWC!T27</f>
        <v>-1474</v>
      </c>
      <c r="U13" s="139">
        <f>-NWC!U27</f>
        <v>-1533</v>
      </c>
      <c r="V13" s="139">
        <f>-NWC!V27</f>
        <v>-1613</v>
      </c>
      <c r="W13" s="139">
        <f>-NWC!W27</f>
        <v>-1640</v>
      </c>
      <c r="X13" s="139">
        <f>-NWC!X27</f>
        <v>-1725</v>
      </c>
    </row>
    <row r="15" spans="1:25" ht="15" thickBot="1">
      <c r="B15" s="133" t="s">
        <v>247</v>
      </c>
      <c r="C15" s="133" t="s">
        <v>6</v>
      </c>
      <c r="D15" s="133"/>
      <c r="E15" s="133"/>
      <c r="F15" s="133"/>
      <c r="G15" s="133"/>
      <c r="H15" s="133"/>
      <c r="I15" s="133">
        <f t="shared" ref="I15:X15" si="1">SUM(I9:I13)</f>
        <v>-600000</v>
      </c>
      <c r="J15" s="133">
        <f t="shared" si="1"/>
        <v>-1400000</v>
      </c>
      <c r="K15" s="133">
        <f t="shared" si="1"/>
        <v>224835</v>
      </c>
      <c r="L15" s="133">
        <f t="shared" si="1"/>
        <v>274223</v>
      </c>
      <c r="M15" s="133">
        <f t="shared" si="1"/>
        <v>285628</v>
      </c>
      <c r="N15" s="133">
        <f t="shared" si="1"/>
        <v>297694</v>
      </c>
      <c r="O15" s="133">
        <f t="shared" si="1"/>
        <v>308603</v>
      </c>
      <c r="P15" s="133">
        <f t="shared" si="1"/>
        <v>320886</v>
      </c>
      <c r="Q15" s="133">
        <f t="shared" si="1"/>
        <v>333681</v>
      </c>
      <c r="R15" s="133">
        <f t="shared" si="1"/>
        <v>348073</v>
      </c>
      <c r="S15" s="133">
        <f t="shared" si="1"/>
        <v>360858</v>
      </c>
      <c r="T15" s="133">
        <f t="shared" si="1"/>
        <v>375247</v>
      </c>
      <c r="U15" s="133">
        <f t="shared" si="1"/>
        <v>390232</v>
      </c>
      <c r="V15" s="133">
        <f t="shared" si="1"/>
        <v>407085</v>
      </c>
      <c r="W15" s="133">
        <f t="shared" si="1"/>
        <v>422054</v>
      </c>
      <c r="X15" s="133">
        <f t="shared" si="1"/>
        <v>438900</v>
      </c>
      <c r="Y15" s="133">
        <f>D21</f>
        <v>4876666.666666667</v>
      </c>
    </row>
    <row r="16" spans="1:25">
      <c r="B16" s="20" t="s">
        <v>267</v>
      </c>
      <c r="I16" s="173">
        <f>I15</f>
        <v>-600000</v>
      </c>
      <c r="J16" s="173">
        <f>I16+J15</f>
        <v>-2000000</v>
      </c>
      <c r="K16" s="173">
        <f t="shared" ref="K16:X16" si="2">J16+K15</f>
        <v>-1775165</v>
      </c>
      <c r="L16" s="173">
        <f t="shared" si="2"/>
        <v>-1500942</v>
      </c>
      <c r="M16" s="173">
        <f t="shared" si="2"/>
        <v>-1215314</v>
      </c>
      <c r="N16" s="173">
        <f t="shared" si="2"/>
        <v>-917620</v>
      </c>
      <c r="O16" s="173">
        <f t="shared" si="2"/>
        <v>-609017</v>
      </c>
      <c r="P16" s="173">
        <f t="shared" si="2"/>
        <v>-288131</v>
      </c>
      <c r="Q16" s="173">
        <f t="shared" si="2"/>
        <v>45550</v>
      </c>
      <c r="R16" s="173">
        <f t="shared" si="2"/>
        <v>393623</v>
      </c>
      <c r="S16" s="173">
        <f t="shared" si="2"/>
        <v>754481</v>
      </c>
      <c r="T16" s="173">
        <f t="shared" si="2"/>
        <v>1129728</v>
      </c>
      <c r="U16" s="173">
        <f t="shared" si="2"/>
        <v>1519960</v>
      </c>
      <c r="V16" s="173">
        <f t="shared" si="2"/>
        <v>1927045</v>
      </c>
      <c r="W16" s="173">
        <f t="shared" si="2"/>
        <v>2349099</v>
      </c>
      <c r="X16" s="173">
        <f t="shared" si="2"/>
        <v>2787999</v>
      </c>
    </row>
    <row r="17" spans="2:25">
      <c r="B17" s="20" t="s">
        <v>268</v>
      </c>
      <c r="I17" s="183" t="str">
        <f>IF(I16&lt;0,"-",ABS(H16/I15))</f>
        <v>-</v>
      </c>
      <c r="J17" s="183" t="str">
        <f t="shared" ref="J17:X17" si="3">IF(J16&lt;0,"-",ABS(I16/J15))</f>
        <v>-</v>
      </c>
      <c r="K17" s="183" t="str">
        <f t="shared" si="3"/>
        <v>-</v>
      </c>
      <c r="L17" s="183" t="str">
        <f t="shared" si="3"/>
        <v>-</v>
      </c>
      <c r="M17" s="183" t="str">
        <f t="shared" si="3"/>
        <v>-</v>
      </c>
      <c r="N17" s="183" t="str">
        <f t="shared" si="3"/>
        <v>-</v>
      </c>
      <c r="O17" s="183" t="str">
        <f t="shared" si="3"/>
        <v>-</v>
      </c>
      <c r="P17" s="183" t="str">
        <f t="shared" si="3"/>
        <v>-</v>
      </c>
      <c r="Q17" s="183">
        <f t="shared" si="3"/>
        <v>0.86349237745031937</v>
      </c>
      <c r="R17" s="183">
        <f t="shared" si="3"/>
        <v>0.13086335337702149</v>
      </c>
      <c r="S17" s="183">
        <f t="shared" si="3"/>
        <v>1.0907974882086582</v>
      </c>
      <c r="T17" s="183">
        <f t="shared" si="3"/>
        <v>2.0106250016655696</v>
      </c>
      <c r="U17" s="183">
        <f t="shared" si="3"/>
        <v>2.8950162979970888</v>
      </c>
      <c r="V17" s="183">
        <f t="shared" si="3"/>
        <v>3.7337656754731814</v>
      </c>
      <c r="W17" s="183">
        <f t="shared" si="3"/>
        <v>4.5658730873300577</v>
      </c>
      <c r="X17" s="183">
        <f t="shared" si="3"/>
        <v>5.3522419685577578</v>
      </c>
    </row>
    <row r="19" spans="2:25">
      <c r="B19" s="20" t="s">
        <v>88</v>
      </c>
      <c r="C19" s="20" t="s">
        <v>2</v>
      </c>
      <c r="D19" s="145">
        <f>Предпоссылки!$E$17</f>
        <v>0.12</v>
      </c>
    </row>
    <row r="20" spans="2:25">
      <c r="B20" s="20" t="s">
        <v>89</v>
      </c>
      <c r="C20" s="20" t="s">
        <v>2</v>
      </c>
      <c r="D20" s="145">
        <f>Предпоссылки!$E$18</f>
        <v>0.03</v>
      </c>
    </row>
    <row r="21" spans="2:25">
      <c r="B21" s="122" t="s">
        <v>280</v>
      </c>
      <c r="C21" s="20" t="s">
        <v>6</v>
      </c>
      <c r="D21" s="139">
        <f>X15/($D$19-$D$20)</f>
        <v>4876666.666666667</v>
      </c>
    </row>
    <row r="22" spans="2:25">
      <c r="B22" s="20" t="s">
        <v>281</v>
      </c>
      <c r="C22" s="20" t="s">
        <v>6</v>
      </c>
      <c r="D22" s="139">
        <f>Y28</f>
        <v>942891.54780956788</v>
      </c>
    </row>
    <row r="24" spans="2:25">
      <c r="B24" s="20" t="s">
        <v>249</v>
      </c>
      <c r="I24" s="173">
        <v>0</v>
      </c>
      <c r="J24" s="173">
        <f>0.5</f>
        <v>0.5</v>
      </c>
      <c r="K24" s="173">
        <f t="shared" ref="K24:X24" si="4">J24+1</f>
        <v>1.5</v>
      </c>
      <c r="L24" s="173">
        <f t="shared" si="4"/>
        <v>2.5</v>
      </c>
      <c r="M24" s="173">
        <f t="shared" si="4"/>
        <v>3.5</v>
      </c>
      <c r="N24" s="173">
        <f t="shared" si="4"/>
        <v>4.5</v>
      </c>
      <c r="O24" s="173">
        <f t="shared" si="4"/>
        <v>5.5</v>
      </c>
      <c r="P24" s="173">
        <f t="shared" si="4"/>
        <v>6.5</v>
      </c>
      <c r="Q24" s="173">
        <f t="shared" si="4"/>
        <v>7.5</v>
      </c>
      <c r="R24" s="173">
        <f t="shared" si="4"/>
        <v>8.5</v>
      </c>
      <c r="S24" s="173">
        <f t="shared" si="4"/>
        <v>9.5</v>
      </c>
      <c r="T24" s="173">
        <f t="shared" si="4"/>
        <v>10.5</v>
      </c>
      <c r="U24" s="173">
        <f t="shared" si="4"/>
        <v>11.5</v>
      </c>
      <c r="V24" s="173">
        <f t="shared" si="4"/>
        <v>12.5</v>
      </c>
      <c r="W24" s="173">
        <f t="shared" si="4"/>
        <v>13.5</v>
      </c>
      <c r="X24" s="173">
        <f t="shared" si="4"/>
        <v>14.5</v>
      </c>
      <c r="Y24" s="174">
        <f>X24</f>
        <v>14.5</v>
      </c>
    </row>
    <row r="25" spans="2:25">
      <c r="B25" s="20" t="s">
        <v>250</v>
      </c>
      <c r="I25" s="174">
        <f t="shared" ref="I25:X25" si="5">1/(1+$D$19)^I24</f>
        <v>1</v>
      </c>
      <c r="J25" s="174">
        <f t="shared" si="5"/>
        <v>0.94491118252306794</v>
      </c>
      <c r="K25" s="174">
        <f t="shared" si="5"/>
        <v>0.84367069868131062</v>
      </c>
      <c r="L25" s="174">
        <f t="shared" si="5"/>
        <v>0.75327740953688449</v>
      </c>
      <c r="M25" s="174">
        <f t="shared" si="5"/>
        <v>0.67256911565793243</v>
      </c>
      <c r="N25" s="174">
        <f t="shared" si="5"/>
        <v>0.60050813898029676</v>
      </c>
      <c r="O25" s="174">
        <f t="shared" si="5"/>
        <v>0.53616798123240783</v>
      </c>
      <c r="P25" s="174">
        <f t="shared" si="5"/>
        <v>0.47872141181464972</v>
      </c>
      <c r="Q25" s="174">
        <f t="shared" si="5"/>
        <v>0.42742983197736584</v>
      </c>
      <c r="R25" s="174">
        <f t="shared" si="5"/>
        <v>0.38163377855121944</v>
      </c>
      <c r="S25" s="174">
        <f t="shared" si="5"/>
        <v>0.34074444513501739</v>
      </c>
      <c r="T25" s="174">
        <f t="shared" si="5"/>
        <v>0.30423611172769405</v>
      </c>
      <c r="U25" s="174">
        <f t="shared" si="5"/>
        <v>0.27163938547115535</v>
      </c>
      <c r="V25" s="174">
        <f t="shared" si="5"/>
        <v>0.24253516559924582</v>
      </c>
      <c r="W25" s="174">
        <f t="shared" si="5"/>
        <v>0.21654925499932662</v>
      </c>
      <c r="X25" s="174">
        <f t="shared" si="5"/>
        <v>0.19334754910654159</v>
      </c>
      <c r="Y25" s="174">
        <f>X25</f>
        <v>0.19334754910654159</v>
      </c>
    </row>
    <row r="28" spans="2:25" ht="15" thickBot="1">
      <c r="B28" s="133" t="s">
        <v>248</v>
      </c>
      <c r="C28" s="133" t="s">
        <v>6</v>
      </c>
      <c r="D28" s="133"/>
      <c r="E28" s="133"/>
      <c r="F28" s="133"/>
      <c r="G28" s="133"/>
      <c r="H28" s="133"/>
      <c r="I28" s="133">
        <f t="shared" ref="I28:X28" si="6">I15*I25</f>
        <v>-600000</v>
      </c>
      <c r="J28" s="133">
        <f t="shared" si="6"/>
        <v>-1322875.6555322951</v>
      </c>
      <c r="K28" s="133">
        <f t="shared" si="6"/>
        <v>189686.70153801248</v>
      </c>
      <c r="L28" s="133">
        <f t="shared" si="6"/>
        <v>206565.99107543306</v>
      </c>
      <c r="M28" s="133">
        <f t="shared" si="6"/>
        <v>192104.57136714392</v>
      </c>
      <c r="N28" s="133">
        <f t="shared" si="6"/>
        <v>178767.66992560046</v>
      </c>
      <c r="O28" s="133">
        <f t="shared" si="6"/>
        <v>165463.04751226475</v>
      </c>
      <c r="P28" s="133">
        <f t="shared" si="6"/>
        <v>153614.9989515557</v>
      </c>
      <c r="Q28" s="133">
        <f t="shared" si="6"/>
        <v>142625.21376403942</v>
      </c>
      <c r="R28" s="133">
        <f t="shared" si="6"/>
        <v>132836.4142016586</v>
      </c>
      <c r="S28" s="133">
        <f t="shared" si="6"/>
        <v>122960.35898253211</v>
      </c>
      <c r="T28" s="133">
        <f t="shared" si="6"/>
        <v>114163.68821748201</v>
      </c>
      <c r="U28" s="133">
        <f t="shared" si="6"/>
        <v>106002.3806711799</v>
      </c>
      <c r="V28" s="133">
        <f t="shared" si="6"/>
        <v>98732.427887968981</v>
      </c>
      <c r="W28" s="133">
        <f t="shared" si="6"/>
        <v>91395.47926948579</v>
      </c>
      <c r="X28" s="133">
        <f t="shared" si="6"/>
        <v>84860.239302861097</v>
      </c>
      <c r="Y28" s="133">
        <f>D21*Y25</f>
        <v>942891.54780956788</v>
      </c>
    </row>
    <row r="29" spans="2:25">
      <c r="B29" s="20" t="s">
        <v>269</v>
      </c>
      <c r="I29" s="173">
        <f>I28</f>
        <v>-600000</v>
      </c>
      <c r="J29" s="173">
        <f>I29+J28</f>
        <v>-1922875.6555322951</v>
      </c>
      <c r="K29" s="173">
        <f t="shared" ref="K29:Q29" si="7">J29+K28</f>
        <v>-1733188.9539942825</v>
      </c>
      <c r="L29" s="173">
        <f t="shared" si="7"/>
        <v>-1526622.9629188494</v>
      </c>
      <c r="M29" s="173">
        <f t="shared" si="7"/>
        <v>-1334518.3915517055</v>
      </c>
      <c r="N29" s="173">
        <f t="shared" si="7"/>
        <v>-1155750.721626105</v>
      </c>
      <c r="O29" s="173">
        <f t="shared" si="7"/>
        <v>-990287.67411384033</v>
      </c>
      <c r="P29" s="173">
        <f t="shared" si="7"/>
        <v>-836672.67516228464</v>
      </c>
      <c r="Q29" s="173">
        <f t="shared" si="7"/>
        <v>-694047.46139824518</v>
      </c>
      <c r="R29" s="173">
        <f>Q29+R28</f>
        <v>-561211.04719658662</v>
      </c>
      <c r="S29" s="173">
        <f>R29+S28</f>
        <v>-438250.68821405451</v>
      </c>
      <c r="T29" s="173">
        <f t="shared" ref="T29" si="8">S29+T28</f>
        <v>-324086.9999965725</v>
      </c>
      <c r="U29" s="173">
        <f t="shared" ref="U29" si="9">T29+U28</f>
        <v>-218084.61932539259</v>
      </c>
      <c r="V29" s="173">
        <f t="shared" ref="V29" si="10">U29+V28</f>
        <v>-119352.19143742361</v>
      </c>
      <c r="W29" s="173">
        <f>V29+W28</f>
        <v>-27956.712167937818</v>
      </c>
      <c r="X29" s="173">
        <f t="shared" ref="X29" si="11">W29+X28</f>
        <v>56903.527134923279</v>
      </c>
    </row>
    <row r="30" spans="2:25">
      <c r="B30" s="20" t="s">
        <v>268</v>
      </c>
      <c r="I30" s="184" t="str">
        <f>IF(I29&lt;0,"-",ABS(H29/I28))</f>
        <v>-</v>
      </c>
      <c r="J30" s="184" t="str">
        <f t="shared" ref="J30:X30" si="12">IF(J29&lt;0,"-",ABS(I29/J28))</f>
        <v>-</v>
      </c>
      <c r="K30" s="184" t="str">
        <f t="shared" si="12"/>
        <v>-</v>
      </c>
      <c r="L30" s="184" t="str">
        <f t="shared" si="12"/>
        <v>-</v>
      </c>
      <c r="M30" s="184" t="str">
        <f t="shared" si="12"/>
        <v>-</v>
      </c>
      <c r="N30" s="184" t="str">
        <f t="shared" si="12"/>
        <v>-</v>
      </c>
      <c r="O30" s="184" t="str">
        <f t="shared" si="12"/>
        <v>-</v>
      </c>
      <c r="P30" s="184" t="str">
        <f t="shared" si="12"/>
        <v>-</v>
      </c>
      <c r="Q30" s="184" t="str">
        <f t="shared" si="12"/>
        <v>-</v>
      </c>
      <c r="R30" s="184" t="str">
        <f t="shared" si="12"/>
        <v>-</v>
      </c>
      <c r="S30" s="184" t="str">
        <f t="shared" si="12"/>
        <v>-</v>
      </c>
      <c r="T30" s="184" t="str">
        <f t="shared" si="12"/>
        <v>-</v>
      </c>
      <c r="U30" s="184" t="str">
        <f t="shared" si="12"/>
        <v>-</v>
      </c>
      <c r="V30" s="184" t="str">
        <f t="shared" si="12"/>
        <v>-</v>
      </c>
      <c r="W30" s="184" t="str">
        <f t="shared" si="12"/>
        <v>-</v>
      </c>
      <c r="X30" s="184">
        <f t="shared" si="12"/>
        <v>0.32944418254775348</v>
      </c>
    </row>
    <row r="32" spans="2:25" ht="15" thickBot="1"/>
    <row r="33" spans="1:25">
      <c r="B33" s="191" t="s">
        <v>252</v>
      </c>
      <c r="C33" s="107" t="s">
        <v>185</v>
      </c>
      <c r="D33" s="185">
        <f>SUM(I28:Y28)</f>
        <v>999795.07494449115</v>
      </c>
    </row>
    <row r="34" spans="1:25">
      <c r="B34" s="187" t="s">
        <v>253</v>
      </c>
      <c r="C34" s="20" t="s">
        <v>2</v>
      </c>
      <c r="D34" s="204">
        <f>IRR(I28:Y28)</f>
        <v>4.8348873457248809E-2</v>
      </c>
    </row>
    <row r="35" spans="1:25">
      <c r="B35" s="127"/>
      <c r="D35" s="128"/>
    </row>
    <row r="36" spans="1:25">
      <c r="B36" s="187" t="s">
        <v>265</v>
      </c>
      <c r="D36" s="128"/>
    </row>
    <row r="37" spans="1:25">
      <c r="B37" s="127" t="s">
        <v>270</v>
      </c>
      <c r="D37" s="188">
        <f>COUNTIF(I16:X16,"&lt;"&amp;0)</f>
        <v>8</v>
      </c>
    </row>
    <row r="38" spans="1:25">
      <c r="B38" s="127" t="s">
        <v>271</v>
      </c>
      <c r="D38" s="188" cm="1">
        <f t="array" ref="D38">INDEX(I17:X17,(COUNTIF(I16:X16,"&lt;"&amp;0)+1))</f>
        <v>0.86349237745031937</v>
      </c>
    </row>
    <row r="39" spans="1:25">
      <c r="B39" s="186" t="s">
        <v>272</v>
      </c>
      <c r="D39" s="188" cm="1">
        <f t="array" ref="D39">COUNTIF(I16:X16,"&lt;"&amp;0)+INDEX(I17:X17,(COUNTIF(I16:X16,"&lt;"&amp;0)+1))</f>
        <v>8.8634923774503189</v>
      </c>
    </row>
    <row r="40" spans="1:25">
      <c r="B40" s="127"/>
      <c r="D40" s="128"/>
    </row>
    <row r="41" spans="1:25">
      <c r="B41" s="127"/>
      <c r="D41" s="128"/>
    </row>
    <row r="42" spans="1:25">
      <c r="B42" s="187" t="s">
        <v>273</v>
      </c>
      <c r="C42" s="38"/>
      <c r="D42" s="128"/>
    </row>
    <row r="43" spans="1:25">
      <c r="B43" s="127" t="s">
        <v>274</v>
      </c>
      <c r="D43" s="188">
        <f>COUNTIF(I29:X29,"&lt;"&amp;0)</f>
        <v>15</v>
      </c>
    </row>
    <row r="44" spans="1:25">
      <c r="B44" s="127" t="s">
        <v>271</v>
      </c>
      <c r="D44" s="188" cm="1">
        <f t="array" ref="D44">INDEX(I30:X30,(COUNTIF(I29:X29,"&lt;"&amp;0)+1))</f>
        <v>0.32944418254775348</v>
      </c>
    </row>
    <row r="45" spans="1:25" ht="15" thickBot="1">
      <c r="B45" s="189" t="s">
        <v>279</v>
      </c>
      <c r="C45" s="108"/>
      <c r="D45" s="190" cm="1">
        <f t="array" ref="D45">COUNTIF(I29:X29,"&lt;"&amp;0)+INDEX(I30:X30,(COUNTIF(I29:X29,"&lt;"&amp;0)+1))</f>
        <v>15.329444182547753</v>
      </c>
    </row>
    <row r="46" spans="1:25" ht="15" thickBot="1"/>
    <row r="47" spans="1:25" ht="15" thickBot="1">
      <c r="A47" s="72" t="s">
        <v>72</v>
      </c>
      <c r="B47" s="138" t="s">
        <v>277</v>
      </c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192"/>
    </row>
    <row r="50" spans="3:9" ht="15" thickBot="1"/>
    <row r="51" spans="3:9">
      <c r="C51" s="195"/>
      <c r="D51" s="107"/>
      <c r="E51" s="107"/>
      <c r="F51" s="66" t="s">
        <v>88</v>
      </c>
      <c r="G51" s="107"/>
      <c r="H51" s="107"/>
      <c r="I51" s="116"/>
    </row>
    <row r="52" spans="3:9">
      <c r="C52" s="196" t="s">
        <v>252</v>
      </c>
      <c r="I52" s="128"/>
    </row>
    <row r="53" spans="3:9">
      <c r="C53" s="208">
        <f>$D$33</f>
        <v>999795.07494449115</v>
      </c>
      <c r="D53" s="193">
        <v>0.1</v>
      </c>
      <c r="E53" s="194">
        <v>0.11</v>
      </c>
      <c r="F53" s="194">
        <v>0.12</v>
      </c>
      <c r="G53" s="194">
        <v>0.13</v>
      </c>
      <c r="H53" s="194">
        <v>0.14000000000000001</v>
      </c>
      <c r="I53" s="197">
        <v>0.15</v>
      </c>
    </row>
    <row r="54" spans="3:9">
      <c r="C54" s="198">
        <v>0.05</v>
      </c>
      <c r="D54" s="139">
        <f t="dataTable" ref="D54:I58" dt2D="1" dtr="1" r1="D19" r2="D20"/>
        <v>2516735.6026058253</v>
      </c>
      <c r="E54" s="139">
        <v>1789482.7287131774</v>
      </c>
      <c r="F54" s="139">
        <v>1269192.6600329392</v>
      </c>
      <c r="G54" s="139">
        <v>878505.98127120675</v>
      </c>
      <c r="H54" s="139">
        <v>574412.879115424</v>
      </c>
      <c r="I54" s="199">
        <v>331082.53245030798</v>
      </c>
    </row>
    <row r="55" spans="3:9">
      <c r="C55" s="200">
        <v>0.04</v>
      </c>
      <c r="D55" s="139">
        <v>2149410.6837495971</v>
      </c>
      <c r="E55" s="139">
        <v>1559373.9973671103</v>
      </c>
      <c r="F55" s="139">
        <v>1117656.5184206872</v>
      </c>
      <c r="G55" s="139">
        <v>774897.41740972584</v>
      </c>
      <c r="H55" s="139">
        <v>501466.67004674894</v>
      </c>
      <c r="I55" s="199">
        <v>278498.46085773292</v>
      </c>
    </row>
    <row r="56" spans="3:9">
      <c r="C56" s="200">
        <v>0.03</v>
      </c>
      <c r="D56" s="139">
        <v>1887035.7417094344</v>
      </c>
      <c r="E56" s="139">
        <v>1386792.4488575605</v>
      </c>
      <c r="F56" s="201">
        <v>999795.07494449115</v>
      </c>
      <c r="G56" s="139">
        <v>692010.56632054108</v>
      </c>
      <c r="H56" s="139">
        <v>441783.40808146924</v>
      </c>
      <c r="I56" s="199">
        <v>234678.40119725352</v>
      </c>
    </row>
    <row r="57" spans="3:9">
      <c r="C57" s="200">
        <v>0.02</v>
      </c>
      <c r="D57" s="139">
        <v>1690254.5351793126</v>
      </c>
      <c r="E57" s="139">
        <v>1252562.355572355</v>
      </c>
      <c r="F57" s="139">
        <v>905505.92016353435</v>
      </c>
      <c r="G57" s="139">
        <v>624194.05179302639</v>
      </c>
      <c r="H57" s="139">
        <v>392047.35644373612</v>
      </c>
      <c r="I57" s="199">
        <v>197599.88917684797</v>
      </c>
    </row>
    <row r="58" spans="3:9">
      <c r="C58" s="200">
        <v>0.01</v>
      </c>
      <c r="D58" s="139">
        <v>1537202.4856558843</v>
      </c>
      <c r="E58" s="139">
        <v>1145178.2809441905</v>
      </c>
      <c r="F58" s="139">
        <v>828360.24807002419</v>
      </c>
      <c r="G58" s="139">
        <v>567680.28968676401</v>
      </c>
      <c r="H58" s="139">
        <v>349963.00505796203</v>
      </c>
      <c r="I58" s="199">
        <v>165818.30744507184</v>
      </c>
    </row>
    <row r="59" spans="3:9">
      <c r="C59" s="202"/>
      <c r="I59" s="128"/>
    </row>
    <row r="60" spans="3:9" ht="15" thickBot="1">
      <c r="C60" s="203" t="s">
        <v>89</v>
      </c>
      <c r="D60" s="108"/>
      <c r="E60" s="108"/>
      <c r="F60" s="108"/>
      <c r="G60" s="108"/>
      <c r="H60" s="108"/>
      <c r="I60" s="129"/>
    </row>
    <row r="62" spans="3:9" ht="15" thickBot="1"/>
    <row r="63" spans="3:9">
      <c r="C63" s="195"/>
      <c r="D63" s="107"/>
      <c r="E63" s="107"/>
      <c r="F63" s="66" t="s">
        <v>88</v>
      </c>
      <c r="G63" s="107"/>
      <c r="H63" s="107"/>
      <c r="I63" s="116"/>
    </row>
    <row r="64" spans="3:9">
      <c r="C64" s="196" t="s">
        <v>253</v>
      </c>
      <c r="I64" s="128"/>
    </row>
    <row r="65" spans="3:9">
      <c r="C65" s="205">
        <f>D34</f>
        <v>4.8348873457248809E-2</v>
      </c>
      <c r="D65" s="193">
        <v>0.1</v>
      </c>
      <c r="E65" s="194">
        <v>0.11</v>
      </c>
      <c r="F65" s="194">
        <v>0.12</v>
      </c>
      <c r="G65" s="194">
        <v>0.13</v>
      </c>
      <c r="H65" s="194">
        <v>0.14000000000000001</v>
      </c>
      <c r="I65" s="197">
        <v>0.15</v>
      </c>
    </row>
    <row r="66" spans="3:9">
      <c r="C66" s="198">
        <v>0.05</v>
      </c>
      <c r="D66" s="145">
        <f t="dataTable" ref="D66:I70" dt2D="1" dtr="1" r1="D19" r2="D20" ca="1"/>
        <v>8.696596249366606E-2</v>
      </c>
      <c r="E66" s="145">
        <v>7.085315497855782E-2</v>
      </c>
      <c r="F66" s="145">
        <v>5.640415609649696E-2</v>
      </c>
      <c r="G66" s="145">
        <v>4.3161988906422755E-2</v>
      </c>
      <c r="H66" s="145">
        <v>3.084004334472934E-2</v>
      </c>
      <c r="I66" s="206">
        <v>1.9247450390181831E-2</v>
      </c>
    </row>
    <row r="67" spans="3:9">
      <c r="C67" s="200">
        <v>0.04</v>
      </c>
      <c r="D67" s="145">
        <v>8.0072705305081371E-2</v>
      </c>
      <c r="E67" s="145">
        <v>6.5432751169317793E-2</v>
      </c>
      <c r="F67" s="145">
        <v>5.201103473524471E-2</v>
      </c>
      <c r="G67" s="145">
        <v>3.951868676158421E-2</v>
      </c>
      <c r="H67" s="145">
        <v>2.7763333427493819E-2</v>
      </c>
      <c r="I67" s="206">
        <v>1.6610755379958819E-2</v>
      </c>
    </row>
    <row r="68" spans="3:9">
      <c r="C68" s="200">
        <v>0.03</v>
      </c>
      <c r="D68" s="145">
        <v>7.4621636623658061E-2</v>
      </c>
      <c r="E68" s="145">
        <v>6.1015888155776521E-2</v>
      </c>
      <c r="F68" s="209">
        <v>4.8348873457248809E-2</v>
      </c>
      <c r="G68" s="145">
        <v>3.6426686525080854E-2</v>
      </c>
      <c r="H68" s="145">
        <v>2.5114032002663933E-2</v>
      </c>
      <c r="I68" s="206">
        <v>1.4312905642174467E-2</v>
      </c>
    </row>
    <row r="69" spans="3:9">
      <c r="C69" s="200">
        <v>0.02</v>
      </c>
      <c r="D69" s="145">
        <v>7.0180736362014828E-2</v>
      </c>
      <c r="E69" s="145">
        <v>5.7334640897813482E-2</v>
      </c>
      <c r="F69" s="145">
        <v>4.5241404822915943E-2</v>
      </c>
      <c r="G69" s="145">
        <v>3.3764636249096869E-2</v>
      </c>
      <c r="H69" s="145">
        <v>2.2805526026573375E-2</v>
      </c>
      <c r="I69" s="206">
        <v>1.2290238866515368E-2</v>
      </c>
    </row>
    <row r="70" spans="3:9">
      <c r="C70" s="200">
        <v>0.01</v>
      </c>
      <c r="D70" s="145">
        <v>6.6480171819424561E-2</v>
      </c>
      <c r="E70" s="145">
        <v>5.4211522375747112E-2</v>
      </c>
      <c r="F70" s="145">
        <v>4.2566460594138045E-2</v>
      </c>
      <c r="G70" s="145">
        <v>3.144535617544908E-2</v>
      </c>
      <c r="H70" s="145">
        <v>2.0773747792951935E-2</v>
      </c>
      <c r="I70" s="206">
        <v>1.0494506982910989E-2</v>
      </c>
    </row>
    <row r="71" spans="3:9" ht="15" thickBot="1">
      <c r="C71" s="203" t="s">
        <v>89</v>
      </c>
      <c r="D71" s="108"/>
      <c r="E71" s="108"/>
      <c r="F71" s="108"/>
      <c r="G71" s="108"/>
      <c r="H71" s="108"/>
      <c r="I71" s="129"/>
    </row>
    <row r="93" spans="2:16" s="71" customFormat="1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</row>
    <row r="94" spans="2:16" s="71" customFormat="1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</row>
    <row r="95" spans="2:16" s="71" customFormat="1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</row>
    <row r="96" spans="2:16" s="71" customFormat="1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</row>
    <row r="97" spans="2:16" s="71" customFormat="1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DA7D-FA3F-D64B-8E86-D9B3C119A7E5}">
  <sheetPr>
    <tabColor theme="9"/>
  </sheetPr>
  <dimension ref="A1:X128"/>
  <sheetViews>
    <sheetView topLeftCell="B1" zoomScale="90" zoomScaleNormal="90" workbookViewId="0">
      <pane ySplit="1" topLeftCell="A2" activePane="bottomLeft" state="frozen"/>
      <selection activeCell="C1" sqref="C1"/>
      <selection pane="bottomLeft"/>
    </sheetView>
  </sheetViews>
  <sheetFormatPr baseColWidth="10" defaultRowHeight="14"/>
  <cols>
    <col min="1" max="1" width="17" style="71" customWidth="1"/>
    <col min="2" max="2" width="46.83203125" style="20" customWidth="1"/>
    <col min="3" max="3" width="18.83203125" style="20" customWidth="1"/>
    <col min="4" max="4" width="21.5" style="20" customWidth="1"/>
    <col min="5" max="5" width="15" style="20" bestFit="1" customWidth="1"/>
    <col min="6" max="6" width="15" style="20" customWidth="1"/>
    <col min="7" max="7" width="16.6640625" style="20" customWidth="1"/>
    <col min="8" max="8" width="4.83203125" style="20" customWidth="1"/>
    <col min="9" max="16" width="15" style="20" bestFit="1" customWidth="1"/>
    <col min="17" max="16384" width="10.83203125" style="20"/>
  </cols>
  <sheetData>
    <row r="1" spans="1:24" ht="20" thickBot="1">
      <c r="A1" s="135" t="s">
        <v>209</v>
      </c>
      <c r="B1" s="14" t="s">
        <v>16</v>
      </c>
      <c r="C1" s="15" t="s">
        <v>17</v>
      </c>
      <c r="D1" s="16" t="s">
        <v>40</v>
      </c>
      <c r="E1" s="16" t="s">
        <v>29</v>
      </c>
      <c r="F1" s="16" t="s">
        <v>68</v>
      </c>
      <c r="G1" s="16" t="s">
        <v>34</v>
      </c>
      <c r="H1" s="98"/>
      <c r="I1" s="17">
        <f>Предпоссылки!I1</f>
        <v>2023</v>
      </c>
      <c r="J1" s="17">
        <f>Предпоссылки!J1</f>
        <v>2024</v>
      </c>
      <c r="K1" s="17">
        <f>Предпоссылки!K1</f>
        <v>2025</v>
      </c>
      <c r="L1" s="17">
        <f>Предпоссылки!L1</f>
        <v>2026</v>
      </c>
      <c r="M1" s="17">
        <f>Предпоссылки!M1</f>
        <v>2027</v>
      </c>
      <c r="N1" s="17">
        <f>Предпоссылки!N1</f>
        <v>2028</v>
      </c>
      <c r="O1" s="17">
        <f>Предпоссылки!O1</f>
        <v>2029</v>
      </c>
      <c r="P1" s="17">
        <f>Предпоссылки!P1</f>
        <v>2030</v>
      </c>
      <c r="Q1" s="17">
        <f>Предпоссылки!Q1</f>
        <v>2031</v>
      </c>
      <c r="R1" s="17">
        <f>Предпоссылки!R1</f>
        <v>2032</v>
      </c>
      <c r="S1" s="17">
        <f>Предпоссылки!S1</f>
        <v>2033</v>
      </c>
      <c r="T1" s="17">
        <f>Предпоссылки!T1</f>
        <v>2034</v>
      </c>
      <c r="U1" s="17">
        <f>Предпоссылки!U1</f>
        <v>2035</v>
      </c>
      <c r="V1" s="17">
        <f>Предпоссылки!V1</f>
        <v>2036</v>
      </c>
      <c r="W1" s="17">
        <f>Предпоссылки!W1</f>
        <v>2037</v>
      </c>
      <c r="X1" s="17">
        <f>Предпоссылки!X1</f>
        <v>2038</v>
      </c>
    </row>
    <row r="2" spans="1:24" ht="15" thickBot="1">
      <c r="A2" s="20" t="s">
        <v>80</v>
      </c>
      <c r="B2" s="22" t="s">
        <v>176</v>
      </c>
      <c r="C2" s="22" t="s">
        <v>175</v>
      </c>
      <c r="H2" s="47"/>
      <c r="I2" s="67">
        <v>0</v>
      </c>
      <c r="J2" s="67">
        <v>1</v>
      </c>
      <c r="K2" s="67">
        <v>2</v>
      </c>
      <c r="L2" s="67">
        <v>3</v>
      </c>
      <c r="M2" s="67">
        <v>4</v>
      </c>
      <c r="N2" s="67">
        <v>5</v>
      </c>
      <c r="O2" s="67">
        <v>6</v>
      </c>
      <c r="P2" s="67">
        <v>7</v>
      </c>
      <c r="Q2" s="67">
        <v>8</v>
      </c>
      <c r="R2" s="67">
        <v>9</v>
      </c>
      <c r="S2" s="67">
        <v>10</v>
      </c>
      <c r="T2" s="67">
        <v>11</v>
      </c>
      <c r="U2" s="67">
        <v>12</v>
      </c>
      <c r="V2" s="67">
        <v>13</v>
      </c>
      <c r="W2" s="67">
        <v>14</v>
      </c>
      <c r="X2" s="67">
        <v>15</v>
      </c>
    </row>
    <row r="3" spans="1:24" ht="15" thickBot="1">
      <c r="A3" s="72" t="s">
        <v>138</v>
      </c>
      <c r="B3" s="138" t="s">
        <v>221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4"/>
    </row>
    <row r="5" spans="1:24">
      <c r="B5" s="20" t="s">
        <v>131</v>
      </c>
      <c r="C5" s="132" t="s">
        <v>6</v>
      </c>
      <c r="I5" s="156">
        <f>ОС!I26</f>
        <v>0</v>
      </c>
      <c r="J5" s="156">
        <f>ОС!J26</f>
        <v>0</v>
      </c>
      <c r="K5" s="156">
        <f>ОС!K26</f>
        <v>1933333</v>
      </c>
      <c r="L5" s="156">
        <f>ОС!L26</f>
        <v>1868222</v>
      </c>
      <c r="M5" s="156">
        <f>ОС!M26</f>
        <v>1804615</v>
      </c>
      <c r="N5" s="156">
        <f>ОС!N26</f>
        <v>1742461</v>
      </c>
      <c r="O5" s="156">
        <f>ОС!O26</f>
        <v>1681712</v>
      </c>
      <c r="P5" s="156">
        <f>ОС!P26</f>
        <v>1622322</v>
      </c>
      <c r="Q5" s="156">
        <f>ОС!Q26</f>
        <v>1564244</v>
      </c>
      <c r="R5" s="156">
        <f>ОС!R26</f>
        <v>1507436</v>
      </c>
      <c r="S5" s="156">
        <f>ОС!S26</f>
        <v>1451855</v>
      </c>
      <c r="T5" s="156">
        <f>ОС!T26</f>
        <v>1397460</v>
      </c>
      <c r="U5" s="156">
        <f>ОС!U26</f>
        <v>1344211</v>
      </c>
      <c r="V5" s="156">
        <f>ОС!V26</f>
        <v>1292071</v>
      </c>
      <c r="W5" s="156">
        <f>ОС!W26</f>
        <v>1241002</v>
      </c>
      <c r="X5" s="156">
        <f>ОС!X26</f>
        <v>1190968</v>
      </c>
    </row>
    <row r="6" spans="1:24">
      <c r="B6" s="20" t="s">
        <v>181</v>
      </c>
      <c r="C6" s="132" t="s">
        <v>6</v>
      </c>
      <c r="I6" s="156">
        <f>ОС!I25</f>
        <v>0</v>
      </c>
      <c r="J6" s="156">
        <f>ОС!J25</f>
        <v>0</v>
      </c>
      <c r="K6" s="156">
        <f>ОС!K25</f>
        <v>66667</v>
      </c>
      <c r="L6" s="156">
        <f>ОС!L25</f>
        <v>131778</v>
      </c>
      <c r="M6" s="156">
        <f>ОС!M25</f>
        <v>195385</v>
      </c>
      <c r="N6" s="156">
        <f>ОС!N25</f>
        <v>257539</v>
      </c>
      <c r="O6" s="156">
        <f>ОС!O25</f>
        <v>318288</v>
      </c>
      <c r="P6" s="156">
        <f>ОС!P25</f>
        <v>377678</v>
      </c>
      <c r="Q6" s="156">
        <f>ОС!Q25</f>
        <v>435756</v>
      </c>
      <c r="R6" s="156">
        <f>ОС!R25</f>
        <v>492564</v>
      </c>
      <c r="S6" s="156">
        <f>ОС!S25</f>
        <v>548145</v>
      </c>
      <c r="T6" s="156">
        <f>ОС!T25</f>
        <v>602540</v>
      </c>
      <c r="U6" s="156">
        <f>ОС!U25</f>
        <v>655789</v>
      </c>
      <c r="V6" s="156">
        <f>ОС!V25</f>
        <v>707929</v>
      </c>
      <c r="W6" s="156">
        <f>ОС!W25</f>
        <v>758998</v>
      </c>
      <c r="X6" s="156">
        <f>ОС!X25</f>
        <v>809032</v>
      </c>
    </row>
    <row r="7" spans="1:24">
      <c r="B7" s="20" t="s">
        <v>210</v>
      </c>
      <c r="C7" s="132" t="s">
        <v>6</v>
      </c>
      <c r="I7" s="156">
        <f>ОС!I22</f>
        <v>600000</v>
      </c>
      <c r="J7" s="156">
        <f>ОС!J22</f>
        <v>2000000</v>
      </c>
      <c r="K7" s="156">
        <f>ОС!K22</f>
        <v>0</v>
      </c>
      <c r="L7" s="156">
        <f>ОС!L22</f>
        <v>0</v>
      </c>
      <c r="M7" s="156">
        <f>ОС!M22</f>
        <v>0</v>
      </c>
      <c r="N7" s="156">
        <f>ОС!N22</f>
        <v>0</v>
      </c>
      <c r="O7" s="156">
        <f>ОС!O22</f>
        <v>0</v>
      </c>
      <c r="P7" s="156">
        <f>ОС!P22</f>
        <v>0</v>
      </c>
      <c r="Q7" s="156">
        <f>ОС!Q22</f>
        <v>0</v>
      </c>
      <c r="R7" s="156">
        <f>ОС!R22</f>
        <v>0</v>
      </c>
      <c r="S7" s="156">
        <f>ОС!S22</f>
        <v>0</v>
      </c>
      <c r="T7" s="156">
        <f>ОС!T22</f>
        <v>0</v>
      </c>
      <c r="U7" s="156">
        <f>ОС!U22</f>
        <v>0</v>
      </c>
      <c r="V7" s="156">
        <f>ОС!V22</f>
        <v>0</v>
      </c>
      <c r="W7" s="156">
        <f>ОС!W22</f>
        <v>0</v>
      </c>
      <c r="X7" s="156">
        <f>ОС!X22</f>
        <v>0</v>
      </c>
    </row>
    <row r="8" spans="1:24"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</row>
    <row r="9" spans="1:24" ht="15" thickBot="1">
      <c r="B9" s="146" t="s">
        <v>226</v>
      </c>
      <c r="C9" s="146" t="s">
        <v>201</v>
      </c>
      <c r="D9" s="146"/>
      <c r="E9" s="146"/>
      <c r="F9" s="146"/>
      <c r="G9" s="146"/>
      <c r="H9" s="146"/>
      <c r="I9" s="146">
        <f>ROUND((SUM(I5+I7)),0)</f>
        <v>600000</v>
      </c>
      <c r="J9" s="146">
        <f t="shared" ref="J9:X9" si="0">ROUND((SUM(J5+J7)),0)</f>
        <v>2000000</v>
      </c>
      <c r="K9" s="146">
        <f t="shared" si="0"/>
        <v>1933333</v>
      </c>
      <c r="L9" s="146">
        <f t="shared" si="0"/>
        <v>1868222</v>
      </c>
      <c r="M9" s="146">
        <f t="shared" si="0"/>
        <v>1804615</v>
      </c>
      <c r="N9" s="146">
        <f t="shared" si="0"/>
        <v>1742461</v>
      </c>
      <c r="O9" s="146">
        <f t="shared" si="0"/>
        <v>1681712</v>
      </c>
      <c r="P9" s="146">
        <f t="shared" si="0"/>
        <v>1622322</v>
      </c>
      <c r="Q9" s="146">
        <f t="shared" si="0"/>
        <v>1564244</v>
      </c>
      <c r="R9" s="146">
        <f t="shared" si="0"/>
        <v>1507436</v>
      </c>
      <c r="S9" s="146">
        <f t="shared" si="0"/>
        <v>1451855</v>
      </c>
      <c r="T9" s="146">
        <f t="shared" si="0"/>
        <v>1397460</v>
      </c>
      <c r="U9" s="146">
        <f t="shared" si="0"/>
        <v>1344211</v>
      </c>
      <c r="V9" s="146">
        <f t="shared" si="0"/>
        <v>1292071</v>
      </c>
      <c r="W9" s="146">
        <f t="shared" si="0"/>
        <v>1241002</v>
      </c>
      <c r="X9" s="146">
        <f t="shared" si="0"/>
        <v>1190968</v>
      </c>
    </row>
    <row r="11" spans="1:24">
      <c r="A11" s="165"/>
      <c r="B11" s="132" t="s">
        <v>172</v>
      </c>
      <c r="C11" s="132" t="s">
        <v>6</v>
      </c>
      <c r="D11" s="132"/>
      <c r="E11" s="132"/>
      <c r="F11" s="132"/>
      <c r="G11" s="132"/>
      <c r="H11" s="132"/>
      <c r="I11" s="166">
        <f>CF!I23</f>
        <v>0</v>
      </c>
      <c r="J11" s="166">
        <f>CF!J23</f>
        <v>0</v>
      </c>
      <c r="K11" s="166">
        <f>CF!K23</f>
        <v>293093</v>
      </c>
      <c r="L11" s="166">
        <f>CF!L23</f>
        <v>644200</v>
      </c>
      <c r="M11" s="166">
        <f>CF!M23</f>
        <v>1009253</v>
      </c>
      <c r="N11" s="166">
        <f>CF!N23</f>
        <v>1389783</v>
      </c>
      <c r="O11" s="166">
        <f>CF!O23</f>
        <v>1784292</v>
      </c>
      <c r="P11" s="166">
        <f>CF!P23</f>
        <v>2118662</v>
      </c>
      <c r="Q11" s="166">
        <f>CF!Q23</f>
        <v>2453745</v>
      </c>
      <c r="R11" s="166">
        <f>CF!R23</f>
        <v>2802238</v>
      </c>
      <c r="S11" s="166">
        <f>CF!S23</f>
        <v>3163449</v>
      </c>
      <c r="T11" s="166">
        <f>CF!T23</f>
        <v>3539056</v>
      </c>
      <c r="U11" s="166">
        <f>CF!U23</f>
        <v>3929661</v>
      </c>
      <c r="V11" s="166">
        <f>CF!V23</f>
        <v>4337132</v>
      </c>
      <c r="W11" s="166">
        <f>CF!W23</f>
        <v>4759591</v>
      </c>
      <c r="X11" s="166">
        <f>CF!X23</f>
        <v>5198911</v>
      </c>
    </row>
    <row r="12" spans="1:24">
      <c r="A12" s="165"/>
      <c r="B12" s="132" t="s">
        <v>170</v>
      </c>
      <c r="C12" s="132" t="s">
        <v>6</v>
      </c>
      <c r="D12" s="132"/>
      <c r="E12" s="132"/>
      <c r="F12" s="132"/>
      <c r="G12" s="132"/>
      <c r="H12" s="132"/>
      <c r="I12" s="156">
        <f>NWC!I11</f>
        <v>0</v>
      </c>
      <c r="J12" s="156">
        <f>NWC!J11</f>
        <v>0</v>
      </c>
      <c r="K12" s="156">
        <f>NWC!K11</f>
        <v>50004.904109589042</v>
      </c>
      <c r="L12" s="156">
        <f>NWC!L11</f>
        <v>58255.643835616436</v>
      </c>
      <c r="M12" s="156">
        <f>NWC!M11</f>
        <v>60850.684931506847</v>
      </c>
      <c r="N12" s="156">
        <f>NWC!N11</f>
        <v>63284.672131147541</v>
      </c>
      <c r="O12" s="156">
        <f>NWC!O11</f>
        <v>65816.054794520547</v>
      </c>
      <c r="P12" s="156">
        <f>NWC!P11</f>
        <v>68448.739726027401</v>
      </c>
      <c r="Q12" s="156">
        <f>NWC!Q11</f>
        <v>71186.712328767127</v>
      </c>
      <c r="R12" s="156">
        <f>NWC!R11</f>
        <v>74034.180327868846</v>
      </c>
      <c r="S12" s="156">
        <f>NWC!S11</f>
        <v>76995.534246575349</v>
      </c>
      <c r="T12" s="156">
        <f>NWC!T11</f>
        <v>80075.34246575342</v>
      </c>
      <c r="U12" s="156">
        <f>NWC!U11</f>
        <v>83278.356164383556</v>
      </c>
      <c r="V12" s="156">
        <f>NWC!V11</f>
        <v>86609.508196721305</v>
      </c>
      <c r="W12" s="156">
        <f>NWC!W11</f>
        <v>90073.890410958906</v>
      </c>
      <c r="X12" s="156">
        <f>NWC!X11</f>
        <v>93676.767123287675</v>
      </c>
    </row>
    <row r="13" spans="1:24">
      <c r="A13" s="165"/>
      <c r="B13" s="132" t="s">
        <v>213</v>
      </c>
      <c r="C13" s="132" t="s">
        <v>6</v>
      </c>
      <c r="D13" s="132"/>
      <c r="E13" s="132"/>
      <c r="F13" s="132"/>
      <c r="G13" s="132"/>
      <c r="H13" s="132"/>
      <c r="I13" s="156">
        <f>Налоги!I75</f>
        <v>120000</v>
      </c>
      <c r="J13" s="156">
        <f>Налоги!J75</f>
        <v>400000</v>
      </c>
      <c r="K13" s="156">
        <f>Налоги!K75</f>
        <v>331742</v>
      </c>
      <c r="L13" s="156">
        <f>Налоги!L75</f>
        <v>254858</v>
      </c>
      <c r="M13" s="156">
        <f>Налоги!M75</f>
        <v>175433</v>
      </c>
      <c r="N13" s="156">
        <f>Налоги!N75</f>
        <v>92597</v>
      </c>
      <c r="O13" s="156">
        <f>Налоги!O75</f>
        <v>6691</v>
      </c>
      <c r="P13" s="156">
        <f>Налоги!P75</f>
        <v>0</v>
      </c>
      <c r="Q13" s="156">
        <f>Налоги!Q75</f>
        <v>0</v>
      </c>
      <c r="R13" s="156">
        <f>Налоги!R75</f>
        <v>0</v>
      </c>
      <c r="S13" s="156">
        <f>Налоги!S75</f>
        <v>0</v>
      </c>
      <c r="T13" s="156">
        <f>Налоги!T75</f>
        <v>0</v>
      </c>
      <c r="U13" s="156">
        <f>Налоги!U75</f>
        <v>0</v>
      </c>
      <c r="V13" s="156">
        <f>Налоги!V75</f>
        <v>0</v>
      </c>
      <c r="W13" s="156">
        <f>Налоги!W75</f>
        <v>0</v>
      </c>
      <c r="X13" s="156">
        <f>Налоги!X75</f>
        <v>0</v>
      </c>
    </row>
    <row r="14" spans="1:24">
      <c r="A14" s="165"/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</row>
    <row r="15" spans="1:24" ht="15" thickBot="1">
      <c r="A15" s="165"/>
      <c r="B15" s="146" t="s">
        <v>227</v>
      </c>
      <c r="C15" s="146" t="s">
        <v>201</v>
      </c>
      <c r="D15" s="146"/>
      <c r="E15" s="146"/>
      <c r="F15" s="146"/>
      <c r="G15" s="146"/>
      <c r="H15" s="146"/>
      <c r="I15" s="146">
        <f>ROUND(SUM(I11:I13),0)</f>
        <v>120000</v>
      </c>
      <c r="J15" s="146">
        <f t="shared" ref="J15:X15" si="1">ROUND(SUM(J11:J13),0)</f>
        <v>400000</v>
      </c>
      <c r="K15" s="146">
        <f t="shared" si="1"/>
        <v>674840</v>
      </c>
      <c r="L15" s="146">
        <f t="shared" si="1"/>
        <v>957314</v>
      </c>
      <c r="M15" s="146">
        <f t="shared" si="1"/>
        <v>1245537</v>
      </c>
      <c r="N15" s="146">
        <f t="shared" si="1"/>
        <v>1545665</v>
      </c>
      <c r="O15" s="146">
        <f t="shared" si="1"/>
        <v>1856799</v>
      </c>
      <c r="P15" s="146">
        <f t="shared" si="1"/>
        <v>2187111</v>
      </c>
      <c r="Q15" s="146">
        <f t="shared" si="1"/>
        <v>2524932</v>
      </c>
      <c r="R15" s="146">
        <f t="shared" si="1"/>
        <v>2876272</v>
      </c>
      <c r="S15" s="146">
        <f t="shared" si="1"/>
        <v>3240445</v>
      </c>
      <c r="T15" s="146">
        <f t="shared" si="1"/>
        <v>3619131</v>
      </c>
      <c r="U15" s="146">
        <f t="shared" si="1"/>
        <v>4012939</v>
      </c>
      <c r="V15" s="146">
        <f t="shared" si="1"/>
        <v>4423742</v>
      </c>
      <c r="W15" s="146">
        <f t="shared" si="1"/>
        <v>4849665</v>
      </c>
      <c r="X15" s="146">
        <f t="shared" si="1"/>
        <v>5292588</v>
      </c>
    </row>
    <row r="16" spans="1:24">
      <c r="A16" s="165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</row>
    <row r="17" spans="1:24" ht="15" thickBot="1">
      <c r="A17" s="165"/>
      <c r="B17" s="146" t="s">
        <v>222</v>
      </c>
      <c r="C17" s="146" t="s">
        <v>201</v>
      </c>
      <c r="D17" s="146"/>
      <c r="E17" s="146"/>
      <c r="F17" s="146"/>
      <c r="G17" s="146"/>
      <c r="H17" s="146"/>
      <c r="I17" s="146">
        <f>ROUND((I15+I9),0)</f>
        <v>720000</v>
      </c>
      <c r="J17" s="146">
        <f t="shared" ref="J17:X17" si="2">ROUND((J15+J9),0)</f>
        <v>2400000</v>
      </c>
      <c r="K17" s="146">
        <f t="shared" si="2"/>
        <v>2608173</v>
      </c>
      <c r="L17" s="146">
        <f t="shared" si="2"/>
        <v>2825536</v>
      </c>
      <c r="M17" s="146">
        <f t="shared" si="2"/>
        <v>3050152</v>
      </c>
      <c r="N17" s="146">
        <f t="shared" si="2"/>
        <v>3288126</v>
      </c>
      <c r="O17" s="146">
        <f t="shared" si="2"/>
        <v>3538511</v>
      </c>
      <c r="P17" s="146">
        <f t="shared" si="2"/>
        <v>3809433</v>
      </c>
      <c r="Q17" s="146">
        <f t="shared" si="2"/>
        <v>4089176</v>
      </c>
      <c r="R17" s="146">
        <f t="shared" si="2"/>
        <v>4383708</v>
      </c>
      <c r="S17" s="146">
        <f t="shared" si="2"/>
        <v>4692300</v>
      </c>
      <c r="T17" s="146">
        <f t="shared" si="2"/>
        <v>5016591</v>
      </c>
      <c r="U17" s="146">
        <f t="shared" si="2"/>
        <v>5357150</v>
      </c>
      <c r="V17" s="146">
        <f t="shared" si="2"/>
        <v>5715813</v>
      </c>
      <c r="W17" s="146">
        <f t="shared" si="2"/>
        <v>6090667</v>
      </c>
      <c r="X17" s="146">
        <f t="shared" si="2"/>
        <v>6483556</v>
      </c>
    </row>
    <row r="18" spans="1:24" ht="15" thickBot="1">
      <c r="A18" s="165"/>
    </row>
    <row r="19" spans="1:24" ht="15" thickBot="1">
      <c r="A19" s="162" t="s">
        <v>72</v>
      </c>
      <c r="B19" s="171" t="s">
        <v>223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4"/>
    </row>
    <row r="20" spans="1:24">
      <c r="A20" s="165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</row>
    <row r="21" spans="1:24">
      <c r="A21" s="165"/>
      <c r="B21" s="20" t="s">
        <v>224</v>
      </c>
      <c r="C21" s="132" t="s">
        <v>185</v>
      </c>
      <c r="I21" s="156">
        <f>SUM(CF!$I$18:'CF'!I18)</f>
        <v>720000</v>
      </c>
      <c r="J21" s="156">
        <f>SUM(CF!$I$18:'CF'!J18)</f>
        <v>2400000</v>
      </c>
      <c r="K21" s="156">
        <f>SUM(CF!$I$18:'CF'!K18)</f>
        <v>2400000</v>
      </c>
      <c r="L21" s="156">
        <f>SUM(CF!$I$18:'CF'!L18)</f>
        <v>2400000</v>
      </c>
      <c r="M21" s="156">
        <f>SUM(CF!$I$18:'CF'!M18)</f>
        <v>2400000</v>
      </c>
      <c r="N21" s="156">
        <f>SUM(CF!$I$18:'CF'!N18)</f>
        <v>2400000</v>
      </c>
      <c r="O21" s="156">
        <f>SUM(CF!$I$18:'CF'!O18)</f>
        <v>2400000</v>
      </c>
      <c r="P21" s="156">
        <f>SUM(CF!$I$18:'CF'!P18)</f>
        <v>2400000</v>
      </c>
      <c r="Q21" s="156">
        <f>SUM(CF!$I$18:'CF'!Q18)</f>
        <v>2400000</v>
      </c>
      <c r="R21" s="156">
        <f>SUM(CF!$I$18:'CF'!R18)</f>
        <v>2400000</v>
      </c>
      <c r="S21" s="156">
        <f>SUM(CF!$I$18:'CF'!S18)</f>
        <v>2400000</v>
      </c>
      <c r="T21" s="156">
        <f>SUM(CF!$I$18:'CF'!T18)</f>
        <v>2400000</v>
      </c>
      <c r="U21" s="156">
        <f>SUM(CF!$I$18:'CF'!U18)</f>
        <v>2400000</v>
      </c>
      <c r="V21" s="156">
        <f>SUM(CF!$I$18:'CF'!V18)</f>
        <v>2400000</v>
      </c>
      <c r="W21" s="156">
        <f>SUM(CF!$I$18:'CF'!W18)</f>
        <v>2400000</v>
      </c>
      <c r="X21" s="156">
        <f>SUM(CF!$I$18:'CF'!X18)</f>
        <v>2400000</v>
      </c>
    </row>
    <row r="22" spans="1:24">
      <c r="A22" s="165"/>
      <c r="B22" s="20" t="s">
        <v>225</v>
      </c>
      <c r="C22" s="132" t="s">
        <v>185</v>
      </c>
      <c r="I22" s="156">
        <f>SUM(PL!$I$17:'PL'!I17)</f>
        <v>0</v>
      </c>
      <c r="J22" s="156">
        <f>SUM(PL!$I$17:'PL'!J17)</f>
        <v>0</v>
      </c>
      <c r="K22" s="156">
        <f>SUM(PL!$I$17:'PL'!K17)</f>
        <v>182970.33333333334</v>
      </c>
      <c r="L22" s="156">
        <f>SUM(PL!$I$17:'PL'!L17)</f>
        <v>395498.22222222225</v>
      </c>
      <c r="M22" s="156">
        <f>SUM(PL!$I$17:'PL'!M17)</f>
        <v>618426.81481481483</v>
      </c>
      <c r="N22" s="156">
        <f>SUM(PL!$I$17:'PL'!N17)</f>
        <v>855145.98765432101</v>
      </c>
      <c r="O22" s="156">
        <f>SUM(PL!$I$17:'PL'!O17)</f>
        <v>1104198.2880658437</v>
      </c>
      <c r="P22" s="156">
        <f>SUM(PL!$I$17:'PL'!P17)</f>
        <v>1366953.878463649</v>
      </c>
      <c r="Q22" s="156">
        <f>SUM(PL!$I$17:'PL'!Q17)</f>
        <v>1643868.4825148606</v>
      </c>
      <c r="R22" s="156">
        <f>SUM(PL!$I$17:'PL'!R17)</f>
        <v>1936511.3330976986</v>
      </c>
      <c r="S22" s="156">
        <f>SUM(PL!$I$17:'PL'!S17)</f>
        <v>2243190.1219944418</v>
      </c>
      <c r="T22" s="156">
        <f>SUM(PL!$I$17:'PL'!T17)</f>
        <v>2565515.9512612936</v>
      </c>
      <c r="U22" s="156">
        <f>SUM(PL!$I$17:'PL'!U17)</f>
        <v>2904032.2862192504</v>
      </c>
      <c r="V22" s="156">
        <f>SUM(PL!$I$17:'PL'!V17)</f>
        <v>3260589.910011942</v>
      </c>
      <c r="W22" s="156">
        <f>SUM(PL!$I$17:'PL'!W17)</f>
        <v>3633214.8796782107</v>
      </c>
      <c r="X22" s="156">
        <f>SUM(PL!$I$17:'PL'!X17)</f>
        <v>4023806.483688937</v>
      </c>
    </row>
    <row r="23" spans="1:24">
      <c r="A23" s="165"/>
      <c r="C23" s="132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</row>
    <row r="24" spans="1:24" ht="15" thickBot="1">
      <c r="A24" s="165"/>
      <c r="B24" s="146" t="s">
        <v>246</v>
      </c>
      <c r="C24" s="146" t="s">
        <v>201</v>
      </c>
      <c r="D24" s="146"/>
      <c r="E24" s="146"/>
      <c r="F24" s="146"/>
      <c r="G24" s="146"/>
      <c r="H24" s="146"/>
      <c r="I24" s="146">
        <f>ROUND(SUM(I21:I22),0)</f>
        <v>720000</v>
      </c>
      <c r="J24" s="146">
        <f t="shared" ref="J24:X24" si="3">ROUND(SUM(J21:J22),0)</f>
        <v>2400000</v>
      </c>
      <c r="K24" s="146">
        <f t="shared" si="3"/>
        <v>2582970</v>
      </c>
      <c r="L24" s="146">
        <f t="shared" si="3"/>
        <v>2795498</v>
      </c>
      <c r="M24" s="146">
        <f t="shared" si="3"/>
        <v>3018427</v>
      </c>
      <c r="N24" s="146">
        <f t="shared" si="3"/>
        <v>3255146</v>
      </c>
      <c r="O24" s="146">
        <f t="shared" si="3"/>
        <v>3504198</v>
      </c>
      <c r="P24" s="146">
        <f t="shared" si="3"/>
        <v>3766954</v>
      </c>
      <c r="Q24" s="146">
        <f t="shared" si="3"/>
        <v>4043868</v>
      </c>
      <c r="R24" s="146">
        <f t="shared" si="3"/>
        <v>4336511</v>
      </c>
      <c r="S24" s="146">
        <f t="shared" si="3"/>
        <v>4643190</v>
      </c>
      <c r="T24" s="146">
        <f t="shared" si="3"/>
        <v>4965516</v>
      </c>
      <c r="U24" s="146">
        <f t="shared" si="3"/>
        <v>5304032</v>
      </c>
      <c r="V24" s="146">
        <f t="shared" si="3"/>
        <v>5660590</v>
      </c>
      <c r="W24" s="146">
        <f t="shared" si="3"/>
        <v>6033215</v>
      </c>
      <c r="X24" s="146">
        <f t="shared" si="3"/>
        <v>6423806</v>
      </c>
    </row>
    <row r="25" spans="1:24">
      <c r="A25" s="165"/>
    </row>
    <row r="26" spans="1:24">
      <c r="B26" s="132" t="s">
        <v>188</v>
      </c>
      <c r="C26" s="132" t="s">
        <v>6</v>
      </c>
      <c r="D26" s="132"/>
      <c r="E26" s="132"/>
      <c r="F26" s="132"/>
      <c r="G26" s="132"/>
      <c r="H26" s="132"/>
      <c r="I26" s="156">
        <f>NWC!I19</f>
        <v>0</v>
      </c>
      <c r="J26" s="156">
        <f>NWC!J19</f>
        <v>0</v>
      </c>
      <c r="K26" s="156">
        <f>NWC!K19</f>
        <v>25202.794520547945</v>
      </c>
      <c r="L26" s="156">
        <f>NWC!L19</f>
        <v>30038.301369863013</v>
      </c>
      <c r="M26" s="156">
        <f>NWC!M19</f>
        <v>31724.547945205479</v>
      </c>
      <c r="N26" s="156">
        <f>NWC!N19</f>
        <v>32980.327868852459</v>
      </c>
      <c r="O26" s="156">
        <f>NWC!O19</f>
        <v>34313.260273972606</v>
      </c>
      <c r="P26" s="156">
        <f>NWC!P19</f>
        <v>35685.863013698632</v>
      </c>
      <c r="Q26" s="156">
        <f>NWC!Q19</f>
        <v>37113.205479452052</v>
      </c>
      <c r="R26" s="156">
        <f>NWC!R19</f>
        <v>38582.37704918033</v>
      </c>
      <c r="S26" s="156">
        <f>NWC!S19</f>
        <v>40141.561643835616</v>
      </c>
      <c r="T26" s="156">
        <f>NWC!T19</f>
        <v>41747.424657534248</v>
      </c>
      <c r="U26" s="156">
        <f>NWC!U19</f>
        <v>43417.479452054795</v>
      </c>
      <c r="V26" s="156">
        <f>NWC!V19</f>
        <v>45135.983606557376</v>
      </c>
      <c r="W26" s="156">
        <f>NWC!W19</f>
        <v>46960.191780821915</v>
      </c>
      <c r="X26" s="156">
        <f>NWC!X19</f>
        <v>48838.438356164384</v>
      </c>
    </row>
    <row r="27" spans="1:24">
      <c r="B27" s="132" t="s">
        <v>174</v>
      </c>
      <c r="C27" s="132"/>
      <c r="D27" s="132"/>
      <c r="E27" s="132"/>
      <c r="F27" s="132"/>
      <c r="G27" s="132"/>
      <c r="H27" s="132"/>
      <c r="I27" s="156">
        <f>Налоги!I76</f>
        <v>0</v>
      </c>
      <c r="J27" s="156">
        <f>Налоги!J76</f>
        <v>0</v>
      </c>
      <c r="K27" s="156">
        <f>Налоги!K76</f>
        <v>0</v>
      </c>
      <c r="L27" s="156">
        <f>Налоги!L76</f>
        <v>0</v>
      </c>
      <c r="M27" s="156">
        <f>Налоги!M76</f>
        <v>0</v>
      </c>
      <c r="N27" s="156">
        <f>Налоги!N76</f>
        <v>0</v>
      </c>
      <c r="O27" s="156">
        <f>Налоги!O76</f>
        <v>0</v>
      </c>
      <c r="P27" s="156">
        <f>Налоги!P76</f>
        <v>6793</v>
      </c>
      <c r="Q27" s="156">
        <f>Налоги!Q76</f>
        <v>8195</v>
      </c>
      <c r="R27" s="156">
        <f>Налоги!R76</f>
        <v>8615</v>
      </c>
      <c r="S27" s="156">
        <f>Налоги!S76</f>
        <v>8968</v>
      </c>
      <c r="T27" s="156">
        <f>Налоги!T76</f>
        <v>9328</v>
      </c>
      <c r="U27" s="156">
        <f>Налоги!U76</f>
        <v>9701</v>
      </c>
      <c r="V27" s="156">
        <f>Налоги!V76</f>
        <v>10087</v>
      </c>
      <c r="W27" s="156">
        <f>Налоги!W76</f>
        <v>10492</v>
      </c>
      <c r="X27" s="156">
        <f>Налоги!X76</f>
        <v>10912</v>
      </c>
    </row>
    <row r="28" spans="1:24"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</row>
    <row r="29" spans="1:24" ht="15" thickBot="1">
      <c r="B29" s="146" t="s">
        <v>208</v>
      </c>
      <c r="C29" s="146" t="s">
        <v>201</v>
      </c>
      <c r="D29" s="146"/>
      <c r="E29" s="146"/>
      <c r="F29" s="146"/>
      <c r="G29" s="146"/>
      <c r="H29" s="146"/>
      <c r="I29" s="146">
        <f>ROUND((SUM(I26:I27)),0)</f>
        <v>0</v>
      </c>
      <c r="J29" s="146">
        <f t="shared" ref="J29:X29" si="4">ROUND((SUM(J26:J27)),0)</f>
        <v>0</v>
      </c>
      <c r="K29" s="146">
        <f t="shared" si="4"/>
        <v>25203</v>
      </c>
      <c r="L29" s="146">
        <f t="shared" si="4"/>
        <v>30038</v>
      </c>
      <c r="M29" s="146">
        <f t="shared" si="4"/>
        <v>31725</v>
      </c>
      <c r="N29" s="146">
        <f t="shared" si="4"/>
        <v>32980</v>
      </c>
      <c r="O29" s="146">
        <f t="shared" si="4"/>
        <v>34313</v>
      </c>
      <c r="P29" s="146">
        <f t="shared" si="4"/>
        <v>42479</v>
      </c>
      <c r="Q29" s="146">
        <f t="shared" si="4"/>
        <v>45308</v>
      </c>
      <c r="R29" s="146">
        <f t="shared" si="4"/>
        <v>47197</v>
      </c>
      <c r="S29" s="146">
        <f t="shared" si="4"/>
        <v>49110</v>
      </c>
      <c r="T29" s="146">
        <f t="shared" si="4"/>
        <v>51075</v>
      </c>
      <c r="U29" s="146">
        <f t="shared" si="4"/>
        <v>53118</v>
      </c>
      <c r="V29" s="146">
        <f t="shared" si="4"/>
        <v>55223</v>
      </c>
      <c r="W29" s="146">
        <f t="shared" si="4"/>
        <v>57452</v>
      </c>
      <c r="X29" s="146">
        <f t="shared" si="4"/>
        <v>59750</v>
      </c>
    </row>
    <row r="30" spans="1:24"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</row>
    <row r="31" spans="1:24">
      <c r="B31" s="170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</row>
    <row r="33" spans="2:24" ht="15" thickBot="1">
      <c r="B33" s="146" t="s">
        <v>228</v>
      </c>
      <c r="C33" s="146" t="s">
        <v>201</v>
      </c>
      <c r="D33" s="146"/>
      <c r="E33" s="146"/>
      <c r="F33" s="146"/>
      <c r="G33" s="146"/>
      <c r="H33" s="146"/>
      <c r="I33" s="146">
        <f t="shared" ref="I33:X33" si="5">I24+I29</f>
        <v>720000</v>
      </c>
      <c r="J33" s="146">
        <f t="shared" si="5"/>
        <v>2400000</v>
      </c>
      <c r="K33" s="146">
        <f t="shared" si="5"/>
        <v>2608173</v>
      </c>
      <c r="L33" s="146">
        <f t="shared" si="5"/>
        <v>2825536</v>
      </c>
      <c r="M33" s="146">
        <f t="shared" si="5"/>
        <v>3050152</v>
      </c>
      <c r="N33" s="146">
        <f t="shared" si="5"/>
        <v>3288126</v>
      </c>
      <c r="O33" s="146">
        <f t="shared" si="5"/>
        <v>3538511</v>
      </c>
      <c r="P33" s="146">
        <f t="shared" si="5"/>
        <v>3809433</v>
      </c>
      <c r="Q33" s="146">
        <f t="shared" si="5"/>
        <v>4089176</v>
      </c>
      <c r="R33" s="146">
        <f t="shared" si="5"/>
        <v>4383708</v>
      </c>
      <c r="S33" s="146">
        <f t="shared" si="5"/>
        <v>4692300</v>
      </c>
      <c r="T33" s="146">
        <f t="shared" si="5"/>
        <v>5016591</v>
      </c>
      <c r="U33" s="146">
        <f t="shared" si="5"/>
        <v>5357150</v>
      </c>
      <c r="V33" s="146">
        <f t="shared" si="5"/>
        <v>5715813</v>
      </c>
      <c r="W33" s="146">
        <f t="shared" si="5"/>
        <v>6090667</v>
      </c>
      <c r="X33" s="146">
        <f t="shared" si="5"/>
        <v>6483556</v>
      </c>
    </row>
    <row r="34" spans="2:24">
      <c r="G34" s="20" t="s">
        <v>263</v>
      </c>
      <c r="I34" s="177" t="str">
        <f>IF((I33-I17)=0,"OK","Error")</f>
        <v>OK</v>
      </c>
      <c r="J34" s="177" t="str">
        <f t="shared" ref="J34:X34" si="6">IF((J33-J17)=0,"OK","Error")</f>
        <v>OK</v>
      </c>
      <c r="K34" s="177" t="str">
        <f t="shared" si="6"/>
        <v>OK</v>
      </c>
      <c r="L34" s="177" t="str">
        <f t="shared" si="6"/>
        <v>OK</v>
      </c>
      <c r="M34" s="177" t="str">
        <f t="shared" si="6"/>
        <v>OK</v>
      </c>
      <c r="N34" s="177" t="str">
        <f t="shared" si="6"/>
        <v>OK</v>
      </c>
      <c r="O34" s="177" t="str">
        <f t="shared" si="6"/>
        <v>OK</v>
      </c>
      <c r="P34" s="177" t="str">
        <f t="shared" si="6"/>
        <v>OK</v>
      </c>
      <c r="Q34" s="177" t="str">
        <f t="shared" si="6"/>
        <v>OK</v>
      </c>
      <c r="R34" s="177" t="str">
        <f t="shared" si="6"/>
        <v>OK</v>
      </c>
      <c r="S34" s="177" t="str">
        <f t="shared" si="6"/>
        <v>OK</v>
      </c>
      <c r="T34" s="177" t="str">
        <f t="shared" si="6"/>
        <v>OK</v>
      </c>
      <c r="U34" s="177" t="str">
        <f t="shared" si="6"/>
        <v>OK</v>
      </c>
      <c r="V34" s="177" t="str">
        <f t="shared" si="6"/>
        <v>OK</v>
      </c>
      <c r="W34" s="177" t="str">
        <f t="shared" si="6"/>
        <v>OK</v>
      </c>
      <c r="X34" s="177" t="str">
        <f t="shared" si="6"/>
        <v>OK</v>
      </c>
    </row>
    <row r="124" spans="2:16" s="71" customFormat="1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</row>
    <row r="125" spans="2:16" s="71" customFormat="1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</row>
    <row r="126" spans="2:16" s="71" customFormat="1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</row>
    <row r="127" spans="2:16" s="71" customFormat="1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</row>
    <row r="128" spans="2:16" s="71" customFormat="1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D332-2032-FA40-BB9C-9D398D85B21E}">
  <sheetPr>
    <tabColor theme="9"/>
  </sheetPr>
  <dimension ref="A1:X141"/>
  <sheetViews>
    <sheetView zoomScale="90" zoomScaleNormal="90" workbookViewId="0">
      <pane ySplit="1" topLeftCell="A2" activePane="bottomLeft" state="frozen"/>
      <selection activeCell="C1" sqref="C1"/>
      <selection pane="bottomLeft"/>
    </sheetView>
  </sheetViews>
  <sheetFormatPr baseColWidth="10" defaultRowHeight="14"/>
  <cols>
    <col min="1" max="1" width="15.1640625" style="71" customWidth="1"/>
    <col min="2" max="2" width="46.83203125" style="20" customWidth="1"/>
    <col min="3" max="3" width="18.83203125" style="20" customWidth="1"/>
    <col min="4" max="4" width="21.5" style="20" customWidth="1"/>
    <col min="5" max="5" width="15" style="20" bestFit="1" customWidth="1"/>
    <col min="6" max="6" width="15" style="20" customWidth="1"/>
    <col min="7" max="7" width="16.6640625" style="20" customWidth="1"/>
    <col min="8" max="8" width="4.83203125" style="20" customWidth="1"/>
    <col min="9" max="16" width="15" style="20" bestFit="1" customWidth="1"/>
    <col min="17" max="17" width="15.5" style="20" customWidth="1"/>
    <col min="18" max="18" width="17.33203125" style="20" customWidth="1"/>
    <col min="19" max="19" width="14.83203125" style="20" customWidth="1"/>
    <col min="20" max="20" width="17" style="20" customWidth="1"/>
    <col min="21" max="21" width="15.1640625" style="20" customWidth="1"/>
    <col min="22" max="22" width="16.83203125" style="20" customWidth="1"/>
    <col min="23" max="23" width="16.5" style="20" customWidth="1"/>
    <col min="24" max="24" width="19" style="20" customWidth="1"/>
    <col min="25" max="16384" width="10.83203125" style="20"/>
  </cols>
  <sheetData>
    <row r="1" spans="1:24" ht="20" thickBot="1">
      <c r="A1" s="135" t="s">
        <v>207</v>
      </c>
      <c r="B1" s="14" t="s">
        <v>16</v>
      </c>
      <c r="C1" s="15" t="s">
        <v>17</v>
      </c>
      <c r="D1" s="16" t="s">
        <v>40</v>
      </c>
      <c r="E1" s="16" t="s">
        <v>29</v>
      </c>
      <c r="F1" s="16" t="s">
        <v>68</v>
      </c>
      <c r="G1" s="16" t="s">
        <v>34</v>
      </c>
      <c r="H1" s="98"/>
      <c r="I1" s="17">
        <f>Предпоссылки!I1</f>
        <v>2023</v>
      </c>
      <c r="J1" s="17">
        <f>Предпоссылки!J1</f>
        <v>2024</v>
      </c>
      <c r="K1" s="17">
        <f>Предпоссылки!K1</f>
        <v>2025</v>
      </c>
      <c r="L1" s="17">
        <f>Предпоссылки!L1</f>
        <v>2026</v>
      </c>
      <c r="M1" s="17">
        <f>Предпоссылки!M1</f>
        <v>2027</v>
      </c>
      <c r="N1" s="17">
        <f>Предпоссылки!N1</f>
        <v>2028</v>
      </c>
      <c r="O1" s="17">
        <f>Предпоссылки!O1</f>
        <v>2029</v>
      </c>
      <c r="P1" s="17">
        <f>Предпоссылки!P1</f>
        <v>2030</v>
      </c>
      <c r="Q1" s="17">
        <f>Предпоссылки!Q1</f>
        <v>2031</v>
      </c>
      <c r="R1" s="17">
        <f>Предпоссылки!R1</f>
        <v>2032</v>
      </c>
      <c r="S1" s="17">
        <f>Предпоссылки!S1</f>
        <v>2033</v>
      </c>
      <c r="T1" s="17">
        <f>Предпоссылки!T1</f>
        <v>2034</v>
      </c>
      <c r="U1" s="17">
        <f>Предпоссылки!U1</f>
        <v>2035</v>
      </c>
      <c r="V1" s="17">
        <f>Предпоссылки!V1</f>
        <v>2036</v>
      </c>
      <c r="W1" s="17">
        <f>Предпоссылки!W1</f>
        <v>2037</v>
      </c>
      <c r="X1" s="17">
        <f>Предпоссылки!X1</f>
        <v>2038</v>
      </c>
    </row>
    <row r="2" spans="1:24" ht="15" thickBot="1">
      <c r="A2" s="20" t="s">
        <v>80</v>
      </c>
      <c r="B2" s="22" t="s">
        <v>176</v>
      </c>
      <c r="C2" s="22" t="s">
        <v>175</v>
      </c>
      <c r="H2" s="47"/>
      <c r="I2" s="67">
        <v>0</v>
      </c>
      <c r="J2" s="67">
        <v>1</v>
      </c>
      <c r="K2" s="67">
        <v>2</v>
      </c>
      <c r="L2" s="67">
        <v>3</v>
      </c>
      <c r="M2" s="67">
        <v>4</v>
      </c>
      <c r="N2" s="67">
        <v>5</v>
      </c>
      <c r="O2" s="67">
        <v>6</v>
      </c>
      <c r="P2" s="67">
        <v>7</v>
      </c>
      <c r="Q2" s="67">
        <v>8</v>
      </c>
      <c r="R2" s="67">
        <v>9</v>
      </c>
      <c r="S2" s="67">
        <v>10</v>
      </c>
      <c r="T2" s="67">
        <v>11</v>
      </c>
      <c r="U2" s="67">
        <v>12</v>
      </c>
      <c r="V2" s="67">
        <v>13</v>
      </c>
      <c r="W2" s="67">
        <v>14</v>
      </c>
      <c r="X2" s="67">
        <v>15</v>
      </c>
    </row>
    <row r="3" spans="1:24" ht="15" thickBot="1">
      <c r="A3" s="72" t="s">
        <v>138</v>
      </c>
      <c r="B3" s="138" t="s">
        <v>215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4"/>
    </row>
    <row r="5" spans="1:24">
      <c r="A5" s="172"/>
      <c r="B5" s="20" t="s">
        <v>206</v>
      </c>
      <c r="C5" s="20" t="s">
        <v>139</v>
      </c>
      <c r="I5" s="139">
        <f>PL!I17</f>
        <v>0</v>
      </c>
      <c r="J5" s="139">
        <f>PL!J17</f>
        <v>0</v>
      </c>
      <c r="K5" s="139">
        <f>PL!K17</f>
        <v>182970.33333333334</v>
      </c>
      <c r="L5" s="139">
        <f>PL!L17</f>
        <v>212527.88888888888</v>
      </c>
      <c r="M5" s="139">
        <f>PL!M17</f>
        <v>222928.59259259258</v>
      </c>
      <c r="N5" s="139">
        <f>PL!N17</f>
        <v>236719.17283950618</v>
      </c>
      <c r="O5" s="139">
        <f>PL!O17</f>
        <v>249052.30041152262</v>
      </c>
      <c r="P5" s="139">
        <f>PL!P17</f>
        <v>262755.59039780521</v>
      </c>
      <c r="Q5" s="139">
        <f>PL!Q17</f>
        <v>276914.60405121173</v>
      </c>
      <c r="R5" s="139">
        <f>PL!R17</f>
        <v>292642.850582838</v>
      </c>
      <c r="S5" s="139">
        <f>PL!S17</f>
        <v>306678.78889674338</v>
      </c>
      <c r="T5" s="139">
        <f>PL!T17</f>
        <v>322325.82926685194</v>
      </c>
      <c r="U5" s="139">
        <f>PL!U17</f>
        <v>338516.33495795686</v>
      </c>
      <c r="V5" s="139">
        <f>PL!V17</f>
        <v>356557.62379269162</v>
      </c>
      <c r="W5" s="139">
        <f>PL!W17</f>
        <v>372624.96966626856</v>
      </c>
      <c r="X5" s="139">
        <f>PL!X17</f>
        <v>390591.60401072633</v>
      </c>
    </row>
    <row r="6" spans="1:24">
      <c r="A6" s="172" t="s">
        <v>275</v>
      </c>
      <c r="B6" s="20" t="s">
        <v>199</v>
      </c>
      <c r="C6" s="20" t="s">
        <v>139</v>
      </c>
      <c r="I6" s="139">
        <f>ОС!I24</f>
        <v>0</v>
      </c>
      <c r="J6" s="139">
        <f>ОС!J24</f>
        <v>0</v>
      </c>
      <c r="K6" s="139">
        <f>ОС!K24</f>
        <v>66666.666666666657</v>
      </c>
      <c r="L6" s="139">
        <f>ОС!L24</f>
        <v>65111.111111111109</v>
      </c>
      <c r="M6" s="139">
        <f>ОС!M24</f>
        <v>63607.407407407409</v>
      </c>
      <c r="N6" s="139">
        <f>ОС!N24</f>
        <v>62153.827160493827</v>
      </c>
      <c r="O6" s="139">
        <f>ОС!O24</f>
        <v>60748.699588477364</v>
      </c>
      <c r="P6" s="139">
        <f>ОС!P24</f>
        <v>59390.409602194784</v>
      </c>
      <c r="Q6" s="139">
        <f>ОС!Q24</f>
        <v>58077.395948788289</v>
      </c>
      <c r="R6" s="139">
        <f>ОС!R24</f>
        <v>56808.149417162014</v>
      </c>
      <c r="S6" s="139">
        <f>ОС!S24</f>
        <v>55581.21110325661</v>
      </c>
      <c r="T6" s="139">
        <f>ОС!T24</f>
        <v>54395.170733148065</v>
      </c>
      <c r="U6" s="139">
        <f>ОС!U24</f>
        <v>53248.665042043125</v>
      </c>
      <c r="V6" s="139">
        <f>ОС!V24</f>
        <v>52140.376207308356</v>
      </c>
      <c r="W6" s="139">
        <f>ОС!W24</f>
        <v>51069.030333731411</v>
      </c>
      <c r="X6" s="139">
        <f>ОС!X24</f>
        <v>50033.395989273689</v>
      </c>
    </row>
    <row r="7" spans="1:24">
      <c r="A7" s="172" t="s">
        <v>239</v>
      </c>
      <c r="B7" s="20" t="s">
        <v>220</v>
      </c>
      <c r="C7" s="20" t="s">
        <v>139</v>
      </c>
      <c r="E7" s="132"/>
      <c r="I7" s="139">
        <f>-NWC!I27</f>
        <v>0</v>
      </c>
      <c r="J7" s="139">
        <f>-NWC!J27</f>
        <v>0</v>
      </c>
      <c r="K7" s="139">
        <f>-NWC!K27</f>
        <v>-24802</v>
      </c>
      <c r="L7" s="139">
        <f>-NWC!L27</f>
        <v>-3416</v>
      </c>
      <c r="M7" s="139">
        <f>-NWC!M27</f>
        <v>-908</v>
      </c>
      <c r="N7" s="139">
        <f>-NWC!N27</f>
        <v>-1179</v>
      </c>
      <c r="O7" s="139">
        <f>-NWC!O27</f>
        <v>-1198</v>
      </c>
      <c r="P7" s="139">
        <f>-NWC!P27</f>
        <v>-1260</v>
      </c>
      <c r="Q7" s="139">
        <f>-NWC!Q27</f>
        <v>-1311</v>
      </c>
      <c r="R7" s="139">
        <f>-NWC!R27</f>
        <v>-1378</v>
      </c>
      <c r="S7" s="139">
        <f>-NWC!S27</f>
        <v>-1402</v>
      </c>
      <c r="T7" s="139">
        <f>-NWC!T27</f>
        <v>-1474</v>
      </c>
      <c r="U7" s="139">
        <f>-NWC!U27</f>
        <v>-1533</v>
      </c>
      <c r="V7" s="139">
        <f>-NWC!V27</f>
        <v>-1613</v>
      </c>
      <c r="W7" s="139">
        <f>-NWC!W27</f>
        <v>-1640</v>
      </c>
      <c r="X7" s="139">
        <f>-NWC!X27</f>
        <v>-1725</v>
      </c>
    </row>
    <row r="8" spans="1:24">
      <c r="A8" s="172" t="s">
        <v>239</v>
      </c>
      <c r="B8" s="20" t="s">
        <v>257</v>
      </c>
      <c r="C8" s="20" t="s">
        <v>139</v>
      </c>
      <c r="E8" s="132"/>
      <c r="I8" s="139">
        <f>-Налоги!I73</f>
        <v>-120000</v>
      </c>
      <c r="J8" s="139">
        <f>-Налоги!J73</f>
        <v>-280000</v>
      </c>
      <c r="K8" s="139">
        <f>-Налоги!K73</f>
        <v>68258</v>
      </c>
      <c r="L8" s="139">
        <f>-Налоги!L73</f>
        <v>76884</v>
      </c>
      <c r="M8" s="139">
        <f>-Налоги!M73</f>
        <v>79425</v>
      </c>
      <c r="N8" s="139">
        <f>-Налоги!N73</f>
        <v>82836</v>
      </c>
      <c r="O8" s="139">
        <f>-Налоги!O73</f>
        <v>85906</v>
      </c>
      <c r="P8" s="139">
        <f>-Налоги!P73</f>
        <v>13484</v>
      </c>
      <c r="Q8" s="139">
        <f>-Налоги!Q73</f>
        <v>1402</v>
      </c>
      <c r="R8" s="139">
        <f>-Налоги!R73</f>
        <v>420</v>
      </c>
      <c r="S8" s="139">
        <f>-Налоги!S73</f>
        <v>353</v>
      </c>
      <c r="T8" s="139">
        <f>-Налоги!T73</f>
        <v>360</v>
      </c>
      <c r="U8" s="139">
        <f>-Налоги!U73</f>
        <v>373</v>
      </c>
      <c r="V8" s="139">
        <f>-Налоги!V73</f>
        <v>386</v>
      </c>
      <c r="W8" s="139">
        <f>-Налоги!W73</f>
        <v>405</v>
      </c>
      <c r="X8" s="139">
        <f>-Налоги!X73</f>
        <v>420</v>
      </c>
    </row>
    <row r="9" spans="1:24" ht="15" thickBot="1">
      <c r="A9" s="172"/>
      <c r="B9" s="133" t="s">
        <v>215</v>
      </c>
      <c r="C9" s="133" t="s">
        <v>6</v>
      </c>
      <c r="D9" s="133"/>
      <c r="E9" s="133"/>
      <c r="F9" s="133"/>
      <c r="G9" s="133"/>
      <c r="H9" s="133"/>
      <c r="I9" s="133">
        <f t="shared" ref="I9:X9" si="0">SUM(I5:I8)</f>
        <v>-120000</v>
      </c>
      <c r="J9" s="133">
        <f t="shared" si="0"/>
        <v>-280000</v>
      </c>
      <c r="K9" s="133">
        <f t="shared" si="0"/>
        <v>293093</v>
      </c>
      <c r="L9" s="133">
        <f t="shared" si="0"/>
        <v>351107</v>
      </c>
      <c r="M9" s="133">
        <f t="shared" si="0"/>
        <v>365053</v>
      </c>
      <c r="N9" s="133">
        <f t="shared" si="0"/>
        <v>380530</v>
      </c>
      <c r="O9" s="133">
        <f t="shared" si="0"/>
        <v>394509</v>
      </c>
      <c r="P9" s="133">
        <f t="shared" si="0"/>
        <v>334370</v>
      </c>
      <c r="Q9" s="133">
        <f t="shared" si="0"/>
        <v>335083</v>
      </c>
      <c r="R9" s="133">
        <f t="shared" si="0"/>
        <v>348493</v>
      </c>
      <c r="S9" s="133">
        <f t="shared" si="0"/>
        <v>361211</v>
      </c>
      <c r="T9" s="133">
        <f t="shared" si="0"/>
        <v>375607</v>
      </c>
      <c r="U9" s="133">
        <f t="shared" si="0"/>
        <v>390605</v>
      </c>
      <c r="V9" s="133">
        <f t="shared" si="0"/>
        <v>407471</v>
      </c>
      <c r="W9" s="133">
        <f t="shared" si="0"/>
        <v>422459</v>
      </c>
      <c r="X9" s="133">
        <f t="shared" si="0"/>
        <v>439320</v>
      </c>
    </row>
    <row r="10" spans="1:24" ht="15" thickBot="1"/>
    <row r="11" spans="1:24" ht="15" thickBot="1">
      <c r="A11" s="72" t="s">
        <v>72</v>
      </c>
      <c r="B11" s="138" t="s">
        <v>216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4"/>
    </row>
    <row r="13" spans="1:24">
      <c r="B13" s="20" t="s">
        <v>118</v>
      </c>
      <c r="C13" s="20" t="s">
        <v>139</v>
      </c>
      <c r="I13" s="139">
        <f>-ОС!I21</f>
        <v>-600000</v>
      </c>
      <c r="J13" s="139">
        <f>-ОС!J21</f>
        <v>-1400000</v>
      </c>
      <c r="K13" s="139">
        <f>-ОС!K21</f>
        <v>0</v>
      </c>
      <c r="L13" s="139">
        <f>-ОС!L21</f>
        <v>0</v>
      </c>
      <c r="M13" s="139">
        <f>-ОС!M21</f>
        <v>0</v>
      </c>
      <c r="N13" s="139">
        <f>-ОС!N21</f>
        <v>0</v>
      </c>
      <c r="O13" s="139">
        <f>-ОС!O21</f>
        <v>0</v>
      </c>
      <c r="P13" s="139">
        <f>-ОС!P21</f>
        <v>0</v>
      </c>
      <c r="Q13" s="139">
        <f>-ОС!Q21</f>
        <v>0</v>
      </c>
      <c r="R13" s="139">
        <f>-ОС!R21</f>
        <v>0</v>
      </c>
      <c r="S13" s="139">
        <f>-ОС!S21</f>
        <v>0</v>
      </c>
      <c r="T13" s="139">
        <f>-ОС!T21</f>
        <v>0</v>
      </c>
      <c r="U13" s="139">
        <f>-ОС!U21</f>
        <v>0</v>
      </c>
      <c r="V13" s="139">
        <f>-ОС!V21</f>
        <v>0</v>
      </c>
      <c r="W13" s="139">
        <f>-ОС!W21</f>
        <v>0</v>
      </c>
      <c r="X13" s="139">
        <f>-ОС!X21</f>
        <v>0</v>
      </c>
    </row>
    <row r="14" spans="1:24" ht="15" thickBot="1">
      <c r="B14" s="133" t="s">
        <v>216</v>
      </c>
      <c r="C14" s="133" t="s">
        <v>185</v>
      </c>
      <c r="D14" s="133"/>
      <c r="E14" s="133"/>
      <c r="F14" s="133"/>
      <c r="G14" s="133"/>
      <c r="H14" s="133"/>
      <c r="I14" s="133">
        <f>I13</f>
        <v>-600000</v>
      </c>
      <c r="J14" s="133">
        <f t="shared" ref="J14:X14" si="1">J13</f>
        <v>-1400000</v>
      </c>
      <c r="K14" s="133">
        <f t="shared" si="1"/>
        <v>0</v>
      </c>
      <c r="L14" s="133">
        <f t="shared" si="1"/>
        <v>0</v>
      </c>
      <c r="M14" s="133">
        <f t="shared" si="1"/>
        <v>0</v>
      </c>
      <c r="N14" s="133">
        <f t="shared" si="1"/>
        <v>0</v>
      </c>
      <c r="O14" s="133">
        <f t="shared" si="1"/>
        <v>0</v>
      </c>
      <c r="P14" s="133">
        <f t="shared" si="1"/>
        <v>0</v>
      </c>
      <c r="Q14" s="133">
        <f t="shared" si="1"/>
        <v>0</v>
      </c>
      <c r="R14" s="133">
        <f t="shared" si="1"/>
        <v>0</v>
      </c>
      <c r="S14" s="133">
        <f t="shared" si="1"/>
        <v>0</v>
      </c>
      <c r="T14" s="133">
        <f t="shared" si="1"/>
        <v>0</v>
      </c>
      <c r="U14" s="133">
        <f t="shared" si="1"/>
        <v>0</v>
      </c>
      <c r="V14" s="133">
        <f t="shared" si="1"/>
        <v>0</v>
      </c>
      <c r="W14" s="133">
        <f t="shared" si="1"/>
        <v>0</v>
      </c>
      <c r="X14" s="133">
        <f t="shared" si="1"/>
        <v>0</v>
      </c>
    </row>
    <row r="15" spans="1:24" ht="15" thickBot="1"/>
    <row r="16" spans="1:24" ht="15" thickBot="1">
      <c r="A16" s="72" t="s">
        <v>76</v>
      </c>
      <c r="B16" s="138" t="s">
        <v>217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4"/>
    </row>
    <row r="18" spans="1:24">
      <c r="B18" s="20" t="s">
        <v>218</v>
      </c>
      <c r="C18" s="20" t="s">
        <v>139</v>
      </c>
      <c r="I18" s="139">
        <f>I38</f>
        <v>720000</v>
      </c>
      <c r="J18" s="139">
        <f>J38</f>
        <v>1680000</v>
      </c>
      <c r="K18" s="139">
        <f t="shared" ref="K18:X18" si="2">K38</f>
        <v>0</v>
      </c>
      <c r="L18" s="139">
        <f t="shared" si="2"/>
        <v>0</v>
      </c>
      <c r="M18" s="139">
        <f t="shared" si="2"/>
        <v>0</v>
      </c>
      <c r="N18" s="139">
        <f t="shared" si="2"/>
        <v>0</v>
      </c>
      <c r="O18" s="139">
        <f t="shared" si="2"/>
        <v>0</v>
      </c>
      <c r="P18" s="139">
        <f t="shared" si="2"/>
        <v>0</v>
      </c>
      <c r="Q18" s="139">
        <f t="shared" si="2"/>
        <v>0</v>
      </c>
      <c r="R18" s="139">
        <f t="shared" si="2"/>
        <v>0</v>
      </c>
      <c r="S18" s="139">
        <f t="shared" si="2"/>
        <v>0</v>
      </c>
      <c r="T18" s="139">
        <f t="shared" si="2"/>
        <v>0</v>
      </c>
      <c r="U18" s="139">
        <f t="shared" si="2"/>
        <v>0</v>
      </c>
      <c r="V18" s="139">
        <f t="shared" si="2"/>
        <v>0</v>
      </c>
      <c r="W18" s="139">
        <f t="shared" si="2"/>
        <v>0</v>
      </c>
      <c r="X18" s="139">
        <f t="shared" si="2"/>
        <v>0</v>
      </c>
    </row>
    <row r="19" spans="1:24" ht="15" thickBot="1">
      <c r="B19" s="133" t="s">
        <v>217</v>
      </c>
      <c r="C19" s="133" t="s">
        <v>185</v>
      </c>
      <c r="D19" s="133"/>
      <c r="E19" s="133"/>
      <c r="F19" s="133"/>
      <c r="G19" s="133"/>
      <c r="H19" s="133"/>
      <c r="I19" s="133">
        <f>I18</f>
        <v>720000</v>
      </c>
      <c r="J19" s="133">
        <f t="shared" ref="J19:X19" si="3">J18</f>
        <v>1680000</v>
      </c>
      <c r="K19" s="133">
        <f t="shared" si="3"/>
        <v>0</v>
      </c>
      <c r="L19" s="133">
        <f t="shared" si="3"/>
        <v>0</v>
      </c>
      <c r="M19" s="133">
        <f t="shared" si="3"/>
        <v>0</v>
      </c>
      <c r="N19" s="133">
        <f t="shared" si="3"/>
        <v>0</v>
      </c>
      <c r="O19" s="133">
        <f t="shared" si="3"/>
        <v>0</v>
      </c>
      <c r="P19" s="133">
        <f t="shared" si="3"/>
        <v>0</v>
      </c>
      <c r="Q19" s="133">
        <f t="shared" si="3"/>
        <v>0</v>
      </c>
      <c r="R19" s="133">
        <f t="shared" si="3"/>
        <v>0</v>
      </c>
      <c r="S19" s="133">
        <f t="shared" si="3"/>
        <v>0</v>
      </c>
      <c r="T19" s="133">
        <f t="shared" si="3"/>
        <v>0</v>
      </c>
      <c r="U19" s="133">
        <f t="shared" si="3"/>
        <v>0</v>
      </c>
      <c r="V19" s="133">
        <f t="shared" si="3"/>
        <v>0</v>
      </c>
      <c r="W19" s="133">
        <f t="shared" si="3"/>
        <v>0</v>
      </c>
      <c r="X19" s="133">
        <f t="shared" si="3"/>
        <v>0</v>
      </c>
    </row>
    <row r="21" spans="1:24" ht="15" thickBot="1">
      <c r="B21" s="133" t="s">
        <v>219</v>
      </c>
      <c r="C21" s="133"/>
      <c r="D21" s="133"/>
      <c r="E21" s="133"/>
      <c r="F21" s="133"/>
      <c r="G21" s="133"/>
      <c r="H21" s="133"/>
      <c r="I21" s="133">
        <f t="shared" ref="I21:X21" si="4">I19+I14+I9</f>
        <v>0</v>
      </c>
      <c r="J21" s="133">
        <f t="shared" si="4"/>
        <v>0</v>
      </c>
      <c r="K21" s="133">
        <f t="shared" si="4"/>
        <v>293093</v>
      </c>
      <c r="L21" s="133">
        <f t="shared" si="4"/>
        <v>351107</v>
      </c>
      <c r="M21" s="133">
        <f t="shared" si="4"/>
        <v>365053</v>
      </c>
      <c r="N21" s="133">
        <f t="shared" si="4"/>
        <v>380530</v>
      </c>
      <c r="O21" s="133">
        <f t="shared" si="4"/>
        <v>394509</v>
      </c>
      <c r="P21" s="133">
        <f t="shared" si="4"/>
        <v>334370</v>
      </c>
      <c r="Q21" s="133">
        <f t="shared" si="4"/>
        <v>335083</v>
      </c>
      <c r="R21" s="133">
        <f t="shared" si="4"/>
        <v>348493</v>
      </c>
      <c r="S21" s="133">
        <f t="shared" si="4"/>
        <v>361211</v>
      </c>
      <c r="T21" s="133">
        <f t="shared" si="4"/>
        <v>375607</v>
      </c>
      <c r="U21" s="133">
        <f t="shared" si="4"/>
        <v>390605</v>
      </c>
      <c r="V21" s="133">
        <f t="shared" si="4"/>
        <v>407471</v>
      </c>
      <c r="W21" s="133">
        <f t="shared" si="4"/>
        <v>422459</v>
      </c>
      <c r="X21" s="133">
        <f t="shared" si="4"/>
        <v>439320</v>
      </c>
    </row>
    <row r="23" spans="1:24" ht="15" thickBot="1">
      <c r="B23" s="133" t="s">
        <v>230</v>
      </c>
      <c r="C23" s="133"/>
      <c r="D23" s="133"/>
      <c r="E23" s="133"/>
      <c r="F23" s="133"/>
      <c r="G23" s="133"/>
      <c r="H23" s="133"/>
      <c r="I23" s="133">
        <f>ROUND(I21,0)</f>
        <v>0</v>
      </c>
      <c r="J23" s="133">
        <f>ROUND((I23+J21),0)</f>
        <v>0</v>
      </c>
      <c r="K23" s="133">
        <f t="shared" ref="K23:X23" si="5">ROUND((J23+K21),0)</f>
        <v>293093</v>
      </c>
      <c r="L23" s="133">
        <f t="shared" si="5"/>
        <v>644200</v>
      </c>
      <c r="M23" s="133">
        <f t="shared" si="5"/>
        <v>1009253</v>
      </c>
      <c r="N23" s="133">
        <f t="shared" si="5"/>
        <v>1389783</v>
      </c>
      <c r="O23" s="133">
        <f t="shared" si="5"/>
        <v>1784292</v>
      </c>
      <c r="P23" s="133">
        <f t="shared" si="5"/>
        <v>2118662</v>
      </c>
      <c r="Q23" s="133">
        <f t="shared" si="5"/>
        <v>2453745</v>
      </c>
      <c r="R23" s="133">
        <f t="shared" si="5"/>
        <v>2802238</v>
      </c>
      <c r="S23" s="133">
        <f t="shared" si="5"/>
        <v>3163449</v>
      </c>
      <c r="T23" s="133">
        <f t="shared" si="5"/>
        <v>3539056</v>
      </c>
      <c r="U23" s="133">
        <f t="shared" si="5"/>
        <v>3929661</v>
      </c>
      <c r="V23" s="133">
        <f t="shared" si="5"/>
        <v>4337132</v>
      </c>
      <c r="W23" s="133">
        <f t="shared" si="5"/>
        <v>4759591</v>
      </c>
      <c r="X23" s="133">
        <f t="shared" si="5"/>
        <v>5198911</v>
      </c>
    </row>
    <row r="25" spans="1:24">
      <c r="B25" s="18"/>
    </row>
    <row r="29" spans="1:24" ht="15" thickBot="1"/>
    <row r="30" spans="1:24" ht="15" thickBot="1">
      <c r="A30" s="72" t="s">
        <v>202</v>
      </c>
      <c r="B30" s="138" t="s">
        <v>259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4"/>
    </row>
    <row r="33" spans="2:10">
      <c r="B33" s="20" t="s">
        <v>258</v>
      </c>
    </row>
    <row r="34" spans="2:10">
      <c r="B34" s="20" t="s">
        <v>118</v>
      </c>
      <c r="I34" s="139">
        <f>I13</f>
        <v>-600000</v>
      </c>
      <c r="J34" s="139">
        <f>J13</f>
        <v>-1400000</v>
      </c>
    </row>
    <row r="35" spans="2:10">
      <c r="B35" s="20" t="s">
        <v>61</v>
      </c>
      <c r="I35" s="139">
        <f>I8</f>
        <v>-120000</v>
      </c>
      <c r="J35" s="139">
        <f>J8</f>
        <v>-280000</v>
      </c>
    </row>
    <row r="36" spans="2:10">
      <c r="B36" s="20" t="s">
        <v>260</v>
      </c>
      <c r="I36" s="139">
        <f>SUM(I34:I35)</f>
        <v>-720000</v>
      </c>
      <c r="J36" s="139">
        <f>SUM(J34:J35)</f>
        <v>-1680000</v>
      </c>
    </row>
    <row r="38" spans="2:10">
      <c r="B38" s="20" t="s">
        <v>194</v>
      </c>
      <c r="I38" s="139">
        <f>-I36</f>
        <v>720000</v>
      </c>
      <c r="J38" s="139">
        <f>-J36</f>
        <v>1680000</v>
      </c>
    </row>
    <row r="137" spans="2:16" s="71" customFormat="1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</row>
    <row r="138" spans="2:16" s="71" customFormat="1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</row>
    <row r="139" spans="2:16" s="71" customFormat="1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</row>
    <row r="140" spans="2:16" s="71" customFormat="1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</row>
    <row r="141" spans="2:16" s="71" customFormat="1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EA09-D1D5-DC47-9861-4687AFD0F61E}">
  <sheetPr>
    <tabColor theme="9"/>
  </sheetPr>
  <dimension ref="A1:X152"/>
  <sheetViews>
    <sheetView zoomScale="90" zoomScaleNormal="90" workbookViewId="0">
      <pane ySplit="1" topLeftCell="A2" activePane="bottomLeft" state="frozen"/>
      <selection activeCell="C1" sqref="C1"/>
      <selection pane="bottomLeft"/>
    </sheetView>
  </sheetViews>
  <sheetFormatPr baseColWidth="10" defaultRowHeight="14"/>
  <cols>
    <col min="1" max="1" width="17" style="71" customWidth="1"/>
    <col min="2" max="2" width="46.83203125" style="20" customWidth="1"/>
    <col min="3" max="3" width="18.83203125" style="20" customWidth="1"/>
    <col min="4" max="4" width="21.5" style="20" customWidth="1"/>
    <col min="5" max="5" width="15" style="20" bestFit="1" customWidth="1"/>
    <col min="6" max="6" width="15" style="20" customWidth="1"/>
    <col min="7" max="7" width="16.6640625" style="20" customWidth="1"/>
    <col min="8" max="8" width="4.83203125" style="20" customWidth="1"/>
    <col min="9" max="16" width="15" style="20" bestFit="1" customWidth="1"/>
    <col min="17" max="16384" width="10.83203125" style="20"/>
  </cols>
  <sheetData>
    <row r="1" spans="1:24" ht="20" thickBot="1">
      <c r="A1" s="207" t="s">
        <v>278</v>
      </c>
      <c r="B1" s="14" t="s">
        <v>16</v>
      </c>
      <c r="C1" s="15" t="s">
        <v>17</v>
      </c>
      <c r="D1" s="16" t="s">
        <v>40</v>
      </c>
      <c r="E1" s="16" t="s">
        <v>29</v>
      </c>
      <c r="F1" s="16" t="s">
        <v>68</v>
      </c>
      <c r="G1" s="16" t="s">
        <v>34</v>
      </c>
      <c r="H1" s="98"/>
      <c r="I1" s="17">
        <f>Предпоссылки!I1</f>
        <v>2023</v>
      </c>
      <c r="J1" s="17">
        <f>Предпоссылки!J1</f>
        <v>2024</v>
      </c>
      <c r="K1" s="17">
        <f>Предпоссылки!K1</f>
        <v>2025</v>
      </c>
      <c r="L1" s="17">
        <f>Предпоссылки!L1</f>
        <v>2026</v>
      </c>
      <c r="M1" s="17">
        <f>Предпоссылки!M1</f>
        <v>2027</v>
      </c>
      <c r="N1" s="17">
        <f>Предпоссылки!N1</f>
        <v>2028</v>
      </c>
      <c r="O1" s="17">
        <f>Предпоссылки!O1</f>
        <v>2029</v>
      </c>
      <c r="P1" s="17">
        <f>Предпоссылки!P1</f>
        <v>2030</v>
      </c>
      <c r="Q1" s="17">
        <f>Предпоссылки!Q1</f>
        <v>2031</v>
      </c>
      <c r="R1" s="17">
        <f>Предпоссылки!R1</f>
        <v>2032</v>
      </c>
      <c r="S1" s="17">
        <f>Предпоссылки!S1</f>
        <v>2033</v>
      </c>
      <c r="T1" s="17">
        <f>Предпоссылки!T1</f>
        <v>2034</v>
      </c>
      <c r="U1" s="17">
        <f>Предпоссылки!U1</f>
        <v>2035</v>
      </c>
      <c r="V1" s="17">
        <f>Предпоссылки!V1</f>
        <v>2036</v>
      </c>
      <c r="W1" s="17">
        <f>Предпоссылки!W1</f>
        <v>2037</v>
      </c>
      <c r="X1" s="17">
        <f>Предпоссылки!X1</f>
        <v>2038</v>
      </c>
    </row>
    <row r="2" spans="1:24" ht="15" thickBot="1">
      <c r="A2" s="20" t="s">
        <v>80</v>
      </c>
      <c r="B2" s="22" t="s">
        <v>176</v>
      </c>
      <c r="C2" s="22" t="s">
        <v>175</v>
      </c>
      <c r="H2" s="47"/>
      <c r="I2" s="67">
        <v>0</v>
      </c>
      <c r="J2" s="67">
        <v>1</v>
      </c>
      <c r="K2" s="67">
        <v>2</v>
      </c>
      <c r="L2" s="67">
        <v>3</v>
      </c>
      <c r="M2" s="67">
        <v>4</v>
      </c>
      <c r="N2" s="67">
        <v>5</v>
      </c>
      <c r="O2" s="67">
        <v>6</v>
      </c>
      <c r="P2" s="67">
        <v>7</v>
      </c>
      <c r="Q2" s="67">
        <v>8</v>
      </c>
      <c r="R2" s="67">
        <v>9</v>
      </c>
      <c r="S2" s="67">
        <v>10</v>
      </c>
      <c r="T2" s="67">
        <v>11</v>
      </c>
      <c r="U2" s="67">
        <v>12</v>
      </c>
      <c r="V2" s="67">
        <v>13</v>
      </c>
      <c r="W2" s="67">
        <v>14</v>
      </c>
      <c r="X2" s="67">
        <v>15</v>
      </c>
    </row>
    <row r="3" spans="1:24" ht="15" thickBot="1">
      <c r="A3" s="72"/>
      <c r="B3" s="89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4"/>
    </row>
    <row r="5" spans="1:24">
      <c r="B5" s="20" t="s">
        <v>19</v>
      </c>
      <c r="C5" s="20" t="s">
        <v>6</v>
      </c>
      <c r="I5" s="139">
        <f>Выручка!I14</f>
        <v>0</v>
      </c>
      <c r="J5" s="139">
        <f>Выручка!J14</f>
        <v>0</v>
      </c>
      <c r="K5" s="139">
        <f>Выручка!K14</f>
        <v>608393</v>
      </c>
      <c r="L5" s="139">
        <f>Выручка!L14</f>
        <v>708777</v>
      </c>
      <c r="M5" s="139">
        <f>Выручка!M14</f>
        <v>740350</v>
      </c>
      <c r="N5" s="139">
        <f>Выручка!N14</f>
        <v>772073</v>
      </c>
      <c r="O5" s="139">
        <f>Выручка!O14</f>
        <v>800762</v>
      </c>
      <c r="P5" s="139">
        <f>Выручка!P14</f>
        <v>832793</v>
      </c>
      <c r="Q5" s="139">
        <f>Выручка!Q14</f>
        <v>866105</v>
      </c>
      <c r="R5" s="139">
        <f>Выручка!R14</f>
        <v>903217</v>
      </c>
      <c r="S5" s="139">
        <f>Выручка!S14</f>
        <v>936779</v>
      </c>
      <c r="T5" s="139">
        <f>Выручка!T14</f>
        <v>974250</v>
      </c>
      <c r="U5" s="139">
        <f>Выручка!U14</f>
        <v>1013220</v>
      </c>
      <c r="V5" s="139">
        <f>Выручка!V14</f>
        <v>1056636</v>
      </c>
      <c r="W5" s="139">
        <f>Выручка!W14</f>
        <v>1095899</v>
      </c>
      <c r="X5" s="139">
        <f>Выручка!X14</f>
        <v>1139734</v>
      </c>
    </row>
    <row r="6" spans="1:24">
      <c r="B6" s="20" t="s">
        <v>142</v>
      </c>
      <c r="C6" s="20" t="s">
        <v>6</v>
      </c>
      <c r="I6" s="139">
        <f>-OpEx!I18</f>
        <v>0</v>
      </c>
      <c r="J6" s="139">
        <f>-OpEx!J18</f>
        <v>0</v>
      </c>
      <c r="K6" s="139">
        <f>-OpEx!K18</f>
        <v>-238571</v>
      </c>
      <c r="L6" s="139">
        <f>-OpEx!L18</f>
        <v>-285019</v>
      </c>
      <c r="M6" s="139">
        <f>-OpEx!M18</f>
        <v>-301302</v>
      </c>
      <c r="N6" s="139">
        <f>-OpEx!N18</f>
        <v>-314132</v>
      </c>
      <c r="O6" s="139">
        <f>-OpEx!O18</f>
        <v>-325888</v>
      </c>
      <c r="P6" s="139">
        <f>-OpEx!P18</f>
        <v>-338924</v>
      </c>
      <c r="Q6" s="139">
        <f>-OpEx!Q18</f>
        <v>-352481</v>
      </c>
      <c r="R6" s="139">
        <f>-OpEx!R18</f>
        <v>-367489</v>
      </c>
      <c r="S6" s="139">
        <f>-OpEx!S18</f>
        <v>-381242</v>
      </c>
      <c r="T6" s="139">
        <f>-OpEx!T18</f>
        <v>-396493</v>
      </c>
      <c r="U6" s="139">
        <f>-OpEx!U18</f>
        <v>-412354</v>
      </c>
      <c r="V6" s="139">
        <f>-OpEx!V18</f>
        <v>-429911</v>
      </c>
      <c r="W6" s="139">
        <f>-OpEx!W18</f>
        <v>-446001</v>
      </c>
      <c r="X6" s="139">
        <f>-OpEx!X18</f>
        <v>-463839</v>
      </c>
    </row>
    <row r="7" spans="1:24" ht="15" thickBot="1">
      <c r="B7" s="133" t="s">
        <v>196</v>
      </c>
      <c r="C7" s="133" t="s">
        <v>6</v>
      </c>
      <c r="D7" s="133"/>
      <c r="E7" s="133"/>
      <c r="F7" s="133"/>
      <c r="G7" s="133"/>
      <c r="H7" s="133"/>
      <c r="I7" s="133">
        <f>I5+I6</f>
        <v>0</v>
      </c>
      <c r="J7" s="133">
        <f t="shared" ref="J7:P7" si="0">J5+J6</f>
        <v>0</v>
      </c>
      <c r="K7" s="133">
        <f t="shared" si="0"/>
        <v>369822</v>
      </c>
      <c r="L7" s="133">
        <f t="shared" si="0"/>
        <v>423758</v>
      </c>
      <c r="M7" s="133">
        <f t="shared" si="0"/>
        <v>439048</v>
      </c>
      <c r="N7" s="133">
        <f t="shared" si="0"/>
        <v>457941</v>
      </c>
      <c r="O7" s="133">
        <f t="shared" si="0"/>
        <v>474874</v>
      </c>
      <c r="P7" s="133">
        <f t="shared" si="0"/>
        <v>493869</v>
      </c>
      <c r="Q7" s="133">
        <f t="shared" ref="Q7" si="1">Q5+Q6</f>
        <v>513624</v>
      </c>
      <c r="R7" s="133">
        <f t="shared" ref="R7" si="2">R5+R6</f>
        <v>535728</v>
      </c>
      <c r="S7" s="133">
        <f t="shared" ref="S7" si="3">S5+S6</f>
        <v>555537</v>
      </c>
      <c r="T7" s="133">
        <f t="shared" ref="T7" si="4">T5+T6</f>
        <v>577757</v>
      </c>
      <c r="U7" s="133">
        <f t="shared" ref="U7" si="5">U5+U6</f>
        <v>600866</v>
      </c>
      <c r="V7" s="133">
        <f t="shared" ref="V7" si="6">V5+V6</f>
        <v>626725</v>
      </c>
      <c r="W7" s="133">
        <f t="shared" ref="W7" si="7">W5+W6</f>
        <v>649898</v>
      </c>
      <c r="X7" s="133">
        <f t="shared" ref="X7" si="8">X5+X6</f>
        <v>675895</v>
      </c>
    </row>
    <row r="8" spans="1:24">
      <c r="B8" s="143" t="s">
        <v>197</v>
      </c>
      <c r="C8" s="20" t="s">
        <v>2</v>
      </c>
      <c r="I8" s="144">
        <f>IF(I7&gt;0,I7/I5,0)</f>
        <v>0</v>
      </c>
      <c r="J8" s="144">
        <f t="shared" ref="J8:P8" si="9">IF(J7&gt;0,J7/J5,0)</f>
        <v>0</v>
      </c>
      <c r="K8" s="145">
        <f t="shared" si="9"/>
        <v>0.60786695441926519</v>
      </c>
      <c r="L8" s="145">
        <f t="shared" si="9"/>
        <v>0.59787210928119849</v>
      </c>
      <c r="M8" s="145">
        <f t="shared" si="9"/>
        <v>0.5930276220706423</v>
      </c>
      <c r="N8" s="145">
        <f t="shared" si="9"/>
        <v>0.59313173754295256</v>
      </c>
      <c r="O8" s="145">
        <f t="shared" si="9"/>
        <v>0.59302764117178386</v>
      </c>
      <c r="P8" s="145">
        <f t="shared" si="9"/>
        <v>0.59302731891358351</v>
      </c>
      <c r="Q8" s="145">
        <f t="shared" ref="Q8" si="10">IF(Q7&gt;0,Q7/Q5,0)</f>
        <v>0.59302740429855505</v>
      </c>
      <c r="R8" s="145">
        <f t="shared" ref="R8" si="11">IF(R7&gt;0,R7/R5,0)</f>
        <v>0.59313321162024191</v>
      </c>
      <c r="S8" s="145">
        <f t="shared" ref="S8" si="12">IF(S7&gt;0,S7/S5,0)</f>
        <v>0.59302887874301191</v>
      </c>
      <c r="T8" s="145">
        <f t="shared" ref="T8" si="13">IF(T7&gt;0,T7/T5,0)</f>
        <v>0.59302745701821913</v>
      </c>
      <c r="U8" s="145">
        <f t="shared" ref="U8" si="14">IF(U7&gt;0,U7/U5,0)</f>
        <v>0.59302619371903431</v>
      </c>
      <c r="V8" s="145">
        <f t="shared" ref="V8" si="15">IF(V7&gt;0,V7/V5,0)</f>
        <v>0.59313235589171676</v>
      </c>
      <c r="W8" s="145">
        <f t="shared" ref="W8" si="16">IF(W7&gt;0,W7/W5,0)</f>
        <v>0.59302727714871539</v>
      </c>
      <c r="X8" s="145">
        <f t="shared" ref="X8" si="17">IF(X7&gt;0,X7/X5,0)</f>
        <v>0.5930287242461838</v>
      </c>
    </row>
    <row r="9" spans="1:24">
      <c r="B9" s="20" t="s">
        <v>109</v>
      </c>
      <c r="C9" s="20" t="s">
        <v>6</v>
      </c>
      <c r="I9" s="144">
        <f>-'SG&amp;A'!I15</f>
        <v>0</v>
      </c>
      <c r="J9" s="144">
        <f>-'SG&amp;A'!J15</f>
        <v>0</v>
      </c>
      <c r="K9" s="144">
        <f>-'SG&amp;A'!K15</f>
        <v>-68063</v>
      </c>
      <c r="L9" s="144">
        <f>-'SG&amp;A'!L15</f>
        <v>-80447</v>
      </c>
      <c r="M9" s="144">
        <f>-'SG&amp;A'!M15</f>
        <v>-84680</v>
      </c>
      <c r="N9" s="144">
        <f>-'SG&amp;A'!N15</f>
        <v>-88228</v>
      </c>
      <c r="O9" s="144">
        <f>-'SG&amp;A'!O15</f>
        <v>-91590</v>
      </c>
      <c r="P9" s="144">
        <f>-'SG&amp;A'!P15</f>
        <v>-95254</v>
      </c>
      <c r="Q9" s="144">
        <f>-'SG&amp;A'!Q15</f>
        <v>-99063</v>
      </c>
      <c r="R9" s="144">
        <f>-'SG&amp;A'!R15</f>
        <v>-103216</v>
      </c>
      <c r="S9" s="144">
        <f>-'SG&amp;A'!S15</f>
        <v>-107147</v>
      </c>
      <c r="T9" s="144">
        <f>-'SG&amp;A'!T15</f>
        <v>-111434</v>
      </c>
      <c r="U9" s="144">
        <f>-'SG&amp;A'!U15</f>
        <v>-115892</v>
      </c>
      <c r="V9" s="144">
        <f>-'SG&amp;A'!V15</f>
        <v>-120748</v>
      </c>
      <c r="W9" s="144">
        <f>-'SG&amp;A'!W15</f>
        <v>-125348</v>
      </c>
      <c r="X9" s="144">
        <f>-'SG&amp;A'!X15</f>
        <v>-130362</v>
      </c>
    </row>
    <row r="10" spans="1:24">
      <c r="B10" s="20" t="s">
        <v>67</v>
      </c>
      <c r="C10" s="20" t="s">
        <v>6</v>
      </c>
      <c r="I10" s="144">
        <f>-Налоги!I41</f>
        <v>0</v>
      </c>
      <c r="J10" s="144">
        <f>-Налоги!J41</f>
        <v>0</v>
      </c>
      <c r="K10" s="144">
        <f>-Налоги!K41</f>
        <v>-6380</v>
      </c>
      <c r="L10" s="144">
        <f>-Налоги!L41</f>
        <v>-12540</v>
      </c>
      <c r="M10" s="144">
        <f>-Налоги!M41</f>
        <v>-12100</v>
      </c>
      <c r="N10" s="144">
        <f>-Налоги!N41</f>
        <v>-11660</v>
      </c>
      <c r="O10" s="144">
        <f>-Налоги!O41</f>
        <v>-11220</v>
      </c>
      <c r="P10" s="144">
        <f>-Налоги!P41</f>
        <v>-10780</v>
      </c>
      <c r="Q10" s="144">
        <f>-Налоги!Q41</f>
        <v>-10340</v>
      </c>
      <c r="R10" s="144">
        <f>-Налоги!R41</f>
        <v>-9900</v>
      </c>
      <c r="S10" s="144">
        <f>-Налоги!S41</f>
        <v>-9460</v>
      </c>
      <c r="T10" s="144">
        <f>-Налоги!T41</f>
        <v>-9020</v>
      </c>
      <c r="U10" s="144">
        <f>-Налоги!U41</f>
        <v>-8580</v>
      </c>
      <c r="V10" s="144">
        <f>-Налоги!V41</f>
        <v>-8140</v>
      </c>
      <c r="W10" s="144">
        <f>-Налоги!W41</f>
        <v>-7700</v>
      </c>
      <c r="X10" s="144">
        <f>-Налоги!X41</f>
        <v>-7260</v>
      </c>
    </row>
    <row r="11" spans="1:24" ht="15" thickBot="1">
      <c r="B11" s="133" t="s">
        <v>195</v>
      </c>
      <c r="C11" s="133" t="s">
        <v>6</v>
      </c>
      <c r="D11" s="133"/>
      <c r="E11" s="133"/>
      <c r="F11" s="133"/>
      <c r="G11" s="133"/>
      <c r="H11" s="133"/>
      <c r="I11" s="133">
        <f>I7+I9+I10</f>
        <v>0</v>
      </c>
      <c r="J11" s="133">
        <f t="shared" ref="J11:X11" si="18">J7+J9+J10</f>
        <v>0</v>
      </c>
      <c r="K11" s="133">
        <f t="shared" si="18"/>
        <v>295379</v>
      </c>
      <c r="L11" s="133">
        <f t="shared" si="18"/>
        <v>330771</v>
      </c>
      <c r="M11" s="133">
        <f t="shared" si="18"/>
        <v>342268</v>
      </c>
      <c r="N11" s="133">
        <f t="shared" si="18"/>
        <v>358053</v>
      </c>
      <c r="O11" s="133">
        <f t="shared" si="18"/>
        <v>372064</v>
      </c>
      <c r="P11" s="133">
        <f t="shared" si="18"/>
        <v>387835</v>
      </c>
      <c r="Q11" s="133">
        <f t="shared" si="18"/>
        <v>404221</v>
      </c>
      <c r="R11" s="133">
        <f t="shared" si="18"/>
        <v>422612</v>
      </c>
      <c r="S11" s="133">
        <f t="shared" si="18"/>
        <v>438930</v>
      </c>
      <c r="T11" s="133">
        <f t="shared" si="18"/>
        <v>457303</v>
      </c>
      <c r="U11" s="133">
        <f t="shared" si="18"/>
        <v>476394</v>
      </c>
      <c r="V11" s="133">
        <f t="shared" si="18"/>
        <v>497837</v>
      </c>
      <c r="W11" s="133">
        <f t="shared" si="18"/>
        <v>516850</v>
      </c>
      <c r="X11" s="133">
        <f t="shared" si="18"/>
        <v>538273</v>
      </c>
    </row>
    <row r="12" spans="1:24">
      <c r="B12" s="105" t="s">
        <v>198</v>
      </c>
      <c r="C12" s="20" t="s">
        <v>2</v>
      </c>
      <c r="I12" s="144">
        <f>IF(I11&gt;0,I11/I5,0)</f>
        <v>0</v>
      </c>
      <c r="J12" s="144">
        <f t="shared" ref="J12:P12" si="19">IF(J11&gt;0,J11/J5,0)</f>
        <v>0</v>
      </c>
      <c r="K12" s="145">
        <f t="shared" si="19"/>
        <v>0.48550690096697363</v>
      </c>
      <c r="L12" s="145">
        <f t="shared" si="19"/>
        <v>0.46667851806703659</v>
      </c>
      <c r="M12" s="145">
        <f t="shared" si="19"/>
        <v>0.46230566623894104</v>
      </c>
      <c r="N12" s="145">
        <f t="shared" si="19"/>
        <v>0.46375537028234376</v>
      </c>
      <c r="O12" s="145">
        <f t="shared" si="19"/>
        <v>0.46463743284521491</v>
      </c>
      <c r="P12" s="145">
        <f t="shared" si="19"/>
        <v>0.46570396244925211</v>
      </c>
      <c r="Q12" s="145">
        <f t="shared" ref="Q12" si="20">IF(Q11&gt;0,Q11/Q5,0)</f>
        <v>0.46671131098423402</v>
      </c>
      <c r="R12" s="145">
        <f t="shared" ref="R12" si="21">IF(R11&gt;0,R11/R5,0)</f>
        <v>0.46789641913294366</v>
      </c>
      <c r="S12" s="145">
        <f t="shared" ref="S12" si="22">IF(S11&gt;0,S11/S5,0)</f>
        <v>0.4685523479924294</v>
      </c>
      <c r="T12" s="145">
        <f t="shared" ref="T12" si="23">IF(T11&gt;0,T11/T5,0)</f>
        <v>0.46938978701565309</v>
      </c>
      <c r="U12" s="145">
        <f t="shared" ref="U12" si="24">IF(U11&gt;0,U11/U5,0)</f>
        <v>0.47017824361935218</v>
      </c>
      <c r="V12" s="145">
        <f t="shared" ref="V12" si="25">IF(V11&gt;0,V11/V5,0)</f>
        <v>0.47115279055417381</v>
      </c>
      <c r="W12" s="145">
        <f t="shared" ref="W12" si="26">IF(W11&gt;0,W11/W5,0)</f>
        <v>0.47162192866313413</v>
      </c>
      <c r="X12" s="145">
        <f t="shared" ref="X12" si="27">IF(X11&gt;0,X11/X5,0)</f>
        <v>0.47227949679486619</v>
      </c>
    </row>
    <row r="13" spans="1:24">
      <c r="B13" s="20" t="s">
        <v>199</v>
      </c>
      <c r="C13" s="20" t="s">
        <v>6</v>
      </c>
      <c r="I13" s="139">
        <f>-ОС!I24</f>
        <v>0</v>
      </c>
      <c r="J13" s="139">
        <f>-ОС!J24</f>
        <v>0</v>
      </c>
      <c r="K13" s="139">
        <f>-ОС!K24</f>
        <v>-66666.666666666657</v>
      </c>
      <c r="L13" s="139">
        <f>-ОС!L24</f>
        <v>-65111.111111111109</v>
      </c>
      <c r="M13" s="139">
        <f>-ОС!M24</f>
        <v>-63607.407407407409</v>
      </c>
      <c r="N13" s="139">
        <f>-ОС!N24</f>
        <v>-62153.827160493827</v>
      </c>
      <c r="O13" s="139">
        <f>-ОС!O24</f>
        <v>-60748.699588477364</v>
      </c>
      <c r="P13" s="139">
        <f>-ОС!P24</f>
        <v>-59390.409602194784</v>
      </c>
      <c r="Q13" s="139">
        <f>-ОС!Q24</f>
        <v>-58077.395948788289</v>
      </c>
      <c r="R13" s="139">
        <f>-ОС!R24</f>
        <v>-56808.149417162014</v>
      </c>
      <c r="S13" s="139">
        <f>-ОС!S24</f>
        <v>-55581.21110325661</v>
      </c>
      <c r="T13" s="139">
        <f>-ОС!T24</f>
        <v>-54395.170733148065</v>
      </c>
      <c r="U13" s="139">
        <f>-ОС!U24</f>
        <v>-53248.665042043125</v>
      </c>
      <c r="V13" s="139">
        <f>-ОС!V24</f>
        <v>-52140.376207308356</v>
      </c>
      <c r="W13" s="139">
        <f>-ОС!W24</f>
        <v>-51069.030333731411</v>
      </c>
      <c r="X13" s="139">
        <f>-ОС!X24</f>
        <v>-50033.395989273689</v>
      </c>
    </row>
    <row r="14" spans="1:24" ht="15" thickBot="1">
      <c r="B14" s="133" t="s">
        <v>200</v>
      </c>
      <c r="C14" s="133" t="s">
        <v>6</v>
      </c>
      <c r="D14" s="133"/>
      <c r="E14" s="133"/>
      <c r="F14" s="133"/>
      <c r="G14" s="133"/>
      <c r="H14" s="133"/>
      <c r="I14" s="133">
        <f>I11+I13</f>
        <v>0</v>
      </c>
      <c r="J14" s="133">
        <f t="shared" ref="J14:P14" si="28">J11+J13</f>
        <v>0</v>
      </c>
      <c r="K14" s="133">
        <f t="shared" si="28"/>
        <v>228712.33333333334</v>
      </c>
      <c r="L14" s="133">
        <f t="shared" si="28"/>
        <v>265659.88888888888</v>
      </c>
      <c r="M14" s="133">
        <f t="shared" si="28"/>
        <v>278660.59259259258</v>
      </c>
      <c r="N14" s="133">
        <f t="shared" si="28"/>
        <v>295899.17283950618</v>
      </c>
      <c r="O14" s="133">
        <f t="shared" si="28"/>
        <v>311315.30041152262</v>
      </c>
      <c r="P14" s="133">
        <f t="shared" si="28"/>
        <v>328444.59039780521</v>
      </c>
      <c r="Q14" s="133">
        <f t="shared" ref="Q14" si="29">Q11+Q13</f>
        <v>346143.60405121173</v>
      </c>
      <c r="R14" s="133">
        <f t="shared" ref="R14" si="30">R11+R13</f>
        <v>365803.850582838</v>
      </c>
      <c r="S14" s="133">
        <f t="shared" ref="S14" si="31">S11+S13</f>
        <v>383348.78889674338</v>
      </c>
      <c r="T14" s="133">
        <f t="shared" ref="T14" si="32">T11+T13</f>
        <v>402907.82926685194</v>
      </c>
      <c r="U14" s="133">
        <f t="shared" ref="U14" si="33">U11+U13</f>
        <v>423145.33495795686</v>
      </c>
      <c r="V14" s="133">
        <f t="shared" ref="V14" si="34">V11+V13</f>
        <v>445696.62379269162</v>
      </c>
      <c r="W14" s="133">
        <f t="shared" ref="W14" si="35">W11+W13</f>
        <v>465780.96966626856</v>
      </c>
      <c r="X14" s="133">
        <f t="shared" ref="X14" si="36">X11+X13</f>
        <v>488239.60401072633</v>
      </c>
    </row>
    <row r="15" spans="1:24">
      <c r="B15" s="105" t="s">
        <v>205</v>
      </c>
      <c r="C15" s="20" t="s">
        <v>2</v>
      </c>
      <c r="I15" s="144">
        <f>IF(I14&gt;0,I14/I5,0)</f>
        <v>0</v>
      </c>
      <c r="J15" s="144">
        <f t="shared" ref="J15:P15" si="37">IF(J14&gt;0,J14/J5,0)</f>
        <v>0</v>
      </c>
      <c r="K15" s="145">
        <f t="shared" si="37"/>
        <v>0.37592860755027319</v>
      </c>
      <c r="L15" s="145">
        <f t="shared" si="37"/>
        <v>0.37481448874454004</v>
      </c>
      <c r="M15" s="145">
        <f t="shared" si="37"/>
        <v>0.37639034590746617</v>
      </c>
      <c r="N15" s="145">
        <f t="shared" si="37"/>
        <v>0.38325284375895308</v>
      </c>
      <c r="O15" s="145">
        <f t="shared" si="37"/>
        <v>0.38877381845232745</v>
      </c>
      <c r="P15" s="145">
        <f t="shared" si="37"/>
        <v>0.39438923045439289</v>
      </c>
      <c r="Q15" s="145">
        <f t="shared" ref="Q15" si="38">IF(Q14&gt;0,Q14/Q5,0)</f>
        <v>0.39965547370262466</v>
      </c>
      <c r="R15" s="145">
        <f t="shared" ref="R15" si="39">IF(R14&gt;0,R14/R5,0)</f>
        <v>0.40500106904856531</v>
      </c>
      <c r="S15" s="145">
        <f t="shared" ref="S15" si="40">IF(S14&gt;0,S14/S5,0)</f>
        <v>0.40922009235555384</v>
      </c>
      <c r="T15" s="145">
        <f t="shared" ref="T15" si="41">IF(T14&gt;0,T14/T5,0)</f>
        <v>0.41355691995571153</v>
      </c>
      <c r="U15" s="145">
        <f t="shared" ref="U15" si="42">IF(U14&gt;0,U14/U5,0)</f>
        <v>0.41762434116771963</v>
      </c>
      <c r="V15" s="145">
        <f t="shared" ref="V15" si="43">IF(V14&gt;0,V14/V5,0)</f>
        <v>0.42180715382846279</v>
      </c>
      <c r="W15" s="145">
        <f t="shared" ref="W15" si="44">IF(W14&gt;0,W14/W5,0)</f>
        <v>0.42502180371208348</v>
      </c>
      <c r="X15" s="145">
        <f t="shared" ref="X15" si="45">IF(X14&gt;0,X14/X5,0)</f>
        <v>0.42838030980099417</v>
      </c>
    </row>
    <row r="16" spans="1:24">
      <c r="B16" s="20" t="s">
        <v>66</v>
      </c>
      <c r="C16" s="20" t="s">
        <v>6</v>
      </c>
      <c r="I16" s="139">
        <f>-Налоги!I82</f>
        <v>0</v>
      </c>
      <c r="J16" s="139">
        <f>-Налоги!J82</f>
        <v>0</v>
      </c>
      <c r="K16" s="139">
        <f>-Налоги!K82</f>
        <v>-45742</v>
      </c>
      <c r="L16" s="139">
        <f>-Налоги!L82</f>
        <v>-53132</v>
      </c>
      <c r="M16" s="139">
        <f>-Налоги!M82</f>
        <v>-55732</v>
      </c>
      <c r="N16" s="139">
        <f>-Налоги!N82</f>
        <v>-59180</v>
      </c>
      <c r="O16" s="139">
        <f>-Налоги!O82</f>
        <v>-62263</v>
      </c>
      <c r="P16" s="139">
        <f>-Налоги!P82</f>
        <v>-65689</v>
      </c>
      <c r="Q16" s="139">
        <f>-Налоги!Q82</f>
        <v>-69229</v>
      </c>
      <c r="R16" s="139">
        <f>-Налоги!R82</f>
        <v>-73161</v>
      </c>
      <c r="S16" s="139">
        <f>-Налоги!S82</f>
        <v>-76670</v>
      </c>
      <c r="T16" s="139">
        <f>-Налоги!T82</f>
        <v>-80582</v>
      </c>
      <c r="U16" s="139">
        <f>-Налоги!U82</f>
        <v>-84629</v>
      </c>
      <c r="V16" s="139">
        <f>-Налоги!V82</f>
        <v>-89139</v>
      </c>
      <c r="W16" s="139">
        <f>-Налоги!W82</f>
        <v>-93156</v>
      </c>
      <c r="X16" s="139">
        <f>-Налоги!X82</f>
        <v>-97648</v>
      </c>
    </row>
    <row r="17" spans="2:24" ht="15" thickBot="1">
      <c r="B17" s="133" t="s">
        <v>206</v>
      </c>
      <c r="C17" s="133"/>
      <c r="D17" s="133"/>
      <c r="E17" s="133"/>
      <c r="F17" s="133"/>
      <c r="G17" s="133"/>
      <c r="H17" s="133"/>
      <c r="I17" s="133">
        <f>I14+I16</f>
        <v>0</v>
      </c>
      <c r="J17" s="133">
        <f t="shared" ref="J17:P17" si="46">J14+J16</f>
        <v>0</v>
      </c>
      <c r="K17" s="133">
        <f t="shared" si="46"/>
        <v>182970.33333333334</v>
      </c>
      <c r="L17" s="133">
        <f t="shared" si="46"/>
        <v>212527.88888888888</v>
      </c>
      <c r="M17" s="133">
        <f t="shared" si="46"/>
        <v>222928.59259259258</v>
      </c>
      <c r="N17" s="133">
        <f t="shared" si="46"/>
        <v>236719.17283950618</v>
      </c>
      <c r="O17" s="133">
        <f t="shared" si="46"/>
        <v>249052.30041152262</v>
      </c>
      <c r="P17" s="133">
        <f t="shared" si="46"/>
        <v>262755.59039780521</v>
      </c>
      <c r="Q17" s="133">
        <f t="shared" ref="Q17" si="47">Q14+Q16</f>
        <v>276914.60405121173</v>
      </c>
      <c r="R17" s="133">
        <f t="shared" ref="R17" si="48">R14+R16</f>
        <v>292642.850582838</v>
      </c>
      <c r="S17" s="133">
        <f t="shared" ref="S17" si="49">S14+S16</f>
        <v>306678.78889674338</v>
      </c>
      <c r="T17" s="133">
        <f t="shared" ref="T17" si="50">T14+T16</f>
        <v>322325.82926685194</v>
      </c>
      <c r="U17" s="133">
        <f t="shared" ref="U17" si="51">U14+U16</f>
        <v>338516.33495795686</v>
      </c>
      <c r="V17" s="133">
        <f t="shared" ref="V17" si="52">V14+V16</f>
        <v>356557.62379269162</v>
      </c>
      <c r="W17" s="133">
        <f t="shared" ref="W17" si="53">W14+W16</f>
        <v>372624.96966626856</v>
      </c>
      <c r="X17" s="133">
        <f t="shared" ref="X17" si="54">X14+X16</f>
        <v>390591.60401072633</v>
      </c>
    </row>
    <row r="36" spans="2:2">
      <c r="B36" s="18"/>
    </row>
    <row r="148" spans="2:16" s="71" customFormat="1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</row>
    <row r="149" spans="2:16" s="71" customFormat="1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</row>
    <row r="150" spans="2:16" s="71" customFormat="1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</row>
    <row r="151" spans="2:16" s="71" customFormat="1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</row>
    <row r="152" spans="2:16" s="71" customFormat="1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A113-CBE9-374D-961B-6911A082AE02}">
  <dimension ref="A1"/>
  <sheetViews>
    <sheetView workbookViewId="0">
      <selection activeCell="C32" sqref="C32"/>
    </sheetView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DDA2-DDFB-9F43-99E2-4088E7FCD53F}">
  <sheetPr>
    <tabColor rgb="FFC00000"/>
  </sheetPr>
  <dimension ref="A1:X2088"/>
  <sheetViews>
    <sheetView topLeftCell="B1" zoomScale="90" zoomScaleNormal="90" workbookViewId="0">
      <pane ySplit="1" topLeftCell="A100" activePane="bottomLeft" state="frozen"/>
      <selection pane="bottomLeft" activeCell="F64" sqref="F64"/>
    </sheetView>
  </sheetViews>
  <sheetFormatPr baseColWidth="10" defaultRowHeight="14"/>
  <cols>
    <col min="1" max="1" width="17.1640625" style="71" customWidth="1"/>
    <col min="2" max="2" width="46.83203125" style="20" customWidth="1"/>
    <col min="3" max="3" width="18.83203125" style="20" customWidth="1"/>
    <col min="4" max="4" width="21.5" style="20" customWidth="1"/>
    <col min="5" max="5" width="15" style="20" bestFit="1" customWidth="1"/>
    <col min="6" max="6" width="15" style="20" customWidth="1"/>
    <col min="7" max="7" width="16.6640625" style="20" customWidth="1"/>
    <col min="8" max="8" width="4.83203125" style="20" customWidth="1"/>
    <col min="9" max="16" width="15" style="20" bestFit="1" customWidth="1"/>
    <col min="17" max="17" width="13.5" style="20" customWidth="1"/>
    <col min="18" max="18" width="14.83203125" style="20" customWidth="1"/>
    <col min="19" max="19" width="15" style="20" customWidth="1"/>
    <col min="20" max="20" width="15.6640625" style="20" customWidth="1"/>
    <col min="21" max="21" width="15.33203125" style="20" customWidth="1"/>
    <col min="22" max="22" width="15.5" style="20" customWidth="1"/>
    <col min="23" max="23" width="16" style="20" customWidth="1"/>
    <col min="24" max="24" width="16.1640625" style="20" customWidth="1"/>
    <col min="25" max="26" width="10.83203125" style="20" customWidth="1"/>
    <col min="27" max="27" width="10.83203125" style="20"/>
    <col min="28" max="36" width="10.83203125" style="20" customWidth="1"/>
    <col min="37" max="16384" width="10.83203125" style="20"/>
  </cols>
  <sheetData>
    <row r="1" spans="1:24" ht="20" thickBot="1">
      <c r="A1" s="135" t="s">
        <v>96</v>
      </c>
      <c r="B1" s="14" t="s">
        <v>16</v>
      </c>
      <c r="C1" s="15" t="s">
        <v>17</v>
      </c>
      <c r="D1" s="16" t="s">
        <v>40</v>
      </c>
      <c r="E1" s="16" t="s">
        <v>29</v>
      </c>
      <c r="F1" s="16" t="s">
        <v>68</v>
      </c>
      <c r="G1" s="16" t="s">
        <v>34</v>
      </c>
      <c r="H1" s="98"/>
      <c r="I1" s="17">
        <f t="shared" ref="I1:P1" si="0">I9</f>
        <v>2023</v>
      </c>
      <c r="J1" s="17">
        <f t="shared" si="0"/>
        <v>2024</v>
      </c>
      <c r="K1" s="17">
        <f t="shared" si="0"/>
        <v>2025</v>
      </c>
      <c r="L1" s="17">
        <f t="shared" si="0"/>
        <v>2026</v>
      </c>
      <c r="M1" s="17">
        <f t="shared" si="0"/>
        <v>2027</v>
      </c>
      <c r="N1" s="17">
        <f t="shared" si="0"/>
        <v>2028</v>
      </c>
      <c r="O1" s="17">
        <f t="shared" si="0"/>
        <v>2029</v>
      </c>
      <c r="P1" s="48">
        <f t="shared" si="0"/>
        <v>2030</v>
      </c>
      <c r="Q1" s="17">
        <f t="shared" ref="Q1:X1" si="1">Q9</f>
        <v>2031</v>
      </c>
      <c r="R1" s="17">
        <f t="shared" si="1"/>
        <v>2032</v>
      </c>
      <c r="S1" s="17">
        <f t="shared" si="1"/>
        <v>2033</v>
      </c>
      <c r="T1" s="48">
        <f t="shared" si="1"/>
        <v>2034</v>
      </c>
      <c r="U1" s="17">
        <f t="shared" si="1"/>
        <v>2035</v>
      </c>
      <c r="V1" s="17">
        <f t="shared" si="1"/>
        <v>2036</v>
      </c>
      <c r="W1" s="17">
        <f t="shared" si="1"/>
        <v>2037</v>
      </c>
      <c r="X1" s="48">
        <f t="shared" si="1"/>
        <v>2038</v>
      </c>
    </row>
    <row r="2" spans="1:24" ht="15" thickBot="1">
      <c r="A2" s="20" t="s">
        <v>80</v>
      </c>
      <c r="B2" s="22" t="s">
        <v>176</v>
      </c>
      <c r="C2" s="22" t="s">
        <v>175</v>
      </c>
      <c r="H2" s="47"/>
      <c r="I2" s="67">
        <v>0</v>
      </c>
      <c r="J2" s="67">
        <v>1</v>
      </c>
      <c r="K2" s="67">
        <v>2</v>
      </c>
      <c r="L2" s="67">
        <v>3</v>
      </c>
      <c r="M2" s="67">
        <v>4</v>
      </c>
      <c r="N2" s="67">
        <v>5</v>
      </c>
      <c r="O2" s="67">
        <v>6</v>
      </c>
      <c r="P2" s="67">
        <v>7</v>
      </c>
      <c r="Q2" s="67">
        <v>8</v>
      </c>
      <c r="R2" s="67">
        <v>9</v>
      </c>
      <c r="S2" s="67">
        <v>10</v>
      </c>
      <c r="T2" s="67">
        <v>11</v>
      </c>
      <c r="U2" s="67">
        <v>12</v>
      </c>
      <c r="V2" s="67">
        <v>13</v>
      </c>
      <c r="W2" s="67">
        <v>14</v>
      </c>
      <c r="X2" s="67">
        <v>15</v>
      </c>
    </row>
    <row r="3" spans="1:24">
      <c r="A3" s="148">
        <v>1</v>
      </c>
      <c r="B3" s="80" t="s">
        <v>86</v>
      </c>
      <c r="C3" s="81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3"/>
    </row>
    <row r="4" spans="1:24" ht="15" thickBot="1">
      <c r="A4" s="149" t="s">
        <v>69</v>
      </c>
      <c r="B4" s="150" t="s">
        <v>58</v>
      </c>
      <c r="C4" s="68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150"/>
      <c r="R4" s="68"/>
      <c r="S4" s="69"/>
      <c r="T4" s="69"/>
      <c r="U4" s="69"/>
      <c r="V4" s="69"/>
      <c r="W4" s="69"/>
      <c r="X4" s="70"/>
    </row>
    <row r="5" spans="1:24">
      <c r="B5" s="19" t="s">
        <v>37</v>
      </c>
      <c r="D5" s="49">
        <v>44927</v>
      </c>
      <c r="E5" s="18"/>
      <c r="F5" s="45"/>
    </row>
    <row r="6" spans="1:24">
      <c r="B6" s="19" t="s">
        <v>38</v>
      </c>
      <c r="I6" s="5">
        <f>моднач</f>
        <v>44927</v>
      </c>
      <c r="J6" s="5">
        <f>I7+1</f>
        <v>45292</v>
      </c>
      <c r="K6" s="5">
        <f t="shared" ref="K6:X6" si="2">J7+1</f>
        <v>45658</v>
      </c>
      <c r="L6" s="5">
        <f t="shared" si="2"/>
        <v>46023</v>
      </c>
      <c r="M6" s="5">
        <f t="shared" si="2"/>
        <v>46388</v>
      </c>
      <c r="N6" s="5">
        <f t="shared" si="2"/>
        <v>46753</v>
      </c>
      <c r="O6" s="5">
        <f t="shared" si="2"/>
        <v>47119</v>
      </c>
      <c r="P6" s="5">
        <f t="shared" si="2"/>
        <v>47484</v>
      </c>
      <c r="Q6" s="5">
        <f t="shared" si="2"/>
        <v>47849</v>
      </c>
      <c r="R6" s="5">
        <f t="shared" si="2"/>
        <v>48214</v>
      </c>
      <c r="S6" s="5">
        <f t="shared" si="2"/>
        <v>48580</v>
      </c>
      <c r="T6" s="5">
        <f t="shared" si="2"/>
        <v>48945</v>
      </c>
      <c r="U6" s="5">
        <f t="shared" si="2"/>
        <v>49310</v>
      </c>
      <c r="V6" s="5">
        <f t="shared" si="2"/>
        <v>49675</v>
      </c>
      <c r="W6" s="5">
        <f t="shared" si="2"/>
        <v>50041</v>
      </c>
      <c r="X6" s="5">
        <f t="shared" si="2"/>
        <v>50406</v>
      </c>
    </row>
    <row r="7" spans="1:24" ht="15" thickBot="1">
      <c r="B7" s="19" t="s">
        <v>39</v>
      </c>
      <c r="I7" s="50">
        <f>EOMONTH(I6,11)</f>
        <v>45291</v>
      </c>
      <c r="J7" s="50">
        <f t="shared" ref="J7:P7" si="3">EOMONTH(J6,11)</f>
        <v>45657</v>
      </c>
      <c r="K7" s="50">
        <f t="shared" si="3"/>
        <v>46022</v>
      </c>
      <c r="L7" s="50">
        <f t="shared" si="3"/>
        <v>46387</v>
      </c>
      <c r="M7" s="50">
        <f t="shared" si="3"/>
        <v>46752</v>
      </c>
      <c r="N7" s="50">
        <f t="shared" si="3"/>
        <v>47118</v>
      </c>
      <c r="O7" s="50">
        <f t="shared" si="3"/>
        <v>47483</v>
      </c>
      <c r="P7" s="50">
        <f t="shared" si="3"/>
        <v>47848</v>
      </c>
      <c r="Q7" s="50">
        <f t="shared" ref="Q7" si="4">EOMONTH(Q6,11)</f>
        <v>48213</v>
      </c>
      <c r="R7" s="50">
        <f t="shared" ref="R7" si="5">EOMONTH(R6,11)</f>
        <v>48579</v>
      </c>
      <c r="S7" s="50">
        <f t="shared" ref="S7" si="6">EOMONTH(S6,11)</f>
        <v>48944</v>
      </c>
      <c r="T7" s="50">
        <f t="shared" ref="T7" si="7">EOMONTH(T6,11)</f>
        <v>49309</v>
      </c>
      <c r="U7" s="50">
        <f t="shared" ref="U7" si="8">EOMONTH(U6,11)</f>
        <v>49674</v>
      </c>
      <c r="V7" s="50">
        <f t="shared" ref="V7" si="9">EOMONTH(V6,11)</f>
        <v>50040</v>
      </c>
      <c r="W7" s="50">
        <f t="shared" ref="W7:X7" si="10">EOMONTH(W6,11)</f>
        <v>50405</v>
      </c>
      <c r="X7" s="50">
        <f t="shared" si="10"/>
        <v>50770</v>
      </c>
    </row>
    <row r="8" spans="1:24" ht="15" thickBot="1">
      <c r="A8" s="71" t="s">
        <v>70</v>
      </c>
      <c r="B8" s="52" t="s">
        <v>56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89"/>
      <c r="R8" s="53"/>
      <c r="S8" s="53"/>
      <c r="T8" s="53"/>
      <c r="U8" s="53"/>
      <c r="V8" s="53"/>
      <c r="W8" s="53"/>
      <c r="X8" s="54"/>
    </row>
    <row r="9" spans="1:24">
      <c r="B9" s="19" t="s">
        <v>26</v>
      </c>
      <c r="C9" s="21" t="s">
        <v>32</v>
      </c>
      <c r="I9" s="51">
        <f t="shared" ref="I9:P9" si="11">YEAR(I7)</f>
        <v>2023</v>
      </c>
      <c r="J9" s="51">
        <f t="shared" si="11"/>
        <v>2024</v>
      </c>
      <c r="K9" s="51">
        <f t="shared" si="11"/>
        <v>2025</v>
      </c>
      <c r="L9" s="51">
        <f t="shared" si="11"/>
        <v>2026</v>
      </c>
      <c r="M9" s="51">
        <f t="shared" si="11"/>
        <v>2027</v>
      </c>
      <c r="N9" s="51">
        <f t="shared" si="11"/>
        <v>2028</v>
      </c>
      <c r="O9" s="51">
        <f t="shared" si="11"/>
        <v>2029</v>
      </c>
      <c r="P9" s="51">
        <f t="shared" si="11"/>
        <v>2030</v>
      </c>
      <c r="Q9" s="51">
        <f t="shared" ref="Q9:X9" si="12">YEAR(Q7)</f>
        <v>2031</v>
      </c>
      <c r="R9" s="51">
        <f t="shared" si="12"/>
        <v>2032</v>
      </c>
      <c r="S9" s="51">
        <f t="shared" si="12"/>
        <v>2033</v>
      </c>
      <c r="T9" s="51">
        <f t="shared" si="12"/>
        <v>2034</v>
      </c>
      <c r="U9" s="51">
        <f t="shared" si="12"/>
        <v>2035</v>
      </c>
      <c r="V9" s="51">
        <f t="shared" si="12"/>
        <v>2036</v>
      </c>
      <c r="W9" s="51">
        <f t="shared" si="12"/>
        <v>2037</v>
      </c>
      <c r="X9" s="51">
        <f t="shared" si="12"/>
        <v>2038</v>
      </c>
    </row>
    <row r="10" spans="1:24">
      <c r="B10" s="19" t="s">
        <v>130</v>
      </c>
      <c r="C10" s="21" t="s">
        <v>33</v>
      </c>
      <c r="E10" s="8">
        <v>12</v>
      </c>
      <c r="I10" s="51">
        <f>$E$10</f>
        <v>12</v>
      </c>
      <c r="J10" s="51">
        <f t="shared" ref="J10:X10" si="13">$E$10</f>
        <v>12</v>
      </c>
      <c r="K10" s="51">
        <f t="shared" si="13"/>
        <v>12</v>
      </c>
      <c r="L10" s="51">
        <f t="shared" si="13"/>
        <v>12</v>
      </c>
      <c r="M10" s="51">
        <f t="shared" si="13"/>
        <v>12</v>
      </c>
      <c r="N10" s="51">
        <f t="shared" si="13"/>
        <v>12</v>
      </c>
      <c r="O10" s="51">
        <f t="shared" si="13"/>
        <v>12</v>
      </c>
      <c r="P10" s="51">
        <f t="shared" si="13"/>
        <v>12</v>
      </c>
      <c r="Q10" s="51">
        <f t="shared" si="13"/>
        <v>12</v>
      </c>
      <c r="R10" s="51">
        <f t="shared" si="13"/>
        <v>12</v>
      </c>
      <c r="S10" s="51">
        <f t="shared" si="13"/>
        <v>12</v>
      </c>
      <c r="T10" s="51">
        <f t="shared" si="13"/>
        <v>12</v>
      </c>
      <c r="U10" s="51">
        <f t="shared" si="13"/>
        <v>12</v>
      </c>
      <c r="V10" s="51">
        <f t="shared" si="13"/>
        <v>12</v>
      </c>
      <c r="W10" s="51">
        <f t="shared" si="13"/>
        <v>12</v>
      </c>
      <c r="X10" s="51">
        <f t="shared" si="13"/>
        <v>12</v>
      </c>
    </row>
    <row r="11" spans="1:24">
      <c r="B11" s="20" t="s">
        <v>41</v>
      </c>
      <c r="C11" s="21" t="s">
        <v>42</v>
      </c>
      <c r="E11" s="22"/>
      <c r="F11" s="22"/>
      <c r="G11" s="22"/>
      <c r="I11" s="13">
        <f t="shared" ref="I11:P11" si="14">I7-I6+1</f>
        <v>365</v>
      </c>
      <c r="J11" s="13">
        <f t="shared" si="14"/>
        <v>366</v>
      </c>
      <c r="K11" s="13">
        <f t="shared" si="14"/>
        <v>365</v>
      </c>
      <c r="L11" s="13">
        <f t="shared" si="14"/>
        <v>365</v>
      </c>
      <c r="M11" s="13">
        <f t="shared" si="14"/>
        <v>365</v>
      </c>
      <c r="N11" s="13">
        <f t="shared" si="14"/>
        <v>366</v>
      </c>
      <c r="O11" s="13">
        <f t="shared" si="14"/>
        <v>365</v>
      </c>
      <c r="P11" s="13">
        <f t="shared" si="14"/>
        <v>365</v>
      </c>
      <c r="Q11" s="13">
        <f t="shared" ref="Q11:X11" si="15">Q7-Q6+1</f>
        <v>365</v>
      </c>
      <c r="R11" s="13">
        <f t="shared" si="15"/>
        <v>366</v>
      </c>
      <c r="S11" s="13">
        <f t="shared" si="15"/>
        <v>365</v>
      </c>
      <c r="T11" s="13">
        <f t="shared" si="15"/>
        <v>365</v>
      </c>
      <c r="U11" s="13">
        <f t="shared" si="15"/>
        <v>365</v>
      </c>
      <c r="V11" s="13">
        <f t="shared" si="15"/>
        <v>366</v>
      </c>
      <c r="W11" s="13">
        <f t="shared" si="15"/>
        <v>365</v>
      </c>
      <c r="X11" s="13">
        <f t="shared" si="15"/>
        <v>365</v>
      </c>
    </row>
    <row r="12" spans="1:24">
      <c r="B12" s="19" t="s">
        <v>43</v>
      </c>
      <c r="C12" s="21" t="s">
        <v>27</v>
      </c>
      <c r="E12" s="8">
        <v>24</v>
      </c>
      <c r="F12" s="46"/>
      <c r="G12" s="22"/>
      <c r="I12" s="22"/>
      <c r="J12" s="22"/>
      <c r="K12" s="22"/>
      <c r="L12" s="22"/>
      <c r="M12" s="22"/>
      <c r="N12" s="22"/>
      <c r="O12" s="22"/>
      <c r="P12" s="22"/>
    </row>
    <row r="13" spans="1:24" ht="15" thickBot="1">
      <c r="B13" s="21" t="s">
        <v>28</v>
      </c>
      <c r="C13" s="21" t="s">
        <v>27</v>
      </c>
      <c r="E13" s="23"/>
      <c r="F13" s="23"/>
      <c r="G13" s="23"/>
      <c r="H13" s="23"/>
      <c r="I13" s="55">
        <f>$E$12*I11</f>
        <v>8760</v>
      </c>
      <c r="J13" s="55">
        <f t="shared" ref="J13:X13" si="16">$E$12*J11</f>
        <v>8784</v>
      </c>
      <c r="K13" s="55">
        <f t="shared" si="16"/>
        <v>8760</v>
      </c>
      <c r="L13" s="55">
        <f t="shared" si="16"/>
        <v>8760</v>
      </c>
      <c r="M13" s="55">
        <f t="shared" si="16"/>
        <v>8760</v>
      </c>
      <c r="N13" s="55">
        <f t="shared" si="16"/>
        <v>8784</v>
      </c>
      <c r="O13" s="55">
        <f t="shared" si="16"/>
        <v>8760</v>
      </c>
      <c r="P13" s="55">
        <f t="shared" si="16"/>
        <v>8760</v>
      </c>
      <c r="Q13" s="55">
        <f t="shared" si="16"/>
        <v>8760</v>
      </c>
      <c r="R13" s="55">
        <f t="shared" si="16"/>
        <v>8784</v>
      </c>
      <c r="S13" s="55">
        <f t="shared" si="16"/>
        <v>8760</v>
      </c>
      <c r="T13" s="55">
        <f t="shared" si="16"/>
        <v>8760</v>
      </c>
      <c r="U13" s="55">
        <f t="shared" si="16"/>
        <v>8760</v>
      </c>
      <c r="V13" s="55">
        <f t="shared" si="16"/>
        <v>8784</v>
      </c>
      <c r="W13" s="55">
        <f t="shared" si="16"/>
        <v>8760</v>
      </c>
      <c r="X13" s="55">
        <f t="shared" si="16"/>
        <v>8760</v>
      </c>
    </row>
    <row r="14" spans="1:24" ht="15" thickBot="1">
      <c r="A14" s="71" t="s">
        <v>71</v>
      </c>
      <c r="B14" s="52" t="s">
        <v>59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89"/>
      <c r="R14" s="53"/>
      <c r="S14" s="53"/>
      <c r="T14" s="53"/>
      <c r="U14" s="53"/>
      <c r="V14" s="53"/>
      <c r="W14" s="53"/>
      <c r="X14" s="54"/>
    </row>
    <row r="15" spans="1:24" ht="15" thickBot="1">
      <c r="B15" s="20" t="s">
        <v>36</v>
      </c>
      <c r="C15" s="21" t="s">
        <v>35</v>
      </c>
      <c r="E15" s="158">
        <v>1000</v>
      </c>
      <c r="F15" s="43"/>
      <c r="G15" s="23"/>
    </row>
    <row r="16" spans="1:24" ht="15" thickBot="1">
      <c r="A16" s="71" t="s">
        <v>87</v>
      </c>
      <c r="B16" s="52" t="s">
        <v>229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89"/>
      <c r="R16" s="53"/>
      <c r="S16" s="53"/>
      <c r="T16" s="53"/>
      <c r="U16" s="53"/>
      <c r="V16" s="53"/>
      <c r="W16" s="53"/>
      <c r="X16" s="54"/>
    </row>
    <row r="17" spans="1:24">
      <c r="B17" s="20" t="s">
        <v>88</v>
      </c>
      <c r="C17" s="21" t="s">
        <v>2</v>
      </c>
      <c r="E17" s="159">
        <v>0.12</v>
      </c>
      <c r="F17" s="43"/>
      <c r="G17" s="23"/>
    </row>
    <row r="18" spans="1:24" ht="15" thickBot="1">
      <c r="B18" s="21" t="s">
        <v>89</v>
      </c>
      <c r="C18" s="21" t="s">
        <v>2</v>
      </c>
      <c r="E18" s="61">
        <v>0.03</v>
      </c>
      <c r="F18" s="23"/>
      <c r="G18" s="23"/>
      <c r="H18" s="23"/>
      <c r="I18" s="62"/>
      <c r="J18" s="62"/>
      <c r="K18" s="62"/>
      <c r="L18" s="62"/>
      <c r="M18" s="62"/>
      <c r="N18" s="62"/>
      <c r="O18" s="62"/>
      <c r="P18" s="62"/>
    </row>
    <row r="19" spans="1:24">
      <c r="A19" s="151" t="s">
        <v>72</v>
      </c>
      <c r="B19" s="80" t="s">
        <v>73</v>
      </c>
      <c r="C19" s="75"/>
      <c r="D19" s="76"/>
      <c r="E19" s="77"/>
      <c r="F19" s="77"/>
      <c r="G19" s="77"/>
      <c r="H19" s="77"/>
      <c r="I19" s="78"/>
      <c r="J19" s="78"/>
      <c r="K19" s="78"/>
      <c r="L19" s="78"/>
      <c r="M19" s="78"/>
      <c r="N19" s="78"/>
      <c r="O19" s="78"/>
      <c r="P19" s="78"/>
      <c r="Q19" s="80"/>
      <c r="R19" s="75"/>
      <c r="S19" s="76"/>
      <c r="T19" s="77"/>
      <c r="U19" s="77"/>
      <c r="V19" s="77"/>
      <c r="W19" s="77"/>
      <c r="X19" s="79"/>
    </row>
    <row r="20" spans="1:24" ht="15" thickBot="1">
      <c r="A20" s="152" t="s">
        <v>74</v>
      </c>
      <c r="B20" s="153" t="s">
        <v>57</v>
      </c>
      <c r="C20" s="63"/>
      <c r="D20" s="64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154"/>
      <c r="R20" s="63"/>
      <c r="S20" s="64"/>
      <c r="T20" s="65"/>
      <c r="U20" s="65"/>
      <c r="V20" s="65"/>
      <c r="W20" s="65"/>
      <c r="X20" s="155"/>
    </row>
    <row r="21" spans="1:24" ht="16">
      <c r="B21" s="21" t="s">
        <v>53</v>
      </c>
      <c r="C21" s="21" t="s">
        <v>2</v>
      </c>
      <c r="E21" s="23"/>
      <c r="F21" s="178" t="s">
        <v>264</v>
      </c>
      <c r="G21" s="23"/>
      <c r="H21" s="23"/>
      <c r="I21" s="56">
        <v>5.5E-2</v>
      </c>
      <c r="J21" s="56">
        <v>0.04</v>
      </c>
      <c r="K21" s="56">
        <v>0.04</v>
      </c>
      <c r="L21" s="56">
        <v>0.04</v>
      </c>
      <c r="M21" s="56">
        <v>0.04</v>
      </c>
      <c r="N21" s="56">
        <v>0.04</v>
      </c>
      <c r="O21" s="56">
        <v>0.04</v>
      </c>
      <c r="P21" s="56">
        <v>0.04</v>
      </c>
      <c r="Q21" s="56">
        <v>0.04</v>
      </c>
      <c r="R21" s="56">
        <v>0.04</v>
      </c>
      <c r="S21" s="56">
        <v>0.04</v>
      </c>
      <c r="T21" s="56">
        <v>0.04</v>
      </c>
      <c r="U21" s="56">
        <v>0.04</v>
      </c>
      <c r="V21" s="56">
        <v>0.04</v>
      </c>
      <c r="W21" s="56">
        <v>0.04</v>
      </c>
      <c r="X21" s="56">
        <v>0.04</v>
      </c>
    </row>
    <row r="22" spans="1:24" ht="15" thickBot="1">
      <c r="B22" s="21" t="s">
        <v>54</v>
      </c>
      <c r="C22" s="21" t="s">
        <v>2</v>
      </c>
      <c r="E22" s="23"/>
      <c r="F22" s="23"/>
      <c r="G22" s="23"/>
      <c r="H22" s="23"/>
      <c r="I22" s="61">
        <v>-1.2999999999999999E-2</v>
      </c>
      <c r="J22" s="61">
        <v>2.1999999999999999E-2</v>
      </c>
      <c r="K22" s="61">
        <v>2.3E-2</v>
      </c>
      <c r="L22" s="61">
        <v>0.03</v>
      </c>
      <c r="M22" s="61">
        <v>0.04</v>
      </c>
      <c r="N22" s="61">
        <v>0.04</v>
      </c>
      <c r="O22" s="61">
        <v>0.04</v>
      </c>
      <c r="P22" s="61">
        <v>0.04</v>
      </c>
      <c r="Q22" s="61">
        <v>0.04</v>
      </c>
      <c r="R22" s="61">
        <v>0.04</v>
      </c>
      <c r="S22" s="61">
        <v>0.04</v>
      </c>
      <c r="T22" s="61">
        <v>0.04</v>
      </c>
      <c r="U22" s="61">
        <v>0.04</v>
      </c>
      <c r="V22" s="61">
        <v>0.04</v>
      </c>
      <c r="W22" s="61">
        <v>0.04</v>
      </c>
      <c r="X22" s="61">
        <v>0.04</v>
      </c>
    </row>
    <row r="23" spans="1:24" ht="15" thickBot="1">
      <c r="A23" s="71" t="s">
        <v>75</v>
      </c>
      <c r="B23" s="57" t="s">
        <v>55</v>
      </c>
      <c r="C23" s="58"/>
      <c r="D23" s="53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73"/>
      <c r="R23" s="58"/>
      <c r="S23" s="53"/>
      <c r="T23" s="59"/>
      <c r="U23" s="59"/>
      <c r="V23" s="59"/>
      <c r="W23" s="59"/>
      <c r="X23" s="60"/>
    </row>
    <row r="24" spans="1:24">
      <c r="B24" s="101" t="s">
        <v>94</v>
      </c>
      <c r="C24" s="2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24" ht="16">
      <c r="B25" s="39" t="s">
        <v>82</v>
      </c>
      <c r="C25" s="21" t="s">
        <v>2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24" ht="17">
      <c r="B26" s="40" t="s">
        <v>62</v>
      </c>
      <c r="C26" s="21" t="s">
        <v>2</v>
      </c>
      <c r="E26" s="23"/>
      <c r="F26" s="23"/>
      <c r="G26" s="23"/>
      <c r="H26" s="23"/>
      <c r="I26" s="12">
        <v>0.33</v>
      </c>
      <c r="J26" s="41">
        <f>I26</f>
        <v>0.33</v>
      </c>
      <c r="K26" s="41">
        <f t="shared" ref="K26:P26" si="17">J26</f>
        <v>0.33</v>
      </c>
      <c r="L26" s="41">
        <f t="shared" si="17"/>
        <v>0.33</v>
      </c>
      <c r="M26" s="41">
        <f t="shared" si="17"/>
        <v>0.33</v>
      </c>
      <c r="N26" s="41">
        <f t="shared" si="17"/>
        <v>0.33</v>
      </c>
      <c r="O26" s="41">
        <f t="shared" si="17"/>
        <v>0.33</v>
      </c>
      <c r="P26" s="41">
        <f t="shared" si="17"/>
        <v>0.33</v>
      </c>
      <c r="Q26" s="41">
        <f t="shared" ref="Q26:Q27" si="18">P26</f>
        <v>0.33</v>
      </c>
      <c r="R26" s="41">
        <f t="shared" ref="R26:R27" si="19">Q26</f>
        <v>0.33</v>
      </c>
      <c r="S26" s="41">
        <f t="shared" ref="S26:S27" si="20">R26</f>
        <v>0.33</v>
      </c>
      <c r="T26" s="41">
        <f t="shared" ref="T26:T27" si="21">S26</f>
        <v>0.33</v>
      </c>
      <c r="U26" s="41">
        <f t="shared" ref="U26:U27" si="22">T26</f>
        <v>0.33</v>
      </c>
      <c r="V26" s="41">
        <f t="shared" ref="V26:V27" si="23">U26</f>
        <v>0.33</v>
      </c>
      <c r="W26" s="41">
        <f t="shared" ref="W26:W27" si="24">V26</f>
        <v>0.33</v>
      </c>
      <c r="X26" s="41">
        <f t="shared" ref="X26:X27" si="25">W26</f>
        <v>0.33</v>
      </c>
    </row>
    <row r="27" spans="1:24" ht="17">
      <c r="B27" s="40" t="s">
        <v>63</v>
      </c>
      <c r="C27" s="21" t="s">
        <v>2</v>
      </c>
      <c r="E27" s="23"/>
      <c r="F27" s="23"/>
      <c r="G27" s="23"/>
      <c r="H27" s="23"/>
      <c r="I27" s="12">
        <v>0.151</v>
      </c>
      <c r="J27" s="41">
        <f>I27</f>
        <v>0.151</v>
      </c>
      <c r="K27" s="41">
        <f t="shared" ref="K27:P27" si="26">J27</f>
        <v>0.151</v>
      </c>
      <c r="L27" s="41">
        <f t="shared" si="26"/>
        <v>0.151</v>
      </c>
      <c r="M27" s="41">
        <f t="shared" si="26"/>
        <v>0.151</v>
      </c>
      <c r="N27" s="41">
        <f t="shared" si="26"/>
        <v>0.151</v>
      </c>
      <c r="O27" s="41">
        <f t="shared" si="26"/>
        <v>0.151</v>
      </c>
      <c r="P27" s="41">
        <f t="shared" si="26"/>
        <v>0.151</v>
      </c>
      <c r="Q27" s="41">
        <f t="shared" si="18"/>
        <v>0.151</v>
      </c>
      <c r="R27" s="41">
        <f t="shared" si="19"/>
        <v>0.151</v>
      </c>
      <c r="S27" s="41">
        <f t="shared" si="20"/>
        <v>0.151</v>
      </c>
      <c r="T27" s="41">
        <f t="shared" si="21"/>
        <v>0.151</v>
      </c>
      <c r="U27" s="41">
        <f t="shared" si="22"/>
        <v>0.151</v>
      </c>
      <c r="V27" s="41">
        <f t="shared" si="23"/>
        <v>0.151</v>
      </c>
      <c r="W27" s="41">
        <f t="shared" si="24"/>
        <v>0.151</v>
      </c>
      <c r="X27" s="41">
        <f t="shared" si="25"/>
        <v>0.151</v>
      </c>
    </row>
    <row r="28" spans="1:24" ht="17">
      <c r="B28" s="40" t="s">
        <v>64</v>
      </c>
      <c r="C28" s="21" t="s">
        <v>6</v>
      </c>
      <c r="E28" s="23"/>
      <c r="F28" s="19" t="s">
        <v>85</v>
      </c>
      <c r="G28" s="23"/>
      <c r="H28" s="23"/>
      <c r="I28" s="124">
        <v>1917</v>
      </c>
      <c r="J28" s="2">
        <f>I28*(1+J21)</f>
        <v>1993.68</v>
      </c>
      <c r="K28" s="2">
        <f t="shared" ref="K28:P28" si="27">J28*(1+K21)</f>
        <v>2073.4272000000001</v>
      </c>
      <c r="L28" s="2">
        <f t="shared" si="27"/>
        <v>2156.3642880000002</v>
      </c>
      <c r="M28" s="2">
        <f t="shared" si="27"/>
        <v>2242.6188595200001</v>
      </c>
      <c r="N28" s="2">
        <f t="shared" si="27"/>
        <v>2332.3236139008004</v>
      </c>
      <c r="O28" s="2">
        <f t="shared" si="27"/>
        <v>2425.6165584568325</v>
      </c>
      <c r="P28" s="2">
        <f t="shared" si="27"/>
        <v>2522.6412207951057</v>
      </c>
      <c r="Q28" s="2">
        <f t="shared" ref="Q28:X28" si="28">P28*(1+Q21)</f>
        <v>2623.5468696269099</v>
      </c>
      <c r="R28" s="2">
        <f t="shared" si="28"/>
        <v>2728.4887444119863</v>
      </c>
      <c r="S28" s="2">
        <f t="shared" si="28"/>
        <v>2837.628294188466</v>
      </c>
      <c r="T28" s="2">
        <f t="shared" si="28"/>
        <v>2951.1334259560049</v>
      </c>
      <c r="U28" s="2">
        <f t="shared" si="28"/>
        <v>3069.1787629942451</v>
      </c>
      <c r="V28" s="2">
        <f t="shared" si="28"/>
        <v>3191.945913514015</v>
      </c>
      <c r="W28" s="2">
        <f t="shared" si="28"/>
        <v>3319.6237500545758</v>
      </c>
      <c r="X28" s="2">
        <f t="shared" si="28"/>
        <v>3452.4087000567588</v>
      </c>
    </row>
    <row r="29" spans="1:24" ht="17">
      <c r="B29" s="92" t="s">
        <v>83</v>
      </c>
      <c r="C29" s="21" t="s">
        <v>2</v>
      </c>
      <c r="E29" s="23"/>
      <c r="F29" s="23"/>
      <c r="G29" s="23" t="s">
        <v>84</v>
      </c>
      <c r="H29" s="23"/>
      <c r="I29" s="12">
        <v>2E-3</v>
      </c>
      <c r="J29" s="41">
        <f>I29</f>
        <v>2E-3</v>
      </c>
      <c r="K29" s="41">
        <f t="shared" ref="K29:P29" si="29">J29</f>
        <v>2E-3</v>
      </c>
      <c r="L29" s="41">
        <f t="shared" si="29"/>
        <v>2E-3</v>
      </c>
      <c r="M29" s="41">
        <f t="shared" si="29"/>
        <v>2E-3</v>
      </c>
      <c r="N29" s="41">
        <f t="shared" si="29"/>
        <v>2E-3</v>
      </c>
      <c r="O29" s="41">
        <f t="shared" si="29"/>
        <v>2E-3</v>
      </c>
      <c r="P29" s="41">
        <f t="shared" si="29"/>
        <v>2E-3</v>
      </c>
      <c r="Q29" s="41">
        <f t="shared" ref="Q29:X29" si="30">P29</f>
        <v>2E-3</v>
      </c>
      <c r="R29" s="41">
        <f t="shared" si="30"/>
        <v>2E-3</v>
      </c>
      <c r="S29" s="41">
        <f t="shared" si="30"/>
        <v>2E-3</v>
      </c>
      <c r="T29" s="41">
        <f t="shared" si="30"/>
        <v>2E-3</v>
      </c>
      <c r="U29" s="41">
        <f t="shared" si="30"/>
        <v>2E-3</v>
      </c>
      <c r="V29" s="41">
        <f t="shared" si="30"/>
        <v>2E-3</v>
      </c>
      <c r="W29" s="41">
        <f t="shared" si="30"/>
        <v>2E-3</v>
      </c>
      <c r="X29" s="41">
        <f t="shared" si="30"/>
        <v>2E-3</v>
      </c>
    </row>
    <row r="30" spans="1:24" ht="16">
      <c r="B30" s="104"/>
      <c r="C30" s="21"/>
      <c r="E30" s="23"/>
      <c r="F30" s="23"/>
      <c r="G30" s="23"/>
      <c r="H30" s="23"/>
      <c r="I30" s="97"/>
      <c r="J30" s="96"/>
      <c r="K30" s="96"/>
      <c r="L30" s="96"/>
      <c r="M30" s="96"/>
      <c r="N30" s="96"/>
      <c r="O30" s="96"/>
      <c r="P30" s="96"/>
    </row>
    <row r="31" spans="1:24">
      <c r="B31" s="103" t="s">
        <v>95</v>
      </c>
      <c r="C31" s="2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24" ht="16">
      <c r="B32" s="1" t="s">
        <v>61</v>
      </c>
      <c r="C32" s="21" t="s">
        <v>2</v>
      </c>
      <c r="E32" s="23"/>
      <c r="F32" s="23"/>
      <c r="G32" s="23"/>
      <c r="H32" s="23"/>
      <c r="I32" s="12">
        <v>0.2</v>
      </c>
      <c r="J32" s="41">
        <f>I32</f>
        <v>0.2</v>
      </c>
      <c r="K32" s="41">
        <f t="shared" ref="K32:X35" si="31">J32</f>
        <v>0.2</v>
      </c>
      <c r="L32" s="41">
        <f t="shared" si="31"/>
        <v>0.2</v>
      </c>
      <c r="M32" s="41">
        <f t="shared" si="31"/>
        <v>0.2</v>
      </c>
      <c r="N32" s="41">
        <f t="shared" si="31"/>
        <v>0.2</v>
      </c>
      <c r="O32" s="41">
        <f t="shared" si="31"/>
        <v>0.2</v>
      </c>
      <c r="P32" s="41">
        <f t="shared" si="31"/>
        <v>0.2</v>
      </c>
      <c r="Q32" s="41">
        <f t="shared" si="31"/>
        <v>0.2</v>
      </c>
      <c r="R32" s="41">
        <f t="shared" si="31"/>
        <v>0.2</v>
      </c>
      <c r="S32" s="41">
        <f t="shared" si="31"/>
        <v>0.2</v>
      </c>
      <c r="T32" s="41">
        <f t="shared" si="31"/>
        <v>0.2</v>
      </c>
      <c r="U32" s="41">
        <f t="shared" si="31"/>
        <v>0.2</v>
      </c>
      <c r="V32" s="41">
        <f t="shared" si="31"/>
        <v>0.2</v>
      </c>
      <c r="W32" s="41">
        <f t="shared" si="31"/>
        <v>0.2</v>
      </c>
      <c r="X32" s="41">
        <f t="shared" si="31"/>
        <v>0.2</v>
      </c>
    </row>
    <row r="33" spans="1:24" ht="16">
      <c r="B33" s="1" t="s">
        <v>266</v>
      </c>
      <c r="C33" s="21" t="s">
        <v>42</v>
      </c>
      <c r="E33" s="6">
        <v>30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24">
      <c r="C34" s="2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24" ht="16">
      <c r="B35" s="1" t="s">
        <v>66</v>
      </c>
      <c r="C35" s="21" t="s">
        <v>2</v>
      </c>
      <c r="E35" s="23"/>
      <c r="F35" s="23"/>
      <c r="G35" s="23"/>
      <c r="H35" s="23"/>
      <c r="I35" s="12">
        <v>0.2</v>
      </c>
      <c r="J35" s="41">
        <f>I35</f>
        <v>0.2</v>
      </c>
      <c r="K35" s="41">
        <f t="shared" si="31"/>
        <v>0.2</v>
      </c>
      <c r="L35" s="41">
        <f t="shared" si="31"/>
        <v>0.2</v>
      </c>
      <c r="M35" s="41">
        <f t="shared" si="31"/>
        <v>0.2</v>
      </c>
      <c r="N35" s="41">
        <f t="shared" si="31"/>
        <v>0.2</v>
      </c>
      <c r="O35" s="41">
        <f t="shared" si="31"/>
        <v>0.2</v>
      </c>
      <c r="P35" s="41">
        <f t="shared" si="31"/>
        <v>0.2</v>
      </c>
      <c r="Q35" s="41">
        <f t="shared" ref="Q35:X35" si="32">P35</f>
        <v>0.2</v>
      </c>
      <c r="R35" s="41">
        <f t="shared" si="32"/>
        <v>0.2</v>
      </c>
      <c r="S35" s="41">
        <f t="shared" si="32"/>
        <v>0.2</v>
      </c>
      <c r="T35" s="41">
        <f t="shared" si="32"/>
        <v>0.2</v>
      </c>
      <c r="U35" s="41">
        <f t="shared" si="32"/>
        <v>0.2</v>
      </c>
      <c r="V35" s="41">
        <f t="shared" si="32"/>
        <v>0.2</v>
      </c>
      <c r="W35" s="41">
        <f t="shared" si="32"/>
        <v>0.2</v>
      </c>
      <c r="X35" s="41">
        <f t="shared" si="32"/>
        <v>0.2</v>
      </c>
    </row>
    <row r="36" spans="1:24" ht="17" thickBot="1">
      <c r="B36" s="1" t="s">
        <v>67</v>
      </c>
      <c r="C36" s="21" t="s">
        <v>2</v>
      </c>
      <c r="E36" s="23"/>
      <c r="F36" s="23"/>
      <c r="G36" s="23"/>
      <c r="H36" s="23"/>
      <c r="I36" s="61">
        <v>2.1999999999999999E-2</v>
      </c>
      <c r="J36" s="160">
        <f>I36</f>
        <v>2.1999999999999999E-2</v>
      </c>
      <c r="K36" s="160">
        <f t="shared" ref="K36:P36" si="33">J36</f>
        <v>2.1999999999999999E-2</v>
      </c>
      <c r="L36" s="160">
        <f t="shared" si="33"/>
        <v>2.1999999999999999E-2</v>
      </c>
      <c r="M36" s="160">
        <f t="shared" si="33"/>
        <v>2.1999999999999999E-2</v>
      </c>
      <c r="N36" s="160">
        <f t="shared" si="33"/>
        <v>2.1999999999999999E-2</v>
      </c>
      <c r="O36" s="160">
        <f t="shared" si="33"/>
        <v>2.1999999999999999E-2</v>
      </c>
      <c r="P36" s="160">
        <f t="shared" si="33"/>
        <v>2.1999999999999999E-2</v>
      </c>
      <c r="Q36" s="160">
        <f t="shared" ref="Q36:X36" si="34">P36</f>
        <v>2.1999999999999999E-2</v>
      </c>
      <c r="R36" s="160">
        <f t="shared" si="34"/>
        <v>2.1999999999999999E-2</v>
      </c>
      <c r="S36" s="160">
        <f t="shared" si="34"/>
        <v>2.1999999999999999E-2</v>
      </c>
      <c r="T36" s="160">
        <f t="shared" si="34"/>
        <v>2.1999999999999999E-2</v>
      </c>
      <c r="U36" s="160">
        <f t="shared" si="34"/>
        <v>2.1999999999999999E-2</v>
      </c>
      <c r="V36" s="160">
        <f t="shared" si="34"/>
        <v>2.1999999999999999E-2</v>
      </c>
      <c r="W36" s="160">
        <f t="shared" si="34"/>
        <v>2.1999999999999999E-2</v>
      </c>
      <c r="X36" s="160">
        <f t="shared" si="34"/>
        <v>2.1999999999999999E-2</v>
      </c>
    </row>
    <row r="37" spans="1:24">
      <c r="A37" s="151" t="s">
        <v>76</v>
      </c>
      <c r="B37" s="131" t="s">
        <v>79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131"/>
      <c r="R37" s="76"/>
      <c r="S37" s="76"/>
      <c r="T37" s="76"/>
      <c r="U37" s="76"/>
      <c r="V37" s="76"/>
      <c r="W37" s="76"/>
      <c r="X37" s="90"/>
    </row>
    <row r="38" spans="1:24" ht="15" thickBot="1">
      <c r="A38" s="152" t="s">
        <v>77</v>
      </c>
      <c r="B38" s="161" t="s">
        <v>60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161"/>
      <c r="R38" s="64"/>
      <c r="S38" s="64"/>
      <c r="T38" s="64"/>
      <c r="U38" s="64"/>
      <c r="V38" s="64"/>
      <c r="W38" s="64"/>
      <c r="X38" s="88"/>
    </row>
    <row r="39" spans="1:24">
      <c r="B39" s="101" t="s">
        <v>124</v>
      </c>
    </row>
    <row r="40" spans="1:24">
      <c r="B40" s="24" t="s">
        <v>21</v>
      </c>
      <c r="C40" s="19" t="s">
        <v>0</v>
      </c>
      <c r="D40" s="6">
        <v>25</v>
      </c>
      <c r="E40" s="22"/>
      <c r="F40" s="22"/>
      <c r="G40" s="22"/>
      <c r="I40" s="6">
        <v>0</v>
      </c>
      <c r="J40" s="6">
        <f>I40</f>
        <v>0</v>
      </c>
      <c r="K40" s="13">
        <f>D40</f>
        <v>25</v>
      </c>
      <c r="L40" s="13">
        <f t="shared" ref="L40:X40" si="35">K40+L41</f>
        <v>25</v>
      </c>
      <c r="M40" s="13">
        <f t="shared" si="35"/>
        <v>25</v>
      </c>
      <c r="N40" s="13">
        <f t="shared" si="35"/>
        <v>25</v>
      </c>
      <c r="O40" s="13">
        <f t="shared" si="35"/>
        <v>25</v>
      </c>
      <c r="P40" s="13">
        <f t="shared" si="35"/>
        <v>25</v>
      </c>
      <c r="Q40" s="13">
        <f t="shared" si="35"/>
        <v>25</v>
      </c>
      <c r="R40" s="13">
        <f t="shared" si="35"/>
        <v>25</v>
      </c>
      <c r="S40" s="13">
        <f t="shared" si="35"/>
        <v>25</v>
      </c>
      <c r="T40" s="13">
        <f t="shared" si="35"/>
        <v>25</v>
      </c>
      <c r="U40" s="13">
        <f t="shared" si="35"/>
        <v>25</v>
      </c>
      <c r="V40" s="13">
        <f t="shared" si="35"/>
        <v>25</v>
      </c>
      <c r="W40" s="13">
        <f t="shared" si="35"/>
        <v>25</v>
      </c>
      <c r="X40" s="13">
        <f t="shared" si="35"/>
        <v>25</v>
      </c>
    </row>
    <row r="41" spans="1:24">
      <c r="B41" s="24" t="s">
        <v>140</v>
      </c>
      <c r="C41" s="19" t="s">
        <v>0</v>
      </c>
      <c r="D41" s="19"/>
      <c r="E41" s="22"/>
      <c r="F41" s="22"/>
      <c r="G41" s="22"/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</row>
    <row r="42" spans="1:24">
      <c r="B42" s="24"/>
      <c r="C42" s="19"/>
      <c r="D42" s="19"/>
      <c r="E42" s="22"/>
      <c r="F42" s="22"/>
      <c r="G42" s="22"/>
      <c r="I42" s="22"/>
      <c r="J42" s="22"/>
      <c r="K42" s="22"/>
      <c r="L42" s="22"/>
      <c r="M42" s="22"/>
      <c r="N42" s="22"/>
      <c r="O42" s="22"/>
      <c r="P42" s="22"/>
    </row>
    <row r="43" spans="1:24">
      <c r="B43" s="24" t="s">
        <v>22</v>
      </c>
      <c r="C43" s="19" t="s">
        <v>1</v>
      </c>
      <c r="D43" s="6">
        <v>15</v>
      </c>
      <c r="E43" s="22"/>
      <c r="F43" s="22"/>
      <c r="G43" s="22"/>
      <c r="I43" s="6">
        <v>0</v>
      </c>
      <c r="J43" s="6">
        <v>0</v>
      </c>
      <c r="K43" s="13">
        <f>D43</f>
        <v>15</v>
      </c>
      <c r="L43" s="13">
        <f>K43+L44</f>
        <v>15</v>
      </c>
      <c r="M43" s="13">
        <f t="shared" ref="M43:Q43" si="36">L43+M44</f>
        <v>15</v>
      </c>
      <c r="N43" s="13">
        <f t="shared" si="36"/>
        <v>15</v>
      </c>
      <c r="O43" s="13">
        <f t="shared" si="36"/>
        <v>15</v>
      </c>
      <c r="P43" s="13">
        <f t="shared" si="36"/>
        <v>15</v>
      </c>
      <c r="Q43" s="13">
        <f t="shared" si="36"/>
        <v>15</v>
      </c>
      <c r="R43" s="13">
        <f>Q43+R44</f>
        <v>15</v>
      </c>
      <c r="S43" s="13">
        <f t="shared" ref="S43" si="37">R43+S44</f>
        <v>15</v>
      </c>
      <c r="T43" s="13">
        <f t="shared" ref="T43" si="38">S43+T44</f>
        <v>15</v>
      </c>
      <c r="U43" s="13">
        <f t="shared" ref="U43" si="39">T43+U44</f>
        <v>15</v>
      </c>
      <c r="V43" s="13">
        <f t="shared" ref="V43" si="40">U43+V44</f>
        <v>15</v>
      </c>
      <c r="W43" s="13">
        <f t="shared" ref="W43:X43" si="41">V43+W44</f>
        <v>15</v>
      </c>
      <c r="X43" s="13">
        <f t="shared" si="41"/>
        <v>15</v>
      </c>
    </row>
    <row r="44" spans="1:24">
      <c r="B44" s="24" t="s">
        <v>141</v>
      </c>
      <c r="C44" s="19" t="s">
        <v>1</v>
      </c>
      <c r="D44" s="22"/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</row>
    <row r="45" spans="1:24">
      <c r="B45" s="24"/>
      <c r="C45" s="19"/>
      <c r="D45" s="22"/>
      <c r="I45" s="22"/>
      <c r="J45" s="22"/>
      <c r="K45" s="22"/>
      <c r="L45" s="22"/>
      <c r="M45" s="22"/>
      <c r="N45" s="22"/>
      <c r="O45" s="22"/>
      <c r="P45" s="22"/>
    </row>
    <row r="46" spans="1:24">
      <c r="B46" s="24" t="s">
        <v>30</v>
      </c>
      <c r="C46" s="19" t="s">
        <v>23</v>
      </c>
      <c r="D46" s="22"/>
      <c r="E46" s="25">
        <f>D40*E15*E13</f>
        <v>0</v>
      </c>
      <c r="F46" s="25"/>
      <c r="I46" s="2">
        <v>0</v>
      </c>
      <c r="J46" s="2">
        <v>0</v>
      </c>
      <c r="K46" s="2">
        <f t="shared" ref="K46:X46" si="42">K40*$E$15*K13</f>
        <v>219000000</v>
      </c>
      <c r="L46" s="2">
        <f t="shared" si="42"/>
        <v>219000000</v>
      </c>
      <c r="M46" s="2">
        <f t="shared" si="42"/>
        <v>219000000</v>
      </c>
      <c r="N46" s="2">
        <f t="shared" si="42"/>
        <v>219600000</v>
      </c>
      <c r="O46" s="2">
        <f t="shared" si="42"/>
        <v>219000000</v>
      </c>
      <c r="P46" s="2">
        <f t="shared" si="42"/>
        <v>219000000</v>
      </c>
      <c r="Q46" s="2">
        <f t="shared" si="42"/>
        <v>219000000</v>
      </c>
      <c r="R46" s="2">
        <f t="shared" si="42"/>
        <v>219600000</v>
      </c>
      <c r="S46" s="2">
        <f t="shared" si="42"/>
        <v>219000000</v>
      </c>
      <c r="T46" s="2">
        <f t="shared" si="42"/>
        <v>219000000</v>
      </c>
      <c r="U46" s="2">
        <f t="shared" si="42"/>
        <v>219000000</v>
      </c>
      <c r="V46" s="2">
        <f t="shared" si="42"/>
        <v>219600000</v>
      </c>
      <c r="W46" s="2">
        <f t="shared" si="42"/>
        <v>219000000</v>
      </c>
      <c r="X46" s="2">
        <f t="shared" si="42"/>
        <v>219000000</v>
      </c>
    </row>
    <row r="47" spans="1:24">
      <c r="B47" s="24" t="s">
        <v>31</v>
      </c>
      <c r="C47" s="19" t="s">
        <v>25</v>
      </c>
      <c r="E47" s="25">
        <f>D43*E13</f>
        <v>0</v>
      </c>
      <c r="F47" s="25"/>
      <c r="I47" s="2">
        <v>0</v>
      </c>
      <c r="J47" s="2">
        <v>0</v>
      </c>
      <c r="K47" s="2">
        <f t="shared" ref="K47:X47" si="43">K43*K13</f>
        <v>131400</v>
      </c>
      <c r="L47" s="2">
        <f t="shared" si="43"/>
        <v>131400</v>
      </c>
      <c r="M47" s="2">
        <f t="shared" si="43"/>
        <v>131400</v>
      </c>
      <c r="N47" s="2">
        <f t="shared" si="43"/>
        <v>131760</v>
      </c>
      <c r="O47" s="2">
        <f t="shared" si="43"/>
        <v>131400</v>
      </c>
      <c r="P47" s="2">
        <f t="shared" si="43"/>
        <v>131400</v>
      </c>
      <c r="Q47" s="2">
        <f t="shared" si="43"/>
        <v>131400</v>
      </c>
      <c r="R47" s="2">
        <f t="shared" si="43"/>
        <v>131760</v>
      </c>
      <c r="S47" s="2">
        <f t="shared" si="43"/>
        <v>131400</v>
      </c>
      <c r="T47" s="2">
        <f t="shared" si="43"/>
        <v>131400</v>
      </c>
      <c r="U47" s="2">
        <f t="shared" si="43"/>
        <v>131400</v>
      </c>
      <c r="V47" s="2">
        <f t="shared" si="43"/>
        <v>131760</v>
      </c>
      <c r="W47" s="2">
        <f t="shared" si="43"/>
        <v>131400</v>
      </c>
      <c r="X47" s="2">
        <f t="shared" si="43"/>
        <v>131400</v>
      </c>
    </row>
    <row r="48" spans="1:24">
      <c r="B48" s="24"/>
      <c r="C48" s="19"/>
      <c r="E48" s="25"/>
      <c r="F48" s="25"/>
      <c r="I48" s="91"/>
      <c r="J48" s="91"/>
      <c r="K48" s="91"/>
      <c r="L48" s="91"/>
      <c r="M48" s="91"/>
      <c r="N48" s="91"/>
      <c r="O48" s="91"/>
      <c r="P48" s="91"/>
    </row>
    <row r="49" spans="2:24" ht="15" thickBot="1">
      <c r="B49" s="101" t="s">
        <v>91</v>
      </c>
      <c r="C49" s="21"/>
    </row>
    <row r="50" spans="2:24">
      <c r="B50" s="26" t="s">
        <v>44</v>
      </c>
      <c r="C50" s="27" t="s">
        <v>23</v>
      </c>
      <c r="D50" s="9">
        <v>185000000</v>
      </c>
      <c r="E50" s="28"/>
    </row>
    <row r="51" spans="2:24">
      <c r="B51" s="29" t="s">
        <v>45</v>
      </c>
      <c r="C51" s="30" t="s">
        <v>25</v>
      </c>
      <c r="D51" s="7">
        <v>60000</v>
      </c>
      <c r="E51" s="31"/>
    </row>
    <row r="52" spans="2:24">
      <c r="B52" s="32" t="s">
        <v>47</v>
      </c>
      <c r="C52" s="33" t="s">
        <v>2</v>
      </c>
      <c r="D52" s="34"/>
      <c r="E52" s="10">
        <f>D50/K46</f>
        <v>0.84474885844748859</v>
      </c>
      <c r="F52" s="44"/>
      <c r="G52" s="20" t="s">
        <v>50</v>
      </c>
    </row>
    <row r="53" spans="2:24" ht="15" thickBot="1">
      <c r="B53" s="35" t="s">
        <v>48</v>
      </c>
      <c r="C53" s="36" t="s">
        <v>2</v>
      </c>
      <c r="D53" s="37"/>
      <c r="E53" s="11">
        <f>D51/K47</f>
        <v>0.45662100456621002</v>
      </c>
      <c r="F53" s="44"/>
      <c r="G53" s="20" t="s">
        <v>50</v>
      </c>
    </row>
    <row r="54" spans="2:24">
      <c r="C54" s="21"/>
    </row>
    <row r="55" spans="2:24">
      <c r="B55" s="101" t="s">
        <v>92</v>
      </c>
      <c r="C55" s="21"/>
    </row>
    <row r="56" spans="2:24">
      <c r="B56" s="20" t="s">
        <v>46</v>
      </c>
      <c r="C56" s="21" t="s">
        <v>2</v>
      </c>
      <c r="I56" s="4">
        <v>0</v>
      </c>
      <c r="J56" s="4">
        <v>0</v>
      </c>
      <c r="K56" s="4">
        <v>0.74</v>
      </c>
      <c r="L56" s="4">
        <v>0.84</v>
      </c>
      <c r="M56" s="3">
        <f>E52</f>
        <v>0.84474885844748859</v>
      </c>
      <c r="N56" s="3">
        <f>M56</f>
        <v>0.84474885844748859</v>
      </c>
      <c r="O56" s="3">
        <f t="shared" ref="O56:P56" si="44">N56</f>
        <v>0.84474885844748859</v>
      </c>
      <c r="P56" s="3">
        <f t="shared" si="44"/>
        <v>0.84474885844748859</v>
      </c>
      <c r="Q56" s="3">
        <f t="shared" ref="Q56:X56" si="45">P56</f>
        <v>0.84474885844748859</v>
      </c>
      <c r="R56" s="3">
        <f t="shared" si="45"/>
        <v>0.84474885844748859</v>
      </c>
      <c r="S56" s="3">
        <f t="shared" si="45"/>
        <v>0.84474885844748859</v>
      </c>
      <c r="T56" s="3">
        <f t="shared" si="45"/>
        <v>0.84474885844748859</v>
      </c>
      <c r="U56" s="3">
        <f t="shared" si="45"/>
        <v>0.84474885844748859</v>
      </c>
      <c r="V56" s="3">
        <f t="shared" si="45"/>
        <v>0.84474885844748859</v>
      </c>
      <c r="W56" s="3">
        <f t="shared" si="45"/>
        <v>0.84474885844748859</v>
      </c>
      <c r="X56" s="3">
        <f t="shared" si="45"/>
        <v>0.84474885844748859</v>
      </c>
    </row>
    <row r="57" spans="2:24">
      <c r="B57" s="20" t="s">
        <v>49</v>
      </c>
      <c r="C57" s="21" t="s">
        <v>2</v>
      </c>
      <c r="I57" s="4">
        <v>0</v>
      </c>
      <c r="J57" s="4">
        <v>0</v>
      </c>
      <c r="K57" s="4">
        <v>0.46</v>
      </c>
      <c r="L57" s="4">
        <v>0.46</v>
      </c>
      <c r="M57" s="3">
        <f>E53</f>
        <v>0.45662100456621002</v>
      </c>
      <c r="N57" s="3">
        <f>M57</f>
        <v>0.45662100456621002</v>
      </c>
      <c r="O57" s="3">
        <f t="shared" ref="O57:P57" si="46">N57</f>
        <v>0.45662100456621002</v>
      </c>
      <c r="P57" s="3">
        <f t="shared" si="46"/>
        <v>0.45662100456621002</v>
      </c>
      <c r="Q57" s="3">
        <f t="shared" ref="Q57:X57" si="47">P57</f>
        <v>0.45662100456621002</v>
      </c>
      <c r="R57" s="3">
        <f t="shared" si="47"/>
        <v>0.45662100456621002</v>
      </c>
      <c r="S57" s="3">
        <f t="shared" si="47"/>
        <v>0.45662100456621002</v>
      </c>
      <c r="T57" s="3">
        <f t="shared" si="47"/>
        <v>0.45662100456621002</v>
      </c>
      <c r="U57" s="3">
        <f t="shared" si="47"/>
        <v>0.45662100456621002</v>
      </c>
      <c r="V57" s="3">
        <f t="shared" si="47"/>
        <v>0.45662100456621002</v>
      </c>
      <c r="W57" s="3">
        <f t="shared" si="47"/>
        <v>0.45662100456621002</v>
      </c>
      <c r="X57" s="3">
        <f t="shared" si="47"/>
        <v>0.45662100456621002</v>
      </c>
    </row>
    <row r="58" spans="2:24">
      <c r="B58" s="20" t="s">
        <v>20</v>
      </c>
      <c r="C58" s="21" t="s">
        <v>23</v>
      </c>
      <c r="I58" s="2">
        <f>I46*I56</f>
        <v>0</v>
      </c>
      <c r="J58" s="2">
        <f t="shared" ref="J58:P58" si="48">J46*J56</f>
        <v>0</v>
      </c>
      <c r="K58" s="2">
        <f t="shared" si="48"/>
        <v>162060000</v>
      </c>
      <c r="L58" s="2">
        <f t="shared" si="48"/>
        <v>183960000</v>
      </c>
      <c r="M58" s="2">
        <f t="shared" si="48"/>
        <v>185000000</v>
      </c>
      <c r="N58" s="2">
        <f t="shared" si="48"/>
        <v>185506849.31506848</v>
      </c>
      <c r="O58" s="2">
        <f t="shared" si="48"/>
        <v>185000000</v>
      </c>
      <c r="P58" s="2">
        <f t="shared" si="48"/>
        <v>185000000</v>
      </c>
      <c r="Q58" s="2">
        <f t="shared" ref="Q58:X58" si="49">Q46*Q56</f>
        <v>185000000</v>
      </c>
      <c r="R58" s="2">
        <f t="shared" si="49"/>
        <v>185506849.31506848</v>
      </c>
      <c r="S58" s="2">
        <f t="shared" si="49"/>
        <v>185000000</v>
      </c>
      <c r="T58" s="2">
        <f t="shared" si="49"/>
        <v>185000000</v>
      </c>
      <c r="U58" s="2">
        <f t="shared" si="49"/>
        <v>185000000</v>
      </c>
      <c r="V58" s="2">
        <f t="shared" si="49"/>
        <v>185506849.31506848</v>
      </c>
      <c r="W58" s="2">
        <f t="shared" si="49"/>
        <v>185000000</v>
      </c>
      <c r="X58" s="2">
        <f t="shared" si="49"/>
        <v>185000000</v>
      </c>
    </row>
    <row r="59" spans="2:24">
      <c r="B59" s="20" t="s">
        <v>24</v>
      </c>
      <c r="C59" s="21" t="s">
        <v>25</v>
      </c>
      <c r="I59" s="2">
        <f>I47*I57</f>
        <v>0</v>
      </c>
      <c r="J59" s="2">
        <f t="shared" ref="J59:P59" si="50">J47*J57</f>
        <v>0</v>
      </c>
      <c r="K59" s="2">
        <f t="shared" si="50"/>
        <v>60444</v>
      </c>
      <c r="L59" s="2">
        <f t="shared" si="50"/>
        <v>60444</v>
      </c>
      <c r="M59" s="2">
        <f t="shared" si="50"/>
        <v>60000</v>
      </c>
      <c r="N59" s="2">
        <f t="shared" si="50"/>
        <v>60164.38356164383</v>
      </c>
      <c r="O59" s="2">
        <f t="shared" si="50"/>
        <v>60000</v>
      </c>
      <c r="P59" s="2">
        <f t="shared" si="50"/>
        <v>60000</v>
      </c>
      <c r="Q59" s="2">
        <f t="shared" ref="Q59:X59" si="51">Q47*Q57</f>
        <v>60000</v>
      </c>
      <c r="R59" s="2">
        <f t="shared" si="51"/>
        <v>60164.38356164383</v>
      </c>
      <c r="S59" s="2">
        <f t="shared" si="51"/>
        <v>60000</v>
      </c>
      <c r="T59" s="2">
        <f t="shared" si="51"/>
        <v>60000</v>
      </c>
      <c r="U59" s="2">
        <f t="shared" si="51"/>
        <v>60000</v>
      </c>
      <c r="V59" s="2">
        <f t="shared" si="51"/>
        <v>60164.38356164383</v>
      </c>
      <c r="W59" s="2">
        <f t="shared" si="51"/>
        <v>60000</v>
      </c>
      <c r="X59" s="2">
        <f t="shared" si="51"/>
        <v>60000</v>
      </c>
    </row>
    <row r="60" spans="2:24">
      <c r="B60" s="20" t="s">
        <v>106</v>
      </c>
      <c r="C60" s="21" t="s">
        <v>2</v>
      </c>
      <c r="G60" s="20" t="s">
        <v>127</v>
      </c>
      <c r="I60" s="3">
        <f>(I58+I59)/($N$58+$N$59)</f>
        <v>0</v>
      </c>
      <c r="J60" s="3">
        <f t="shared" ref="J60:P60" si="52">(J58+J59)/($N$58+$N$59)</f>
        <v>0</v>
      </c>
      <c r="K60" s="3">
        <f t="shared" si="52"/>
        <v>0.87364904337627325</v>
      </c>
      <c r="L60" s="3">
        <f t="shared" si="52"/>
        <v>0.9916657078873844</v>
      </c>
      <c r="M60" s="3">
        <f t="shared" si="52"/>
        <v>0.99726775956284164</v>
      </c>
      <c r="N60" s="3">
        <f t="shared" si="52"/>
        <v>1</v>
      </c>
      <c r="O60" s="3">
        <f t="shared" si="52"/>
        <v>0.99726775956284164</v>
      </c>
      <c r="P60" s="3">
        <f t="shared" si="52"/>
        <v>0.99726775956284164</v>
      </c>
      <c r="Q60" s="3">
        <f t="shared" ref="Q60" si="53">(Q58+Q59)/($N$58+$N$59)</f>
        <v>0.99726775956284164</v>
      </c>
      <c r="R60" s="3">
        <f t="shared" ref="R60" si="54">(R58+R59)/($N$58+$N$59)</f>
        <v>1</v>
      </c>
      <c r="S60" s="3">
        <f t="shared" ref="S60" si="55">(S58+S59)/($N$58+$N$59)</f>
        <v>0.99726775956284164</v>
      </c>
      <c r="T60" s="3">
        <f t="shared" ref="T60" si="56">(T58+T59)/($N$58+$N$59)</f>
        <v>0.99726775956284164</v>
      </c>
      <c r="U60" s="3">
        <f t="shared" ref="U60" si="57">(U58+U59)/($N$58+$N$59)</f>
        <v>0.99726775956284164</v>
      </c>
      <c r="V60" s="3">
        <f t="shared" ref="V60" si="58">(V58+V59)/($N$58+$N$59)</f>
        <v>1</v>
      </c>
      <c r="W60" s="3">
        <f t="shared" ref="W60" si="59">(W58+W59)/($N$58+$N$59)</f>
        <v>0.99726775956284164</v>
      </c>
      <c r="X60" s="3">
        <f t="shared" ref="X60" si="60">(X58+X59)/($N$58+$N$59)</f>
        <v>0.99726775956284164</v>
      </c>
    </row>
    <row r="61" spans="2:24">
      <c r="C61" s="21"/>
      <c r="I61" s="91"/>
      <c r="J61" s="91"/>
      <c r="K61" s="91"/>
      <c r="L61" s="91"/>
      <c r="M61" s="91"/>
      <c r="N61" s="91"/>
      <c r="O61" s="91"/>
      <c r="P61" s="91"/>
    </row>
    <row r="62" spans="2:24">
      <c r="B62" s="101" t="s">
        <v>93</v>
      </c>
      <c r="C62" s="21"/>
    </row>
    <row r="63" spans="2:24">
      <c r="B63" s="126" t="s">
        <v>10</v>
      </c>
      <c r="C63" s="19" t="s">
        <v>3</v>
      </c>
      <c r="D63" s="6">
        <v>3</v>
      </c>
      <c r="J63" s="38"/>
      <c r="K63" s="38"/>
      <c r="L63" s="38"/>
      <c r="M63" s="38"/>
      <c r="N63" s="38"/>
      <c r="O63" s="38"/>
      <c r="P63" s="38"/>
    </row>
    <row r="64" spans="2:24" ht="16">
      <c r="B64" s="20" t="s">
        <v>51</v>
      </c>
      <c r="C64" s="21" t="s">
        <v>2</v>
      </c>
      <c r="F64" s="210" t="s">
        <v>264</v>
      </c>
      <c r="J64" s="4">
        <v>0.06</v>
      </c>
      <c r="K64" s="4">
        <v>0.05</v>
      </c>
      <c r="L64" s="4">
        <v>0.04</v>
      </c>
      <c r="M64" s="4">
        <v>0.04</v>
      </c>
      <c r="N64" s="4">
        <v>0.04</v>
      </c>
      <c r="O64" s="4">
        <v>0.04</v>
      </c>
      <c r="P64" s="4">
        <v>0.04</v>
      </c>
      <c r="Q64" s="4">
        <v>0.04</v>
      </c>
      <c r="R64" s="4">
        <v>0.04</v>
      </c>
      <c r="S64" s="4">
        <v>0.04</v>
      </c>
      <c r="T64" s="4">
        <v>0.04</v>
      </c>
      <c r="U64" s="4">
        <v>0.04</v>
      </c>
      <c r="V64" s="4">
        <v>0.04</v>
      </c>
      <c r="W64" s="4">
        <v>0.04</v>
      </c>
      <c r="X64" s="4">
        <v>0.04</v>
      </c>
    </row>
    <row r="65" spans="1:24">
      <c r="B65" s="126" t="s">
        <v>11</v>
      </c>
      <c r="C65" s="19" t="s">
        <v>4</v>
      </c>
      <c r="D65" s="6">
        <v>1000</v>
      </c>
    </row>
    <row r="66" spans="1:24" ht="15" thickBot="1">
      <c r="B66" s="20" t="s">
        <v>52</v>
      </c>
      <c r="C66" s="21" t="s">
        <v>2</v>
      </c>
      <c r="F66" s="20" t="s">
        <v>264</v>
      </c>
      <c r="J66" s="4">
        <v>0.06</v>
      </c>
      <c r="K66" s="4">
        <v>0.05</v>
      </c>
      <c r="L66" s="4">
        <v>0.04</v>
      </c>
      <c r="M66" s="4">
        <v>0.04</v>
      </c>
      <c r="N66" s="4">
        <v>0.04</v>
      </c>
      <c r="O66" s="4">
        <v>0.04</v>
      </c>
      <c r="P66" s="4">
        <v>0.04</v>
      </c>
      <c r="Q66" s="4">
        <v>0.04</v>
      </c>
      <c r="R66" s="4">
        <v>0.04</v>
      </c>
      <c r="S66" s="4">
        <v>0.04</v>
      </c>
      <c r="T66" s="4">
        <v>0.04</v>
      </c>
      <c r="U66" s="4">
        <v>0.04</v>
      </c>
      <c r="V66" s="4">
        <v>0.04</v>
      </c>
      <c r="W66" s="4">
        <v>0.04</v>
      </c>
      <c r="X66" s="4">
        <v>0.04</v>
      </c>
    </row>
    <row r="67" spans="1:24" ht="15" thickBot="1">
      <c r="A67" s="71" t="s">
        <v>78</v>
      </c>
      <c r="B67" s="52" t="s">
        <v>97</v>
      </c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89"/>
      <c r="R67" s="53"/>
      <c r="S67" s="53"/>
      <c r="T67" s="53"/>
      <c r="U67" s="53"/>
      <c r="V67" s="53"/>
      <c r="W67" s="53"/>
      <c r="X67" s="54"/>
    </row>
    <row r="68" spans="1:24" ht="15" thickBot="1">
      <c r="B68" s="102" t="s">
        <v>104</v>
      </c>
    </row>
    <row r="69" spans="1:24">
      <c r="B69" s="111" t="s">
        <v>15</v>
      </c>
      <c r="C69" s="112" t="s">
        <v>9</v>
      </c>
      <c r="D69" s="113"/>
      <c r="E69" s="115">
        <v>1.1399999999999999</v>
      </c>
      <c r="F69" s="118"/>
      <c r="G69" s="120" t="s">
        <v>143</v>
      </c>
      <c r="H69" s="113"/>
      <c r="I69" s="113"/>
      <c r="J69" s="113"/>
      <c r="K69" s="113"/>
      <c r="L69" s="113"/>
      <c r="M69" s="113"/>
      <c r="N69" s="113"/>
      <c r="O69" s="113"/>
      <c r="P69" s="28"/>
    </row>
    <row r="70" spans="1:24">
      <c r="B70" s="32" t="s">
        <v>12</v>
      </c>
      <c r="C70" s="33" t="s">
        <v>7</v>
      </c>
      <c r="D70" s="34"/>
      <c r="E70" s="34"/>
      <c r="F70" s="34" t="s">
        <v>90</v>
      </c>
      <c r="G70" s="34"/>
      <c r="H70" s="34"/>
      <c r="I70" s="34"/>
      <c r="J70" s="6">
        <v>230</v>
      </c>
      <c r="K70" s="94">
        <f>J70</f>
        <v>230</v>
      </c>
      <c r="L70" s="94">
        <f t="shared" ref="L70:P70" si="61">K70</f>
        <v>230</v>
      </c>
      <c r="M70" s="94">
        <f t="shared" si="61"/>
        <v>230</v>
      </c>
      <c r="N70" s="94">
        <f t="shared" si="61"/>
        <v>230</v>
      </c>
      <c r="O70" s="94">
        <f t="shared" si="61"/>
        <v>230</v>
      </c>
      <c r="P70" s="117">
        <f t="shared" si="61"/>
        <v>230</v>
      </c>
    </row>
    <row r="71" spans="1:24" ht="15" thickBot="1">
      <c r="B71" s="114" t="s">
        <v>13</v>
      </c>
      <c r="C71" s="36" t="s">
        <v>18</v>
      </c>
      <c r="D71" s="37"/>
      <c r="E71" s="37"/>
      <c r="F71" s="37"/>
      <c r="G71" s="37"/>
      <c r="H71" s="37"/>
      <c r="I71" s="37"/>
      <c r="J71" s="119">
        <v>160</v>
      </c>
      <c r="K71" s="109">
        <f>J71</f>
        <v>160</v>
      </c>
      <c r="L71" s="109">
        <f t="shared" ref="L71:P71" si="62">K71</f>
        <v>160</v>
      </c>
      <c r="M71" s="109">
        <f t="shared" si="62"/>
        <v>160</v>
      </c>
      <c r="N71" s="109">
        <f t="shared" si="62"/>
        <v>160</v>
      </c>
      <c r="O71" s="109">
        <f t="shared" si="62"/>
        <v>160</v>
      </c>
      <c r="P71" s="110">
        <f t="shared" si="62"/>
        <v>160</v>
      </c>
    </row>
    <row r="72" spans="1:24">
      <c r="C72" s="19"/>
      <c r="J72" s="74"/>
      <c r="K72" s="99"/>
      <c r="L72" s="99"/>
      <c r="M72" s="99"/>
      <c r="N72" s="99"/>
      <c r="O72" s="99"/>
      <c r="P72" s="99"/>
    </row>
    <row r="73" spans="1:24">
      <c r="B73" s="20" t="s">
        <v>105</v>
      </c>
      <c r="C73" s="19" t="s">
        <v>107</v>
      </c>
      <c r="D73" s="7">
        <v>45000</v>
      </c>
    </row>
    <row r="74" spans="1:24">
      <c r="B74" s="42" t="s">
        <v>103</v>
      </c>
      <c r="C74" s="19" t="s">
        <v>107</v>
      </c>
      <c r="E74" s="121"/>
      <c r="I74" s="93">
        <v>0</v>
      </c>
      <c r="J74" s="2">
        <f t="shared" ref="J74:X74" si="63">$D$73*J60</f>
        <v>0</v>
      </c>
      <c r="K74" s="2">
        <f t="shared" si="63"/>
        <v>39314.206951932298</v>
      </c>
      <c r="L74" s="2">
        <f t="shared" si="63"/>
        <v>44624.956854932301</v>
      </c>
      <c r="M74" s="2">
        <f t="shared" si="63"/>
        <v>44877.049180327871</v>
      </c>
      <c r="N74" s="2">
        <f t="shared" si="63"/>
        <v>45000</v>
      </c>
      <c r="O74" s="2">
        <f t="shared" si="63"/>
        <v>44877.049180327871</v>
      </c>
      <c r="P74" s="2">
        <f t="shared" si="63"/>
        <v>44877.049180327871</v>
      </c>
      <c r="Q74" s="2">
        <f t="shared" si="63"/>
        <v>44877.049180327871</v>
      </c>
      <c r="R74" s="2">
        <f t="shared" si="63"/>
        <v>45000</v>
      </c>
      <c r="S74" s="2">
        <f t="shared" si="63"/>
        <v>44877.049180327871</v>
      </c>
      <c r="T74" s="2">
        <f t="shared" si="63"/>
        <v>44877.049180327871</v>
      </c>
      <c r="U74" s="2">
        <f t="shared" si="63"/>
        <v>44877.049180327871</v>
      </c>
      <c r="V74" s="2">
        <f t="shared" si="63"/>
        <v>45000</v>
      </c>
      <c r="W74" s="2">
        <f t="shared" si="63"/>
        <v>44877.049180327871</v>
      </c>
      <c r="X74" s="2">
        <f t="shared" si="63"/>
        <v>44877.049180327871</v>
      </c>
    </row>
    <row r="75" spans="1:24">
      <c r="C75" s="19"/>
      <c r="J75" s="74"/>
      <c r="K75" s="99"/>
      <c r="L75" s="99"/>
      <c r="M75" s="99"/>
      <c r="N75" s="99"/>
      <c r="O75" s="99"/>
      <c r="P75" s="99"/>
    </row>
    <row r="76" spans="1:24">
      <c r="B76" s="102" t="s">
        <v>98</v>
      </c>
      <c r="C76" s="23"/>
      <c r="J76" s="100"/>
      <c r="K76" s="99"/>
      <c r="L76" s="99"/>
      <c r="M76" s="99"/>
      <c r="N76" s="99"/>
      <c r="O76" s="99"/>
      <c r="P76" s="99"/>
    </row>
    <row r="77" spans="1:24">
      <c r="B77" s="24" t="s">
        <v>14</v>
      </c>
      <c r="C77" s="19" t="s">
        <v>8</v>
      </c>
      <c r="D77" s="6">
        <v>3500</v>
      </c>
    </row>
    <row r="78" spans="1:24">
      <c r="B78" s="20" t="s">
        <v>81</v>
      </c>
      <c r="C78" s="21" t="s">
        <v>2</v>
      </c>
      <c r="F78" s="20" t="s">
        <v>264</v>
      </c>
      <c r="J78" s="4">
        <v>7.0000000000000007E-2</v>
      </c>
      <c r="K78" s="4">
        <v>7.0000000000000007E-2</v>
      </c>
      <c r="L78" s="4">
        <v>0.06</v>
      </c>
      <c r="M78" s="4">
        <v>0.05</v>
      </c>
      <c r="N78" s="4">
        <v>0.04</v>
      </c>
      <c r="O78" s="4">
        <v>0.04</v>
      </c>
      <c r="P78" s="4">
        <v>0.04</v>
      </c>
      <c r="Q78" s="4">
        <v>0.04</v>
      </c>
      <c r="R78" s="4">
        <v>0.04</v>
      </c>
      <c r="S78" s="4">
        <v>0.04</v>
      </c>
      <c r="T78" s="4">
        <v>0.04</v>
      </c>
      <c r="U78" s="4">
        <v>0.04</v>
      </c>
      <c r="V78" s="4">
        <v>0.04</v>
      </c>
      <c r="W78" s="4">
        <v>0.04</v>
      </c>
      <c r="X78" s="4">
        <v>0.04</v>
      </c>
    </row>
    <row r="80" spans="1:24">
      <c r="B80" s="106" t="s">
        <v>99</v>
      </c>
    </row>
    <row r="81" spans="1:24">
      <c r="B81" s="20" t="s">
        <v>100</v>
      </c>
      <c r="C81" s="20" t="s">
        <v>101</v>
      </c>
      <c r="D81" s="6">
        <v>20</v>
      </c>
      <c r="K81" s="93">
        <f>D81</f>
        <v>20</v>
      </c>
      <c r="L81" s="94">
        <f>D81</f>
        <v>20</v>
      </c>
      <c r="M81" s="94">
        <f>L81</f>
        <v>20</v>
      </c>
      <c r="N81" s="94">
        <f t="shared" ref="N81:X81" si="64">M81</f>
        <v>20</v>
      </c>
      <c r="O81" s="94">
        <f t="shared" si="64"/>
        <v>20</v>
      </c>
      <c r="P81" s="94">
        <f t="shared" si="64"/>
        <v>20</v>
      </c>
      <c r="Q81" s="94">
        <f t="shared" si="64"/>
        <v>20</v>
      </c>
      <c r="R81" s="94">
        <f t="shared" si="64"/>
        <v>20</v>
      </c>
      <c r="S81" s="94">
        <f t="shared" si="64"/>
        <v>20</v>
      </c>
      <c r="T81" s="94">
        <f t="shared" si="64"/>
        <v>20</v>
      </c>
      <c r="U81" s="94">
        <f t="shared" si="64"/>
        <v>20</v>
      </c>
      <c r="V81" s="94">
        <f t="shared" si="64"/>
        <v>20</v>
      </c>
      <c r="W81" s="94">
        <f t="shared" si="64"/>
        <v>20</v>
      </c>
      <c r="X81" s="94">
        <f t="shared" si="64"/>
        <v>20</v>
      </c>
    </row>
    <row r="83" spans="1:24">
      <c r="B83" s="101" t="s">
        <v>102</v>
      </c>
    </row>
    <row r="84" spans="1:24">
      <c r="B84" s="20" t="s">
        <v>146</v>
      </c>
      <c r="C84" s="20" t="s">
        <v>116</v>
      </c>
      <c r="K84" s="124">
        <v>60</v>
      </c>
    </row>
    <row r="86" spans="1:24">
      <c r="B86" s="106" t="s">
        <v>122</v>
      </c>
      <c r="G86" s="122" t="s">
        <v>128</v>
      </c>
    </row>
    <row r="87" spans="1:24">
      <c r="B87" s="20" t="s">
        <v>120</v>
      </c>
      <c r="C87" s="20" t="s">
        <v>2</v>
      </c>
      <c r="E87" s="123"/>
      <c r="G87" s="122"/>
      <c r="I87" s="122"/>
      <c r="J87" s="122"/>
      <c r="K87" s="4">
        <v>0.2</v>
      </c>
      <c r="L87" s="3">
        <f>K87</f>
        <v>0.2</v>
      </c>
      <c r="M87" s="3">
        <f t="shared" ref="M87:P87" si="65">L87</f>
        <v>0.2</v>
      </c>
      <c r="N87" s="3">
        <f t="shared" si="65"/>
        <v>0.2</v>
      </c>
      <c r="O87" s="3">
        <f t="shared" si="65"/>
        <v>0.2</v>
      </c>
      <c r="P87" s="3">
        <f t="shared" si="65"/>
        <v>0.2</v>
      </c>
      <c r="Q87" s="3">
        <f t="shared" ref="Q87:X87" si="66">P87</f>
        <v>0.2</v>
      </c>
      <c r="R87" s="3">
        <f t="shared" si="66"/>
        <v>0.2</v>
      </c>
      <c r="S87" s="3">
        <f t="shared" si="66"/>
        <v>0.2</v>
      </c>
      <c r="T87" s="3">
        <f t="shared" si="66"/>
        <v>0.2</v>
      </c>
      <c r="U87" s="3">
        <f t="shared" si="66"/>
        <v>0.2</v>
      </c>
      <c r="V87" s="3">
        <f t="shared" si="66"/>
        <v>0.2</v>
      </c>
      <c r="W87" s="3">
        <f t="shared" si="66"/>
        <v>0.2</v>
      </c>
      <c r="X87" s="3">
        <f t="shared" si="66"/>
        <v>0.2</v>
      </c>
    </row>
    <row r="88" spans="1:24">
      <c r="B88" s="20" t="s">
        <v>121</v>
      </c>
      <c r="C88" s="20" t="s">
        <v>2</v>
      </c>
      <c r="E88" s="123"/>
      <c r="G88" s="122"/>
      <c r="I88" s="122"/>
      <c r="J88" s="122"/>
      <c r="K88" s="4">
        <v>0.1</v>
      </c>
      <c r="L88" s="3">
        <f>K88</f>
        <v>0.1</v>
      </c>
      <c r="M88" s="3">
        <f t="shared" ref="M88:P88" si="67">L88</f>
        <v>0.1</v>
      </c>
      <c r="N88" s="3">
        <f t="shared" si="67"/>
        <v>0.1</v>
      </c>
      <c r="O88" s="3">
        <f t="shared" si="67"/>
        <v>0.1</v>
      </c>
      <c r="P88" s="3">
        <f t="shared" si="67"/>
        <v>0.1</v>
      </c>
      <c r="Q88" s="3">
        <f t="shared" ref="Q88:X88" si="68">P88</f>
        <v>0.1</v>
      </c>
      <c r="R88" s="3">
        <f t="shared" si="68"/>
        <v>0.1</v>
      </c>
      <c r="S88" s="3">
        <f t="shared" si="68"/>
        <v>0.1</v>
      </c>
      <c r="T88" s="3">
        <f t="shared" si="68"/>
        <v>0.1</v>
      </c>
      <c r="U88" s="3">
        <f t="shared" si="68"/>
        <v>0.1</v>
      </c>
      <c r="V88" s="3">
        <f t="shared" si="68"/>
        <v>0.1</v>
      </c>
      <c r="W88" s="3">
        <f t="shared" si="68"/>
        <v>0.1</v>
      </c>
      <c r="X88" s="3">
        <f t="shared" si="68"/>
        <v>0.1</v>
      </c>
    </row>
    <row r="89" spans="1:24">
      <c r="B89" s="20" t="s">
        <v>119</v>
      </c>
      <c r="C89" s="20" t="s">
        <v>2</v>
      </c>
      <c r="E89" s="123"/>
      <c r="G89" s="122"/>
      <c r="I89" s="122"/>
      <c r="J89" s="122"/>
      <c r="K89" s="4">
        <v>0.05</v>
      </c>
      <c r="L89" s="3">
        <f>K89</f>
        <v>0.05</v>
      </c>
      <c r="M89" s="3">
        <f t="shared" ref="M89:P89" si="69">L89</f>
        <v>0.05</v>
      </c>
      <c r="N89" s="3">
        <f t="shared" si="69"/>
        <v>0.05</v>
      </c>
      <c r="O89" s="3">
        <f t="shared" si="69"/>
        <v>0.05</v>
      </c>
      <c r="P89" s="3">
        <f t="shared" si="69"/>
        <v>0.05</v>
      </c>
      <c r="Q89" s="3">
        <f t="shared" ref="Q89:X89" si="70">P89</f>
        <v>0.05</v>
      </c>
      <c r="R89" s="3">
        <f t="shared" si="70"/>
        <v>0.05</v>
      </c>
      <c r="S89" s="3">
        <f t="shared" si="70"/>
        <v>0.05</v>
      </c>
      <c r="T89" s="3">
        <f t="shared" si="70"/>
        <v>0.05</v>
      </c>
      <c r="U89" s="3">
        <f t="shared" si="70"/>
        <v>0.05</v>
      </c>
      <c r="V89" s="3">
        <f t="shared" si="70"/>
        <v>0.05</v>
      </c>
      <c r="W89" s="3">
        <f t="shared" si="70"/>
        <v>0.05</v>
      </c>
      <c r="X89" s="3">
        <f t="shared" si="70"/>
        <v>0.05</v>
      </c>
    </row>
    <row r="90" spans="1:24" ht="15" thickBot="1"/>
    <row r="91" spans="1:24" ht="15" thickBot="1">
      <c r="A91" s="71" t="s">
        <v>108</v>
      </c>
      <c r="B91" s="52" t="s">
        <v>109</v>
      </c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89"/>
      <c r="R91" s="53"/>
      <c r="S91" s="53"/>
      <c r="T91" s="53"/>
      <c r="U91" s="53"/>
      <c r="V91" s="53"/>
      <c r="W91" s="53"/>
      <c r="X91" s="54"/>
    </row>
    <row r="93" spans="1:24">
      <c r="B93" s="106" t="s">
        <v>110</v>
      </c>
    </row>
    <row r="94" spans="1:24">
      <c r="B94" s="20" t="s">
        <v>111</v>
      </c>
      <c r="C94" s="20" t="s">
        <v>101</v>
      </c>
      <c r="K94" s="93">
        <v>15</v>
      </c>
      <c r="L94" s="94">
        <f>K94</f>
        <v>15</v>
      </c>
      <c r="M94" s="94">
        <f>L94</f>
        <v>15</v>
      </c>
      <c r="N94" s="94">
        <f>M94</f>
        <v>15</v>
      </c>
      <c r="O94" s="94">
        <f>N94</f>
        <v>15</v>
      </c>
      <c r="P94" s="94">
        <f>O94</f>
        <v>15</v>
      </c>
      <c r="Q94" s="94">
        <f t="shared" ref="Q94:X94" si="71">P94</f>
        <v>15</v>
      </c>
      <c r="R94" s="94">
        <f t="shared" si="71"/>
        <v>15</v>
      </c>
      <c r="S94" s="94">
        <f t="shared" si="71"/>
        <v>15</v>
      </c>
      <c r="T94" s="94">
        <f t="shared" si="71"/>
        <v>15</v>
      </c>
      <c r="U94" s="94">
        <f t="shared" si="71"/>
        <v>15</v>
      </c>
      <c r="V94" s="94">
        <f t="shared" si="71"/>
        <v>15</v>
      </c>
      <c r="W94" s="94">
        <f t="shared" si="71"/>
        <v>15</v>
      </c>
      <c r="X94" s="94">
        <f t="shared" si="71"/>
        <v>15</v>
      </c>
    </row>
    <row r="95" spans="1:24">
      <c r="B95" s="20" t="s">
        <v>113</v>
      </c>
      <c r="C95" s="20" t="s">
        <v>101</v>
      </c>
      <c r="K95" s="93">
        <v>5</v>
      </c>
      <c r="L95" s="94">
        <f>K95</f>
        <v>5</v>
      </c>
      <c r="M95" s="94">
        <f t="shared" ref="M95:P95" si="72">L95</f>
        <v>5</v>
      </c>
      <c r="N95" s="94">
        <f t="shared" si="72"/>
        <v>5</v>
      </c>
      <c r="O95" s="94">
        <f t="shared" si="72"/>
        <v>5</v>
      </c>
      <c r="P95" s="94">
        <f t="shared" si="72"/>
        <v>5</v>
      </c>
      <c r="Q95" s="94">
        <f t="shared" ref="Q95:X95" si="73">P95</f>
        <v>5</v>
      </c>
      <c r="R95" s="94">
        <f t="shared" si="73"/>
        <v>5</v>
      </c>
      <c r="S95" s="94">
        <f t="shared" si="73"/>
        <v>5</v>
      </c>
      <c r="T95" s="94">
        <f t="shared" si="73"/>
        <v>5</v>
      </c>
      <c r="U95" s="94">
        <f t="shared" si="73"/>
        <v>5</v>
      </c>
      <c r="V95" s="94">
        <f t="shared" si="73"/>
        <v>5</v>
      </c>
      <c r="W95" s="94">
        <f t="shared" si="73"/>
        <v>5</v>
      </c>
      <c r="X95" s="94">
        <f t="shared" si="73"/>
        <v>5</v>
      </c>
    </row>
    <row r="97" spans="1:24">
      <c r="B97" s="106" t="s">
        <v>112</v>
      </c>
    </row>
    <row r="98" spans="1:24">
      <c r="B98" s="20" t="s">
        <v>114</v>
      </c>
      <c r="C98" s="20" t="s">
        <v>116</v>
      </c>
      <c r="K98" s="124">
        <v>70</v>
      </c>
    </row>
    <row r="99" spans="1:24">
      <c r="B99" s="20" t="s">
        <v>115</v>
      </c>
      <c r="C99" s="20" t="s">
        <v>116</v>
      </c>
      <c r="K99" s="124">
        <v>45</v>
      </c>
    </row>
    <row r="101" spans="1:24">
      <c r="B101" s="106" t="s">
        <v>123</v>
      </c>
      <c r="C101" s="20" t="s">
        <v>2</v>
      </c>
      <c r="G101" s="122" t="s">
        <v>128</v>
      </c>
    </row>
    <row r="102" spans="1:24">
      <c r="B102" s="20" t="s">
        <v>129</v>
      </c>
      <c r="I102" s="4">
        <v>0</v>
      </c>
      <c r="J102" s="4">
        <v>0</v>
      </c>
      <c r="K102" s="4">
        <v>0.2</v>
      </c>
      <c r="L102" s="3">
        <f>K102</f>
        <v>0.2</v>
      </c>
      <c r="M102" s="3">
        <f t="shared" ref="M102:X102" si="74">L102</f>
        <v>0.2</v>
      </c>
      <c r="N102" s="3">
        <f t="shared" si="74"/>
        <v>0.2</v>
      </c>
      <c r="O102" s="3">
        <f t="shared" si="74"/>
        <v>0.2</v>
      </c>
      <c r="P102" s="3">
        <f t="shared" si="74"/>
        <v>0.2</v>
      </c>
      <c r="Q102" s="3">
        <f t="shared" si="74"/>
        <v>0.2</v>
      </c>
      <c r="R102" s="3">
        <f t="shared" si="74"/>
        <v>0.2</v>
      </c>
      <c r="S102" s="3">
        <f t="shared" si="74"/>
        <v>0.2</v>
      </c>
      <c r="T102" s="3">
        <f t="shared" si="74"/>
        <v>0.2</v>
      </c>
      <c r="U102" s="3">
        <f t="shared" si="74"/>
        <v>0.2</v>
      </c>
      <c r="V102" s="3">
        <f t="shared" si="74"/>
        <v>0.2</v>
      </c>
      <c r="W102" s="3">
        <f t="shared" si="74"/>
        <v>0.2</v>
      </c>
      <c r="X102" s="3">
        <f t="shared" si="74"/>
        <v>0.2</v>
      </c>
    </row>
    <row r="103" spans="1:24" ht="15" thickBot="1">
      <c r="L103" s="137"/>
      <c r="M103" s="137"/>
      <c r="N103" s="137"/>
      <c r="O103" s="137"/>
      <c r="P103" s="137"/>
    </row>
    <row r="104" spans="1:24" ht="15" thickBot="1">
      <c r="A104" s="71" t="s">
        <v>117</v>
      </c>
      <c r="B104" s="52" t="s">
        <v>165</v>
      </c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89"/>
      <c r="R104" s="53"/>
      <c r="S104" s="53"/>
      <c r="T104" s="53"/>
      <c r="U104" s="53"/>
      <c r="V104" s="53"/>
      <c r="W104" s="53"/>
      <c r="X104" s="54"/>
    </row>
    <row r="105" spans="1:24">
      <c r="L105" s="137"/>
      <c r="M105" s="137"/>
      <c r="N105" s="137"/>
      <c r="O105" s="137"/>
      <c r="P105" s="137"/>
    </row>
    <row r="106" spans="1:24">
      <c r="B106" s="20" t="s">
        <v>168</v>
      </c>
      <c r="C106" s="20" t="s">
        <v>42</v>
      </c>
      <c r="E106" s="6">
        <v>30</v>
      </c>
      <c r="L106" s="137"/>
      <c r="M106" s="137"/>
      <c r="N106" s="137"/>
      <c r="O106" s="137"/>
      <c r="P106" s="137"/>
    </row>
    <row r="107" spans="1:24">
      <c r="B107" s="20" t="s">
        <v>169</v>
      </c>
      <c r="C107" s="20" t="s">
        <v>42</v>
      </c>
      <c r="E107" s="6">
        <v>30</v>
      </c>
      <c r="L107" s="137"/>
      <c r="M107" s="137"/>
      <c r="N107" s="137"/>
      <c r="O107" s="137"/>
      <c r="P107" s="137"/>
    </row>
    <row r="108" spans="1:24">
      <c r="B108" s="20" t="s">
        <v>167</v>
      </c>
      <c r="C108" s="20" t="s">
        <v>42</v>
      </c>
      <c r="E108" s="6">
        <v>30</v>
      </c>
      <c r="L108" s="137"/>
      <c r="M108" s="137"/>
      <c r="N108" s="137"/>
      <c r="O108" s="137"/>
      <c r="P108" s="137"/>
    </row>
    <row r="109" spans="1:24" ht="15" thickBot="1"/>
    <row r="110" spans="1:24" ht="15" thickBot="1">
      <c r="A110" s="71" t="s">
        <v>166</v>
      </c>
      <c r="B110" s="52" t="s">
        <v>243</v>
      </c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89"/>
      <c r="R110" s="53"/>
      <c r="S110" s="53"/>
      <c r="T110" s="53"/>
      <c r="U110" s="53"/>
      <c r="V110" s="53"/>
      <c r="W110" s="53"/>
      <c r="X110" s="54"/>
    </row>
    <row r="111" spans="1:24">
      <c r="B111" s="20" t="s">
        <v>173</v>
      </c>
      <c r="C111" s="20" t="s">
        <v>32</v>
      </c>
      <c r="D111" s="125">
        <v>2</v>
      </c>
    </row>
    <row r="112" spans="1:24">
      <c r="B112" s="20" t="s">
        <v>254</v>
      </c>
      <c r="C112" s="20" t="s">
        <v>175</v>
      </c>
      <c r="I112" s="175">
        <f>IF(I2&lt;$D$111,1,0)</f>
        <v>1</v>
      </c>
      <c r="J112" s="175">
        <f>IF(J2&lt;$D$111,1,0)</f>
        <v>1</v>
      </c>
    </row>
    <row r="113" spans="1:24">
      <c r="B113" s="20" t="s">
        <v>255</v>
      </c>
      <c r="C113" s="20" t="s">
        <v>175</v>
      </c>
      <c r="I113" s="95"/>
      <c r="J113" s="95"/>
      <c r="K113" s="176">
        <f t="shared" ref="K113:X113" si="75">IF(K2&gt;=$D$111,1,0)</f>
        <v>1</v>
      </c>
      <c r="L113" s="176">
        <f t="shared" si="75"/>
        <v>1</v>
      </c>
      <c r="M113" s="176">
        <f t="shared" si="75"/>
        <v>1</v>
      </c>
      <c r="N113" s="176">
        <f t="shared" si="75"/>
        <v>1</v>
      </c>
      <c r="O113" s="176">
        <f t="shared" si="75"/>
        <v>1</v>
      </c>
      <c r="P113" s="176">
        <f t="shared" si="75"/>
        <v>1</v>
      </c>
      <c r="Q113" s="176">
        <f t="shared" si="75"/>
        <v>1</v>
      </c>
      <c r="R113" s="176">
        <f t="shared" si="75"/>
        <v>1</v>
      </c>
      <c r="S113" s="176">
        <f t="shared" si="75"/>
        <v>1</v>
      </c>
      <c r="T113" s="176">
        <f t="shared" si="75"/>
        <v>1</v>
      </c>
      <c r="U113" s="176">
        <f t="shared" si="75"/>
        <v>1</v>
      </c>
      <c r="V113" s="176">
        <f t="shared" si="75"/>
        <v>1</v>
      </c>
      <c r="W113" s="176">
        <f t="shared" si="75"/>
        <v>1</v>
      </c>
      <c r="X113" s="176">
        <f t="shared" si="75"/>
        <v>1</v>
      </c>
    </row>
    <row r="115" spans="1:24">
      <c r="B115" s="95" t="s">
        <v>276</v>
      </c>
    </row>
    <row r="118" spans="1:24">
      <c r="B118" s="20" t="s">
        <v>186</v>
      </c>
      <c r="C118" s="20" t="s">
        <v>5</v>
      </c>
      <c r="E118" s="125">
        <v>30</v>
      </c>
    </row>
    <row r="120" spans="1:24">
      <c r="B120" s="106" t="s">
        <v>118</v>
      </c>
    </row>
    <row r="121" spans="1:24">
      <c r="B121" s="20" t="s">
        <v>125</v>
      </c>
      <c r="C121" s="20" t="s">
        <v>6</v>
      </c>
      <c r="D121" s="125">
        <v>600000</v>
      </c>
      <c r="I121" s="94">
        <f>D121</f>
        <v>600000</v>
      </c>
      <c r="J121" s="125">
        <v>0</v>
      </c>
      <c r="K121" s="125">
        <v>0</v>
      </c>
      <c r="L121" s="125">
        <v>0</v>
      </c>
      <c r="M121" s="125">
        <v>0</v>
      </c>
      <c r="N121" s="125">
        <v>0</v>
      </c>
      <c r="O121" s="125">
        <v>0</v>
      </c>
      <c r="P121" s="125">
        <v>0</v>
      </c>
      <c r="Q121" s="125">
        <v>0</v>
      </c>
      <c r="R121" s="125">
        <v>0</v>
      </c>
      <c r="S121" s="125">
        <v>0</v>
      </c>
      <c r="T121" s="125">
        <v>0</v>
      </c>
      <c r="U121" s="125">
        <v>0</v>
      </c>
      <c r="V121" s="125">
        <v>0</v>
      </c>
      <c r="W121" s="125">
        <v>0</v>
      </c>
      <c r="X121" s="125">
        <v>0</v>
      </c>
    </row>
    <row r="122" spans="1:24">
      <c r="A122" s="20"/>
      <c r="B122" s="20" t="s">
        <v>126</v>
      </c>
      <c r="C122" s="20" t="s">
        <v>6</v>
      </c>
      <c r="D122" s="125">
        <v>1400000</v>
      </c>
      <c r="I122" s="125">
        <v>0</v>
      </c>
      <c r="J122" s="94">
        <f>D122</f>
        <v>1400000</v>
      </c>
      <c r="K122" s="125">
        <v>0</v>
      </c>
      <c r="L122" s="125">
        <v>0</v>
      </c>
      <c r="M122" s="125">
        <v>0</v>
      </c>
      <c r="N122" s="125">
        <v>0</v>
      </c>
      <c r="O122" s="125">
        <v>0</v>
      </c>
      <c r="P122" s="125">
        <v>0</v>
      </c>
      <c r="Q122" s="125">
        <v>0</v>
      </c>
      <c r="R122" s="125">
        <v>0</v>
      </c>
      <c r="S122" s="125">
        <v>0</v>
      </c>
      <c r="T122" s="125">
        <v>0</v>
      </c>
      <c r="U122" s="125">
        <v>0</v>
      </c>
      <c r="V122" s="125">
        <v>0</v>
      </c>
      <c r="W122" s="125">
        <v>0</v>
      </c>
      <c r="X122" s="125">
        <v>0</v>
      </c>
    </row>
    <row r="123" spans="1:24" ht="15" thickBot="1">
      <c r="A123" s="20"/>
      <c r="B123" s="133" t="s">
        <v>118</v>
      </c>
      <c r="C123" s="133" t="s">
        <v>6</v>
      </c>
      <c r="D123" s="133">
        <f>SUM(D121:D122)</f>
        <v>2000000</v>
      </c>
      <c r="E123" s="133"/>
      <c r="F123" s="133"/>
      <c r="G123" s="133"/>
      <c r="H123" s="133"/>
      <c r="I123" s="133">
        <f t="shared" ref="I123:P123" si="76">SUM(I121:I122)</f>
        <v>600000</v>
      </c>
      <c r="J123" s="133">
        <f t="shared" si="76"/>
        <v>1400000</v>
      </c>
      <c r="K123" s="133">
        <f t="shared" si="76"/>
        <v>0</v>
      </c>
      <c r="L123" s="133">
        <f t="shared" si="76"/>
        <v>0</v>
      </c>
      <c r="M123" s="133">
        <f t="shared" si="76"/>
        <v>0</v>
      </c>
      <c r="N123" s="133">
        <f t="shared" si="76"/>
        <v>0</v>
      </c>
      <c r="O123" s="133">
        <f t="shared" si="76"/>
        <v>0</v>
      </c>
      <c r="P123" s="133">
        <f t="shared" si="76"/>
        <v>0</v>
      </c>
      <c r="Q123" s="133">
        <f t="shared" ref="Q123:X123" si="77">SUM(Q121:Q122)</f>
        <v>0</v>
      </c>
      <c r="R123" s="133">
        <f t="shared" si="77"/>
        <v>0</v>
      </c>
      <c r="S123" s="133">
        <f t="shared" si="77"/>
        <v>0</v>
      </c>
      <c r="T123" s="133">
        <f t="shared" si="77"/>
        <v>0</v>
      </c>
      <c r="U123" s="133">
        <f t="shared" si="77"/>
        <v>0</v>
      </c>
      <c r="V123" s="133">
        <f t="shared" si="77"/>
        <v>0</v>
      </c>
      <c r="W123" s="133">
        <f t="shared" si="77"/>
        <v>0</v>
      </c>
      <c r="X123" s="133">
        <f t="shared" si="77"/>
        <v>0</v>
      </c>
    </row>
    <row r="124" spans="1:24">
      <c r="A124" s="20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</row>
    <row r="125" spans="1:24">
      <c r="A125" s="20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</row>
    <row r="126" spans="1:24">
      <c r="A126" s="20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</row>
    <row r="127" spans="1:24">
      <c r="A127" s="20"/>
      <c r="B127" s="147" t="s">
        <v>242</v>
      </c>
      <c r="C127" s="142"/>
      <c r="D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</row>
    <row r="128" spans="1:24">
      <c r="A128" s="20"/>
      <c r="B128" s="20" t="s">
        <v>125</v>
      </c>
      <c r="C128" s="20" t="s">
        <v>6</v>
      </c>
      <c r="D128" s="142"/>
      <c r="E128" s="139">
        <f>D121/E118</f>
        <v>20000</v>
      </c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</row>
    <row r="129" spans="1:16">
      <c r="A129" s="20"/>
      <c r="B129" s="20" t="s">
        <v>126</v>
      </c>
      <c r="C129" s="20" t="s">
        <v>6</v>
      </c>
      <c r="D129" s="142"/>
      <c r="E129" s="139">
        <f>D122/E118</f>
        <v>46666.666666666664</v>
      </c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</row>
    <row r="146" spans="1:1">
      <c r="A146" s="20"/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  <row r="151" spans="1:1">
      <c r="A151" s="20"/>
    </row>
    <row r="152" spans="1:1">
      <c r="A152" s="20"/>
    </row>
    <row r="153" spans="1:1">
      <c r="A153" s="20"/>
    </row>
    <row r="154" spans="1:1">
      <c r="A154" s="20"/>
    </row>
    <row r="155" spans="1:1">
      <c r="A155" s="20"/>
    </row>
    <row r="156" spans="1:1">
      <c r="A156" s="20"/>
    </row>
    <row r="157" spans="1:1">
      <c r="A157" s="20"/>
    </row>
    <row r="158" spans="1:1">
      <c r="A158" s="20"/>
    </row>
    <row r="159" spans="1:1">
      <c r="A159" s="20"/>
    </row>
    <row r="160" spans="1:1">
      <c r="A160" s="20"/>
    </row>
    <row r="161" spans="1:1">
      <c r="A161" s="20"/>
    </row>
    <row r="162" spans="1:1">
      <c r="A162" s="20"/>
    </row>
    <row r="163" spans="1:1">
      <c r="A163" s="20"/>
    </row>
    <row r="164" spans="1:1">
      <c r="A164" s="20"/>
    </row>
    <row r="165" spans="1:1">
      <c r="A165" s="20"/>
    </row>
    <row r="166" spans="1:1">
      <c r="A166" s="20"/>
    </row>
    <row r="167" spans="1:1">
      <c r="A167" s="20"/>
    </row>
    <row r="168" spans="1:1">
      <c r="A168" s="20"/>
    </row>
    <row r="169" spans="1:1">
      <c r="A169" s="20"/>
    </row>
    <row r="170" spans="1:1">
      <c r="A170" s="20"/>
    </row>
    <row r="171" spans="1:1">
      <c r="A171" s="20"/>
    </row>
    <row r="172" spans="1:1">
      <c r="A172" s="20"/>
    </row>
    <row r="173" spans="1:1">
      <c r="A173" s="20"/>
    </row>
    <row r="174" spans="1:1">
      <c r="A174" s="20"/>
    </row>
    <row r="175" spans="1:1">
      <c r="A175" s="20"/>
    </row>
    <row r="176" spans="1:1">
      <c r="A176" s="20"/>
    </row>
    <row r="177" spans="1:1">
      <c r="A177" s="20"/>
    </row>
    <row r="178" spans="1:1">
      <c r="A178" s="20"/>
    </row>
    <row r="179" spans="1:1">
      <c r="A179" s="20"/>
    </row>
    <row r="180" spans="1:1">
      <c r="A180" s="20"/>
    </row>
    <row r="181" spans="1:1">
      <c r="A181" s="20"/>
    </row>
    <row r="182" spans="1:1">
      <c r="A182" s="20"/>
    </row>
    <row r="183" spans="1:1">
      <c r="A183" s="20"/>
    </row>
    <row r="184" spans="1:1">
      <c r="A184" s="20"/>
    </row>
    <row r="185" spans="1:1">
      <c r="A185" s="20"/>
    </row>
    <row r="186" spans="1:1">
      <c r="A186" s="20"/>
    </row>
    <row r="187" spans="1:1">
      <c r="A187" s="20"/>
    </row>
    <row r="188" spans="1:1">
      <c r="A188" s="20"/>
    </row>
    <row r="189" spans="1:1">
      <c r="A189" s="20"/>
    </row>
    <row r="190" spans="1:1">
      <c r="A190" s="20"/>
    </row>
    <row r="191" spans="1:1">
      <c r="A191" s="20"/>
    </row>
    <row r="192" spans="1:1">
      <c r="A192" s="20"/>
    </row>
    <row r="193" spans="1:1">
      <c r="A193" s="20"/>
    </row>
    <row r="194" spans="1:1">
      <c r="A194" s="20"/>
    </row>
    <row r="195" spans="1:1">
      <c r="A195" s="20"/>
    </row>
    <row r="196" spans="1:1">
      <c r="A196" s="20"/>
    </row>
    <row r="197" spans="1:1">
      <c r="A197" s="20"/>
    </row>
    <row r="198" spans="1:1">
      <c r="A198" s="20"/>
    </row>
    <row r="199" spans="1:1">
      <c r="A199" s="20"/>
    </row>
    <row r="200" spans="1:1">
      <c r="A200" s="20"/>
    </row>
    <row r="201" spans="1:1">
      <c r="A201" s="20"/>
    </row>
    <row r="202" spans="1:1">
      <c r="A202" s="20"/>
    </row>
    <row r="203" spans="1:1">
      <c r="A203" s="20"/>
    </row>
    <row r="204" spans="1:1">
      <c r="A204" s="20"/>
    </row>
    <row r="205" spans="1:1">
      <c r="A205" s="20"/>
    </row>
    <row r="206" spans="1:1">
      <c r="A206" s="20"/>
    </row>
    <row r="207" spans="1:1">
      <c r="A207" s="20"/>
    </row>
    <row r="208" spans="1:1">
      <c r="A208" s="20"/>
    </row>
    <row r="209" spans="1:1">
      <c r="A209" s="20"/>
    </row>
    <row r="210" spans="1:1">
      <c r="A210" s="20"/>
    </row>
    <row r="211" spans="1:1">
      <c r="A211" s="20"/>
    </row>
    <row r="212" spans="1:1">
      <c r="A212" s="20"/>
    </row>
    <row r="213" spans="1:1">
      <c r="A213" s="20"/>
    </row>
    <row r="214" spans="1:1">
      <c r="A214" s="20"/>
    </row>
    <row r="215" spans="1:1">
      <c r="A215" s="20"/>
    </row>
    <row r="216" spans="1:1">
      <c r="A216" s="20"/>
    </row>
    <row r="217" spans="1:1">
      <c r="A217" s="20"/>
    </row>
    <row r="218" spans="1:1">
      <c r="A218" s="20"/>
    </row>
    <row r="219" spans="1:1">
      <c r="A219" s="20"/>
    </row>
    <row r="220" spans="1:1">
      <c r="A220" s="20"/>
    </row>
    <row r="221" spans="1:1">
      <c r="A221" s="20"/>
    </row>
    <row r="222" spans="1:1">
      <c r="A222" s="20"/>
    </row>
    <row r="223" spans="1:1">
      <c r="A223" s="20"/>
    </row>
    <row r="224" spans="1:1">
      <c r="A224" s="20"/>
    </row>
    <row r="225" spans="1:1">
      <c r="A225" s="20"/>
    </row>
    <row r="226" spans="1:1">
      <c r="A226" s="20"/>
    </row>
    <row r="227" spans="1:1">
      <c r="A227" s="20"/>
    </row>
    <row r="228" spans="1:1">
      <c r="A228" s="20"/>
    </row>
    <row r="229" spans="1:1">
      <c r="A229" s="20"/>
    </row>
    <row r="230" spans="1:1">
      <c r="A230" s="20"/>
    </row>
    <row r="231" spans="1:1">
      <c r="A231" s="20"/>
    </row>
    <row r="232" spans="1:1">
      <c r="A232" s="20"/>
    </row>
    <row r="233" spans="1:1">
      <c r="A233" s="20"/>
    </row>
    <row r="234" spans="1:1">
      <c r="A234" s="20"/>
    </row>
    <row r="235" spans="1:1">
      <c r="A235" s="20"/>
    </row>
    <row r="236" spans="1:1">
      <c r="A236" s="20"/>
    </row>
    <row r="237" spans="1:1">
      <c r="A237" s="20"/>
    </row>
    <row r="238" spans="1:1">
      <c r="A238" s="20"/>
    </row>
    <row r="239" spans="1:1">
      <c r="A239" s="20"/>
    </row>
    <row r="240" spans="1:1">
      <c r="A240" s="20"/>
    </row>
    <row r="241" spans="1:1">
      <c r="A241" s="20"/>
    </row>
    <row r="242" spans="1:1">
      <c r="A242" s="20"/>
    </row>
    <row r="243" spans="1:1">
      <c r="A243" s="20"/>
    </row>
    <row r="244" spans="1:1">
      <c r="A244" s="20"/>
    </row>
    <row r="245" spans="1:1">
      <c r="A245" s="20"/>
    </row>
    <row r="246" spans="1:1">
      <c r="A246" s="20"/>
    </row>
    <row r="247" spans="1:1">
      <c r="A247" s="20"/>
    </row>
    <row r="248" spans="1:1">
      <c r="A248" s="20"/>
    </row>
    <row r="249" spans="1:1">
      <c r="A249" s="20"/>
    </row>
    <row r="250" spans="1:1">
      <c r="A250" s="20"/>
    </row>
    <row r="251" spans="1:1">
      <c r="A251" s="20"/>
    </row>
    <row r="252" spans="1:1">
      <c r="A252" s="20"/>
    </row>
    <row r="253" spans="1:1">
      <c r="A253" s="20"/>
    </row>
    <row r="254" spans="1:1">
      <c r="A254" s="20"/>
    </row>
    <row r="255" spans="1:1">
      <c r="A255" s="20"/>
    </row>
    <row r="256" spans="1:1">
      <c r="A256" s="20"/>
    </row>
    <row r="257" spans="1:1">
      <c r="A257" s="20"/>
    </row>
    <row r="258" spans="1:1">
      <c r="A258" s="20"/>
    </row>
    <row r="259" spans="1:1">
      <c r="A259" s="20"/>
    </row>
    <row r="260" spans="1:1">
      <c r="A260" s="20"/>
    </row>
    <row r="261" spans="1:1">
      <c r="A261" s="20"/>
    </row>
    <row r="262" spans="1:1">
      <c r="A262" s="20"/>
    </row>
    <row r="263" spans="1:1">
      <c r="A263" s="20"/>
    </row>
    <row r="264" spans="1:1">
      <c r="A264" s="20"/>
    </row>
    <row r="265" spans="1:1">
      <c r="A265" s="20"/>
    </row>
    <row r="266" spans="1:1">
      <c r="A266" s="20"/>
    </row>
    <row r="267" spans="1:1">
      <c r="A267" s="20"/>
    </row>
    <row r="268" spans="1:1">
      <c r="A268" s="20"/>
    </row>
    <row r="269" spans="1:1">
      <c r="A269" s="20"/>
    </row>
    <row r="270" spans="1:1">
      <c r="A270" s="20"/>
    </row>
    <row r="271" spans="1:1">
      <c r="A271" s="20"/>
    </row>
    <row r="272" spans="1:1">
      <c r="A272" s="20"/>
    </row>
    <row r="273" spans="1:1">
      <c r="A273" s="20"/>
    </row>
    <row r="274" spans="1:1">
      <c r="A274" s="20"/>
    </row>
    <row r="275" spans="1:1">
      <c r="A275" s="20"/>
    </row>
    <row r="276" spans="1:1">
      <c r="A276" s="20"/>
    </row>
    <row r="277" spans="1:1">
      <c r="A277" s="20"/>
    </row>
    <row r="278" spans="1:1">
      <c r="A278" s="20"/>
    </row>
    <row r="279" spans="1:1">
      <c r="A279" s="20"/>
    </row>
    <row r="280" spans="1:1">
      <c r="A280" s="20"/>
    </row>
    <row r="281" spans="1:1">
      <c r="A281" s="20"/>
    </row>
    <row r="282" spans="1:1">
      <c r="A282" s="20"/>
    </row>
    <row r="283" spans="1:1">
      <c r="A283" s="20"/>
    </row>
    <row r="284" spans="1:1">
      <c r="A284" s="20"/>
    </row>
    <row r="285" spans="1:1">
      <c r="A285" s="20"/>
    </row>
    <row r="286" spans="1:1">
      <c r="A286" s="20"/>
    </row>
    <row r="287" spans="1:1">
      <c r="A287" s="20"/>
    </row>
    <row r="288" spans="1:1">
      <c r="A288" s="20"/>
    </row>
    <row r="289" spans="1:1">
      <c r="A289" s="20"/>
    </row>
    <row r="290" spans="1:1">
      <c r="A290" s="20"/>
    </row>
    <row r="291" spans="1:1">
      <c r="A291" s="20"/>
    </row>
    <row r="292" spans="1:1">
      <c r="A292" s="20"/>
    </row>
    <row r="293" spans="1:1">
      <c r="A293" s="20"/>
    </row>
    <row r="294" spans="1:1">
      <c r="A294" s="20"/>
    </row>
    <row r="295" spans="1:1">
      <c r="A295" s="20"/>
    </row>
    <row r="296" spans="1:1">
      <c r="A296" s="20"/>
    </row>
    <row r="297" spans="1:1">
      <c r="A297" s="20"/>
    </row>
    <row r="298" spans="1:1">
      <c r="A298" s="20"/>
    </row>
    <row r="299" spans="1:1">
      <c r="A299" s="20"/>
    </row>
    <row r="300" spans="1:1">
      <c r="A300" s="20"/>
    </row>
    <row r="301" spans="1:1">
      <c r="A301" s="20"/>
    </row>
    <row r="302" spans="1:1">
      <c r="A302" s="20"/>
    </row>
    <row r="303" spans="1:1">
      <c r="A303" s="20"/>
    </row>
    <row r="304" spans="1:1">
      <c r="A304" s="20"/>
    </row>
    <row r="305" spans="1:1">
      <c r="A305" s="20"/>
    </row>
    <row r="306" spans="1:1">
      <c r="A306" s="20"/>
    </row>
    <row r="307" spans="1:1">
      <c r="A307" s="20"/>
    </row>
    <row r="308" spans="1:1">
      <c r="A308" s="20"/>
    </row>
    <row r="309" spans="1:1">
      <c r="A309" s="20"/>
    </row>
    <row r="310" spans="1:1">
      <c r="A310" s="20"/>
    </row>
    <row r="311" spans="1:1">
      <c r="A311" s="20"/>
    </row>
    <row r="312" spans="1:1">
      <c r="A312" s="20"/>
    </row>
    <row r="313" spans="1:1">
      <c r="A313" s="20"/>
    </row>
    <row r="314" spans="1:1">
      <c r="A314" s="20"/>
    </row>
    <row r="315" spans="1:1">
      <c r="A315" s="20"/>
    </row>
    <row r="316" spans="1:1">
      <c r="A316" s="20"/>
    </row>
    <row r="317" spans="1:1">
      <c r="A317" s="20"/>
    </row>
    <row r="318" spans="1:1">
      <c r="A318" s="20"/>
    </row>
    <row r="319" spans="1:1">
      <c r="A319" s="20"/>
    </row>
    <row r="320" spans="1:1">
      <c r="A320" s="20"/>
    </row>
    <row r="321" spans="1:1">
      <c r="A321" s="20"/>
    </row>
    <row r="322" spans="1:1">
      <c r="A322" s="20"/>
    </row>
    <row r="323" spans="1:1">
      <c r="A323" s="20"/>
    </row>
    <row r="324" spans="1:1">
      <c r="A324" s="20"/>
    </row>
    <row r="325" spans="1:1">
      <c r="A325" s="20"/>
    </row>
    <row r="326" spans="1:1">
      <c r="A326" s="20"/>
    </row>
    <row r="327" spans="1:1">
      <c r="A327" s="20"/>
    </row>
    <row r="328" spans="1:1">
      <c r="A328" s="20"/>
    </row>
    <row r="329" spans="1:1">
      <c r="A329" s="20"/>
    </row>
    <row r="330" spans="1:1">
      <c r="A330" s="20"/>
    </row>
    <row r="331" spans="1:1">
      <c r="A331" s="20"/>
    </row>
    <row r="332" spans="1:1">
      <c r="A332" s="20"/>
    </row>
    <row r="333" spans="1:1">
      <c r="A333" s="20"/>
    </row>
    <row r="334" spans="1:1">
      <c r="A334" s="20"/>
    </row>
    <row r="335" spans="1:1">
      <c r="A335" s="20"/>
    </row>
    <row r="336" spans="1:1">
      <c r="A336" s="20"/>
    </row>
    <row r="337" spans="1:1">
      <c r="A337" s="20"/>
    </row>
    <row r="338" spans="1:1">
      <c r="A338" s="20"/>
    </row>
    <row r="339" spans="1:1">
      <c r="A339" s="20"/>
    </row>
    <row r="340" spans="1:1">
      <c r="A340" s="20"/>
    </row>
    <row r="341" spans="1:1">
      <c r="A341" s="20"/>
    </row>
    <row r="342" spans="1:1">
      <c r="A342" s="20"/>
    </row>
    <row r="343" spans="1:1">
      <c r="A343" s="20"/>
    </row>
    <row r="344" spans="1:1">
      <c r="A344" s="20"/>
    </row>
    <row r="345" spans="1:1">
      <c r="A345" s="20"/>
    </row>
    <row r="346" spans="1:1">
      <c r="A346" s="20"/>
    </row>
    <row r="347" spans="1:1">
      <c r="A347" s="20"/>
    </row>
    <row r="348" spans="1:1">
      <c r="A348" s="20"/>
    </row>
    <row r="349" spans="1:1">
      <c r="A349" s="20"/>
    </row>
    <row r="350" spans="1:1">
      <c r="A350" s="20"/>
    </row>
    <row r="351" spans="1:1">
      <c r="A351" s="20"/>
    </row>
    <row r="352" spans="1:1">
      <c r="A352" s="20"/>
    </row>
    <row r="353" spans="1:1">
      <c r="A353" s="20"/>
    </row>
    <row r="354" spans="1:1">
      <c r="A354" s="20"/>
    </row>
    <row r="355" spans="1:1">
      <c r="A355" s="20"/>
    </row>
    <row r="356" spans="1:1">
      <c r="A356" s="20"/>
    </row>
    <row r="357" spans="1:1">
      <c r="A357" s="20"/>
    </row>
    <row r="358" spans="1:1">
      <c r="A358" s="20"/>
    </row>
    <row r="359" spans="1:1">
      <c r="A359" s="20"/>
    </row>
    <row r="360" spans="1:1">
      <c r="A360" s="20"/>
    </row>
    <row r="361" spans="1:1">
      <c r="A361" s="20"/>
    </row>
    <row r="362" spans="1:1">
      <c r="A362" s="20"/>
    </row>
    <row r="363" spans="1:1">
      <c r="A363" s="20"/>
    </row>
    <row r="364" spans="1:1">
      <c r="A364" s="20"/>
    </row>
    <row r="365" spans="1:1">
      <c r="A365" s="20"/>
    </row>
    <row r="366" spans="1:1">
      <c r="A366" s="20"/>
    </row>
    <row r="367" spans="1:1">
      <c r="A367" s="20"/>
    </row>
    <row r="368" spans="1:1">
      <c r="A368" s="20"/>
    </row>
    <row r="369" spans="1:1">
      <c r="A369" s="20"/>
    </row>
    <row r="370" spans="1:1">
      <c r="A370" s="20"/>
    </row>
    <row r="371" spans="1:1">
      <c r="A371" s="20"/>
    </row>
    <row r="372" spans="1:1">
      <c r="A372" s="20"/>
    </row>
    <row r="373" spans="1:1">
      <c r="A373" s="20"/>
    </row>
    <row r="374" spans="1:1">
      <c r="A374" s="20"/>
    </row>
    <row r="375" spans="1:1">
      <c r="A375" s="20"/>
    </row>
    <row r="376" spans="1:1">
      <c r="A376" s="20"/>
    </row>
    <row r="377" spans="1:1">
      <c r="A377" s="20"/>
    </row>
    <row r="378" spans="1:1">
      <c r="A378" s="20"/>
    </row>
    <row r="379" spans="1:1">
      <c r="A379" s="20"/>
    </row>
    <row r="380" spans="1:1">
      <c r="A380" s="20"/>
    </row>
    <row r="381" spans="1:1">
      <c r="A381" s="20"/>
    </row>
    <row r="382" spans="1:1">
      <c r="A382" s="20"/>
    </row>
    <row r="383" spans="1:1">
      <c r="A383" s="20"/>
    </row>
    <row r="384" spans="1:1">
      <c r="A384" s="20"/>
    </row>
    <row r="385" spans="1:1">
      <c r="A385" s="20"/>
    </row>
    <row r="386" spans="1:1">
      <c r="A386" s="20"/>
    </row>
    <row r="387" spans="1:1">
      <c r="A387" s="20"/>
    </row>
    <row r="388" spans="1:1">
      <c r="A388" s="20"/>
    </row>
    <row r="389" spans="1:1">
      <c r="A389" s="20"/>
    </row>
    <row r="390" spans="1:1">
      <c r="A390" s="20"/>
    </row>
    <row r="391" spans="1:1">
      <c r="A391" s="20"/>
    </row>
    <row r="392" spans="1:1">
      <c r="A392" s="20"/>
    </row>
    <row r="393" spans="1:1">
      <c r="A393" s="20"/>
    </row>
    <row r="394" spans="1:1">
      <c r="A394" s="20"/>
    </row>
    <row r="395" spans="1:1">
      <c r="A395" s="20"/>
    </row>
    <row r="396" spans="1:1">
      <c r="A396" s="20"/>
    </row>
    <row r="397" spans="1:1">
      <c r="A397" s="20"/>
    </row>
    <row r="398" spans="1:1">
      <c r="A398" s="20"/>
    </row>
    <row r="399" spans="1:1">
      <c r="A399" s="20"/>
    </row>
    <row r="400" spans="1:1">
      <c r="A400" s="20"/>
    </row>
    <row r="401" spans="1:1">
      <c r="A401" s="20"/>
    </row>
    <row r="402" spans="1:1">
      <c r="A402" s="20"/>
    </row>
    <row r="403" spans="1:1">
      <c r="A403" s="20"/>
    </row>
    <row r="404" spans="1:1">
      <c r="A404" s="20"/>
    </row>
    <row r="405" spans="1:1">
      <c r="A405" s="20"/>
    </row>
    <row r="406" spans="1:1">
      <c r="A406" s="20"/>
    </row>
    <row r="407" spans="1:1">
      <c r="A407" s="20"/>
    </row>
    <row r="408" spans="1:1">
      <c r="A408" s="20"/>
    </row>
    <row r="409" spans="1:1">
      <c r="A409" s="20"/>
    </row>
    <row r="410" spans="1:1">
      <c r="A410" s="20"/>
    </row>
    <row r="411" spans="1:1">
      <c r="A411" s="20"/>
    </row>
    <row r="412" spans="1:1">
      <c r="A412" s="20"/>
    </row>
    <row r="413" spans="1:1">
      <c r="A413" s="20"/>
    </row>
    <row r="414" spans="1:1">
      <c r="A414" s="20"/>
    </row>
    <row r="415" spans="1:1">
      <c r="A415" s="20"/>
    </row>
    <row r="416" spans="1:1">
      <c r="A416" s="20"/>
    </row>
    <row r="417" spans="1:1">
      <c r="A417" s="20"/>
    </row>
    <row r="418" spans="1:1">
      <c r="A418" s="20"/>
    </row>
    <row r="419" spans="1:1">
      <c r="A419" s="20"/>
    </row>
    <row r="420" spans="1:1">
      <c r="A420" s="20"/>
    </row>
    <row r="421" spans="1:1">
      <c r="A421" s="20"/>
    </row>
    <row r="422" spans="1:1">
      <c r="A422" s="20"/>
    </row>
    <row r="423" spans="1:1">
      <c r="A423" s="20"/>
    </row>
    <row r="424" spans="1:1">
      <c r="A424" s="20"/>
    </row>
    <row r="425" spans="1:1">
      <c r="A425" s="20"/>
    </row>
    <row r="426" spans="1:1">
      <c r="A426" s="20"/>
    </row>
    <row r="427" spans="1:1">
      <c r="A427" s="20"/>
    </row>
    <row r="428" spans="1:1">
      <c r="A428" s="20"/>
    </row>
    <row r="429" spans="1:1">
      <c r="A429" s="20"/>
    </row>
    <row r="430" spans="1:1">
      <c r="A430" s="20"/>
    </row>
    <row r="431" spans="1:1">
      <c r="A431" s="20"/>
    </row>
    <row r="432" spans="1:1">
      <c r="A432" s="20"/>
    </row>
    <row r="433" spans="1:1">
      <c r="A433" s="20"/>
    </row>
    <row r="434" spans="1:1">
      <c r="A434" s="20"/>
    </row>
    <row r="435" spans="1:1">
      <c r="A435" s="20"/>
    </row>
    <row r="436" spans="1:1">
      <c r="A436" s="20"/>
    </row>
    <row r="437" spans="1:1">
      <c r="A437" s="20"/>
    </row>
    <row r="438" spans="1:1">
      <c r="A438" s="20"/>
    </row>
    <row r="439" spans="1:1">
      <c r="A439" s="20"/>
    </row>
    <row r="440" spans="1:1">
      <c r="A440" s="20"/>
    </row>
    <row r="441" spans="1:1">
      <c r="A441" s="20"/>
    </row>
    <row r="442" spans="1:1">
      <c r="A442" s="20"/>
    </row>
    <row r="443" spans="1:1">
      <c r="A443" s="20"/>
    </row>
    <row r="444" spans="1:1">
      <c r="A444" s="20"/>
    </row>
    <row r="445" spans="1:1">
      <c r="A445" s="20"/>
    </row>
    <row r="446" spans="1:1">
      <c r="A446" s="20"/>
    </row>
    <row r="447" spans="1:1">
      <c r="A447" s="20"/>
    </row>
    <row r="448" spans="1:1">
      <c r="A448" s="20"/>
    </row>
    <row r="449" spans="1:1">
      <c r="A449" s="20"/>
    </row>
    <row r="450" spans="1:1">
      <c r="A450" s="20"/>
    </row>
    <row r="451" spans="1:1">
      <c r="A451" s="20"/>
    </row>
    <row r="452" spans="1:1">
      <c r="A452" s="20"/>
    </row>
    <row r="453" spans="1:1">
      <c r="A453" s="20"/>
    </row>
    <row r="454" spans="1:1">
      <c r="A454" s="20"/>
    </row>
    <row r="455" spans="1:1">
      <c r="A455" s="20"/>
    </row>
    <row r="456" spans="1:1">
      <c r="A456" s="20"/>
    </row>
    <row r="457" spans="1:1">
      <c r="A457" s="20"/>
    </row>
    <row r="458" spans="1:1">
      <c r="A458" s="20"/>
    </row>
    <row r="459" spans="1:1">
      <c r="A459" s="20"/>
    </row>
    <row r="460" spans="1:1">
      <c r="A460" s="20"/>
    </row>
    <row r="461" spans="1:1">
      <c r="A461" s="20"/>
    </row>
    <row r="462" spans="1:1">
      <c r="A462" s="20"/>
    </row>
    <row r="463" spans="1:1">
      <c r="A463" s="20"/>
    </row>
    <row r="464" spans="1:1">
      <c r="A464" s="20"/>
    </row>
    <row r="465" spans="1:1">
      <c r="A465" s="20"/>
    </row>
    <row r="466" spans="1:1">
      <c r="A466" s="20"/>
    </row>
    <row r="467" spans="1:1">
      <c r="A467" s="20"/>
    </row>
    <row r="468" spans="1:1">
      <c r="A468" s="20"/>
    </row>
    <row r="469" spans="1:1">
      <c r="A469" s="20"/>
    </row>
    <row r="470" spans="1:1">
      <c r="A470" s="20"/>
    </row>
    <row r="471" spans="1:1">
      <c r="A471" s="20"/>
    </row>
    <row r="472" spans="1:1">
      <c r="A472" s="20"/>
    </row>
    <row r="473" spans="1:1">
      <c r="A473" s="20"/>
    </row>
    <row r="474" spans="1:1">
      <c r="A474" s="20"/>
    </row>
    <row r="475" spans="1:1">
      <c r="A475" s="20"/>
    </row>
    <row r="476" spans="1:1">
      <c r="A476" s="20"/>
    </row>
    <row r="477" spans="1:1">
      <c r="A477" s="20"/>
    </row>
    <row r="478" spans="1:1">
      <c r="A478" s="20"/>
    </row>
    <row r="479" spans="1:1">
      <c r="A479" s="20"/>
    </row>
    <row r="480" spans="1:1">
      <c r="A480" s="20"/>
    </row>
    <row r="481" spans="1:1">
      <c r="A481" s="20"/>
    </row>
    <row r="482" spans="1:1">
      <c r="A482" s="20"/>
    </row>
    <row r="483" spans="1:1">
      <c r="A483" s="20"/>
    </row>
    <row r="484" spans="1:1">
      <c r="A484" s="20"/>
    </row>
    <row r="485" spans="1:1">
      <c r="A485" s="20"/>
    </row>
    <row r="486" spans="1:1">
      <c r="A486" s="20"/>
    </row>
    <row r="487" spans="1:1">
      <c r="A487" s="20"/>
    </row>
    <row r="488" spans="1:1">
      <c r="A488" s="20"/>
    </row>
    <row r="489" spans="1:1">
      <c r="A489" s="20"/>
    </row>
    <row r="490" spans="1:1">
      <c r="A490" s="20"/>
    </row>
    <row r="491" spans="1:1">
      <c r="A491" s="20"/>
    </row>
    <row r="492" spans="1:1">
      <c r="A492" s="20"/>
    </row>
    <row r="493" spans="1:1">
      <c r="A493" s="20"/>
    </row>
    <row r="494" spans="1:1">
      <c r="A494" s="20"/>
    </row>
    <row r="495" spans="1:1">
      <c r="A495" s="20"/>
    </row>
    <row r="496" spans="1:1">
      <c r="A496" s="20"/>
    </row>
    <row r="497" spans="1:1">
      <c r="A497" s="20"/>
    </row>
    <row r="498" spans="1:1">
      <c r="A498" s="20"/>
    </row>
    <row r="499" spans="1:1">
      <c r="A499" s="20"/>
    </row>
    <row r="500" spans="1:1">
      <c r="A500" s="20"/>
    </row>
    <row r="501" spans="1:1">
      <c r="A501" s="20"/>
    </row>
    <row r="502" spans="1:1">
      <c r="A502" s="20"/>
    </row>
    <row r="503" spans="1:1">
      <c r="A503" s="20"/>
    </row>
    <row r="504" spans="1:1">
      <c r="A504" s="20"/>
    </row>
    <row r="505" spans="1:1">
      <c r="A505" s="20"/>
    </row>
    <row r="506" spans="1:1">
      <c r="A506" s="20"/>
    </row>
    <row r="507" spans="1:1">
      <c r="A507" s="20"/>
    </row>
    <row r="508" spans="1:1">
      <c r="A508" s="20"/>
    </row>
    <row r="509" spans="1:1">
      <c r="A509" s="20"/>
    </row>
    <row r="510" spans="1:1">
      <c r="A510" s="20"/>
    </row>
    <row r="511" spans="1:1">
      <c r="A511" s="20"/>
    </row>
    <row r="512" spans="1:1">
      <c r="A512" s="20"/>
    </row>
    <row r="513" spans="1:1">
      <c r="A513" s="20"/>
    </row>
    <row r="514" spans="1:1">
      <c r="A514" s="20"/>
    </row>
    <row r="515" spans="1:1">
      <c r="A515" s="20"/>
    </row>
    <row r="516" spans="1:1">
      <c r="A516" s="20"/>
    </row>
    <row r="517" spans="1:1">
      <c r="A517" s="20"/>
    </row>
    <row r="518" spans="1:1">
      <c r="A518" s="20"/>
    </row>
    <row r="519" spans="1:1">
      <c r="A519" s="20"/>
    </row>
    <row r="520" spans="1:1">
      <c r="A520" s="20"/>
    </row>
    <row r="521" spans="1:1">
      <c r="A521" s="20"/>
    </row>
    <row r="522" spans="1:1">
      <c r="A522" s="20"/>
    </row>
    <row r="523" spans="1:1">
      <c r="A523" s="20"/>
    </row>
    <row r="524" spans="1:1">
      <c r="A524" s="20"/>
    </row>
    <row r="525" spans="1:1">
      <c r="A525" s="20"/>
    </row>
    <row r="526" spans="1:1">
      <c r="A526" s="20"/>
    </row>
    <row r="527" spans="1:1">
      <c r="A527" s="20"/>
    </row>
    <row r="528" spans="1:1">
      <c r="A528" s="20"/>
    </row>
    <row r="529" spans="1:1">
      <c r="A529" s="20"/>
    </row>
    <row r="530" spans="1:1">
      <c r="A530" s="20"/>
    </row>
    <row r="531" spans="1:1">
      <c r="A531" s="20"/>
    </row>
    <row r="532" spans="1:1">
      <c r="A532" s="20"/>
    </row>
    <row r="533" spans="1:1">
      <c r="A533" s="20"/>
    </row>
    <row r="534" spans="1:1">
      <c r="A534" s="20"/>
    </row>
    <row r="535" spans="1:1">
      <c r="A535" s="20"/>
    </row>
    <row r="536" spans="1:1">
      <c r="A536" s="20"/>
    </row>
    <row r="537" spans="1:1">
      <c r="A537" s="20"/>
    </row>
    <row r="538" spans="1:1">
      <c r="A538" s="20"/>
    </row>
    <row r="539" spans="1:1">
      <c r="A539" s="20"/>
    </row>
    <row r="540" spans="1:1">
      <c r="A540" s="20"/>
    </row>
    <row r="541" spans="1:1">
      <c r="A541" s="20"/>
    </row>
    <row r="542" spans="1:1">
      <c r="A542" s="20"/>
    </row>
    <row r="543" spans="1:1">
      <c r="A543" s="20"/>
    </row>
    <row r="544" spans="1:1">
      <c r="A544" s="20"/>
    </row>
    <row r="545" spans="1:1">
      <c r="A545" s="20"/>
    </row>
    <row r="546" spans="1:1">
      <c r="A546" s="20"/>
    </row>
    <row r="547" spans="1:1">
      <c r="A547" s="20"/>
    </row>
    <row r="548" spans="1:1">
      <c r="A548" s="20"/>
    </row>
    <row r="549" spans="1:1">
      <c r="A549" s="20"/>
    </row>
    <row r="550" spans="1:1">
      <c r="A550" s="20"/>
    </row>
    <row r="551" spans="1:1">
      <c r="A551" s="20"/>
    </row>
    <row r="552" spans="1:1">
      <c r="A552" s="20"/>
    </row>
    <row r="553" spans="1:1">
      <c r="A553" s="20"/>
    </row>
    <row r="554" spans="1:1">
      <c r="A554" s="20"/>
    </row>
    <row r="555" spans="1:1">
      <c r="A555" s="20"/>
    </row>
    <row r="556" spans="1:1">
      <c r="A556" s="20"/>
    </row>
    <row r="557" spans="1:1">
      <c r="A557" s="20"/>
    </row>
    <row r="558" spans="1:1">
      <c r="A558" s="20"/>
    </row>
    <row r="559" spans="1:1">
      <c r="A559" s="20"/>
    </row>
    <row r="560" spans="1:1">
      <c r="A560" s="20"/>
    </row>
    <row r="561" spans="1:1">
      <c r="A561" s="20"/>
    </row>
    <row r="562" spans="1:1">
      <c r="A562" s="20"/>
    </row>
    <row r="563" spans="1:1">
      <c r="A563" s="20"/>
    </row>
    <row r="564" spans="1:1">
      <c r="A564" s="20"/>
    </row>
    <row r="565" spans="1:1">
      <c r="A565" s="20"/>
    </row>
    <row r="566" spans="1:1">
      <c r="A566" s="20"/>
    </row>
    <row r="567" spans="1:1">
      <c r="A567" s="20"/>
    </row>
    <row r="568" spans="1:1">
      <c r="A568" s="20"/>
    </row>
    <row r="569" spans="1:1">
      <c r="A569" s="20"/>
    </row>
    <row r="570" spans="1:1">
      <c r="A570" s="20"/>
    </row>
    <row r="571" spans="1:1">
      <c r="A571" s="20"/>
    </row>
    <row r="572" spans="1:1">
      <c r="A572" s="20"/>
    </row>
    <row r="573" spans="1:1">
      <c r="A573" s="20"/>
    </row>
    <row r="574" spans="1:1">
      <c r="A574" s="20"/>
    </row>
    <row r="575" spans="1:1">
      <c r="A575" s="20"/>
    </row>
    <row r="576" spans="1:1">
      <c r="A576" s="20"/>
    </row>
    <row r="577" spans="1:1">
      <c r="A577" s="20"/>
    </row>
    <row r="578" spans="1:1">
      <c r="A578" s="20"/>
    </row>
    <row r="579" spans="1:1">
      <c r="A579" s="20"/>
    </row>
    <row r="580" spans="1:1">
      <c r="A580" s="20"/>
    </row>
    <row r="581" spans="1:1">
      <c r="A581" s="20"/>
    </row>
    <row r="582" spans="1:1">
      <c r="A582" s="20"/>
    </row>
    <row r="583" spans="1:1">
      <c r="A583" s="20"/>
    </row>
    <row r="584" spans="1:1">
      <c r="A584" s="20"/>
    </row>
    <row r="585" spans="1:1">
      <c r="A585" s="20"/>
    </row>
    <row r="586" spans="1:1">
      <c r="A586" s="20"/>
    </row>
    <row r="587" spans="1:1">
      <c r="A587" s="20"/>
    </row>
    <row r="588" spans="1:1">
      <c r="A588" s="20"/>
    </row>
    <row r="589" spans="1:1">
      <c r="A589" s="20"/>
    </row>
    <row r="590" spans="1:1">
      <c r="A590" s="20"/>
    </row>
    <row r="591" spans="1:1">
      <c r="A591" s="20"/>
    </row>
    <row r="592" spans="1:1">
      <c r="A592" s="20"/>
    </row>
    <row r="593" spans="1:1">
      <c r="A593" s="20"/>
    </row>
    <row r="594" spans="1:1">
      <c r="A594" s="20"/>
    </row>
    <row r="595" spans="1:1">
      <c r="A595" s="20"/>
    </row>
    <row r="596" spans="1:1">
      <c r="A596" s="20"/>
    </row>
    <row r="597" spans="1:1">
      <c r="A597" s="20"/>
    </row>
    <row r="598" spans="1:1">
      <c r="A598" s="20"/>
    </row>
    <row r="599" spans="1:1">
      <c r="A599" s="20"/>
    </row>
    <row r="600" spans="1:1">
      <c r="A600" s="20"/>
    </row>
    <row r="601" spans="1:1">
      <c r="A601" s="20"/>
    </row>
    <row r="602" spans="1:1">
      <c r="A602" s="20"/>
    </row>
    <row r="603" spans="1:1">
      <c r="A603" s="20"/>
    </row>
    <row r="604" spans="1:1">
      <c r="A604" s="20"/>
    </row>
    <row r="605" spans="1:1">
      <c r="A605" s="20"/>
    </row>
    <row r="606" spans="1:1">
      <c r="A606" s="20"/>
    </row>
    <row r="607" spans="1:1">
      <c r="A607" s="20"/>
    </row>
    <row r="608" spans="1:1">
      <c r="A608" s="20"/>
    </row>
    <row r="609" spans="1:1">
      <c r="A609" s="20"/>
    </row>
    <row r="610" spans="1:1">
      <c r="A610" s="20"/>
    </row>
    <row r="611" spans="1:1">
      <c r="A611" s="20"/>
    </row>
    <row r="612" spans="1:1">
      <c r="A612" s="20"/>
    </row>
    <row r="613" spans="1:1">
      <c r="A613" s="20"/>
    </row>
    <row r="614" spans="1:1">
      <c r="A614" s="20"/>
    </row>
    <row r="615" spans="1:1">
      <c r="A615" s="20"/>
    </row>
    <row r="616" spans="1:1">
      <c r="A616" s="20"/>
    </row>
    <row r="617" spans="1:1">
      <c r="A617" s="20"/>
    </row>
    <row r="618" spans="1:1">
      <c r="A618" s="20"/>
    </row>
    <row r="619" spans="1:1">
      <c r="A619" s="20"/>
    </row>
    <row r="620" spans="1:1">
      <c r="A620" s="20"/>
    </row>
    <row r="621" spans="1:1">
      <c r="A621" s="20"/>
    </row>
    <row r="622" spans="1:1">
      <c r="A622" s="20"/>
    </row>
    <row r="623" spans="1:1">
      <c r="A623" s="20"/>
    </row>
    <row r="624" spans="1:1">
      <c r="A624" s="20"/>
    </row>
    <row r="625" spans="1:1">
      <c r="A625" s="20"/>
    </row>
    <row r="626" spans="1:1">
      <c r="A626" s="20"/>
    </row>
    <row r="627" spans="1:1">
      <c r="A627" s="20"/>
    </row>
    <row r="628" spans="1:1">
      <c r="A628" s="20"/>
    </row>
    <row r="629" spans="1:1">
      <c r="A629" s="20"/>
    </row>
    <row r="630" spans="1:1">
      <c r="A630" s="20"/>
    </row>
    <row r="631" spans="1:1">
      <c r="A631" s="20"/>
    </row>
    <row r="632" spans="1:1">
      <c r="A632" s="20"/>
    </row>
    <row r="633" spans="1:1">
      <c r="A633" s="20"/>
    </row>
    <row r="634" spans="1:1">
      <c r="A634" s="20"/>
    </row>
    <row r="635" spans="1:1">
      <c r="A635" s="20"/>
    </row>
    <row r="636" spans="1:1">
      <c r="A636" s="20"/>
    </row>
    <row r="637" spans="1:1">
      <c r="A637" s="20"/>
    </row>
    <row r="638" spans="1:1">
      <c r="A638" s="20"/>
    </row>
    <row r="639" spans="1:1">
      <c r="A639" s="20"/>
    </row>
    <row r="640" spans="1:1">
      <c r="A640" s="20"/>
    </row>
    <row r="641" spans="1:1">
      <c r="A641" s="20"/>
    </row>
    <row r="642" spans="1:1">
      <c r="A642" s="20"/>
    </row>
    <row r="643" spans="1:1">
      <c r="A643" s="20"/>
    </row>
    <row r="644" spans="1:1">
      <c r="A644" s="20"/>
    </row>
    <row r="645" spans="1:1">
      <c r="A645" s="20"/>
    </row>
    <row r="646" spans="1:1">
      <c r="A646" s="20"/>
    </row>
    <row r="647" spans="1:1">
      <c r="A647" s="20"/>
    </row>
    <row r="648" spans="1:1">
      <c r="A648" s="20"/>
    </row>
    <row r="649" spans="1:1">
      <c r="A649" s="20"/>
    </row>
    <row r="650" spans="1:1">
      <c r="A650" s="20"/>
    </row>
    <row r="651" spans="1:1">
      <c r="A651" s="20"/>
    </row>
    <row r="652" spans="1:1">
      <c r="A652" s="20"/>
    </row>
    <row r="653" spans="1:1">
      <c r="A653" s="20"/>
    </row>
    <row r="654" spans="1:1">
      <c r="A654" s="20"/>
    </row>
    <row r="655" spans="1:1">
      <c r="A655" s="20"/>
    </row>
    <row r="656" spans="1:1">
      <c r="A656" s="20"/>
    </row>
    <row r="657" spans="1:1">
      <c r="A657" s="20"/>
    </row>
    <row r="658" spans="1:1">
      <c r="A658" s="20"/>
    </row>
    <row r="659" spans="1:1">
      <c r="A659" s="20"/>
    </row>
    <row r="660" spans="1:1">
      <c r="A660" s="20"/>
    </row>
    <row r="661" spans="1:1">
      <c r="A661" s="20"/>
    </row>
    <row r="662" spans="1:1">
      <c r="A662" s="20"/>
    </row>
    <row r="663" spans="1:1">
      <c r="A663" s="20"/>
    </row>
    <row r="664" spans="1:1">
      <c r="A664" s="20"/>
    </row>
    <row r="665" spans="1:1">
      <c r="A665" s="20"/>
    </row>
    <row r="666" spans="1:1">
      <c r="A666" s="20"/>
    </row>
    <row r="667" spans="1:1">
      <c r="A667" s="20"/>
    </row>
    <row r="668" spans="1:1">
      <c r="A668" s="20"/>
    </row>
    <row r="669" spans="1:1">
      <c r="A669" s="20"/>
    </row>
    <row r="670" spans="1:1">
      <c r="A670" s="20"/>
    </row>
    <row r="671" spans="1:1">
      <c r="A671" s="20"/>
    </row>
    <row r="672" spans="1:1">
      <c r="A672" s="20"/>
    </row>
    <row r="673" spans="1:1">
      <c r="A673" s="20"/>
    </row>
    <row r="674" spans="1:1">
      <c r="A674" s="20"/>
    </row>
    <row r="675" spans="1:1">
      <c r="A675" s="20"/>
    </row>
    <row r="676" spans="1:1">
      <c r="A676" s="20"/>
    </row>
    <row r="677" spans="1:1">
      <c r="A677" s="20"/>
    </row>
    <row r="678" spans="1:1">
      <c r="A678" s="20"/>
    </row>
    <row r="679" spans="1:1">
      <c r="A679" s="20"/>
    </row>
    <row r="680" spans="1:1">
      <c r="A680" s="20"/>
    </row>
    <row r="681" spans="1:1">
      <c r="A681" s="20"/>
    </row>
    <row r="682" spans="1:1">
      <c r="A682" s="20"/>
    </row>
    <row r="683" spans="1:1">
      <c r="A683" s="20"/>
    </row>
    <row r="684" spans="1:1">
      <c r="A684" s="20"/>
    </row>
    <row r="685" spans="1:1">
      <c r="A685" s="20"/>
    </row>
    <row r="686" spans="1:1">
      <c r="A686" s="20"/>
    </row>
    <row r="687" spans="1:1">
      <c r="A687" s="20"/>
    </row>
    <row r="688" spans="1:1">
      <c r="A688" s="20"/>
    </row>
    <row r="689" spans="1:1">
      <c r="A689" s="20"/>
    </row>
    <row r="690" spans="1:1">
      <c r="A690" s="20"/>
    </row>
    <row r="691" spans="1:1">
      <c r="A691" s="20"/>
    </row>
    <row r="692" spans="1:1">
      <c r="A692" s="20"/>
    </row>
    <row r="693" spans="1:1">
      <c r="A693" s="20"/>
    </row>
    <row r="694" spans="1:1">
      <c r="A694" s="20"/>
    </row>
    <row r="695" spans="1:1">
      <c r="A695" s="20"/>
    </row>
    <row r="696" spans="1:1">
      <c r="A696" s="20"/>
    </row>
    <row r="697" spans="1:1">
      <c r="A697" s="20"/>
    </row>
    <row r="698" spans="1:1">
      <c r="A698" s="20"/>
    </row>
    <row r="699" spans="1:1">
      <c r="A699" s="20"/>
    </row>
    <row r="700" spans="1:1">
      <c r="A700" s="20"/>
    </row>
    <row r="701" spans="1:1">
      <c r="A701" s="20"/>
    </row>
    <row r="702" spans="1:1">
      <c r="A702" s="20"/>
    </row>
    <row r="703" spans="1:1">
      <c r="A703" s="20"/>
    </row>
    <row r="704" spans="1:1">
      <c r="A704" s="20"/>
    </row>
    <row r="705" spans="1:1">
      <c r="A705" s="20"/>
    </row>
    <row r="706" spans="1:1">
      <c r="A706" s="20"/>
    </row>
    <row r="707" spans="1:1">
      <c r="A707" s="20"/>
    </row>
    <row r="708" spans="1:1">
      <c r="A708" s="20"/>
    </row>
    <row r="709" spans="1:1">
      <c r="A709" s="20"/>
    </row>
    <row r="710" spans="1:1">
      <c r="A710" s="20"/>
    </row>
    <row r="711" spans="1:1">
      <c r="A711" s="20"/>
    </row>
    <row r="712" spans="1:1">
      <c r="A712" s="20"/>
    </row>
    <row r="713" spans="1:1">
      <c r="A713" s="20"/>
    </row>
    <row r="714" spans="1:1">
      <c r="A714" s="20"/>
    </row>
    <row r="715" spans="1:1">
      <c r="A715" s="20"/>
    </row>
    <row r="716" spans="1:1">
      <c r="A716" s="20"/>
    </row>
    <row r="717" spans="1:1">
      <c r="A717" s="20"/>
    </row>
    <row r="718" spans="1:1">
      <c r="A718" s="20"/>
    </row>
    <row r="719" spans="1:1">
      <c r="A719" s="20"/>
    </row>
    <row r="720" spans="1:1">
      <c r="A720" s="20"/>
    </row>
    <row r="721" spans="1:1">
      <c r="A721" s="20"/>
    </row>
    <row r="722" spans="1:1">
      <c r="A722" s="20"/>
    </row>
    <row r="723" spans="1:1">
      <c r="A723" s="20"/>
    </row>
    <row r="724" spans="1:1">
      <c r="A724" s="20"/>
    </row>
    <row r="725" spans="1:1">
      <c r="A725" s="20"/>
    </row>
    <row r="726" spans="1:1">
      <c r="A726" s="20"/>
    </row>
    <row r="727" spans="1:1">
      <c r="A727" s="20"/>
    </row>
    <row r="728" spans="1:1">
      <c r="A728" s="20"/>
    </row>
    <row r="729" spans="1:1">
      <c r="A729" s="20"/>
    </row>
    <row r="730" spans="1:1">
      <c r="A730" s="20"/>
    </row>
    <row r="731" spans="1:1">
      <c r="A731" s="20"/>
    </row>
    <row r="732" spans="1:1">
      <c r="A732" s="20"/>
    </row>
    <row r="733" spans="1:1">
      <c r="A733" s="20"/>
    </row>
    <row r="734" spans="1:1">
      <c r="A734" s="20"/>
    </row>
    <row r="735" spans="1:1">
      <c r="A735" s="20"/>
    </row>
    <row r="736" spans="1:1">
      <c r="A736" s="20"/>
    </row>
    <row r="737" spans="1:1">
      <c r="A737" s="20"/>
    </row>
    <row r="738" spans="1:1">
      <c r="A738" s="20"/>
    </row>
    <row r="739" spans="1:1">
      <c r="A739" s="20"/>
    </row>
    <row r="740" spans="1:1">
      <c r="A740" s="20"/>
    </row>
    <row r="741" spans="1:1">
      <c r="A741" s="20"/>
    </row>
    <row r="742" spans="1:1">
      <c r="A742" s="20"/>
    </row>
    <row r="743" spans="1:1">
      <c r="A743" s="20"/>
    </row>
    <row r="744" spans="1:1">
      <c r="A744" s="20"/>
    </row>
    <row r="745" spans="1:1">
      <c r="A745" s="20"/>
    </row>
    <row r="746" spans="1:1">
      <c r="A746" s="20"/>
    </row>
    <row r="747" spans="1:1">
      <c r="A747" s="20"/>
    </row>
    <row r="748" spans="1:1">
      <c r="A748" s="20"/>
    </row>
    <row r="749" spans="1:1">
      <c r="A749" s="20"/>
    </row>
    <row r="750" spans="1:1">
      <c r="A750" s="20"/>
    </row>
    <row r="751" spans="1:1">
      <c r="A751" s="20"/>
    </row>
    <row r="752" spans="1:1">
      <c r="A752" s="20"/>
    </row>
    <row r="753" spans="1:1">
      <c r="A753" s="20"/>
    </row>
    <row r="754" spans="1:1">
      <c r="A754" s="20"/>
    </row>
    <row r="755" spans="1:1">
      <c r="A755" s="20"/>
    </row>
    <row r="756" spans="1:1">
      <c r="A756" s="20"/>
    </row>
    <row r="757" spans="1:1">
      <c r="A757" s="20"/>
    </row>
    <row r="758" spans="1:1">
      <c r="A758" s="20"/>
    </row>
    <row r="759" spans="1:1">
      <c r="A759" s="20"/>
    </row>
    <row r="760" spans="1:1">
      <c r="A760" s="20"/>
    </row>
    <row r="761" spans="1:1">
      <c r="A761" s="20"/>
    </row>
    <row r="762" spans="1:1">
      <c r="A762" s="20"/>
    </row>
    <row r="763" spans="1:1">
      <c r="A763" s="20"/>
    </row>
    <row r="764" spans="1:1">
      <c r="A764" s="20"/>
    </row>
    <row r="765" spans="1:1">
      <c r="A765" s="20"/>
    </row>
    <row r="766" spans="1:1">
      <c r="A766" s="20"/>
    </row>
    <row r="767" spans="1:1">
      <c r="A767" s="20"/>
    </row>
    <row r="768" spans="1:1">
      <c r="A768" s="20"/>
    </row>
    <row r="769" spans="1:1">
      <c r="A769" s="20"/>
    </row>
    <row r="770" spans="1:1">
      <c r="A770" s="20"/>
    </row>
    <row r="771" spans="1:1">
      <c r="A771" s="20"/>
    </row>
    <row r="772" spans="1:1">
      <c r="A772" s="20"/>
    </row>
    <row r="773" spans="1:1">
      <c r="A773" s="20"/>
    </row>
    <row r="774" spans="1:1">
      <c r="A774" s="20"/>
    </row>
    <row r="775" spans="1:1">
      <c r="A775" s="20"/>
    </row>
    <row r="776" spans="1:1">
      <c r="A776" s="20"/>
    </row>
    <row r="777" spans="1:1">
      <c r="A777" s="20"/>
    </row>
    <row r="778" spans="1:1">
      <c r="A778" s="20"/>
    </row>
    <row r="779" spans="1:1">
      <c r="A779" s="20"/>
    </row>
    <row r="780" spans="1:1">
      <c r="A780" s="20"/>
    </row>
    <row r="781" spans="1:1">
      <c r="A781" s="20"/>
    </row>
    <row r="782" spans="1:1">
      <c r="A782" s="20"/>
    </row>
    <row r="783" spans="1:1">
      <c r="A783" s="20"/>
    </row>
    <row r="784" spans="1:1">
      <c r="A784" s="20"/>
    </row>
    <row r="785" spans="1:1">
      <c r="A785" s="20"/>
    </row>
    <row r="786" spans="1:1">
      <c r="A786" s="20"/>
    </row>
    <row r="787" spans="1:1">
      <c r="A787" s="20"/>
    </row>
    <row r="788" spans="1:1">
      <c r="A788" s="20"/>
    </row>
    <row r="789" spans="1:1">
      <c r="A789" s="20"/>
    </row>
    <row r="790" spans="1:1">
      <c r="A790" s="20"/>
    </row>
    <row r="791" spans="1:1">
      <c r="A791" s="20"/>
    </row>
    <row r="792" spans="1:1">
      <c r="A792" s="20"/>
    </row>
    <row r="793" spans="1:1">
      <c r="A793" s="20"/>
    </row>
    <row r="794" spans="1:1">
      <c r="A794" s="20"/>
    </row>
    <row r="795" spans="1:1">
      <c r="A795" s="20"/>
    </row>
    <row r="796" spans="1:1">
      <c r="A796" s="20"/>
    </row>
    <row r="797" spans="1:1">
      <c r="A797" s="20"/>
    </row>
    <row r="798" spans="1:1">
      <c r="A798" s="20"/>
    </row>
    <row r="799" spans="1:1">
      <c r="A799" s="20"/>
    </row>
    <row r="800" spans="1:1">
      <c r="A800" s="20"/>
    </row>
    <row r="801" spans="1:1">
      <c r="A801" s="20"/>
    </row>
    <row r="802" spans="1:1">
      <c r="A802" s="20"/>
    </row>
    <row r="803" spans="1:1">
      <c r="A803" s="20"/>
    </row>
    <row r="804" spans="1:1">
      <c r="A804" s="20"/>
    </row>
    <row r="805" spans="1:1">
      <c r="A805" s="20"/>
    </row>
    <row r="806" spans="1:1">
      <c r="A806" s="20"/>
    </row>
    <row r="807" spans="1:1">
      <c r="A807" s="20"/>
    </row>
    <row r="808" spans="1:1">
      <c r="A808" s="20"/>
    </row>
    <row r="809" spans="1:1">
      <c r="A809" s="20"/>
    </row>
    <row r="810" spans="1:1">
      <c r="A810" s="20"/>
    </row>
    <row r="811" spans="1:1">
      <c r="A811" s="20"/>
    </row>
    <row r="812" spans="1:1">
      <c r="A812" s="20"/>
    </row>
    <row r="813" spans="1:1">
      <c r="A813" s="20"/>
    </row>
    <row r="814" spans="1:1">
      <c r="A814" s="20"/>
    </row>
    <row r="815" spans="1:1">
      <c r="A815" s="20"/>
    </row>
    <row r="816" spans="1:1">
      <c r="A816" s="20"/>
    </row>
    <row r="817" spans="1:1">
      <c r="A817" s="20"/>
    </row>
    <row r="818" spans="1:1">
      <c r="A818" s="20"/>
    </row>
    <row r="819" spans="1:1">
      <c r="A819" s="20"/>
    </row>
    <row r="820" spans="1:1">
      <c r="A820" s="20"/>
    </row>
    <row r="821" spans="1:1">
      <c r="A821" s="20"/>
    </row>
    <row r="822" spans="1:1">
      <c r="A822" s="20"/>
    </row>
    <row r="823" spans="1:1">
      <c r="A823" s="20"/>
    </row>
    <row r="824" spans="1:1">
      <c r="A824" s="20"/>
    </row>
    <row r="825" spans="1:1">
      <c r="A825" s="20"/>
    </row>
    <row r="826" spans="1:1">
      <c r="A826" s="20"/>
    </row>
    <row r="827" spans="1:1">
      <c r="A827" s="20"/>
    </row>
    <row r="828" spans="1:1">
      <c r="A828" s="20"/>
    </row>
    <row r="829" spans="1:1">
      <c r="A829" s="20"/>
    </row>
    <row r="830" spans="1:1">
      <c r="A830" s="20"/>
    </row>
    <row r="831" spans="1:1">
      <c r="A831" s="20"/>
    </row>
    <row r="832" spans="1:1">
      <c r="A832" s="20"/>
    </row>
    <row r="833" spans="1:1">
      <c r="A833" s="20"/>
    </row>
    <row r="834" spans="1:1">
      <c r="A834" s="20"/>
    </row>
    <row r="835" spans="1:1">
      <c r="A835" s="20"/>
    </row>
    <row r="836" spans="1:1">
      <c r="A836" s="20"/>
    </row>
    <row r="837" spans="1:1">
      <c r="A837" s="20"/>
    </row>
    <row r="838" spans="1:1">
      <c r="A838" s="20"/>
    </row>
    <row r="839" spans="1:1">
      <c r="A839" s="20"/>
    </row>
    <row r="840" spans="1:1">
      <c r="A840" s="20"/>
    </row>
    <row r="841" spans="1:1">
      <c r="A841" s="20"/>
    </row>
    <row r="842" spans="1:1">
      <c r="A842" s="20"/>
    </row>
    <row r="843" spans="1:1">
      <c r="A843" s="20"/>
    </row>
    <row r="844" spans="1:1">
      <c r="A844" s="20"/>
    </row>
    <row r="845" spans="1:1">
      <c r="A845" s="20"/>
    </row>
    <row r="846" spans="1:1">
      <c r="A846" s="20"/>
    </row>
    <row r="847" spans="1:1">
      <c r="A847" s="20"/>
    </row>
    <row r="848" spans="1:1">
      <c r="A848" s="20"/>
    </row>
    <row r="849" spans="1:1">
      <c r="A849" s="20"/>
    </row>
    <row r="850" spans="1:1">
      <c r="A850" s="20"/>
    </row>
    <row r="851" spans="1:1">
      <c r="A851" s="20"/>
    </row>
    <row r="852" spans="1:1">
      <c r="A852" s="20"/>
    </row>
    <row r="853" spans="1:1">
      <c r="A853" s="20"/>
    </row>
    <row r="854" spans="1:1">
      <c r="A854" s="20"/>
    </row>
    <row r="855" spans="1:1">
      <c r="A855" s="20"/>
    </row>
    <row r="856" spans="1:1">
      <c r="A856" s="20"/>
    </row>
    <row r="857" spans="1:1">
      <c r="A857" s="20"/>
    </row>
    <row r="858" spans="1:1">
      <c r="A858" s="20"/>
    </row>
    <row r="859" spans="1:1">
      <c r="A859" s="20"/>
    </row>
    <row r="860" spans="1:1">
      <c r="A860" s="20"/>
    </row>
    <row r="861" spans="1:1">
      <c r="A861" s="20"/>
    </row>
    <row r="862" spans="1:1">
      <c r="A862" s="20"/>
    </row>
    <row r="863" spans="1:1">
      <c r="A863" s="20"/>
    </row>
    <row r="864" spans="1:1">
      <c r="A864" s="20"/>
    </row>
    <row r="865" spans="1:1">
      <c r="A865" s="20"/>
    </row>
    <row r="866" spans="1:1">
      <c r="A866" s="20"/>
    </row>
    <row r="867" spans="1:1">
      <c r="A867" s="20"/>
    </row>
    <row r="868" spans="1:1">
      <c r="A868" s="20"/>
    </row>
    <row r="869" spans="1:1">
      <c r="A869" s="20"/>
    </row>
    <row r="870" spans="1:1">
      <c r="A870" s="20"/>
    </row>
    <row r="871" spans="1:1">
      <c r="A871" s="20"/>
    </row>
    <row r="872" spans="1:1">
      <c r="A872" s="20"/>
    </row>
    <row r="873" spans="1:1">
      <c r="A873" s="20"/>
    </row>
    <row r="874" spans="1:1">
      <c r="A874" s="20"/>
    </row>
    <row r="875" spans="1:1">
      <c r="A875" s="20"/>
    </row>
    <row r="876" spans="1:1">
      <c r="A876" s="20"/>
    </row>
    <row r="877" spans="1:1">
      <c r="A877" s="20"/>
    </row>
    <row r="878" spans="1:1">
      <c r="A878" s="20"/>
    </row>
    <row r="879" spans="1:1">
      <c r="A879" s="20"/>
    </row>
    <row r="880" spans="1:1">
      <c r="A880" s="20"/>
    </row>
    <row r="881" spans="1:1">
      <c r="A881" s="20"/>
    </row>
    <row r="882" spans="1:1">
      <c r="A882" s="20"/>
    </row>
    <row r="883" spans="1:1">
      <c r="A883" s="20"/>
    </row>
    <row r="884" spans="1:1">
      <c r="A884" s="20"/>
    </row>
    <row r="885" spans="1:1">
      <c r="A885" s="20"/>
    </row>
    <row r="886" spans="1:1">
      <c r="A886" s="20"/>
    </row>
    <row r="887" spans="1:1">
      <c r="A887" s="20"/>
    </row>
    <row r="888" spans="1:1">
      <c r="A888" s="20"/>
    </row>
    <row r="889" spans="1:1">
      <c r="A889" s="20"/>
    </row>
    <row r="890" spans="1:1">
      <c r="A890" s="20"/>
    </row>
    <row r="891" spans="1:1">
      <c r="A891" s="20"/>
    </row>
    <row r="892" spans="1:1">
      <c r="A892" s="20"/>
    </row>
    <row r="893" spans="1:1">
      <c r="A893" s="20"/>
    </row>
    <row r="894" spans="1:1">
      <c r="A894" s="20"/>
    </row>
    <row r="895" spans="1:1">
      <c r="A895" s="20"/>
    </row>
    <row r="896" spans="1:1">
      <c r="A896" s="20"/>
    </row>
    <row r="897" spans="1:1">
      <c r="A897" s="20"/>
    </row>
    <row r="898" spans="1:1">
      <c r="A898" s="20"/>
    </row>
    <row r="899" spans="1:1">
      <c r="A899" s="20"/>
    </row>
    <row r="900" spans="1:1">
      <c r="A900" s="20"/>
    </row>
    <row r="901" spans="1:1">
      <c r="A901" s="20"/>
    </row>
    <row r="902" spans="1:1">
      <c r="A902" s="20"/>
    </row>
    <row r="903" spans="1:1">
      <c r="A903" s="20"/>
    </row>
    <row r="904" spans="1:1">
      <c r="A904" s="20"/>
    </row>
    <row r="905" spans="1:1">
      <c r="A905" s="20"/>
    </row>
    <row r="906" spans="1:1">
      <c r="A906" s="20"/>
    </row>
    <row r="907" spans="1:1">
      <c r="A907" s="20"/>
    </row>
    <row r="908" spans="1:1">
      <c r="A908" s="20"/>
    </row>
    <row r="909" spans="1:1">
      <c r="A909" s="20"/>
    </row>
    <row r="910" spans="1:1">
      <c r="A910" s="20"/>
    </row>
    <row r="911" spans="1:1">
      <c r="A911" s="20"/>
    </row>
    <row r="912" spans="1:1">
      <c r="A912" s="20"/>
    </row>
    <row r="913" spans="1:1">
      <c r="A913" s="20"/>
    </row>
    <row r="914" spans="1:1">
      <c r="A914" s="20"/>
    </row>
    <row r="915" spans="1:1">
      <c r="A915" s="20"/>
    </row>
    <row r="916" spans="1:1">
      <c r="A916" s="20"/>
    </row>
    <row r="917" spans="1:1">
      <c r="A917" s="20"/>
    </row>
    <row r="918" spans="1:1">
      <c r="A918" s="20"/>
    </row>
    <row r="919" spans="1:1">
      <c r="A919" s="20"/>
    </row>
    <row r="920" spans="1:1">
      <c r="A920" s="20"/>
    </row>
    <row r="921" spans="1:1">
      <c r="A921" s="20"/>
    </row>
    <row r="922" spans="1:1">
      <c r="A922" s="20"/>
    </row>
    <row r="923" spans="1:1">
      <c r="A923" s="20"/>
    </row>
    <row r="924" spans="1:1">
      <c r="A924" s="20"/>
    </row>
    <row r="925" spans="1:1">
      <c r="A925" s="20"/>
    </row>
    <row r="926" spans="1:1">
      <c r="A926" s="20"/>
    </row>
    <row r="927" spans="1:1">
      <c r="A927" s="20"/>
    </row>
    <row r="928" spans="1:1">
      <c r="A928" s="20"/>
    </row>
    <row r="929" spans="1:1">
      <c r="A929" s="20"/>
    </row>
    <row r="930" spans="1:1">
      <c r="A930" s="20"/>
    </row>
    <row r="931" spans="1:1">
      <c r="A931" s="20"/>
    </row>
    <row r="932" spans="1:1">
      <c r="A932" s="20"/>
    </row>
    <row r="933" spans="1:1">
      <c r="A933" s="20"/>
    </row>
    <row r="934" spans="1:1">
      <c r="A934" s="20"/>
    </row>
    <row r="935" spans="1:1">
      <c r="A935" s="20"/>
    </row>
    <row r="936" spans="1:1">
      <c r="A936" s="20"/>
    </row>
    <row r="937" spans="1:1">
      <c r="A937" s="20"/>
    </row>
    <row r="938" spans="1:1">
      <c r="A938" s="20"/>
    </row>
    <row r="939" spans="1:1">
      <c r="A939" s="20"/>
    </row>
    <row r="940" spans="1:1">
      <c r="A940" s="20"/>
    </row>
    <row r="941" spans="1:1">
      <c r="A941" s="20"/>
    </row>
    <row r="942" spans="1:1">
      <c r="A942" s="20"/>
    </row>
    <row r="943" spans="1:1">
      <c r="A943" s="20"/>
    </row>
    <row r="944" spans="1:1">
      <c r="A944" s="20"/>
    </row>
    <row r="945" spans="1:1">
      <c r="A945" s="20"/>
    </row>
    <row r="946" spans="1:1">
      <c r="A946" s="20"/>
    </row>
    <row r="947" spans="1:1">
      <c r="A947" s="20"/>
    </row>
    <row r="948" spans="1:1">
      <c r="A948" s="20"/>
    </row>
    <row r="949" spans="1:1">
      <c r="A949" s="20"/>
    </row>
    <row r="950" spans="1:1">
      <c r="A950" s="20"/>
    </row>
    <row r="951" spans="1:1">
      <c r="A951" s="20"/>
    </row>
    <row r="952" spans="1:1">
      <c r="A952" s="20"/>
    </row>
    <row r="953" spans="1:1">
      <c r="A953" s="20"/>
    </row>
    <row r="954" spans="1:1">
      <c r="A954" s="20"/>
    </row>
    <row r="955" spans="1:1">
      <c r="A955" s="20"/>
    </row>
    <row r="956" spans="1:1">
      <c r="A956" s="20"/>
    </row>
    <row r="957" spans="1:1">
      <c r="A957" s="20"/>
    </row>
    <row r="958" spans="1:1">
      <c r="A958" s="20"/>
    </row>
    <row r="959" spans="1:1">
      <c r="A959" s="20"/>
    </row>
    <row r="960" spans="1:1">
      <c r="A960" s="20"/>
    </row>
    <row r="961" spans="1:1">
      <c r="A961" s="20"/>
    </row>
    <row r="962" spans="1:1">
      <c r="A962" s="20"/>
    </row>
    <row r="963" spans="1:1">
      <c r="A963" s="20"/>
    </row>
    <row r="964" spans="1:1">
      <c r="A964" s="20"/>
    </row>
    <row r="965" spans="1:1">
      <c r="A965" s="20"/>
    </row>
    <row r="966" spans="1:1">
      <c r="A966" s="20"/>
    </row>
    <row r="967" spans="1:1">
      <c r="A967" s="20"/>
    </row>
    <row r="968" spans="1:1">
      <c r="A968" s="20"/>
    </row>
    <row r="969" spans="1:1">
      <c r="A969" s="20"/>
    </row>
    <row r="970" spans="1:1">
      <c r="A970" s="20"/>
    </row>
    <row r="971" spans="1:1">
      <c r="A971" s="20"/>
    </row>
    <row r="972" spans="1:1">
      <c r="A972" s="20"/>
    </row>
    <row r="973" spans="1:1">
      <c r="A973" s="20"/>
    </row>
    <row r="974" spans="1:1">
      <c r="A974" s="20"/>
    </row>
    <row r="975" spans="1:1">
      <c r="A975" s="20"/>
    </row>
    <row r="976" spans="1:1">
      <c r="A976" s="20"/>
    </row>
    <row r="977" spans="1:1">
      <c r="A977" s="20"/>
    </row>
    <row r="978" spans="1:1">
      <c r="A978" s="20"/>
    </row>
    <row r="979" spans="1:1">
      <c r="A979" s="20"/>
    </row>
    <row r="980" spans="1:1">
      <c r="A980" s="20"/>
    </row>
    <row r="981" spans="1:1">
      <c r="A981" s="20"/>
    </row>
    <row r="982" spans="1:1">
      <c r="A982" s="20"/>
    </row>
    <row r="983" spans="1:1">
      <c r="A983" s="20"/>
    </row>
    <row r="984" spans="1:1">
      <c r="A984" s="20"/>
    </row>
    <row r="985" spans="1:1">
      <c r="A985" s="20"/>
    </row>
    <row r="986" spans="1:1">
      <c r="A986" s="20"/>
    </row>
    <row r="987" spans="1:1">
      <c r="A987" s="20"/>
    </row>
    <row r="988" spans="1:1">
      <c r="A988" s="20"/>
    </row>
    <row r="989" spans="1:1">
      <c r="A989" s="20"/>
    </row>
    <row r="990" spans="1:1">
      <c r="A990" s="20"/>
    </row>
    <row r="991" spans="1:1">
      <c r="A991" s="20"/>
    </row>
    <row r="992" spans="1:1">
      <c r="A992" s="20"/>
    </row>
    <row r="993" spans="1:1">
      <c r="A993" s="20"/>
    </row>
    <row r="994" spans="1:1">
      <c r="A994" s="20"/>
    </row>
    <row r="995" spans="1:1">
      <c r="A995" s="20"/>
    </row>
    <row r="996" spans="1:1">
      <c r="A996" s="20"/>
    </row>
    <row r="997" spans="1:1">
      <c r="A997" s="20"/>
    </row>
    <row r="998" spans="1:1">
      <c r="A998" s="20"/>
    </row>
    <row r="999" spans="1:1">
      <c r="A999" s="20"/>
    </row>
    <row r="1000" spans="1:1">
      <c r="A1000" s="20"/>
    </row>
    <row r="1001" spans="1:1">
      <c r="A1001" s="20"/>
    </row>
    <row r="1002" spans="1:1">
      <c r="A1002" s="20"/>
    </row>
    <row r="1003" spans="1:1">
      <c r="A1003" s="20"/>
    </row>
    <row r="1004" spans="1:1">
      <c r="A1004" s="20"/>
    </row>
    <row r="1005" spans="1:1">
      <c r="A1005" s="20"/>
    </row>
    <row r="1006" spans="1:1">
      <c r="A1006" s="20"/>
    </row>
    <row r="1007" spans="1:1">
      <c r="A1007" s="20"/>
    </row>
    <row r="1008" spans="1:1">
      <c r="A1008" s="20"/>
    </row>
    <row r="1009" spans="1:1">
      <c r="A1009" s="20"/>
    </row>
    <row r="1010" spans="1:1">
      <c r="A1010" s="20"/>
    </row>
    <row r="1011" spans="1:1">
      <c r="A1011" s="20"/>
    </row>
    <row r="1012" spans="1:1">
      <c r="A1012" s="20"/>
    </row>
    <row r="1013" spans="1:1">
      <c r="A1013" s="20"/>
    </row>
    <row r="1014" spans="1:1">
      <c r="A1014" s="20"/>
    </row>
    <row r="1015" spans="1:1">
      <c r="A1015" s="20"/>
    </row>
    <row r="1016" spans="1:1">
      <c r="A1016" s="20"/>
    </row>
    <row r="1017" spans="1:1">
      <c r="A1017" s="20"/>
    </row>
    <row r="1018" spans="1:1">
      <c r="A1018" s="20"/>
    </row>
    <row r="1019" spans="1:1">
      <c r="A1019" s="20"/>
    </row>
    <row r="1020" spans="1:1">
      <c r="A1020" s="20"/>
    </row>
    <row r="1021" spans="1:1">
      <c r="A1021" s="20"/>
    </row>
    <row r="1022" spans="1:1">
      <c r="A1022" s="20"/>
    </row>
    <row r="1023" spans="1:1">
      <c r="A1023" s="20"/>
    </row>
    <row r="1024" spans="1:1">
      <c r="A1024" s="20"/>
    </row>
    <row r="1025" spans="1:1">
      <c r="A1025" s="20"/>
    </row>
    <row r="1026" spans="1:1">
      <c r="A1026" s="20"/>
    </row>
    <row r="1027" spans="1:1">
      <c r="A1027" s="20"/>
    </row>
    <row r="1028" spans="1:1">
      <c r="A1028" s="20"/>
    </row>
    <row r="1029" spans="1:1">
      <c r="A1029" s="20"/>
    </row>
    <row r="1030" spans="1:1">
      <c r="A1030" s="20"/>
    </row>
    <row r="1031" spans="1:1">
      <c r="A1031" s="20"/>
    </row>
    <row r="1032" spans="1:1">
      <c r="A1032" s="20"/>
    </row>
    <row r="1033" spans="1:1">
      <c r="A1033" s="20"/>
    </row>
    <row r="1034" spans="1:1">
      <c r="A1034" s="20"/>
    </row>
    <row r="1035" spans="1:1">
      <c r="A1035" s="20"/>
    </row>
    <row r="1036" spans="1:1">
      <c r="A1036" s="20"/>
    </row>
    <row r="1037" spans="1:1">
      <c r="A1037" s="20"/>
    </row>
    <row r="1038" spans="1:1">
      <c r="A1038" s="20"/>
    </row>
    <row r="1039" spans="1:1">
      <c r="A1039" s="20"/>
    </row>
    <row r="1040" spans="1:1">
      <c r="A1040" s="20"/>
    </row>
    <row r="1041" spans="1:1">
      <c r="A1041" s="20"/>
    </row>
    <row r="1042" spans="1:1">
      <c r="A1042" s="20"/>
    </row>
    <row r="1043" spans="1:1">
      <c r="A1043" s="20"/>
    </row>
    <row r="1044" spans="1:1">
      <c r="A1044" s="20"/>
    </row>
    <row r="1045" spans="1:1">
      <c r="A1045" s="20"/>
    </row>
    <row r="1046" spans="1:1">
      <c r="A1046" s="20"/>
    </row>
    <row r="1047" spans="1:1">
      <c r="A1047" s="20"/>
    </row>
    <row r="1048" spans="1:1">
      <c r="A1048" s="20"/>
    </row>
    <row r="1049" spans="1:1">
      <c r="A1049" s="20"/>
    </row>
    <row r="1050" spans="1:1">
      <c r="A1050" s="20"/>
    </row>
    <row r="1051" spans="1:1">
      <c r="A1051" s="20"/>
    </row>
    <row r="1052" spans="1:1">
      <c r="A1052" s="20"/>
    </row>
    <row r="1053" spans="1:1">
      <c r="A1053" s="20"/>
    </row>
    <row r="1054" spans="1:1">
      <c r="A1054" s="20"/>
    </row>
    <row r="1055" spans="1:1">
      <c r="A1055" s="20"/>
    </row>
    <row r="1056" spans="1:1">
      <c r="A1056" s="20"/>
    </row>
    <row r="1057" spans="1:1">
      <c r="A1057" s="20"/>
    </row>
    <row r="1058" spans="1:1">
      <c r="A1058" s="20"/>
    </row>
    <row r="1059" spans="1:1">
      <c r="A1059" s="20"/>
    </row>
    <row r="1060" spans="1:1">
      <c r="A1060" s="20"/>
    </row>
    <row r="1061" spans="1:1">
      <c r="A1061" s="20"/>
    </row>
    <row r="1062" spans="1:1">
      <c r="A1062" s="20"/>
    </row>
    <row r="1063" spans="1:1">
      <c r="A1063" s="20"/>
    </row>
    <row r="1064" spans="1:1">
      <c r="A1064" s="20"/>
    </row>
    <row r="1065" spans="1:1">
      <c r="A1065" s="20"/>
    </row>
    <row r="1066" spans="1:1">
      <c r="A1066" s="20"/>
    </row>
    <row r="1067" spans="1:1">
      <c r="A1067" s="20"/>
    </row>
    <row r="1068" spans="1:1">
      <c r="A1068" s="20"/>
    </row>
    <row r="1069" spans="1:1">
      <c r="A1069" s="20"/>
    </row>
    <row r="1070" spans="1:1">
      <c r="A1070" s="20"/>
    </row>
    <row r="1071" spans="1:1">
      <c r="A1071" s="20"/>
    </row>
    <row r="1072" spans="1:1">
      <c r="A1072" s="20"/>
    </row>
    <row r="1073" spans="1:1">
      <c r="A1073" s="20"/>
    </row>
    <row r="1074" spans="1:1">
      <c r="A1074" s="20"/>
    </row>
    <row r="1075" spans="1:1">
      <c r="A1075" s="20"/>
    </row>
    <row r="1076" spans="1:1">
      <c r="A1076" s="20"/>
    </row>
    <row r="1077" spans="1:1">
      <c r="A1077" s="20"/>
    </row>
    <row r="1078" spans="1:1">
      <c r="A1078" s="20"/>
    </row>
    <row r="1079" spans="1:1">
      <c r="A1079" s="20"/>
    </row>
    <row r="1080" spans="1:1">
      <c r="A1080" s="20"/>
    </row>
    <row r="1081" spans="1:1">
      <c r="A1081" s="20"/>
    </row>
    <row r="1082" spans="1:1">
      <c r="A1082" s="20"/>
    </row>
    <row r="1083" spans="1:1">
      <c r="A1083" s="20"/>
    </row>
    <row r="1084" spans="1:1">
      <c r="A1084" s="20"/>
    </row>
    <row r="1085" spans="1:1">
      <c r="A1085" s="20"/>
    </row>
    <row r="1086" spans="1:1">
      <c r="A1086" s="20"/>
    </row>
    <row r="1087" spans="1:1">
      <c r="A1087" s="20"/>
    </row>
    <row r="1088" spans="1:1">
      <c r="A1088" s="20"/>
    </row>
    <row r="1089" spans="1:1">
      <c r="A1089" s="20"/>
    </row>
    <row r="1090" spans="1:1">
      <c r="A1090" s="20"/>
    </row>
    <row r="1091" spans="1:1">
      <c r="A1091" s="20"/>
    </row>
    <row r="1092" spans="1:1">
      <c r="A1092" s="20"/>
    </row>
    <row r="1093" spans="1:1">
      <c r="A1093" s="20"/>
    </row>
    <row r="1094" spans="1:1">
      <c r="A1094" s="20"/>
    </row>
    <row r="1095" spans="1:1">
      <c r="A1095" s="20"/>
    </row>
    <row r="1096" spans="1:1">
      <c r="A1096" s="20"/>
    </row>
    <row r="1097" spans="1:1">
      <c r="A1097" s="20"/>
    </row>
    <row r="1098" spans="1:1">
      <c r="A1098" s="20"/>
    </row>
    <row r="1099" spans="1:1">
      <c r="A1099" s="20"/>
    </row>
    <row r="1100" spans="1:1">
      <c r="A1100" s="20"/>
    </row>
    <row r="1101" spans="1:1">
      <c r="A1101" s="20"/>
    </row>
    <row r="1102" spans="1:1">
      <c r="A1102" s="20"/>
    </row>
    <row r="1103" spans="1:1">
      <c r="A1103" s="20"/>
    </row>
    <row r="1104" spans="1:1">
      <c r="A1104" s="20"/>
    </row>
    <row r="1105" spans="1:1">
      <c r="A1105" s="20"/>
    </row>
    <row r="1106" spans="1:1">
      <c r="A1106" s="20"/>
    </row>
    <row r="1107" spans="1:1">
      <c r="A1107" s="20"/>
    </row>
    <row r="1108" spans="1:1">
      <c r="A1108" s="20"/>
    </row>
    <row r="1109" spans="1:1">
      <c r="A1109" s="20"/>
    </row>
    <row r="1110" spans="1:1">
      <c r="A1110" s="20"/>
    </row>
    <row r="1111" spans="1:1">
      <c r="A1111" s="20"/>
    </row>
    <row r="1112" spans="1:1">
      <c r="A1112" s="20"/>
    </row>
    <row r="1113" spans="1:1">
      <c r="A1113" s="20"/>
    </row>
    <row r="1114" spans="1:1">
      <c r="A1114" s="20"/>
    </row>
    <row r="1115" spans="1:1">
      <c r="A1115" s="20"/>
    </row>
    <row r="1116" spans="1:1">
      <c r="A1116" s="20"/>
    </row>
    <row r="1117" spans="1:1">
      <c r="A1117" s="20"/>
    </row>
    <row r="1118" spans="1:1">
      <c r="A1118" s="20"/>
    </row>
    <row r="1119" spans="1:1">
      <c r="A1119" s="20"/>
    </row>
    <row r="1120" spans="1:1">
      <c r="A1120" s="20"/>
    </row>
    <row r="1121" spans="1:1">
      <c r="A1121" s="20"/>
    </row>
    <row r="1122" spans="1:1">
      <c r="A1122" s="20"/>
    </row>
    <row r="1123" spans="1:1">
      <c r="A1123" s="20"/>
    </row>
    <row r="1124" spans="1:1">
      <c r="A1124" s="20"/>
    </row>
    <row r="1125" spans="1:1">
      <c r="A1125" s="20"/>
    </row>
    <row r="1126" spans="1:1">
      <c r="A1126" s="20"/>
    </row>
    <row r="1127" spans="1:1">
      <c r="A1127" s="20"/>
    </row>
    <row r="1128" spans="1:1">
      <c r="A1128" s="20"/>
    </row>
    <row r="1129" spans="1:1">
      <c r="A1129" s="20"/>
    </row>
    <row r="1130" spans="1:1">
      <c r="A1130" s="20"/>
    </row>
    <row r="1131" spans="1:1">
      <c r="A1131" s="20"/>
    </row>
    <row r="1132" spans="1:1">
      <c r="A1132" s="20"/>
    </row>
    <row r="1133" spans="1:1">
      <c r="A1133" s="20"/>
    </row>
    <row r="1134" spans="1:1">
      <c r="A1134" s="20"/>
    </row>
    <row r="1135" spans="1:1">
      <c r="A1135" s="20"/>
    </row>
    <row r="1136" spans="1:1">
      <c r="A1136" s="20"/>
    </row>
    <row r="1137" spans="1:1">
      <c r="A1137" s="20"/>
    </row>
    <row r="1138" spans="1:1">
      <c r="A1138" s="20"/>
    </row>
    <row r="1139" spans="1:1">
      <c r="A1139" s="20"/>
    </row>
    <row r="1140" spans="1:1">
      <c r="A1140" s="20"/>
    </row>
    <row r="1141" spans="1:1">
      <c r="A1141" s="20"/>
    </row>
    <row r="1142" spans="1:1">
      <c r="A1142" s="20"/>
    </row>
    <row r="1143" spans="1:1">
      <c r="A1143" s="20"/>
    </row>
    <row r="1144" spans="1:1">
      <c r="A1144" s="20"/>
    </row>
    <row r="1145" spans="1:1">
      <c r="A1145" s="20"/>
    </row>
    <row r="1146" spans="1:1">
      <c r="A1146" s="20"/>
    </row>
    <row r="1147" spans="1:1">
      <c r="A1147" s="20"/>
    </row>
    <row r="1148" spans="1:1">
      <c r="A1148" s="20"/>
    </row>
    <row r="1149" spans="1:1">
      <c r="A1149" s="20"/>
    </row>
    <row r="1150" spans="1:1">
      <c r="A1150" s="20"/>
    </row>
    <row r="1151" spans="1:1">
      <c r="A1151" s="20"/>
    </row>
    <row r="1152" spans="1:1">
      <c r="A1152" s="20"/>
    </row>
    <row r="1153" spans="1:1">
      <c r="A1153" s="20"/>
    </row>
    <row r="1154" spans="1:1">
      <c r="A1154" s="20"/>
    </row>
    <row r="1155" spans="1:1">
      <c r="A1155" s="20"/>
    </row>
    <row r="1156" spans="1:1">
      <c r="A1156" s="20"/>
    </row>
    <row r="1157" spans="1:1">
      <c r="A1157" s="20"/>
    </row>
    <row r="1158" spans="1:1">
      <c r="A1158" s="20"/>
    </row>
    <row r="1159" spans="1:1">
      <c r="A1159" s="20"/>
    </row>
    <row r="1160" spans="1:1">
      <c r="A1160" s="20"/>
    </row>
    <row r="1161" spans="1:1">
      <c r="A1161" s="20"/>
    </row>
    <row r="1162" spans="1:1">
      <c r="A1162" s="20"/>
    </row>
    <row r="1163" spans="1:1">
      <c r="A1163" s="20"/>
    </row>
    <row r="1164" spans="1:1">
      <c r="A1164" s="20"/>
    </row>
    <row r="1165" spans="1:1">
      <c r="A1165" s="20"/>
    </row>
    <row r="1166" spans="1:1">
      <c r="A1166" s="20"/>
    </row>
    <row r="1167" spans="1:1">
      <c r="A1167" s="20"/>
    </row>
    <row r="1168" spans="1:1">
      <c r="A1168" s="20"/>
    </row>
    <row r="1169" spans="1:1">
      <c r="A1169" s="20"/>
    </row>
    <row r="1170" spans="1:1">
      <c r="A1170" s="20"/>
    </row>
    <row r="1171" spans="1:1">
      <c r="A1171" s="20"/>
    </row>
    <row r="1172" spans="1:1">
      <c r="A1172" s="20"/>
    </row>
    <row r="1173" spans="1:1">
      <c r="A1173" s="20"/>
    </row>
    <row r="1174" spans="1:1">
      <c r="A1174" s="20"/>
    </row>
    <row r="1175" spans="1:1">
      <c r="A1175" s="20"/>
    </row>
    <row r="1176" spans="1:1">
      <c r="A1176" s="20"/>
    </row>
    <row r="1177" spans="1:1">
      <c r="A1177" s="20"/>
    </row>
    <row r="1178" spans="1:1">
      <c r="A1178" s="20"/>
    </row>
    <row r="1179" spans="1:1">
      <c r="A1179" s="20"/>
    </row>
    <row r="1180" spans="1:1">
      <c r="A1180" s="20"/>
    </row>
    <row r="1181" spans="1:1">
      <c r="A1181" s="20"/>
    </row>
    <row r="1182" spans="1:1">
      <c r="A1182" s="20"/>
    </row>
    <row r="1183" spans="1:1">
      <c r="A1183" s="20"/>
    </row>
    <row r="1184" spans="1:1">
      <c r="A1184" s="20"/>
    </row>
    <row r="1185" spans="1:1">
      <c r="A1185" s="20"/>
    </row>
    <row r="1186" spans="1:1">
      <c r="A1186" s="20"/>
    </row>
    <row r="1187" spans="1:1">
      <c r="A1187" s="20"/>
    </row>
    <row r="1188" spans="1:1">
      <c r="A1188" s="20"/>
    </row>
    <row r="1189" spans="1:1">
      <c r="A1189" s="20"/>
    </row>
    <row r="1190" spans="1:1">
      <c r="A1190" s="20"/>
    </row>
    <row r="1191" spans="1:1">
      <c r="A1191" s="20"/>
    </row>
    <row r="1192" spans="1:1">
      <c r="A1192" s="20"/>
    </row>
    <row r="1193" spans="1:1">
      <c r="A1193" s="20"/>
    </row>
    <row r="1194" spans="1:1">
      <c r="A1194" s="20"/>
    </row>
    <row r="1195" spans="1:1">
      <c r="A1195" s="20"/>
    </row>
    <row r="1196" spans="1:1">
      <c r="A1196" s="20"/>
    </row>
    <row r="1197" spans="1:1">
      <c r="A1197" s="20"/>
    </row>
    <row r="1198" spans="1:1">
      <c r="A1198" s="20"/>
    </row>
    <row r="1199" spans="1:1">
      <c r="A1199" s="20"/>
    </row>
    <row r="1200" spans="1:1">
      <c r="A1200" s="20"/>
    </row>
    <row r="1201" spans="1:1">
      <c r="A1201" s="20"/>
    </row>
    <row r="1202" spans="1:1">
      <c r="A1202" s="20"/>
    </row>
    <row r="1203" spans="1:1">
      <c r="A1203" s="20"/>
    </row>
    <row r="1204" spans="1:1">
      <c r="A1204" s="20"/>
    </row>
    <row r="1205" spans="1:1">
      <c r="A1205" s="20"/>
    </row>
    <row r="1206" spans="1:1">
      <c r="A1206" s="20"/>
    </row>
    <row r="1207" spans="1:1">
      <c r="A1207" s="20"/>
    </row>
    <row r="1208" spans="1:1">
      <c r="A1208" s="20"/>
    </row>
    <row r="1209" spans="1:1">
      <c r="A1209" s="20"/>
    </row>
    <row r="1210" spans="1:1">
      <c r="A1210" s="20"/>
    </row>
    <row r="1211" spans="1:1">
      <c r="A1211" s="20"/>
    </row>
    <row r="1212" spans="1:1">
      <c r="A1212" s="20"/>
    </row>
    <row r="1213" spans="1:1">
      <c r="A1213" s="20"/>
    </row>
    <row r="1214" spans="1:1">
      <c r="A1214" s="20"/>
    </row>
    <row r="1215" spans="1:1">
      <c r="A1215" s="20"/>
    </row>
    <row r="1216" spans="1:1">
      <c r="A1216" s="20"/>
    </row>
    <row r="1217" spans="1:1">
      <c r="A1217" s="20"/>
    </row>
    <row r="1218" spans="1:1">
      <c r="A1218" s="20"/>
    </row>
    <row r="1219" spans="1:1">
      <c r="A1219" s="20"/>
    </row>
    <row r="1220" spans="1:1">
      <c r="A1220" s="20"/>
    </row>
    <row r="1221" spans="1:1">
      <c r="A1221" s="20"/>
    </row>
    <row r="1222" spans="1:1">
      <c r="A1222" s="20"/>
    </row>
    <row r="1223" spans="1:1">
      <c r="A1223" s="20"/>
    </row>
    <row r="1224" spans="1:1">
      <c r="A1224" s="20"/>
    </row>
    <row r="1225" spans="1:1">
      <c r="A1225" s="20"/>
    </row>
    <row r="1226" spans="1:1">
      <c r="A1226" s="20"/>
    </row>
    <row r="1227" spans="1:1">
      <c r="A1227" s="20"/>
    </row>
    <row r="1228" spans="1:1">
      <c r="A1228" s="20"/>
    </row>
    <row r="1229" spans="1:1">
      <c r="A1229" s="20"/>
    </row>
    <row r="1230" spans="1:1">
      <c r="A1230" s="20"/>
    </row>
    <row r="1231" spans="1:1">
      <c r="A1231" s="20"/>
    </row>
    <row r="1232" spans="1:1">
      <c r="A1232" s="20"/>
    </row>
    <row r="1233" spans="1:1">
      <c r="A1233" s="20"/>
    </row>
    <row r="1234" spans="1:1">
      <c r="A1234" s="20"/>
    </row>
    <row r="1235" spans="1:1">
      <c r="A1235" s="20"/>
    </row>
    <row r="1236" spans="1:1">
      <c r="A1236" s="20"/>
    </row>
    <row r="1237" spans="1:1">
      <c r="A1237" s="20"/>
    </row>
    <row r="1238" spans="1:1">
      <c r="A1238" s="20"/>
    </row>
    <row r="1239" spans="1:1">
      <c r="A1239" s="20"/>
    </row>
    <row r="1240" spans="1:1">
      <c r="A1240" s="20"/>
    </row>
    <row r="1241" spans="1:1">
      <c r="A1241" s="20"/>
    </row>
    <row r="1242" spans="1:1">
      <c r="A1242" s="20"/>
    </row>
    <row r="1243" spans="1:1">
      <c r="A1243" s="20"/>
    </row>
    <row r="1244" spans="1:1">
      <c r="A1244" s="20"/>
    </row>
    <row r="1245" spans="1:1">
      <c r="A1245" s="20"/>
    </row>
    <row r="1246" spans="1:1">
      <c r="A1246" s="20"/>
    </row>
    <row r="1247" spans="1:1">
      <c r="A1247" s="20"/>
    </row>
    <row r="1248" spans="1:1">
      <c r="A1248" s="20"/>
    </row>
    <row r="1249" spans="1:1">
      <c r="A1249" s="20"/>
    </row>
    <row r="1250" spans="1:1">
      <c r="A1250" s="20"/>
    </row>
    <row r="1251" spans="1:1">
      <c r="A1251" s="20"/>
    </row>
    <row r="1252" spans="1:1">
      <c r="A1252" s="20"/>
    </row>
    <row r="1253" spans="1:1">
      <c r="A1253" s="20"/>
    </row>
    <row r="1254" spans="1:1">
      <c r="A1254" s="20"/>
    </row>
    <row r="1255" spans="1:1">
      <c r="A1255" s="20"/>
    </row>
    <row r="1256" spans="1:1">
      <c r="A1256" s="20"/>
    </row>
    <row r="1257" spans="1:1">
      <c r="A1257" s="20"/>
    </row>
    <row r="1258" spans="1:1">
      <c r="A1258" s="20"/>
    </row>
    <row r="1259" spans="1:1">
      <c r="A1259" s="20"/>
    </row>
    <row r="1260" spans="1:1">
      <c r="A1260" s="20"/>
    </row>
    <row r="1261" spans="1:1">
      <c r="A1261" s="20"/>
    </row>
    <row r="1262" spans="1:1">
      <c r="A1262" s="20"/>
    </row>
    <row r="1263" spans="1:1">
      <c r="A1263" s="20"/>
    </row>
    <row r="1264" spans="1:1">
      <c r="A1264" s="20"/>
    </row>
    <row r="1265" spans="1:1">
      <c r="A1265" s="20"/>
    </row>
    <row r="1266" spans="1:1">
      <c r="A1266" s="20"/>
    </row>
    <row r="1267" spans="1:1">
      <c r="A1267" s="20"/>
    </row>
    <row r="1268" spans="1:1">
      <c r="A1268" s="20"/>
    </row>
    <row r="1269" spans="1:1">
      <c r="A1269" s="20"/>
    </row>
    <row r="1270" spans="1:1">
      <c r="A1270" s="20"/>
    </row>
    <row r="1271" spans="1:1">
      <c r="A1271" s="20"/>
    </row>
    <row r="1272" spans="1:1">
      <c r="A1272" s="20"/>
    </row>
    <row r="1273" spans="1:1">
      <c r="A1273" s="20"/>
    </row>
    <row r="1274" spans="1:1">
      <c r="A1274" s="20"/>
    </row>
    <row r="1275" spans="1:1">
      <c r="A1275" s="20"/>
    </row>
    <row r="1276" spans="1:1">
      <c r="A1276" s="20"/>
    </row>
    <row r="1277" spans="1:1">
      <c r="A1277" s="20"/>
    </row>
    <row r="1278" spans="1:1">
      <c r="A1278" s="20"/>
    </row>
    <row r="1279" spans="1:1">
      <c r="A1279" s="20"/>
    </row>
    <row r="1280" spans="1:1">
      <c r="A1280" s="20"/>
    </row>
    <row r="1281" spans="1:1">
      <c r="A1281" s="20"/>
    </row>
    <row r="1282" spans="1:1">
      <c r="A1282" s="20"/>
    </row>
    <row r="1283" spans="1:1">
      <c r="A1283" s="20"/>
    </row>
    <row r="1284" spans="1:1">
      <c r="A1284" s="20"/>
    </row>
    <row r="1285" spans="1:1">
      <c r="A1285" s="20"/>
    </row>
    <row r="1286" spans="1:1">
      <c r="A1286" s="20"/>
    </row>
    <row r="1287" spans="1:1">
      <c r="A1287" s="20"/>
    </row>
    <row r="1288" spans="1:1">
      <c r="A1288" s="20"/>
    </row>
    <row r="1289" spans="1:1">
      <c r="A1289" s="20"/>
    </row>
    <row r="1290" spans="1:1">
      <c r="A1290" s="20"/>
    </row>
    <row r="1291" spans="1:1">
      <c r="A1291" s="20"/>
    </row>
    <row r="1292" spans="1:1">
      <c r="A1292" s="20"/>
    </row>
    <row r="1293" spans="1:1">
      <c r="A1293" s="20"/>
    </row>
    <row r="1294" spans="1:1">
      <c r="A1294" s="20"/>
    </row>
    <row r="1295" spans="1:1">
      <c r="A1295" s="20"/>
    </row>
    <row r="1296" spans="1:1">
      <c r="A1296" s="20"/>
    </row>
    <row r="1297" spans="1:1">
      <c r="A1297" s="20"/>
    </row>
    <row r="1298" spans="1:1">
      <c r="A1298" s="20"/>
    </row>
    <row r="1299" spans="1:1">
      <c r="A1299" s="20"/>
    </row>
    <row r="1300" spans="1:1">
      <c r="A1300" s="20"/>
    </row>
    <row r="1301" spans="1:1">
      <c r="A1301" s="20"/>
    </row>
    <row r="1302" spans="1:1">
      <c r="A1302" s="20"/>
    </row>
    <row r="1303" spans="1:1">
      <c r="A1303" s="20"/>
    </row>
    <row r="1304" spans="1:1">
      <c r="A1304" s="20"/>
    </row>
    <row r="1305" spans="1:1">
      <c r="A1305" s="20"/>
    </row>
    <row r="1306" spans="1:1">
      <c r="A1306" s="20"/>
    </row>
    <row r="1307" spans="1:1">
      <c r="A1307" s="20"/>
    </row>
    <row r="1308" spans="1:1">
      <c r="A1308" s="20"/>
    </row>
    <row r="1309" spans="1:1">
      <c r="A1309" s="20"/>
    </row>
    <row r="1310" spans="1:1">
      <c r="A1310" s="20"/>
    </row>
    <row r="1311" spans="1:1">
      <c r="A1311" s="20"/>
    </row>
    <row r="1312" spans="1:1">
      <c r="A1312" s="20"/>
    </row>
    <row r="1313" spans="1:1">
      <c r="A1313" s="20"/>
    </row>
    <row r="1314" spans="1:1">
      <c r="A1314" s="20"/>
    </row>
    <row r="1315" spans="1:1">
      <c r="A1315" s="20"/>
    </row>
    <row r="1316" spans="1:1">
      <c r="A1316" s="20"/>
    </row>
    <row r="1317" spans="1:1">
      <c r="A1317" s="20"/>
    </row>
    <row r="1318" spans="1:1">
      <c r="A1318" s="20"/>
    </row>
    <row r="1319" spans="1:1">
      <c r="A1319" s="20"/>
    </row>
    <row r="1320" spans="1:1">
      <c r="A1320" s="20"/>
    </row>
    <row r="1321" spans="1:1">
      <c r="A1321" s="20"/>
    </row>
    <row r="1322" spans="1:1">
      <c r="A1322" s="20"/>
    </row>
    <row r="1323" spans="1:1">
      <c r="A1323" s="20"/>
    </row>
    <row r="1324" spans="1:1">
      <c r="A1324" s="20"/>
    </row>
    <row r="1325" spans="1:1">
      <c r="A1325" s="20"/>
    </row>
    <row r="1326" spans="1:1">
      <c r="A1326" s="20"/>
    </row>
    <row r="1327" spans="1:1">
      <c r="A1327" s="20"/>
    </row>
    <row r="1328" spans="1:1">
      <c r="A1328" s="20"/>
    </row>
    <row r="1329" spans="1:1">
      <c r="A1329" s="20"/>
    </row>
    <row r="1330" spans="1:1">
      <c r="A1330" s="20"/>
    </row>
    <row r="1331" spans="1:1">
      <c r="A1331" s="20"/>
    </row>
    <row r="1332" spans="1:1">
      <c r="A1332" s="20"/>
    </row>
    <row r="1333" spans="1:1">
      <c r="A1333" s="20"/>
    </row>
    <row r="1334" spans="1:1">
      <c r="A1334" s="20"/>
    </row>
    <row r="1335" spans="1:1">
      <c r="A1335" s="20"/>
    </row>
    <row r="1336" spans="1:1">
      <c r="A1336" s="20"/>
    </row>
    <row r="1337" spans="1:1">
      <c r="A1337" s="20"/>
    </row>
    <row r="1338" spans="1:1">
      <c r="A1338" s="20"/>
    </row>
    <row r="1339" spans="1:1">
      <c r="A1339" s="20"/>
    </row>
    <row r="1340" spans="1:1">
      <c r="A1340" s="20"/>
    </row>
    <row r="1341" spans="1:1">
      <c r="A1341" s="20"/>
    </row>
    <row r="1342" spans="1:1">
      <c r="A1342" s="20"/>
    </row>
    <row r="1343" spans="1:1">
      <c r="A1343" s="20"/>
    </row>
    <row r="1344" spans="1:1">
      <c r="A1344" s="20"/>
    </row>
    <row r="1345" spans="1:1">
      <c r="A1345" s="20"/>
    </row>
    <row r="1346" spans="1:1">
      <c r="A1346" s="20"/>
    </row>
    <row r="1347" spans="1:1">
      <c r="A1347" s="20"/>
    </row>
    <row r="1348" spans="1:1">
      <c r="A1348" s="20"/>
    </row>
    <row r="1349" spans="1:1">
      <c r="A1349" s="20"/>
    </row>
    <row r="1350" spans="1:1">
      <c r="A1350" s="20"/>
    </row>
    <row r="1351" spans="1:1">
      <c r="A1351" s="20"/>
    </row>
    <row r="1352" spans="1:1">
      <c r="A1352" s="20"/>
    </row>
    <row r="1353" spans="1:1">
      <c r="A1353" s="20"/>
    </row>
    <row r="1354" spans="1:1">
      <c r="A1354" s="20"/>
    </row>
    <row r="1355" spans="1:1">
      <c r="A1355" s="20"/>
    </row>
    <row r="1356" spans="1:1">
      <c r="A1356" s="20"/>
    </row>
    <row r="1357" spans="1:1">
      <c r="A1357" s="20"/>
    </row>
    <row r="1358" spans="1:1">
      <c r="A1358" s="20"/>
    </row>
    <row r="1359" spans="1:1">
      <c r="A1359" s="20"/>
    </row>
    <row r="1360" spans="1:1">
      <c r="A1360" s="20"/>
    </row>
    <row r="1361" spans="1:1">
      <c r="A1361" s="20"/>
    </row>
    <row r="1362" spans="1:1">
      <c r="A1362" s="20"/>
    </row>
    <row r="1363" spans="1:1">
      <c r="A1363" s="20"/>
    </row>
    <row r="1364" spans="1:1">
      <c r="A1364" s="20"/>
    </row>
    <row r="1365" spans="1:1">
      <c r="A1365" s="20"/>
    </row>
    <row r="1366" spans="1:1">
      <c r="A1366" s="20"/>
    </row>
    <row r="1367" spans="1:1">
      <c r="A1367" s="20"/>
    </row>
    <row r="1368" spans="1:1">
      <c r="A1368" s="20"/>
    </row>
    <row r="1369" spans="1:1">
      <c r="A1369" s="20"/>
    </row>
    <row r="1370" spans="1:1">
      <c r="A1370" s="20"/>
    </row>
    <row r="1371" spans="1:1">
      <c r="A1371" s="20"/>
    </row>
    <row r="1372" spans="1:1">
      <c r="A1372" s="20"/>
    </row>
    <row r="1373" spans="1:1">
      <c r="A1373" s="20"/>
    </row>
    <row r="1374" spans="1:1">
      <c r="A1374" s="20"/>
    </row>
    <row r="1375" spans="1:1">
      <c r="A1375" s="20"/>
    </row>
    <row r="1376" spans="1:1">
      <c r="A1376" s="20"/>
    </row>
    <row r="1377" spans="1:1">
      <c r="A1377" s="20"/>
    </row>
    <row r="1378" spans="1:1">
      <c r="A1378" s="20"/>
    </row>
    <row r="1379" spans="1:1">
      <c r="A1379" s="20"/>
    </row>
    <row r="1380" spans="1:1">
      <c r="A1380" s="20"/>
    </row>
    <row r="1381" spans="1:1">
      <c r="A1381" s="20"/>
    </row>
    <row r="1382" spans="1:1">
      <c r="A1382" s="20"/>
    </row>
    <row r="1383" spans="1:1">
      <c r="A1383" s="20"/>
    </row>
    <row r="1384" spans="1:1">
      <c r="A1384" s="20"/>
    </row>
    <row r="1385" spans="1:1">
      <c r="A1385" s="20"/>
    </row>
    <row r="1386" spans="1:1">
      <c r="A1386" s="20"/>
    </row>
    <row r="1387" spans="1:1">
      <c r="A1387" s="20"/>
    </row>
    <row r="1388" spans="1:1">
      <c r="A1388" s="20"/>
    </row>
    <row r="1389" spans="1:1">
      <c r="A1389" s="20"/>
    </row>
    <row r="1390" spans="1:1">
      <c r="A1390" s="20"/>
    </row>
    <row r="1391" spans="1:1">
      <c r="A1391" s="20"/>
    </row>
    <row r="1392" spans="1:1">
      <c r="A1392" s="20"/>
    </row>
    <row r="1393" spans="1:1">
      <c r="A1393" s="20"/>
    </row>
    <row r="1394" spans="1:1">
      <c r="A1394" s="20"/>
    </row>
    <row r="1395" spans="1:1">
      <c r="A1395" s="20"/>
    </row>
    <row r="1396" spans="1:1">
      <c r="A1396" s="20"/>
    </row>
    <row r="1397" spans="1:1">
      <c r="A1397" s="20"/>
    </row>
    <row r="1398" spans="1:1">
      <c r="A1398" s="20"/>
    </row>
    <row r="1399" spans="1:1">
      <c r="A1399" s="20"/>
    </row>
    <row r="1400" spans="1:1">
      <c r="A1400" s="20"/>
    </row>
    <row r="1401" spans="1:1">
      <c r="A1401" s="20"/>
    </row>
    <row r="1402" spans="1:1">
      <c r="A1402" s="20"/>
    </row>
    <row r="1403" spans="1:1">
      <c r="A1403" s="20"/>
    </row>
    <row r="1404" spans="1:1">
      <c r="A1404" s="20"/>
    </row>
    <row r="1405" spans="1:1">
      <c r="A1405" s="20"/>
    </row>
    <row r="1406" spans="1:1">
      <c r="A1406" s="20"/>
    </row>
    <row r="1407" spans="1:1">
      <c r="A1407" s="20"/>
    </row>
    <row r="1408" spans="1:1">
      <c r="A1408" s="20"/>
    </row>
    <row r="1409" spans="1:1">
      <c r="A1409" s="20"/>
    </row>
    <row r="1410" spans="1:1">
      <c r="A1410" s="20"/>
    </row>
    <row r="1411" spans="1:1">
      <c r="A1411" s="20"/>
    </row>
    <row r="1412" spans="1:1">
      <c r="A1412" s="20"/>
    </row>
    <row r="1413" spans="1:1">
      <c r="A1413" s="20"/>
    </row>
    <row r="1414" spans="1:1">
      <c r="A1414" s="20"/>
    </row>
    <row r="1415" spans="1:1">
      <c r="A1415" s="20"/>
    </row>
    <row r="1416" spans="1:1">
      <c r="A1416" s="20"/>
    </row>
    <row r="1417" spans="1:1">
      <c r="A1417" s="20"/>
    </row>
    <row r="1418" spans="1:1">
      <c r="A1418" s="20"/>
    </row>
    <row r="1419" spans="1:1">
      <c r="A1419" s="20"/>
    </row>
    <row r="1420" spans="1:1">
      <c r="A1420" s="20"/>
    </row>
    <row r="1421" spans="1:1">
      <c r="A1421" s="20"/>
    </row>
    <row r="1422" spans="1:1">
      <c r="A1422" s="20"/>
    </row>
    <row r="1423" spans="1:1">
      <c r="A1423" s="20"/>
    </row>
    <row r="1424" spans="1:1">
      <c r="A1424" s="20"/>
    </row>
    <row r="1425" spans="1:1">
      <c r="A1425" s="20"/>
    </row>
    <row r="1426" spans="1:1">
      <c r="A1426" s="20"/>
    </row>
    <row r="1427" spans="1:1">
      <c r="A1427" s="20"/>
    </row>
    <row r="1428" spans="1:1">
      <c r="A1428" s="20"/>
    </row>
    <row r="1429" spans="1:1">
      <c r="A1429" s="20"/>
    </row>
    <row r="1430" spans="1:1">
      <c r="A1430" s="20"/>
    </row>
    <row r="1431" spans="1:1">
      <c r="A1431" s="20"/>
    </row>
    <row r="1432" spans="1:1">
      <c r="A1432" s="20"/>
    </row>
    <row r="1433" spans="1:1">
      <c r="A1433" s="20"/>
    </row>
    <row r="1434" spans="1:1">
      <c r="A1434" s="20"/>
    </row>
    <row r="1435" spans="1:1">
      <c r="A1435" s="20"/>
    </row>
    <row r="1436" spans="1:1">
      <c r="A1436" s="20"/>
    </row>
    <row r="1437" spans="1:1">
      <c r="A1437" s="20"/>
    </row>
    <row r="1438" spans="1:1">
      <c r="A1438" s="20"/>
    </row>
    <row r="1439" spans="1:1">
      <c r="A1439" s="20"/>
    </row>
    <row r="1440" spans="1:1">
      <c r="A1440" s="20"/>
    </row>
    <row r="1441" spans="1:1">
      <c r="A1441" s="20"/>
    </row>
    <row r="1442" spans="1:1">
      <c r="A1442" s="20"/>
    </row>
    <row r="1443" spans="1:1">
      <c r="A1443" s="20"/>
    </row>
    <row r="1444" spans="1:1">
      <c r="A1444" s="20"/>
    </row>
    <row r="1445" spans="1:1">
      <c r="A1445" s="20"/>
    </row>
    <row r="1446" spans="1:1">
      <c r="A1446" s="20"/>
    </row>
    <row r="1447" spans="1:1">
      <c r="A1447" s="20"/>
    </row>
    <row r="1448" spans="1:1">
      <c r="A1448" s="20"/>
    </row>
    <row r="1449" spans="1:1">
      <c r="A1449" s="20"/>
    </row>
    <row r="1450" spans="1:1">
      <c r="A1450" s="20"/>
    </row>
    <row r="1451" spans="1:1">
      <c r="A1451" s="20"/>
    </row>
    <row r="1452" spans="1:1">
      <c r="A1452" s="20"/>
    </row>
    <row r="1453" spans="1:1">
      <c r="A1453" s="20"/>
    </row>
    <row r="1454" spans="1:1">
      <c r="A1454" s="20"/>
    </row>
    <row r="1455" spans="1:1">
      <c r="A1455" s="20"/>
    </row>
    <row r="1456" spans="1:1">
      <c r="A1456" s="20"/>
    </row>
    <row r="1457" spans="1:1">
      <c r="A1457" s="20"/>
    </row>
    <row r="1458" spans="1:1">
      <c r="A1458" s="20"/>
    </row>
    <row r="1459" spans="1:1">
      <c r="A1459" s="20"/>
    </row>
    <row r="1460" spans="1:1">
      <c r="A1460" s="20"/>
    </row>
    <row r="1461" spans="1:1">
      <c r="A1461" s="20"/>
    </row>
    <row r="1462" spans="1:1">
      <c r="A1462" s="20"/>
    </row>
    <row r="1463" spans="1:1">
      <c r="A1463" s="20"/>
    </row>
    <row r="1464" spans="1:1">
      <c r="A1464" s="20"/>
    </row>
    <row r="1465" spans="1:1">
      <c r="A1465" s="20"/>
    </row>
    <row r="1466" spans="1:1">
      <c r="A1466" s="20"/>
    </row>
    <row r="1467" spans="1:1">
      <c r="A1467" s="20"/>
    </row>
    <row r="1468" spans="1:1">
      <c r="A1468" s="20"/>
    </row>
    <row r="1469" spans="1:1">
      <c r="A1469" s="20"/>
    </row>
    <row r="1470" spans="1:1">
      <c r="A1470" s="20"/>
    </row>
    <row r="1471" spans="1:1">
      <c r="A1471" s="20"/>
    </row>
    <row r="1472" spans="1:1">
      <c r="A1472" s="20"/>
    </row>
    <row r="1473" spans="1:1">
      <c r="A1473" s="20"/>
    </row>
    <row r="1474" spans="1:1">
      <c r="A1474" s="20"/>
    </row>
    <row r="1475" spans="1:1">
      <c r="A1475" s="20"/>
    </row>
    <row r="1476" spans="1:1">
      <c r="A1476" s="20"/>
    </row>
    <row r="1477" spans="1:1">
      <c r="A1477" s="20"/>
    </row>
    <row r="1478" spans="1:1">
      <c r="A1478" s="20"/>
    </row>
    <row r="1479" spans="1:1">
      <c r="A1479" s="20"/>
    </row>
    <row r="1480" spans="1:1">
      <c r="A1480" s="20"/>
    </row>
    <row r="1481" spans="1:1">
      <c r="A1481" s="20"/>
    </row>
    <row r="1482" spans="1:1">
      <c r="A1482" s="20"/>
    </row>
    <row r="1483" spans="1:1">
      <c r="A1483" s="20"/>
    </row>
    <row r="1484" spans="1:1">
      <c r="A1484" s="20"/>
    </row>
    <row r="1485" spans="1:1">
      <c r="A1485" s="20"/>
    </row>
    <row r="1486" spans="1:1">
      <c r="A1486" s="20"/>
    </row>
    <row r="1487" spans="1:1">
      <c r="A1487" s="20"/>
    </row>
    <row r="1488" spans="1:1">
      <c r="A1488" s="20"/>
    </row>
    <row r="1489" spans="1:1">
      <c r="A1489" s="20"/>
    </row>
    <row r="1490" spans="1:1">
      <c r="A1490" s="20"/>
    </row>
    <row r="1491" spans="1:1">
      <c r="A1491" s="20"/>
    </row>
    <row r="1492" spans="1:1">
      <c r="A1492" s="20"/>
    </row>
    <row r="1493" spans="1:1">
      <c r="A1493" s="20"/>
    </row>
    <row r="1494" spans="1:1">
      <c r="A1494" s="20"/>
    </row>
    <row r="1495" spans="1:1">
      <c r="A1495" s="20"/>
    </row>
    <row r="1496" spans="1:1">
      <c r="A1496" s="20"/>
    </row>
    <row r="1497" spans="1:1">
      <c r="A1497" s="20"/>
    </row>
    <row r="1498" spans="1:1">
      <c r="A1498" s="20"/>
    </row>
    <row r="1499" spans="1:1">
      <c r="A1499" s="20"/>
    </row>
    <row r="1500" spans="1:1">
      <c r="A1500" s="20"/>
    </row>
    <row r="1501" spans="1:1">
      <c r="A1501" s="20"/>
    </row>
    <row r="1502" spans="1:1">
      <c r="A1502" s="20"/>
    </row>
    <row r="1503" spans="1:1">
      <c r="A1503" s="20"/>
    </row>
    <row r="1504" spans="1:1">
      <c r="A1504" s="20"/>
    </row>
    <row r="1505" spans="1:1">
      <c r="A1505" s="20"/>
    </row>
    <row r="1506" spans="1:1">
      <c r="A1506" s="20"/>
    </row>
    <row r="1507" spans="1:1">
      <c r="A1507" s="20"/>
    </row>
    <row r="1508" spans="1:1">
      <c r="A1508" s="20"/>
    </row>
    <row r="1509" spans="1:1">
      <c r="A1509" s="20"/>
    </row>
    <row r="1510" spans="1:1">
      <c r="A1510" s="20"/>
    </row>
    <row r="1511" spans="1:1">
      <c r="A1511" s="20"/>
    </row>
    <row r="1512" spans="1:1">
      <c r="A1512" s="20"/>
    </row>
    <row r="1513" spans="1:1">
      <c r="A1513" s="20"/>
    </row>
    <row r="1514" spans="1:1">
      <c r="A1514" s="20"/>
    </row>
    <row r="1515" spans="1:1">
      <c r="A1515" s="20"/>
    </row>
    <row r="1516" spans="1:1">
      <c r="A1516" s="20"/>
    </row>
    <row r="1517" spans="1:1">
      <c r="A1517" s="20"/>
    </row>
    <row r="1518" spans="1:1">
      <c r="A1518" s="20"/>
    </row>
    <row r="1519" spans="1:1">
      <c r="A1519" s="20"/>
    </row>
    <row r="1520" spans="1:1">
      <c r="A1520" s="20"/>
    </row>
    <row r="1521" spans="1:1">
      <c r="A1521" s="20"/>
    </row>
    <row r="1522" spans="1:1">
      <c r="A1522" s="20"/>
    </row>
    <row r="1523" spans="1:1">
      <c r="A1523" s="20"/>
    </row>
    <row r="1524" spans="1:1">
      <c r="A1524" s="20"/>
    </row>
    <row r="1525" spans="1:1">
      <c r="A1525" s="20"/>
    </row>
    <row r="1526" spans="1:1">
      <c r="A1526" s="20"/>
    </row>
    <row r="1527" spans="1:1">
      <c r="A1527" s="20"/>
    </row>
    <row r="1528" spans="1:1">
      <c r="A1528" s="20"/>
    </row>
    <row r="1529" spans="1:1">
      <c r="A1529" s="20"/>
    </row>
    <row r="1530" spans="1:1">
      <c r="A1530" s="20"/>
    </row>
    <row r="1531" spans="1:1">
      <c r="A1531" s="20"/>
    </row>
    <row r="1532" spans="1:1">
      <c r="A1532" s="20"/>
    </row>
    <row r="1533" spans="1:1">
      <c r="A1533" s="20"/>
    </row>
    <row r="1534" spans="1:1">
      <c r="A1534" s="20"/>
    </row>
    <row r="1535" spans="1:1">
      <c r="A1535" s="20"/>
    </row>
    <row r="1536" spans="1:1">
      <c r="A1536" s="20"/>
    </row>
    <row r="1537" spans="1:1">
      <c r="A1537" s="20"/>
    </row>
    <row r="1538" spans="1:1">
      <c r="A1538" s="20"/>
    </row>
    <row r="1539" spans="1:1">
      <c r="A1539" s="20"/>
    </row>
    <row r="1540" spans="1:1">
      <c r="A1540" s="20"/>
    </row>
    <row r="1541" spans="1:1">
      <c r="A1541" s="20"/>
    </row>
    <row r="1542" spans="1:1">
      <c r="A1542" s="20"/>
    </row>
    <row r="1543" spans="1:1">
      <c r="A1543" s="20"/>
    </row>
    <row r="1544" spans="1:1">
      <c r="A1544" s="20"/>
    </row>
    <row r="1545" spans="1:1">
      <c r="A1545" s="20"/>
    </row>
    <row r="1546" spans="1:1">
      <c r="A1546" s="20"/>
    </row>
    <row r="1547" spans="1:1">
      <c r="A1547" s="20"/>
    </row>
    <row r="1548" spans="1:1">
      <c r="A1548" s="20"/>
    </row>
    <row r="1549" spans="1:1">
      <c r="A1549" s="20"/>
    </row>
    <row r="1550" spans="1:1">
      <c r="A1550" s="20"/>
    </row>
    <row r="1551" spans="1:1">
      <c r="A1551" s="20"/>
    </row>
    <row r="1552" spans="1:1">
      <c r="A1552" s="20"/>
    </row>
    <row r="1553" spans="1:1">
      <c r="A1553" s="20"/>
    </row>
    <row r="1554" spans="1:1">
      <c r="A1554" s="20"/>
    </row>
    <row r="1555" spans="1:1">
      <c r="A1555" s="20"/>
    </row>
    <row r="1556" spans="1:1">
      <c r="A1556" s="20"/>
    </row>
    <row r="1557" spans="1:1">
      <c r="A1557" s="20"/>
    </row>
    <row r="1558" spans="1:1">
      <c r="A1558" s="20"/>
    </row>
    <row r="1559" spans="1:1">
      <c r="A1559" s="20"/>
    </row>
    <row r="1560" spans="1:1">
      <c r="A1560" s="20"/>
    </row>
    <row r="1561" spans="1:1">
      <c r="A1561" s="20"/>
    </row>
    <row r="1562" spans="1:1">
      <c r="A1562" s="20"/>
    </row>
    <row r="1563" spans="1:1">
      <c r="A1563" s="20"/>
    </row>
    <row r="1564" spans="1:1">
      <c r="A1564" s="20"/>
    </row>
    <row r="1565" spans="1:1">
      <c r="A1565" s="20"/>
    </row>
    <row r="1566" spans="1:1">
      <c r="A1566" s="20"/>
    </row>
    <row r="1567" spans="1:1">
      <c r="A1567" s="20"/>
    </row>
    <row r="1568" spans="1:1">
      <c r="A1568" s="20"/>
    </row>
    <row r="1569" spans="1:1">
      <c r="A1569" s="20"/>
    </row>
    <row r="1570" spans="1:1">
      <c r="A1570" s="20"/>
    </row>
    <row r="1571" spans="1:1">
      <c r="A1571" s="20"/>
    </row>
    <row r="1572" spans="1:1">
      <c r="A1572" s="20"/>
    </row>
    <row r="1573" spans="1:1">
      <c r="A1573" s="20"/>
    </row>
    <row r="1574" spans="1:1">
      <c r="A1574" s="20"/>
    </row>
    <row r="1575" spans="1:1">
      <c r="A1575" s="20"/>
    </row>
    <row r="1576" spans="1:1">
      <c r="A1576" s="20"/>
    </row>
    <row r="1577" spans="1:1">
      <c r="A1577" s="20"/>
    </row>
    <row r="1578" spans="1:1">
      <c r="A1578" s="20"/>
    </row>
    <row r="1579" spans="1:1">
      <c r="A1579" s="20"/>
    </row>
    <row r="1580" spans="1:1">
      <c r="A1580" s="20"/>
    </row>
    <row r="1581" spans="1:1">
      <c r="A1581" s="20"/>
    </row>
    <row r="1582" spans="1:1">
      <c r="A1582" s="20"/>
    </row>
    <row r="1583" spans="1:1">
      <c r="A1583" s="20"/>
    </row>
    <row r="1584" spans="1:1">
      <c r="A1584" s="20"/>
    </row>
    <row r="1585" spans="1:1">
      <c r="A1585" s="20"/>
    </row>
    <row r="1586" spans="1:1">
      <c r="A1586" s="20"/>
    </row>
    <row r="1587" spans="1:1">
      <c r="A1587" s="20"/>
    </row>
    <row r="1588" spans="1:1">
      <c r="A1588" s="20"/>
    </row>
    <row r="1589" spans="1:1">
      <c r="A1589" s="20"/>
    </row>
    <row r="1590" spans="1:1">
      <c r="A1590" s="20"/>
    </row>
    <row r="1591" spans="1:1">
      <c r="A1591" s="20"/>
    </row>
    <row r="1592" spans="1:1">
      <c r="A1592" s="20"/>
    </row>
    <row r="1593" spans="1:1">
      <c r="A1593" s="20"/>
    </row>
    <row r="1594" spans="1:1">
      <c r="A1594" s="20"/>
    </row>
    <row r="1595" spans="1:1">
      <c r="A1595" s="20"/>
    </row>
    <row r="1596" spans="1:1">
      <c r="A1596" s="20"/>
    </row>
    <row r="1597" spans="1:1">
      <c r="A1597" s="20"/>
    </row>
    <row r="1598" spans="1:1">
      <c r="A1598" s="20"/>
    </row>
    <row r="1599" spans="1:1">
      <c r="A1599" s="20"/>
    </row>
    <row r="1600" spans="1:1">
      <c r="A1600" s="20"/>
    </row>
    <row r="1601" spans="1:1">
      <c r="A1601" s="20"/>
    </row>
    <row r="1602" spans="1:1">
      <c r="A1602" s="20"/>
    </row>
    <row r="1603" spans="1:1">
      <c r="A1603" s="20"/>
    </row>
    <row r="1604" spans="1:1">
      <c r="A1604" s="20"/>
    </row>
    <row r="1605" spans="1:1">
      <c r="A1605" s="20"/>
    </row>
    <row r="1606" spans="1:1">
      <c r="A1606" s="20"/>
    </row>
    <row r="1607" spans="1:1">
      <c r="A1607" s="20"/>
    </row>
    <row r="1608" spans="1:1">
      <c r="A1608" s="20"/>
    </row>
    <row r="1609" spans="1:1">
      <c r="A1609" s="20"/>
    </row>
    <row r="1610" spans="1:1">
      <c r="A1610" s="20"/>
    </row>
    <row r="1611" spans="1:1">
      <c r="A1611" s="20"/>
    </row>
    <row r="1612" spans="1:1">
      <c r="A1612" s="20"/>
    </row>
    <row r="1613" spans="1:1">
      <c r="A1613" s="20"/>
    </row>
    <row r="1614" spans="1:1">
      <c r="A1614" s="20"/>
    </row>
    <row r="1615" spans="1:1">
      <c r="A1615" s="20"/>
    </row>
    <row r="1616" spans="1:1">
      <c r="A1616" s="20"/>
    </row>
    <row r="1617" spans="1:1">
      <c r="A1617" s="20"/>
    </row>
    <row r="1618" spans="1:1">
      <c r="A1618" s="20"/>
    </row>
    <row r="1619" spans="1:1">
      <c r="A1619" s="20"/>
    </row>
    <row r="1620" spans="1:1">
      <c r="A1620" s="20"/>
    </row>
    <row r="1621" spans="1:1">
      <c r="A1621" s="20"/>
    </row>
    <row r="1622" spans="1:1">
      <c r="A1622" s="20"/>
    </row>
    <row r="1623" spans="1:1">
      <c r="A1623" s="20"/>
    </row>
    <row r="1624" spans="1:1">
      <c r="A1624" s="20"/>
    </row>
    <row r="1625" spans="1:1">
      <c r="A1625" s="20"/>
    </row>
    <row r="1626" spans="1:1">
      <c r="A1626" s="20"/>
    </row>
    <row r="1627" spans="1:1">
      <c r="A1627" s="20"/>
    </row>
    <row r="1628" spans="1:1">
      <c r="A1628" s="20"/>
    </row>
    <row r="1629" spans="1:1">
      <c r="A1629" s="20"/>
    </row>
    <row r="1630" spans="1:1">
      <c r="A1630" s="20"/>
    </row>
    <row r="1631" spans="1:1">
      <c r="A1631" s="20"/>
    </row>
    <row r="1632" spans="1:1">
      <c r="A1632" s="20"/>
    </row>
    <row r="1633" spans="1:1">
      <c r="A1633" s="20"/>
    </row>
    <row r="1634" spans="1:1">
      <c r="A1634" s="20"/>
    </row>
    <row r="1635" spans="1:1">
      <c r="A1635" s="20"/>
    </row>
    <row r="1636" spans="1:1">
      <c r="A1636" s="20"/>
    </row>
    <row r="1637" spans="1:1">
      <c r="A1637" s="20"/>
    </row>
    <row r="1638" spans="1:1">
      <c r="A1638" s="20"/>
    </row>
    <row r="1639" spans="1:1">
      <c r="A1639" s="20"/>
    </row>
    <row r="1640" spans="1:1">
      <c r="A1640" s="20"/>
    </row>
    <row r="1641" spans="1:1">
      <c r="A1641" s="20"/>
    </row>
    <row r="1642" spans="1:1">
      <c r="A1642" s="20"/>
    </row>
    <row r="1643" spans="1:1">
      <c r="A1643" s="20"/>
    </row>
    <row r="1644" spans="1:1">
      <c r="A1644" s="20"/>
    </row>
    <row r="1645" spans="1:1">
      <c r="A1645" s="20"/>
    </row>
    <row r="1646" spans="1:1">
      <c r="A1646" s="20"/>
    </row>
    <row r="1647" spans="1:1">
      <c r="A1647" s="20"/>
    </row>
    <row r="1648" spans="1:1">
      <c r="A1648" s="20"/>
    </row>
    <row r="1649" spans="1:1">
      <c r="A1649" s="20"/>
    </row>
    <row r="1650" spans="1:1">
      <c r="A1650" s="20"/>
    </row>
    <row r="1651" spans="1:1">
      <c r="A1651" s="20"/>
    </row>
    <row r="1652" spans="1:1">
      <c r="A1652" s="20"/>
    </row>
    <row r="1653" spans="1:1">
      <c r="A1653" s="20"/>
    </row>
    <row r="1654" spans="1:1">
      <c r="A1654" s="20"/>
    </row>
    <row r="1655" spans="1:1">
      <c r="A1655" s="20"/>
    </row>
    <row r="1656" spans="1:1">
      <c r="A1656" s="20"/>
    </row>
    <row r="1657" spans="1:1">
      <c r="A1657" s="20"/>
    </row>
    <row r="1658" spans="1:1">
      <c r="A1658" s="20"/>
    </row>
    <row r="1659" spans="1:1">
      <c r="A1659" s="20"/>
    </row>
    <row r="1660" spans="1:1">
      <c r="A1660" s="20"/>
    </row>
    <row r="1661" spans="1:1">
      <c r="A1661" s="20"/>
    </row>
    <row r="1662" spans="1:1">
      <c r="A1662" s="20"/>
    </row>
    <row r="1663" spans="1:1">
      <c r="A1663" s="20"/>
    </row>
    <row r="1664" spans="1:1">
      <c r="A1664" s="20"/>
    </row>
    <row r="1665" spans="1:1">
      <c r="A1665" s="20"/>
    </row>
    <row r="1666" spans="1:1">
      <c r="A1666" s="20"/>
    </row>
    <row r="1667" spans="1:1">
      <c r="A1667" s="20"/>
    </row>
    <row r="1668" spans="1:1">
      <c r="A1668" s="20"/>
    </row>
    <row r="1669" spans="1:1">
      <c r="A1669" s="20"/>
    </row>
    <row r="1670" spans="1:1">
      <c r="A1670" s="20"/>
    </row>
    <row r="1671" spans="1:1">
      <c r="A1671" s="20"/>
    </row>
    <row r="1672" spans="1:1">
      <c r="A1672" s="20"/>
    </row>
    <row r="1673" spans="1:1">
      <c r="A1673" s="20"/>
    </row>
    <row r="1674" spans="1:1">
      <c r="A1674" s="20"/>
    </row>
    <row r="1675" spans="1:1">
      <c r="A1675" s="20"/>
    </row>
    <row r="1676" spans="1:1">
      <c r="A1676" s="20"/>
    </row>
    <row r="1677" spans="1:1">
      <c r="A1677" s="20"/>
    </row>
    <row r="1678" spans="1:1">
      <c r="A1678" s="20"/>
    </row>
    <row r="1679" spans="1:1">
      <c r="A1679" s="20"/>
    </row>
    <row r="1680" spans="1:1">
      <c r="A1680" s="20"/>
    </row>
    <row r="1681" spans="1:1">
      <c r="A1681" s="20"/>
    </row>
    <row r="1682" spans="1:1">
      <c r="A1682" s="20"/>
    </row>
    <row r="1683" spans="1:1">
      <c r="A1683" s="20"/>
    </row>
    <row r="1684" spans="1:1">
      <c r="A1684" s="20"/>
    </row>
    <row r="1685" spans="1:1">
      <c r="A1685" s="20"/>
    </row>
    <row r="1686" spans="1:1">
      <c r="A1686" s="20"/>
    </row>
    <row r="1687" spans="1:1">
      <c r="A1687" s="20"/>
    </row>
    <row r="1688" spans="1:1">
      <c r="A1688" s="20"/>
    </row>
    <row r="1689" spans="1:1">
      <c r="A1689" s="20"/>
    </row>
    <row r="1690" spans="1:1">
      <c r="A1690" s="20"/>
    </row>
    <row r="1691" spans="1:1">
      <c r="A1691" s="20"/>
    </row>
    <row r="1692" spans="1:1">
      <c r="A1692" s="20"/>
    </row>
    <row r="1693" spans="1:1">
      <c r="A1693" s="20"/>
    </row>
    <row r="1694" spans="1:1">
      <c r="A1694" s="20"/>
    </row>
    <row r="1695" spans="1:1">
      <c r="A1695" s="20"/>
    </row>
    <row r="1696" spans="1:1">
      <c r="A1696" s="20"/>
    </row>
    <row r="1697" spans="1:1">
      <c r="A1697" s="20"/>
    </row>
    <row r="1698" spans="1:1">
      <c r="A1698" s="20"/>
    </row>
    <row r="1699" spans="1:1">
      <c r="A1699" s="20"/>
    </row>
    <row r="1700" spans="1:1">
      <c r="A1700" s="20"/>
    </row>
    <row r="1701" spans="1:1">
      <c r="A1701" s="20"/>
    </row>
    <row r="1702" spans="1:1">
      <c r="A1702" s="20"/>
    </row>
    <row r="1703" spans="1:1">
      <c r="A1703" s="20"/>
    </row>
    <row r="1704" spans="1:1">
      <c r="A1704" s="20"/>
    </row>
    <row r="1705" spans="1:1">
      <c r="A1705" s="20"/>
    </row>
    <row r="1706" spans="1:1">
      <c r="A1706" s="20"/>
    </row>
    <row r="1707" spans="1:1">
      <c r="A1707" s="20"/>
    </row>
    <row r="1708" spans="1:1">
      <c r="A1708" s="20"/>
    </row>
    <row r="1709" spans="1:1">
      <c r="A1709" s="20"/>
    </row>
    <row r="1710" spans="1:1">
      <c r="A1710" s="20"/>
    </row>
    <row r="1711" spans="1:1">
      <c r="A1711" s="20"/>
    </row>
    <row r="1712" spans="1:1">
      <c r="A1712" s="20"/>
    </row>
    <row r="1713" spans="1:1">
      <c r="A1713" s="20"/>
    </row>
    <row r="1714" spans="1:1">
      <c r="A1714" s="20"/>
    </row>
    <row r="1715" spans="1:1">
      <c r="A1715" s="20"/>
    </row>
    <row r="1716" spans="1:1">
      <c r="A1716" s="20"/>
    </row>
    <row r="1717" spans="1:1">
      <c r="A1717" s="20"/>
    </row>
    <row r="1718" spans="1:1">
      <c r="A1718" s="20"/>
    </row>
    <row r="1719" spans="1:1">
      <c r="A1719" s="20"/>
    </row>
    <row r="1720" spans="1:1">
      <c r="A1720" s="20"/>
    </row>
    <row r="1721" spans="1:1">
      <c r="A1721" s="20"/>
    </row>
    <row r="1722" spans="1:1">
      <c r="A1722" s="20"/>
    </row>
    <row r="1723" spans="1:1">
      <c r="A1723" s="20"/>
    </row>
    <row r="1724" spans="1:1">
      <c r="A1724" s="20"/>
    </row>
    <row r="1725" spans="1:1">
      <c r="A1725" s="20"/>
    </row>
    <row r="1726" spans="1:1">
      <c r="A1726" s="20"/>
    </row>
    <row r="1727" spans="1:1">
      <c r="A1727" s="20"/>
    </row>
    <row r="1728" spans="1:1">
      <c r="A1728" s="20"/>
    </row>
    <row r="1729" spans="1:1">
      <c r="A1729" s="20"/>
    </row>
    <row r="1730" spans="1:1">
      <c r="A1730" s="20"/>
    </row>
    <row r="1731" spans="1:1">
      <c r="A1731" s="20"/>
    </row>
    <row r="1732" spans="1:1">
      <c r="A1732" s="20"/>
    </row>
    <row r="1733" spans="1:1">
      <c r="A1733" s="20"/>
    </row>
    <row r="1734" spans="1:1">
      <c r="A1734" s="20"/>
    </row>
    <row r="1735" spans="1:1">
      <c r="A1735" s="20"/>
    </row>
    <row r="1736" spans="1:1">
      <c r="A1736" s="20"/>
    </row>
    <row r="1737" spans="1:1">
      <c r="A1737" s="20"/>
    </row>
    <row r="1738" spans="1:1">
      <c r="A1738" s="20"/>
    </row>
    <row r="1739" spans="1:1">
      <c r="A1739" s="20"/>
    </row>
    <row r="1740" spans="1:1">
      <c r="A1740" s="20"/>
    </row>
    <row r="1741" spans="1:1">
      <c r="A1741" s="20"/>
    </row>
    <row r="1742" spans="1:1">
      <c r="A1742" s="20"/>
    </row>
    <row r="1743" spans="1:1">
      <c r="A1743" s="20"/>
    </row>
    <row r="1744" spans="1:1">
      <c r="A1744" s="20"/>
    </row>
    <row r="1745" spans="1:1">
      <c r="A1745" s="20"/>
    </row>
    <row r="1746" spans="1:1">
      <c r="A1746" s="20"/>
    </row>
    <row r="1747" spans="1:1">
      <c r="A1747" s="20"/>
    </row>
    <row r="1748" spans="1:1">
      <c r="A1748" s="20"/>
    </row>
    <row r="1749" spans="1:1">
      <c r="A1749" s="20"/>
    </row>
    <row r="1750" spans="1:1">
      <c r="A1750" s="20"/>
    </row>
    <row r="1751" spans="1:1">
      <c r="A1751" s="20"/>
    </row>
    <row r="1752" spans="1:1">
      <c r="A1752" s="20"/>
    </row>
    <row r="1753" spans="1:1">
      <c r="A1753" s="20"/>
    </row>
    <row r="1754" spans="1:1">
      <c r="A1754" s="20"/>
    </row>
    <row r="1755" spans="1:1">
      <c r="A1755" s="20"/>
    </row>
    <row r="1756" spans="1:1">
      <c r="A1756" s="20"/>
    </row>
    <row r="1757" spans="1:1">
      <c r="A1757" s="20"/>
    </row>
    <row r="1758" spans="1:1">
      <c r="A1758" s="20"/>
    </row>
    <row r="1759" spans="1:1">
      <c r="A1759" s="20"/>
    </row>
    <row r="1760" spans="1:1">
      <c r="A1760" s="20"/>
    </row>
    <row r="1761" spans="1:1">
      <c r="A1761" s="20"/>
    </row>
    <row r="1762" spans="1:1">
      <c r="A1762" s="20"/>
    </row>
    <row r="1763" spans="1:1">
      <c r="A1763" s="20"/>
    </row>
    <row r="1764" spans="1:1">
      <c r="A1764" s="20"/>
    </row>
    <row r="1765" spans="1:1">
      <c r="A1765" s="20"/>
    </row>
    <row r="1766" spans="1:1">
      <c r="A1766" s="20"/>
    </row>
    <row r="1767" spans="1:1">
      <c r="A1767" s="20"/>
    </row>
    <row r="1768" spans="1:1">
      <c r="A1768" s="20"/>
    </row>
    <row r="1769" spans="1:1">
      <c r="A1769" s="20"/>
    </row>
    <row r="1770" spans="1:1">
      <c r="A1770" s="20"/>
    </row>
    <row r="1771" spans="1:1">
      <c r="A1771" s="20"/>
    </row>
    <row r="1772" spans="1:1">
      <c r="A1772" s="20"/>
    </row>
    <row r="1773" spans="1:1">
      <c r="A1773" s="20"/>
    </row>
    <row r="1774" spans="1:1">
      <c r="A1774" s="20"/>
    </row>
    <row r="1775" spans="1:1">
      <c r="A1775" s="20"/>
    </row>
    <row r="1776" spans="1:1">
      <c r="A1776" s="20"/>
    </row>
    <row r="1777" spans="1:1">
      <c r="A1777" s="20"/>
    </row>
    <row r="1778" spans="1:1">
      <c r="A1778" s="20"/>
    </row>
    <row r="1779" spans="1:1">
      <c r="A1779" s="20"/>
    </row>
    <row r="1780" spans="1:1">
      <c r="A1780" s="20"/>
    </row>
    <row r="1781" spans="1:1">
      <c r="A1781" s="20"/>
    </row>
    <row r="1782" spans="1:1">
      <c r="A1782" s="20"/>
    </row>
    <row r="1783" spans="1:1">
      <c r="A1783" s="20"/>
    </row>
    <row r="1784" spans="1:1">
      <c r="A1784" s="20"/>
    </row>
    <row r="1785" spans="1:1">
      <c r="A1785" s="20"/>
    </row>
    <row r="1786" spans="1:1">
      <c r="A1786" s="20"/>
    </row>
    <row r="1787" spans="1:1">
      <c r="A1787" s="20"/>
    </row>
    <row r="1788" spans="1:1">
      <c r="A1788" s="20"/>
    </row>
    <row r="1789" spans="1:1">
      <c r="A1789" s="20"/>
    </row>
    <row r="1790" spans="1:1">
      <c r="A1790" s="20"/>
    </row>
    <row r="1791" spans="1:1">
      <c r="A1791" s="20"/>
    </row>
    <row r="1792" spans="1:1">
      <c r="A1792" s="20"/>
    </row>
    <row r="1793" spans="1:1">
      <c r="A1793" s="20"/>
    </row>
    <row r="1794" spans="1:1">
      <c r="A1794" s="20"/>
    </row>
    <row r="1795" spans="1:1">
      <c r="A1795" s="20"/>
    </row>
    <row r="1796" spans="1:1">
      <c r="A1796" s="20"/>
    </row>
    <row r="1797" spans="1:1">
      <c r="A1797" s="20"/>
    </row>
    <row r="1798" spans="1:1">
      <c r="A1798" s="20"/>
    </row>
    <row r="1799" spans="1:1">
      <c r="A1799" s="20"/>
    </row>
    <row r="1800" spans="1:1">
      <c r="A1800" s="20"/>
    </row>
    <row r="1801" spans="1:1">
      <c r="A1801" s="20"/>
    </row>
    <row r="1802" spans="1:1">
      <c r="A1802" s="20"/>
    </row>
    <row r="1803" spans="1:1">
      <c r="A1803" s="20"/>
    </row>
    <row r="1804" spans="1:1">
      <c r="A1804" s="20"/>
    </row>
    <row r="1805" spans="1:1">
      <c r="A1805" s="20"/>
    </row>
    <row r="1806" spans="1:1">
      <c r="A1806" s="20"/>
    </row>
    <row r="1807" spans="1:1">
      <c r="A1807" s="20"/>
    </row>
    <row r="1808" spans="1:1">
      <c r="A1808" s="20"/>
    </row>
    <row r="1809" spans="1:1">
      <c r="A1809" s="20"/>
    </row>
    <row r="1810" spans="1:1">
      <c r="A1810" s="20"/>
    </row>
    <row r="1811" spans="1:1">
      <c r="A1811" s="20"/>
    </row>
    <row r="1812" spans="1:1">
      <c r="A1812" s="20"/>
    </row>
    <row r="1813" spans="1:1">
      <c r="A1813" s="20"/>
    </row>
    <row r="1814" spans="1:1">
      <c r="A1814" s="20"/>
    </row>
    <row r="1815" spans="1:1">
      <c r="A1815" s="20"/>
    </row>
    <row r="1816" spans="1:1">
      <c r="A1816" s="20"/>
    </row>
    <row r="1817" spans="1:1">
      <c r="A1817" s="20"/>
    </row>
    <row r="1818" spans="1:1">
      <c r="A1818" s="20"/>
    </row>
    <row r="1819" spans="1:1">
      <c r="A1819" s="20"/>
    </row>
    <row r="1820" spans="1:1">
      <c r="A1820" s="20"/>
    </row>
    <row r="1821" spans="1:1">
      <c r="A1821" s="20"/>
    </row>
    <row r="1822" spans="1:1">
      <c r="A1822" s="20"/>
    </row>
    <row r="1823" spans="1:1">
      <c r="A1823" s="20"/>
    </row>
    <row r="1824" spans="1:1">
      <c r="A1824" s="20"/>
    </row>
    <row r="1825" spans="1:1">
      <c r="A1825" s="20"/>
    </row>
    <row r="1826" spans="1:1">
      <c r="A1826" s="20"/>
    </row>
    <row r="1827" spans="1:1">
      <c r="A1827" s="20"/>
    </row>
    <row r="1828" spans="1:1">
      <c r="A1828" s="20"/>
    </row>
    <row r="1829" spans="1:1">
      <c r="A1829" s="20"/>
    </row>
    <row r="1830" spans="1:1">
      <c r="A1830" s="20"/>
    </row>
    <row r="1831" spans="1:1">
      <c r="A1831" s="20"/>
    </row>
    <row r="1832" spans="1:1">
      <c r="A1832" s="20"/>
    </row>
    <row r="1833" spans="1:1">
      <c r="A1833" s="20"/>
    </row>
    <row r="1834" spans="1:1">
      <c r="A1834" s="20"/>
    </row>
    <row r="1835" spans="1:1">
      <c r="A1835" s="20"/>
    </row>
    <row r="1836" spans="1:1">
      <c r="A1836" s="20"/>
    </row>
    <row r="1837" spans="1:1">
      <c r="A1837" s="20"/>
    </row>
    <row r="1838" spans="1:1">
      <c r="A1838" s="20"/>
    </row>
    <row r="1839" spans="1:1">
      <c r="A1839" s="20"/>
    </row>
    <row r="1840" spans="1:1">
      <c r="A1840" s="20"/>
    </row>
    <row r="1841" spans="1:1">
      <c r="A1841" s="20"/>
    </row>
    <row r="1842" spans="1:1">
      <c r="A1842" s="20"/>
    </row>
    <row r="1843" spans="1:1">
      <c r="A1843" s="20"/>
    </row>
    <row r="1844" spans="1:1">
      <c r="A1844" s="20"/>
    </row>
    <row r="1845" spans="1:1">
      <c r="A1845" s="20"/>
    </row>
    <row r="1846" spans="1:1">
      <c r="A1846" s="20"/>
    </row>
    <row r="1847" spans="1:1">
      <c r="A1847" s="20"/>
    </row>
    <row r="1848" spans="1:1">
      <c r="A1848" s="20"/>
    </row>
    <row r="1849" spans="1:1">
      <c r="A1849" s="20"/>
    </row>
    <row r="1850" spans="1:1">
      <c r="A1850" s="20"/>
    </row>
    <row r="1851" spans="1:1">
      <c r="A1851" s="20"/>
    </row>
    <row r="1852" spans="1:1">
      <c r="A1852" s="20"/>
    </row>
    <row r="1853" spans="1:1">
      <c r="A1853" s="20"/>
    </row>
    <row r="1854" spans="1:1">
      <c r="A1854" s="20"/>
    </row>
    <row r="1855" spans="1:1">
      <c r="A1855" s="20"/>
    </row>
    <row r="1856" spans="1:1">
      <c r="A1856" s="20"/>
    </row>
    <row r="1857" spans="1:1">
      <c r="A1857" s="20"/>
    </row>
    <row r="1858" spans="1:1">
      <c r="A1858" s="20"/>
    </row>
    <row r="1859" spans="1:1">
      <c r="A1859" s="20"/>
    </row>
    <row r="1860" spans="1:1">
      <c r="A1860" s="20"/>
    </row>
    <row r="1861" spans="1:1">
      <c r="A1861" s="20"/>
    </row>
    <row r="1862" spans="1:1">
      <c r="A1862" s="20"/>
    </row>
    <row r="1863" spans="1:1">
      <c r="A1863" s="20"/>
    </row>
    <row r="1864" spans="1:1">
      <c r="A1864" s="20"/>
    </row>
    <row r="1865" spans="1:1">
      <c r="A1865" s="20"/>
    </row>
    <row r="1866" spans="1:1">
      <c r="A1866" s="20"/>
    </row>
    <row r="1867" spans="1:1">
      <c r="A1867" s="20"/>
    </row>
    <row r="1868" spans="1:1">
      <c r="A1868" s="20"/>
    </row>
    <row r="1869" spans="1:1">
      <c r="A1869" s="20"/>
    </row>
    <row r="1870" spans="1:1">
      <c r="A1870" s="20"/>
    </row>
    <row r="1871" spans="1:1">
      <c r="A1871" s="20"/>
    </row>
    <row r="1872" spans="1:1">
      <c r="A1872" s="20"/>
    </row>
    <row r="1873" spans="1:1">
      <c r="A1873" s="20"/>
    </row>
    <row r="1874" spans="1:1">
      <c r="A1874" s="20"/>
    </row>
    <row r="1875" spans="1:1">
      <c r="A1875" s="20"/>
    </row>
    <row r="1876" spans="1:1">
      <c r="A1876" s="20"/>
    </row>
    <row r="1877" spans="1:1">
      <c r="A1877" s="20"/>
    </row>
    <row r="1878" spans="1:1">
      <c r="A1878" s="20"/>
    </row>
    <row r="1879" spans="1:1">
      <c r="A1879" s="20"/>
    </row>
    <row r="1880" spans="1:1">
      <c r="A1880" s="20"/>
    </row>
    <row r="1881" spans="1:1">
      <c r="A1881" s="20"/>
    </row>
    <row r="1882" spans="1:1">
      <c r="A1882" s="20"/>
    </row>
    <row r="1883" spans="1:1">
      <c r="A1883" s="20"/>
    </row>
    <row r="1884" spans="1:1">
      <c r="A1884" s="20"/>
    </row>
    <row r="1885" spans="1:1">
      <c r="A1885" s="20"/>
    </row>
    <row r="1886" spans="1:1">
      <c r="A1886" s="20"/>
    </row>
    <row r="1887" spans="1:1">
      <c r="A1887" s="20"/>
    </row>
    <row r="1888" spans="1:1">
      <c r="A1888" s="20"/>
    </row>
    <row r="1889" spans="1:1">
      <c r="A1889" s="20"/>
    </row>
    <row r="1890" spans="1:1">
      <c r="A1890" s="20"/>
    </row>
    <row r="1891" spans="1:1">
      <c r="A1891" s="20"/>
    </row>
    <row r="1892" spans="1:1">
      <c r="A1892" s="20"/>
    </row>
    <row r="1893" spans="1:1">
      <c r="A1893" s="20"/>
    </row>
    <row r="1894" spans="1:1">
      <c r="A1894" s="20"/>
    </row>
    <row r="1895" spans="1:1">
      <c r="A1895" s="20"/>
    </row>
    <row r="1896" spans="1:1">
      <c r="A1896" s="20"/>
    </row>
    <row r="1897" spans="1:1">
      <c r="A1897" s="20"/>
    </row>
    <row r="1898" spans="1:1">
      <c r="A1898" s="20"/>
    </row>
    <row r="1899" spans="1:1">
      <c r="A1899" s="20"/>
    </row>
    <row r="1900" spans="1:1">
      <c r="A1900" s="20"/>
    </row>
    <row r="1901" spans="1:1">
      <c r="A1901" s="20"/>
    </row>
    <row r="1902" spans="1:1">
      <c r="A1902" s="20"/>
    </row>
    <row r="1903" spans="1:1">
      <c r="A1903" s="20"/>
    </row>
    <row r="1904" spans="1:1">
      <c r="A1904" s="20"/>
    </row>
    <row r="1905" spans="1:1">
      <c r="A1905" s="20"/>
    </row>
    <row r="1906" spans="1:1">
      <c r="A1906" s="20"/>
    </row>
    <row r="1907" spans="1:1">
      <c r="A1907" s="20"/>
    </row>
    <row r="1908" spans="1:1">
      <c r="A1908" s="20"/>
    </row>
    <row r="1909" spans="1:1">
      <c r="A1909" s="20"/>
    </row>
    <row r="1910" spans="1:1">
      <c r="A1910" s="20"/>
    </row>
    <row r="1911" spans="1:1">
      <c r="A1911" s="20"/>
    </row>
    <row r="1912" spans="1:1">
      <c r="A1912" s="20"/>
    </row>
    <row r="1913" spans="1:1">
      <c r="A1913" s="20"/>
    </row>
    <row r="1914" spans="1:1">
      <c r="A1914" s="20"/>
    </row>
    <row r="1915" spans="1:1">
      <c r="A1915" s="20"/>
    </row>
    <row r="1916" spans="1:1">
      <c r="A1916" s="20"/>
    </row>
    <row r="1917" spans="1:1">
      <c r="A1917" s="20"/>
    </row>
    <row r="1918" spans="1:1">
      <c r="A1918" s="20"/>
    </row>
    <row r="1919" spans="1:1">
      <c r="A1919" s="20"/>
    </row>
    <row r="1920" spans="1:1">
      <c r="A1920" s="20"/>
    </row>
    <row r="1921" spans="1:1">
      <c r="A1921" s="20"/>
    </row>
    <row r="1922" spans="1:1">
      <c r="A1922" s="20"/>
    </row>
    <row r="1923" spans="1:1">
      <c r="A1923" s="20"/>
    </row>
    <row r="1924" spans="1:1">
      <c r="A1924" s="20"/>
    </row>
    <row r="1925" spans="1:1">
      <c r="A1925" s="20"/>
    </row>
    <row r="1926" spans="1:1">
      <c r="A1926" s="20"/>
    </row>
    <row r="1927" spans="1:1">
      <c r="A1927" s="20"/>
    </row>
    <row r="1928" spans="1:1">
      <c r="A1928" s="20"/>
    </row>
    <row r="1929" spans="1:1">
      <c r="A1929" s="20"/>
    </row>
    <row r="1930" spans="1:1">
      <c r="A1930" s="20"/>
    </row>
    <row r="1931" spans="1:1">
      <c r="A1931" s="20"/>
    </row>
    <row r="1932" spans="1:1">
      <c r="A1932" s="20"/>
    </row>
    <row r="1933" spans="1:1">
      <c r="A1933" s="20"/>
    </row>
    <row r="1934" spans="1:1">
      <c r="A1934" s="20"/>
    </row>
    <row r="1935" spans="1:1">
      <c r="A1935" s="20"/>
    </row>
    <row r="1936" spans="1:1">
      <c r="A1936" s="20"/>
    </row>
    <row r="1937" spans="1:1">
      <c r="A1937" s="20"/>
    </row>
    <row r="1938" spans="1:1">
      <c r="A1938" s="20"/>
    </row>
    <row r="1939" spans="1:1">
      <c r="A1939" s="20"/>
    </row>
    <row r="1940" spans="1:1">
      <c r="A1940" s="20"/>
    </row>
    <row r="1941" spans="1:1">
      <c r="A1941" s="20"/>
    </row>
    <row r="1942" spans="1:1">
      <c r="A1942" s="20"/>
    </row>
    <row r="1943" spans="1:1">
      <c r="A1943" s="20"/>
    </row>
    <row r="1944" spans="1:1">
      <c r="A1944" s="20"/>
    </row>
    <row r="1945" spans="1:1">
      <c r="A1945" s="20"/>
    </row>
    <row r="1946" spans="1:1">
      <c r="A1946" s="20"/>
    </row>
    <row r="1947" spans="1:1">
      <c r="A1947" s="20"/>
    </row>
    <row r="1948" spans="1:1">
      <c r="A1948" s="20"/>
    </row>
    <row r="1949" spans="1:1">
      <c r="A1949" s="20"/>
    </row>
    <row r="1950" spans="1:1">
      <c r="A1950" s="20"/>
    </row>
    <row r="1951" spans="1:1">
      <c r="A1951" s="20"/>
    </row>
    <row r="1952" spans="1:1">
      <c r="A1952" s="20"/>
    </row>
    <row r="1953" spans="1:1">
      <c r="A1953" s="20"/>
    </row>
    <row r="1954" spans="1:1">
      <c r="A1954" s="20"/>
    </row>
    <row r="1955" spans="1:1">
      <c r="A1955" s="20"/>
    </row>
    <row r="1956" spans="1:1">
      <c r="A1956" s="20"/>
    </row>
    <row r="1957" spans="1:1">
      <c r="A1957" s="20"/>
    </row>
    <row r="1958" spans="1:1">
      <c r="A1958" s="20"/>
    </row>
    <row r="1959" spans="1:1">
      <c r="A1959" s="20"/>
    </row>
    <row r="1960" spans="1:1">
      <c r="A1960" s="20"/>
    </row>
    <row r="1961" spans="1:1">
      <c r="A1961" s="20"/>
    </row>
    <row r="1962" spans="1:1">
      <c r="A1962" s="20"/>
    </row>
    <row r="1963" spans="1:1">
      <c r="A1963" s="20"/>
    </row>
    <row r="1964" spans="1:1">
      <c r="A1964" s="20"/>
    </row>
    <row r="1965" spans="1:1">
      <c r="A1965" s="20"/>
    </row>
    <row r="1966" spans="1:1">
      <c r="A1966" s="20"/>
    </row>
    <row r="1967" spans="1:1">
      <c r="A1967" s="20"/>
    </row>
    <row r="1968" spans="1:1">
      <c r="A1968" s="20"/>
    </row>
    <row r="1969" spans="1:1">
      <c r="A1969" s="20"/>
    </row>
    <row r="1970" spans="1:1">
      <c r="A1970" s="20"/>
    </row>
    <row r="1971" spans="1:1">
      <c r="A1971" s="20"/>
    </row>
    <row r="1972" spans="1:1">
      <c r="A1972" s="20"/>
    </row>
    <row r="1973" spans="1:1">
      <c r="A1973" s="20"/>
    </row>
    <row r="1974" spans="1:1">
      <c r="A1974" s="20"/>
    </row>
    <row r="1975" spans="1:1">
      <c r="A1975" s="20"/>
    </row>
    <row r="1976" spans="1:1">
      <c r="A1976" s="20"/>
    </row>
    <row r="1977" spans="1:1">
      <c r="A1977" s="20"/>
    </row>
    <row r="1978" spans="1:1">
      <c r="A1978" s="20"/>
    </row>
    <row r="1979" spans="1:1">
      <c r="A1979" s="20"/>
    </row>
    <row r="1980" spans="1:1">
      <c r="A1980" s="20"/>
    </row>
    <row r="1981" spans="1:1">
      <c r="A1981" s="20"/>
    </row>
    <row r="1982" spans="1:1">
      <c r="A1982" s="20"/>
    </row>
    <row r="1983" spans="1:1">
      <c r="A1983" s="20"/>
    </row>
    <row r="1984" spans="1:1">
      <c r="A1984" s="20"/>
    </row>
    <row r="1985" spans="1:1">
      <c r="A1985" s="20"/>
    </row>
    <row r="1986" spans="1:1">
      <c r="A1986" s="20"/>
    </row>
    <row r="1987" spans="1:1">
      <c r="A1987" s="20"/>
    </row>
    <row r="1988" spans="1:1">
      <c r="A1988" s="20"/>
    </row>
    <row r="1989" spans="1:1">
      <c r="A1989" s="20"/>
    </row>
    <row r="1990" spans="1:1">
      <c r="A1990" s="20"/>
    </row>
    <row r="1991" spans="1:1">
      <c r="A1991" s="20"/>
    </row>
    <row r="1992" spans="1:1">
      <c r="A1992" s="20"/>
    </row>
    <row r="1993" spans="1:1">
      <c r="A1993" s="20"/>
    </row>
    <row r="1994" spans="1:1">
      <c r="A1994" s="20"/>
    </row>
    <row r="1995" spans="1:1">
      <c r="A1995" s="20"/>
    </row>
    <row r="1996" spans="1:1">
      <c r="A1996" s="20"/>
    </row>
    <row r="1997" spans="1:1">
      <c r="A1997" s="20"/>
    </row>
    <row r="1998" spans="1:1">
      <c r="A1998" s="20"/>
    </row>
    <row r="1999" spans="1:1">
      <c r="A1999" s="20"/>
    </row>
    <row r="2000" spans="1:1">
      <c r="A2000" s="20"/>
    </row>
    <row r="2001" spans="1:1">
      <c r="A2001" s="20"/>
    </row>
    <row r="2002" spans="1:1">
      <c r="A2002" s="20"/>
    </row>
    <row r="2003" spans="1:1">
      <c r="A2003" s="20"/>
    </row>
    <row r="2004" spans="1:1">
      <c r="A2004" s="20"/>
    </row>
    <row r="2005" spans="1:1">
      <c r="A2005" s="20"/>
    </row>
    <row r="2006" spans="1:1">
      <c r="A2006" s="20"/>
    </row>
    <row r="2007" spans="1:1">
      <c r="A2007" s="20"/>
    </row>
    <row r="2008" spans="1:1">
      <c r="A2008" s="20"/>
    </row>
    <row r="2009" spans="1:1">
      <c r="A2009" s="20"/>
    </row>
    <row r="2010" spans="1:1">
      <c r="A2010" s="20"/>
    </row>
    <row r="2011" spans="1:1">
      <c r="A2011" s="20"/>
    </row>
    <row r="2012" spans="1:1">
      <c r="A2012" s="20"/>
    </row>
    <row r="2013" spans="1:1">
      <c r="A2013" s="20"/>
    </row>
    <row r="2014" spans="1:1">
      <c r="A2014" s="20"/>
    </row>
    <row r="2015" spans="1:1">
      <c r="A2015" s="20"/>
    </row>
    <row r="2016" spans="1:1">
      <c r="A2016" s="20"/>
    </row>
    <row r="2017" spans="1:1">
      <c r="A2017" s="20"/>
    </row>
    <row r="2018" spans="1:1">
      <c r="A2018" s="20"/>
    </row>
    <row r="2019" spans="1:1">
      <c r="A2019" s="20"/>
    </row>
    <row r="2020" spans="1:1">
      <c r="A2020" s="20"/>
    </row>
    <row r="2021" spans="1:1">
      <c r="A2021" s="20"/>
    </row>
    <row r="2022" spans="1:1">
      <c r="A2022" s="20"/>
    </row>
    <row r="2023" spans="1:1">
      <c r="A2023" s="20"/>
    </row>
    <row r="2024" spans="1:1">
      <c r="A2024" s="20"/>
    </row>
    <row r="2025" spans="1:1">
      <c r="A2025" s="20"/>
    </row>
    <row r="2026" spans="1:1">
      <c r="A2026" s="20"/>
    </row>
    <row r="2027" spans="1:1">
      <c r="A2027" s="20"/>
    </row>
    <row r="2028" spans="1:1">
      <c r="A2028" s="20"/>
    </row>
    <row r="2029" spans="1:1">
      <c r="A2029" s="20"/>
    </row>
    <row r="2030" spans="1:1">
      <c r="A2030" s="20"/>
    </row>
    <row r="2031" spans="1:1">
      <c r="A2031" s="20"/>
    </row>
    <row r="2032" spans="1:1">
      <c r="A2032" s="20"/>
    </row>
    <row r="2033" spans="1:1">
      <c r="A2033" s="20"/>
    </row>
    <row r="2034" spans="1:1">
      <c r="A2034" s="20"/>
    </row>
    <row r="2035" spans="1:1">
      <c r="A2035" s="20"/>
    </row>
    <row r="2036" spans="1:1">
      <c r="A2036" s="20"/>
    </row>
    <row r="2037" spans="1:1">
      <c r="A2037" s="20"/>
    </row>
    <row r="2038" spans="1:1">
      <c r="A2038" s="20"/>
    </row>
    <row r="2039" spans="1:1">
      <c r="A2039" s="20"/>
    </row>
    <row r="2040" spans="1:1">
      <c r="A2040" s="20"/>
    </row>
    <row r="2041" spans="1:1">
      <c r="A2041" s="20"/>
    </row>
    <row r="2042" spans="1:1">
      <c r="A2042" s="20"/>
    </row>
    <row r="2043" spans="1:1">
      <c r="A2043" s="20"/>
    </row>
    <row r="2044" spans="1:1">
      <c r="A2044" s="20"/>
    </row>
    <row r="2045" spans="1:1">
      <c r="A2045" s="20"/>
    </row>
    <row r="2046" spans="1:1">
      <c r="A2046" s="20"/>
    </row>
    <row r="2047" spans="1:1">
      <c r="A2047" s="20"/>
    </row>
    <row r="2048" spans="1:1">
      <c r="A2048" s="20"/>
    </row>
    <row r="2049" spans="1:1">
      <c r="A2049" s="20"/>
    </row>
    <row r="2050" spans="1:1">
      <c r="A2050" s="20"/>
    </row>
    <row r="2051" spans="1:1">
      <c r="A2051" s="20"/>
    </row>
    <row r="2052" spans="1:1">
      <c r="A2052" s="20"/>
    </row>
    <row r="2053" spans="1:1">
      <c r="A2053" s="20"/>
    </row>
    <row r="2054" spans="1:1">
      <c r="A2054" s="20"/>
    </row>
    <row r="2055" spans="1:1">
      <c r="A2055" s="20"/>
    </row>
    <row r="2056" spans="1:1">
      <c r="A2056" s="20"/>
    </row>
    <row r="2057" spans="1:1">
      <c r="A2057" s="20"/>
    </row>
    <row r="2058" spans="1:1">
      <c r="A2058" s="20"/>
    </row>
    <row r="2059" spans="1:1">
      <c r="A2059" s="20"/>
    </row>
    <row r="2060" spans="1:1">
      <c r="A2060" s="20"/>
    </row>
    <row r="2061" spans="1:1">
      <c r="A2061" s="20"/>
    </row>
    <row r="2062" spans="1:1">
      <c r="A2062" s="20"/>
    </row>
    <row r="2063" spans="1:1">
      <c r="A2063" s="20"/>
    </row>
    <row r="2064" spans="1:1">
      <c r="A2064" s="20"/>
    </row>
    <row r="2065" spans="1:1">
      <c r="A2065" s="20"/>
    </row>
    <row r="2066" spans="1:1">
      <c r="A2066" s="20"/>
    </row>
    <row r="2067" spans="1:1">
      <c r="A2067" s="20"/>
    </row>
    <row r="2068" spans="1:1">
      <c r="A2068" s="20"/>
    </row>
    <row r="2069" spans="1:1">
      <c r="A2069" s="20"/>
    </row>
    <row r="2070" spans="1:1">
      <c r="A2070" s="20"/>
    </row>
    <row r="2071" spans="1:1">
      <c r="A2071" s="20"/>
    </row>
    <row r="2072" spans="1:1">
      <c r="A2072" s="20"/>
    </row>
    <row r="2073" spans="1:1">
      <c r="A2073" s="20"/>
    </row>
    <row r="2074" spans="1:1">
      <c r="A2074" s="20"/>
    </row>
    <row r="2075" spans="1:1">
      <c r="A2075" s="20"/>
    </row>
    <row r="2076" spans="1:1">
      <c r="A2076" s="20"/>
    </row>
    <row r="2077" spans="1:1">
      <c r="A2077" s="20"/>
    </row>
    <row r="2078" spans="1:1">
      <c r="A2078" s="20"/>
    </row>
    <row r="2079" spans="1:1">
      <c r="A2079" s="20"/>
    </row>
    <row r="2080" spans="1:1">
      <c r="A2080" s="20"/>
    </row>
    <row r="2081" spans="1:1">
      <c r="A2081" s="20"/>
    </row>
    <row r="2082" spans="1:1">
      <c r="A2082" s="20"/>
    </row>
    <row r="2083" spans="1:1">
      <c r="A2083" s="20"/>
    </row>
    <row r="2084" spans="1:1">
      <c r="A2084" s="20"/>
    </row>
    <row r="2085" spans="1:1">
      <c r="A2085" s="20"/>
    </row>
    <row r="2086" spans="1:1">
      <c r="A2086" s="20"/>
    </row>
    <row r="2087" spans="1:1">
      <c r="A2087" s="20"/>
    </row>
    <row r="2088" spans="1:1">
      <c r="A2088" s="20"/>
    </row>
  </sheetData>
  <hyperlinks>
    <hyperlink ref="F21" r:id="rId1" xr:uid="{FA49D49F-F027-D141-B506-DD3B38B733D3}"/>
    <hyperlink ref="F64" r:id="rId2" xr:uid="{80F33AEE-CE47-3747-90DD-9049BCF62F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B483-17D6-9140-803A-E851E4AE0152}">
  <dimension ref="A1"/>
  <sheetViews>
    <sheetView workbookViewId="0">
      <selection activeCell="F33" sqref="F33"/>
    </sheetView>
  </sheetViews>
  <sheetFormatPr baseColWidth="10" defaultRowHeight="16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0FB5-894E-B740-B6F6-2D457A97DB2F}">
  <sheetPr>
    <tabColor theme="5"/>
  </sheetPr>
  <dimension ref="A1:X160"/>
  <sheetViews>
    <sheetView zoomScale="90" zoomScaleNormal="90" workbookViewId="0">
      <pane ySplit="1" topLeftCell="A2" activePane="bottomLeft" state="frozen"/>
      <selection activeCell="C1" sqref="C1"/>
      <selection pane="bottomLeft"/>
    </sheetView>
  </sheetViews>
  <sheetFormatPr baseColWidth="10" defaultRowHeight="14"/>
  <cols>
    <col min="1" max="1" width="17" style="71" customWidth="1"/>
    <col min="2" max="2" width="46.83203125" style="20" customWidth="1"/>
    <col min="3" max="3" width="18.83203125" style="20" customWidth="1"/>
    <col min="4" max="4" width="21.5" style="20" customWidth="1"/>
    <col min="5" max="5" width="15" style="20" bestFit="1" customWidth="1"/>
    <col min="6" max="6" width="15" style="20" customWidth="1"/>
    <col min="7" max="7" width="16.6640625" style="20" customWidth="1"/>
    <col min="8" max="8" width="4.83203125" style="20" customWidth="1"/>
    <col min="9" max="16" width="15" style="20" bestFit="1" customWidth="1"/>
    <col min="17" max="17" width="13.1640625" style="20" customWidth="1"/>
    <col min="18" max="18" width="13" style="20" customWidth="1"/>
    <col min="19" max="19" width="14.33203125" style="20" customWidth="1"/>
    <col min="20" max="20" width="12" style="20" customWidth="1"/>
    <col min="21" max="21" width="12.83203125" style="20" customWidth="1"/>
    <col min="22" max="22" width="14.33203125" style="20" customWidth="1"/>
    <col min="23" max="23" width="13" style="20" customWidth="1"/>
    <col min="24" max="24" width="14.1640625" style="20" customWidth="1"/>
    <col min="25" max="36" width="10.83203125" style="20" customWidth="1"/>
    <col min="37" max="16384" width="10.83203125" style="20"/>
  </cols>
  <sheetData>
    <row r="1" spans="1:24" ht="20" thickBot="1">
      <c r="A1" s="207" t="s">
        <v>19</v>
      </c>
      <c r="B1" s="14" t="s">
        <v>16</v>
      </c>
      <c r="C1" s="15" t="s">
        <v>17</v>
      </c>
      <c r="D1" s="16" t="s">
        <v>40</v>
      </c>
      <c r="E1" s="16" t="s">
        <v>29</v>
      </c>
      <c r="F1" s="16" t="s">
        <v>68</v>
      </c>
      <c r="G1" s="16" t="s">
        <v>34</v>
      </c>
      <c r="H1" s="98"/>
      <c r="I1" s="17">
        <f>Предпоссылки!I1</f>
        <v>2023</v>
      </c>
      <c r="J1" s="17">
        <f>Предпоссылки!J1</f>
        <v>2024</v>
      </c>
      <c r="K1" s="17">
        <f>Предпоссылки!K1</f>
        <v>2025</v>
      </c>
      <c r="L1" s="17">
        <f>Предпоссылки!L1</f>
        <v>2026</v>
      </c>
      <c r="M1" s="17">
        <f>Предпоссылки!M1</f>
        <v>2027</v>
      </c>
      <c r="N1" s="17">
        <f>Предпоссылки!N1</f>
        <v>2028</v>
      </c>
      <c r="O1" s="17">
        <f>Предпоссылки!O1</f>
        <v>2029</v>
      </c>
      <c r="P1" s="17">
        <f>Предпоссылки!P1</f>
        <v>2030</v>
      </c>
      <c r="Q1" s="17">
        <f>Предпоссылки!Q1</f>
        <v>2031</v>
      </c>
      <c r="R1" s="17">
        <f>Предпоссылки!R1</f>
        <v>2032</v>
      </c>
      <c r="S1" s="17">
        <f>Предпоссылки!S1</f>
        <v>2033</v>
      </c>
      <c r="T1" s="17">
        <f>Предпоссылки!T1</f>
        <v>2034</v>
      </c>
      <c r="U1" s="17">
        <f>Предпоссылки!U1</f>
        <v>2035</v>
      </c>
      <c r="V1" s="17">
        <f>Предпоссылки!V1</f>
        <v>2036</v>
      </c>
      <c r="W1" s="17">
        <f>Предпоссылки!W1</f>
        <v>2037</v>
      </c>
      <c r="X1" s="17">
        <f>Предпоссылки!X1</f>
        <v>2038</v>
      </c>
    </row>
    <row r="2" spans="1:24" ht="15" thickBot="1">
      <c r="A2" s="20" t="s">
        <v>80</v>
      </c>
      <c r="B2" s="22" t="s">
        <v>176</v>
      </c>
      <c r="C2" s="22" t="s">
        <v>175</v>
      </c>
      <c r="H2" s="47"/>
      <c r="I2" s="67">
        <v>0</v>
      </c>
      <c r="J2" s="67">
        <v>1</v>
      </c>
      <c r="K2" s="67">
        <v>2</v>
      </c>
      <c r="L2" s="67">
        <v>3</v>
      </c>
      <c r="M2" s="67">
        <v>4</v>
      </c>
      <c r="N2" s="67">
        <v>5</v>
      </c>
      <c r="O2" s="67">
        <v>6</v>
      </c>
      <c r="P2" s="67">
        <v>7</v>
      </c>
      <c r="Q2" s="67">
        <v>8</v>
      </c>
      <c r="R2" s="67">
        <v>9</v>
      </c>
      <c r="S2" s="67">
        <v>10</v>
      </c>
      <c r="T2" s="67">
        <v>11</v>
      </c>
      <c r="U2" s="67">
        <v>12</v>
      </c>
      <c r="V2" s="67">
        <v>13</v>
      </c>
      <c r="W2" s="67">
        <v>14</v>
      </c>
      <c r="X2" s="67">
        <v>15</v>
      </c>
    </row>
    <row r="3" spans="1:24" ht="15" thickBot="1">
      <c r="A3" s="72" t="s">
        <v>138</v>
      </c>
      <c r="B3" s="89" t="s">
        <v>132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89"/>
      <c r="R3" s="53"/>
      <c r="S3" s="53"/>
      <c r="T3" s="53"/>
      <c r="U3" s="53"/>
      <c r="V3" s="53"/>
      <c r="W3" s="53"/>
      <c r="X3" s="54"/>
    </row>
    <row r="5" spans="1:24">
      <c r="B5" s="20" t="s">
        <v>20</v>
      </c>
      <c r="C5" s="21" t="s">
        <v>23</v>
      </c>
      <c r="I5" s="139">
        <f>Предпоссылки!I58</f>
        <v>0</v>
      </c>
      <c r="J5" s="139">
        <f>Предпоссылки!J58</f>
        <v>0</v>
      </c>
      <c r="K5" s="139">
        <f>Предпоссылки!K58</f>
        <v>162060000</v>
      </c>
      <c r="L5" s="139">
        <f>Предпоссылки!L58</f>
        <v>183960000</v>
      </c>
      <c r="M5" s="139">
        <f>Предпоссылки!M58</f>
        <v>185000000</v>
      </c>
      <c r="N5" s="139">
        <f>Предпоссылки!N58</f>
        <v>185506849.31506848</v>
      </c>
      <c r="O5" s="139">
        <f>Предпоссылки!O58</f>
        <v>185000000</v>
      </c>
      <c r="P5" s="139">
        <f>Предпоссылки!P58</f>
        <v>185000000</v>
      </c>
      <c r="Q5" s="139">
        <f>Предпоссылки!Q58</f>
        <v>185000000</v>
      </c>
      <c r="R5" s="139">
        <f>Предпоссылки!R58</f>
        <v>185506849.31506848</v>
      </c>
      <c r="S5" s="139">
        <f>Предпоссылки!S58</f>
        <v>185000000</v>
      </c>
      <c r="T5" s="139">
        <f>Предпоссылки!T58</f>
        <v>185000000</v>
      </c>
      <c r="U5" s="139">
        <f>Предпоссылки!U58</f>
        <v>185000000</v>
      </c>
      <c r="V5" s="139">
        <f>Предпоссылки!V58</f>
        <v>185506849.31506848</v>
      </c>
      <c r="W5" s="139">
        <f>Предпоссылки!W58</f>
        <v>185000000</v>
      </c>
      <c r="X5" s="139">
        <f>Предпоссылки!X58</f>
        <v>185000000</v>
      </c>
    </row>
    <row r="6" spans="1:24">
      <c r="B6" s="20" t="s">
        <v>24</v>
      </c>
      <c r="C6" s="21" t="s">
        <v>25</v>
      </c>
      <c r="I6" s="139">
        <f>Предпоссылки!I59</f>
        <v>0</v>
      </c>
      <c r="J6" s="139">
        <f>Предпоссылки!J59</f>
        <v>0</v>
      </c>
      <c r="K6" s="139">
        <f>Предпоссылки!K59</f>
        <v>60444</v>
      </c>
      <c r="L6" s="139">
        <f>Предпоссылки!L59</f>
        <v>60444</v>
      </c>
      <c r="M6" s="139">
        <f>Предпоссылки!M59</f>
        <v>60000</v>
      </c>
      <c r="N6" s="139">
        <f>Предпоссылки!N59</f>
        <v>60164.38356164383</v>
      </c>
      <c r="O6" s="139">
        <f>Предпоссылки!O59</f>
        <v>60000</v>
      </c>
      <c r="P6" s="139">
        <f>Предпоссылки!P59</f>
        <v>60000</v>
      </c>
      <c r="Q6" s="139">
        <f>Предпоссылки!Q59</f>
        <v>60000</v>
      </c>
      <c r="R6" s="139">
        <f>Предпоссылки!R59</f>
        <v>60164.38356164383</v>
      </c>
      <c r="S6" s="139">
        <f>Предпоссылки!S59</f>
        <v>60000</v>
      </c>
      <c r="T6" s="139">
        <f>Предпоссылки!T59</f>
        <v>60000</v>
      </c>
      <c r="U6" s="139">
        <f>Предпоссылки!U59</f>
        <v>60000</v>
      </c>
      <c r="V6" s="139">
        <f>Предпоссылки!V59</f>
        <v>60164.38356164383</v>
      </c>
      <c r="W6" s="139">
        <f>Предпоссылки!W59</f>
        <v>60000</v>
      </c>
      <c r="X6" s="139">
        <f>Предпоссылки!X59</f>
        <v>60000</v>
      </c>
    </row>
    <row r="7" spans="1:24">
      <c r="C7" s="21"/>
      <c r="I7" s="130"/>
      <c r="J7" s="130"/>
      <c r="K7" s="130"/>
      <c r="L7" s="130"/>
      <c r="M7" s="130"/>
      <c r="N7" s="130"/>
      <c r="O7" s="130"/>
      <c r="P7" s="130"/>
    </row>
    <row r="8" spans="1:24">
      <c r="B8" s="20" t="s">
        <v>133</v>
      </c>
      <c r="C8" s="20" t="s">
        <v>65</v>
      </c>
      <c r="I8" s="139">
        <f>Предпоссылки!$D$63</f>
        <v>3</v>
      </c>
      <c r="J8" s="140">
        <f>I8*(1+Предпоссылки!J64)</f>
        <v>3.18</v>
      </c>
      <c r="K8" s="139">
        <f>J8*(1+Предпоссылки!K64)</f>
        <v>3.3390000000000004</v>
      </c>
      <c r="L8" s="139">
        <f>K8*(1+Предпоссылки!L64)</f>
        <v>3.4725600000000005</v>
      </c>
      <c r="M8" s="139">
        <f>L8*(1+Предпоссылки!M64)</f>
        <v>3.6114624000000006</v>
      </c>
      <c r="N8" s="139">
        <f>M8*(1+Предпоссылки!N64)</f>
        <v>3.7559208960000006</v>
      </c>
      <c r="O8" s="139">
        <f>N8*(1+Предпоссылки!O64)</f>
        <v>3.9061577318400009</v>
      </c>
      <c r="P8" s="139">
        <f>O8*(1+Предпоссылки!P64)</f>
        <v>4.0624040411136013</v>
      </c>
      <c r="Q8" s="139">
        <f>P8*(1+Предпоссылки!Q64)</f>
        <v>4.2249002027581453</v>
      </c>
      <c r="R8" s="139">
        <f>Q8*(1+Предпоссылки!R64)</f>
        <v>4.3938962108684709</v>
      </c>
      <c r="S8" s="139">
        <f>R8*(1+Предпоссылки!S64)</f>
        <v>4.5696520593032099</v>
      </c>
      <c r="T8" s="139">
        <f>S8*(1+Предпоссылки!T64)</f>
        <v>4.7524381416753387</v>
      </c>
      <c r="U8" s="139">
        <f>T8*(1+Предпоссылки!U64)</f>
        <v>4.9425356673423524</v>
      </c>
      <c r="V8" s="139">
        <f>U8*(1+Предпоссылки!V64)</f>
        <v>5.1402370940360465</v>
      </c>
      <c r="W8" s="139">
        <f>V8*(1+Предпоссылки!W64)</f>
        <v>5.3458465777974888</v>
      </c>
      <c r="X8" s="139">
        <f>W8*(1+Предпоссылки!X64)</f>
        <v>5.5596804409093883</v>
      </c>
    </row>
    <row r="9" spans="1:24">
      <c r="B9" s="20" t="s">
        <v>134</v>
      </c>
      <c r="C9" s="20" t="s">
        <v>65</v>
      </c>
      <c r="I9" s="139">
        <f>Предпоссылки!$D$65</f>
        <v>1000</v>
      </c>
      <c r="J9" s="140">
        <f>I9*(1+Предпоссылки!J66)</f>
        <v>1060</v>
      </c>
      <c r="K9" s="139">
        <f>J9*(1+Предпоссылки!K66)</f>
        <v>1113</v>
      </c>
      <c r="L9" s="139">
        <f>K9*(1+Предпоссылки!L66)</f>
        <v>1157.52</v>
      </c>
      <c r="M9" s="139">
        <f>L9*(1+Предпоссылки!M66)</f>
        <v>1203.8208</v>
      </c>
      <c r="N9" s="139">
        <f>M9*(1+Предпоссылки!N66)</f>
        <v>1251.973632</v>
      </c>
      <c r="O9" s="139">
        <f>N9*(1+Предпоссылки!O66)</f>
        <v>1302.0525772799999</v>
      </c>
      <c r="P9" s="139">
        <f>O9*(1+Предпоссылки!P66)</f>
        <v>1354.1346803711999</v>
      </c>
      <c r="Q9" s="139">
        <f>P9*(1+Предпоссылки!Q66)</f>
        <v>1408.300067586048</v>
      </c>
      <c r="R9" s="139">
        <f>Q9*(1+Предпоссылки!R66)</f>
        <v>1464.63207028949</v>
      </c>
      <c r="S9" s="139">
        <f>R9*(1+Предпоссылки!S66)</f>
        <v>1523.2173531010696</v>
      </c>
      <c r="T9" s="139">
        <f>S9*(1+Предпоссылки!T66)</f>
        <v>1584.1460472251124</v>
      </c>
      <c r="U9" s="139">
        <f>T9*(1+Предпоссылки!U66)</f>
        <v>1647.5118891141169</v>
      </c>
      <c r="V9" s="139">
        <f>U9*(1+Предпоссылки!V66)</f>
        <v>1713.4123646786816</v>
      </c>
      <c r="W9" s="139">
        <f>V9*(1+Предпоссылки!W66)</f>
        <v>1781.9488592658288</v>
      </c>
      <c r="X9" s="139">
        <f>W9*(1+Предпоссылки!X66)</f>
        <v>1853.2268136364621</v>
      </c>
    </row>
    <row r="11" spans="1:24">
      <c r="B11" s="20" t="s">
        <v>135</v>
      </c>
      <c r="C11" s="20" t="s">
        <v>65</v>
      </c>
      <c r="I11" s="139">
        <f t="shared" ref="I11:X11" si="0">I5*I8</f>
        <v>0</v>
      </c>
      <c r="J11" s="139">
        <f t="shared" si="0"/>
        <v>0</v>
      </c>
      <c r="K11" s="139">
        <f t="shared" si="0"/>
        <v>541118340.00000012</v>
      </c>
      <c r="L11" s="139">
        <f t="shared" si="0"/>
        <v>638812137.60000014</v>
      </c>
      <c r="M11" s="139">
        <f t="shared" si="0"/>
        <v>668120544.00000012</v>
      </c>
      <c r="N11" s="139">
        <f t="shared" si="0"/>
        <v>696749051.69358909</v>
      </c>
      <c r="O11" s="139">
        <f t="shared" si="0"/>
        <v>722639180.39040017</v>
      </c>
      <c r="P11" s="139">
        <f t="shared" si="0"/>
        <v>751544747.60601628</v>
      </c>
      <c r="Q11" s="139">
        <f t="shared" si="0"/>
        <v>781606537.51025689</v>
      </c>
      <c r="R11" s="139">
        <f t="shared" si="0"/>
        <v>815097842.29562783</v>
      </c>
      <c r="S11" s="139">
        <f t="shared" si="0"/>
        <v>845385630.97109389</v>
      </c>
      <c r="T11" s="139">
        <f t="shared" si="0"/>
        <v>879201056.20993769</v>
      </c>
      <c r="U11" s="139">
        <f t="shared" si="0"/>
        <v>914369098.45833516</v>
      </c>
      <c r="V11" s="139">
        <f t="shared" si="0"/>
        <v>953549188.04707038</v>
      </c>
      <c r="W11" s="139">
        <f t="shared" si="0"/>
        <v>988981616.89253545</v>
      </c>
      <c r="X11" s="139">
        <f t="shared" si="0"/>
        <v>1028540881.5682368</v>
      </c>
    </row>
    <row r="12" spans="1:24">
      <c r="B12" s="20" t="s">
        <v>136</v>
      </c>
      <c r="C12" s="20" t="s">
        <v>65</v>
      </c>
      <c r="I12" s="139">
        <f t="shared" ref="I12:X12" si="1">I6*I9</f>
        <v>0</v>
      </c>
      <c r="J12" s="139">
        <f t="shared" si="1"/>
        <v>0</v>
      </c>
      <c r="K12" s="139">
        <f t="shared" si="1"/>
        <v>67274172</v>
      </c>
      <c r="L12" s="139">
        <f t="shared" si="1"/>
        <v>69965138.879999995</v>
      </c>
      <c r="M12" s="139">
        <f t="shared" si="1"/>
        <v>72229248</v>
      </c>
      <c r="N12" s="139">
        <f t="shared" si="1"/>
        <v>75324221.804712325</v>
      </c>
      <c r="O12" s="139">
        <f t="shared" si="1"/>
        <v>78123154.636799991</v>
      </c>
      <c r="P12" s="139">
        <f t="shared" si="1"/>
        <v>81248080.822271988</v>
      </c>
      <c r="Q12" s="139">
        <f t="shared" si="1"/>
        <v>84498004.055162877</v>
      </c>
      <c r="R12" s="139">
        <f t="shared" si="1"/>
        <v>88118685.653581366</v>
      </c>
      <c r="S12" s="139">
        <f t="shared" si="1"/>
        <v>91393041.186064184</v>
      </c>
      <c r="T12" s="139">
        <f t="shared" si="1"/>
        <v>95048762.833506748</v>
      </c>
      <c r="U12" s="139">
        <f t="shared" si="1"/>
        <v>98850713.346847013</v>
      </c>
      <c r="V12" s="139">
        <f t="shared" si="1"/>
        <v>103086398.70779136</v>
      </c>
      <c r="W12" s="139">
        <f t="shared" si="1"/>
        <v>106916931.55594973</v>
      </c>
      <c r="X12" s="139">
        <f t="shared" si="1"/>
        <v>111193608.81818773</v>
      </c>
    </row>
    <row r="13" spans="1:24">
      <c r="I13" s="130"/>
      <c r="J13" s="130"/>
      <c r="K13" s="130"/>
      <c r="L13" s="130"/>
      <c r="M13" s="130"/>
      <c r="N13" s="130"/>
      <c r="O13" s="130"/>
      <c r="P13" s="130"/>
    </row>
    <row r="14" spans="1:24" ht="15" thickBot="1">
      <c r="B14" s="133" t="s">
        <v>137</v>
      </c>
      <c r="C14" s="133" t="s">
        <v>6</v>
      </c>
      <c r="D14" s="133"/>
      <c r="E14" s="133"/>
      <c r="F14" s="133"/>
      <c r="G14" s="133"/>
      <c r="H14" s="133"/>
      <c r="I14" s="133">
        <f>ROUND(((I11+I12)/1000),0)</f>
        <v>0</v>
      </c>
      <c r="J14" s="133">
        <f t="shared" ref="J14:X14" si="2">ROUND(((J11+J12)/1000),0)</f>
        <v>0</v>
      </c>
      <c r="K14" s="133">
        <f t="shared" si="2"/>
        <v>608393</v>
      </c>
      <c r="L14" s="133">
        <f t="shared" si="2"/>
        <v>708777</v>
      </c>
      <c r="M14" s="133">
        <f t="shared" si="2"/>
        <v>740350</v>
      </c>
      <c r="N14" s="133">
        <f t="shared" si="2"/>
        <v>772073</v>
      </c>
      <c r="O14" s="133">
        <f t="shared" si="2"/>
        <v>800762</v>
      </c>
      <c r="P14" s="133">
        <f t="shared" si="2"/>
        <v>832793</v>
      </c>
      <c r="Q14" s="133">
        <f t="shared" si="2"/>
        <v>866105</v>
      </c>
      <c r="R14" s="133">
        <f t="shared" si="2"/>
        <v>903217</v>
      </c>
      <c r="S14" s="133">
        <f t="shared" si="2"/>
        <v>936779</v>
      </c>
      <c r="T14" s="133">
        <f t="shared" si="2"/>
        <v>974250</v>
      </c>
      <c r="U14" s="133">
        <f t="shared" si="2"/>
        <v>1013220</v>
      </c>
      <c r="V14" s="133">
        <f t="shared" si="2"/>
        <v>1056636</v>
      </c>
      <c r="W14" s="133">
        <f t="shared" si="2"/>
        <v>1095899</v>
      </c>
      <c r="X14" s="133">
        <f t="shared" si="2"/>
        <v>1139734</v>
      </c>
    </row>
    <row r="44" spans="2:2">
      <c r="B44" s="18"/>
    </row>
    <row r="156" hidden="1"/>
    <row r="157" hidden="1"/>
    <row r="158" hidden="1"/>
    <row r="159" hidden="1"/>
    <row r="160" hidden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EE0C-A944-A541-9036-C5E8B7F94DCC}">
  <sheetPr>
    <tabColor theme="5"/>
  </sheetPr>
  <dimension ref="A1:X159"/>
  <sheetViews>
    <sheetView zoomScale="90" zoomScaleNormal="90" workbookViewId="0">
      <pane ySplit="1" topLeftCell="A2" activePane="bottomLeft" state="frozen"/>
      <selection activeCell="C1" sqref="C1"/>
      <selection pane="bottomLeft"/>
    </sheetView>
  </sheetViews>
  <sheetFormatPr baseColWidth="10" defaultRowHeight="14"/>
  <cols>
    <col min="1" max="1" width="17" style="71" customWidth="1"/>
    <col min="2" max="2" width="46.83203125" style="20" customWidth="1"/>
    <col min="3" max="3" width="18.83203125" style="20" customWidth="1"/>
    <col min="4" max="4" width="21.5" style="20" customWidth="1"/>
    <col min="5" max="5" width="15" style="20" bestFit="1" customWidth="1"/>
    <col min="6" max="6" width="15" style="20" customWidth="1"/>
    <col min="7" max="7" width="16.6640625" style="20" customWidth="1"/>
    <col min="8" max="8" width="4.83203125" style="20" customWidth="1"/>
    <col min="9" max="16" width="15" style="20" bestFit="1" customWidth="1"/>
    <col min="17" max="16384" width="10.83203125" style="20"/>
  </cols>
  <sheetData>
    <row r="1" spans="1:24" ht="20" thickBot="1">
      <c r="A1" s="207" t="s">
        <v>142</v>
      </c>
      <c r="B1" s="14" t="s">
        <v>16</v>
      </c>
      <c r="C1" s="15" t="s">
        <v>17</v>
      </c>
      <c r="D1" s="16" t="s">
        <v>40</v>
      </c>
      <c r="E1" s="16" t="s">
        <v>29</v>
      </c>
      <c r="F1" s="16" t="s">
        <v>68</v>
      </c>
      <c r="G1" s="16" t="s">
        <v>34</v>
      </c>
      <c r="H1" s="98"/>
      <c r="I1" s="17">
        <f>Предпоссылки!I1</f>
        <v>2023</v>
      </c>
      <c r="J1" s="17">
        <f>Предпоссылки!J1</f>
        <v>2024</v>
      </c>
      <c r="K1" s="17">
        <f>Предпоссылки!K1</f>
        <v>2025</v>
      </c>
      <c r="L1" s="17">
        <f>Предпоссылки!L1</f>
        <v>2026</v>
      </c>
      <c r="M1" s="17">
        <f>Предпоссылки!M1</f>
        <v>2027</v>
      </c>
      <c r="N1" s="17">
        <f>Предпоссылки!N1</f>
        <v>2028</v>
      </c>
      <c r="O1" s="17">
        <f>Предпоссылки!O1</f>
        <v>2029</v>
      </c>
      <c r="P1" s="17">
        <f>Предпоссылки!P1</f>
        <v>2030</v>
      </c>
      <c r="Q1" s="17">
        <f>Предпоссылки!Q1</f>
        <v>2031</v>
      </c>
      <c r="R1" s="17">
        <f>Предпоссылки!R1</f>
        <v>2032</v>
      </c>
      <c r="S1" s="17">
        <f>Предпоссылки!S1</f>
        <v>2033</v>
      </c>
      <c r="T1" s="17">
        <f>Предпоссылки!T1</f>
        <v>2034</v>
      </c>
      <c r="U1" s="17">
        <f>Предпоссылки!U1</f>
        <v>2035</v>
      </c>
      <c r="V1" s="17">
        <f>Предпоссылки!V1</f>
        <v>2036</v>
      </c>
      <c r="W1" s="17">
        <f>Предпоссылки!W1</f>
        <v>2037</v>
      </c>
      <c r="X1" s="17">
        <f>Предпоссылки!X1</f>
        <v>2038</v>
      </c>
    </row>
    <row r="2" spans="1:24" ht="15" thickBot="1">
      <c r="A2" s="20" t="s">
        <v>80</v>
      </c>
      <c r="B2" s="22" t="s">
        <v>176</v>
      </c>
      <c r="C2" s="22" t="s">
        <v>175</v>
      </c>
      <c r="H2" s="47"/>
      <c r="I2" s="67">
        <v>0</v>
      </c>
      <c r="J2" s="67">
        <v>1</v>
      </c>
      <c r="K2" s="67">
        <v>2</v>
      </c>
      <c r="L2" s="67">
        <v>3</v>
      </c>
      <c r="M2" s="67">
        <v>4</v>
      </c>
      <c r="N2" s="67">
        <v>5</v>
      </c>
      <c r="O2" s="67">
        <v>6</v>
      </c>
      <c r="P2" s="67">
        <v>7</v>
      </c>
      <c r="Q2" s="67">
        <v>8</v>
      </c>
      <c r="R2" s="67">
        <v>9</v>
      </c>
      <c r="S2" s="67">
        <v>10</v>
      </c>
      <c r="T2" s="67">
        <v>11</v>
      </c>
      <c r="U2" s="67">
        <v>12</v>
      </c>
      <c r="V2" s="67">
        <v>13</v>
      </c>
      <c r="W2" s="67">
        <v>14</v>
      </c>
      <c r="X2" s="67">
        <v>15</v>
      </c>
    </row>
    <row r="3" spans="1:24" ht="15" thickBot="1">
      <c r="A3" s="72" t="s">
        <v>138</v>
      </c>
      <c r="B3" s="89" t="s">
        <v>144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4"/>
    </row>
    <row r="4" spans="1:24">
      <c r="B4" s="20" t="s">
        <v>103</v>
      </c>
      <c r="C4" s="19" t="s">
        <v>107</v>
      </c>
      <c r="I4" s="157">
        <f>Предпоссылки!I74</f>
        <v>0</v>
      </c>
      <c r="J4" s="157">
        <f>Предпоссылки!J74</f>
        <v>0</v>
      </c>
      <c r="K4" s="157">
        <f>Предпоссылки!K74</f>
        <v>39314.206951932298</v>
      </c>
      <c r="L4" s="157">
        <f>Предпоссылки!L74</f>
        <v>44624.956854932301</v>
      </c>
      <c r="M4" s="157">
        <f>Предпоссылки!M74</f>
        <v>44877.049180327871</v>
      </c>
      <c r="N4" s="157">
        <f>Предпоссылки!N74</f>
        <v>45000</v>
      </c>
      <c r="O4" s="157">
        <f>Предпоссылки!O74</f>
        <v>44877.049180327871</v>
      </c>
      <c r="P4" s="157">
        <f>Предпоссылки!P74</f>
        <v>44877.049180327871</v>
      </c>
      <c r="Q4" s="157">
        <f>Предпоссылки!Q74</f>
        <v>44877.049180327871</v>
      </c>
      <c r="R4" s="157">
        <f>Предпоссылки!R74</f>
        <v>45000</v>
      </c>
      <c r="S4" s="157">
        <f>Предпоссылки!S74</f>
        <v>44877.049180327871</v>
      </c>
      <c r="T4" s="157">
        <f>Предпоссылки!T74</f>
        <v>44877.049180327871</v>
      </c>
      <c r="U4" s="157">
        <f>Предпоссылки!U74</f>
        <v>44877.049180327871</v>
      </c>
      <c r="V4" s="157">
        <f>Предпоссылки!V74</f>
        <v>45000</v>
      </c>
      <c r="W4" s="157">
        <f>Предпоссылки!W74</f>
        <v>44877.049180327871</v>
      </c>
      <c r="X4" s="157">
        <f>Предпоссылки!X74</f>
        <v>44877.049180327871</v>
      </c>
    </row>
    <row r="5" spans="1:24">
      <c r="B5" s="20" t="s">
        <v>14</v>
      </c>
      <c r="C5" s="19" t="s">
        <v>8</v>
      </c>
      <c r="I5" s="139">
        <f>Предпоссылки!D77</f>
        <v>3500</v>
      </c>
      <c r="J5" s="139">
        <f>I5*(1+Предпоссылки!J78)</f>
        <v>3745</v>
      </c>
      <c r="K5" s="139">
        <f>J5*(1+Предпоссылки!K78)</f>
        <v>4007.15</v>
      </c>
      <c r="L5" s="139">
        <f>K5*(1+Предпоссылки!L78)</f>
        <v>4247.5790000000006</v>
      </c>
      <c r="M5" s="139">
        <f>L5*(1+Предпоссылки!M78)</f>
        <v>4459.9579500000009</v>
      </c>
      <c r="N5" s="139">
        <f>M5*(1+Предпоссылки!N78)</f>
        <v>4638.3562680000014</v>
      </c>
      <c r="O5" s="139">
        <f>N5*(1+Предпоссылки!O78)</f>
        <v>4823.8905187200016</v>
      </c>
      <c r="P5" s="139">
        <f>O5*(1+Предпоссылки!P78)</f>
        <v>5016.846139468802</v>
      </c>
      <c r="Q5" s="139">
        <f>P5*(1+Предпоссылки!Q78)</f>
        <v>5217.5199850475547</v>
      </c>
      <c r="R5" s="139">
        <f>Q5*(1+Предпоссылки!R78)</f>
        <v>5426.2207844494569</v>
      </c>
      <c r="S5" s="139">
        <f>R5*(1+Предпоссылки!S78)</f>
        <v>5643.2696158274357</v>
      </c>
      <c r="T5" s="139">
        <f>S5*(1+Предпоссылки!T78)</f>
        <v>5869.0004004605335</v>
      </c>
      <c r="U5" s="139">
        <f>T5*(1+Предпоссылки!U78)</f>
        <v>6103.7604164789554</v>
      </c>
      <c r="V5" s="139">
        <f>U5*(1+Предпоссылки!V78)</f>
        <v>6347.910833138114</v>
      </c>
      <c r="W5" s="139">
        <f>V5*(1+Предпоссылки!W78)</f>
        <v>6601.8272664636388</v>
      </c>
      <c r="X5" s="139">
        <f>W5*(1+Предпоссылки!X78)</f>
        <v>6865.9003571221847</v>
      </c>
    </row>
    <row r="6" spans="1:24" ht="15" thickBot="1">
      <c r="B6" s="136" t="s">
        <v>162</v>
      </c>
      <c r="C6" s="136" t="s">
        <v>6</v>
      </c>
      <c r="D6" s="136"/>
      <c r="E6" s="136"/>
      <c r="F6" s="136"/>
      <c r="G6" s="136"/>
      <c r="H6" s="136"/>
      <c r="I6" s="136">
        <f>ROUND((I4*I5/1000),0)</f>
        <v>0</v>
      </c>
      <c r="J6" s="136">
        <f t="shared" ref="J6:X6" si="0">ROUND((J4*J5/1000),0)</f>
        <v>0</v>
      </c>
      <c r="K6" s="136">
        <f t="shared" si="0"/>
        <v>157538</v>
      </c>
      <c r="L6" s="136">
        <f t="shared" si="0"/>
        <v>189548</v>
      </c>
      <c r="M6" s="136">
        <f t="shared" si="0"/>
        <v>200150</v>
      </c>
      <c r="N6" s="136">
        <f t="shared" si="0"/>
        <v>208726</v>
      </c>
      <c r="O6" s="136">
        <f t="shared" si="0"/>
        <v>216482</v>
      </c>
      <c r="P6" s="136">
        <f t="shared" si="0"/>
        <v>225141</v>
      </c>
      <c r="Q6" s="136">
        <f t="shared" si="0"/>
        <v>234147</v>
      </c>
      <c r="R6" s="136">
        <f t="shared" si="0"/>
        <v>244180</v>
      </c>
      <c r="S6" s="136">
        <f t="shared" si="0"/>
        <v>253253</v>
      </c>
      <c r="T6" s="136">
        <f t="shared" si="0"/>
        <v>263383</v>
      </c>
      <c r="U6" s="136">
        <f t="shared" si="0"/>
        <v>273919</v>
      </c>
      <c r="V6" s="136">
        <f t="shared" si="0"/>
        <v>285656</v>
      </c>
      <c r="W6" s="136">
        <f t="shared" si="0"/>
        <v>296271</v>
      </c>
      <c r="X6" s="136">
        <f t="shared" si="0"/>
        <v>308121</v>
      </c>
    </row>
    <row r="7" spans="1:24" ht="15" thickBot="1">
      <c r="A7" s="72" t="s">
        <v>72</v>
      </c>
      <c r="B7" s="89" t="s">
        <v>145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4"/>
    </row>
    <row r="8" spans="1:24">
      <c r="B8" s="20" t="s">
        <v>146</v>
      </c>
      <c r="C8" s="20" t="s">
        <v>6</v>
      </c>
      <c r="I8" s="157"/>
      <c r="J8" s="157"/>
      <c r="K8" s="157">
        <f>Предпоссылки!K84</f>
        <v>60</v>
      </c>
      <c r="L8" s="157">
        <f>K8*(1+Предпоссылки!L21)</f>
        <v>62.400000000000006</v>
      </c>
      <c r="M8" s="157">
        <f>L8*(1+Предпоссылки!M21)</f>
        <v>64.896000000000015</v>
      </c>
      <c r="N8" s="157">
        <f>M8*(1+Предпоссылки!N21)</f>
        <v>67.491840000000025</v>
      </c>
      <c r="O8" s="157">
        <f>N8*(1+Предпоссылки!O21)</f>
        <v>70.191513600000022</v>
      </c>
      <c r="P8" s="157">
        <f>O8*(1+Предпоссылки!P21)</f>
        <v>72.999174144000023</v>
      </c>
      <c r="Q8" s="157">
        <f>P8*(1+Предпоссылки!Q21)</f>
        <v>75.91914110976002</v>
      </c>
      <c r="R8" s="157">
        <f>Q8*(1+Предпоссылки!R21)</f>
        <v>78.955906754150419</v>
      </c>
      <c r="S8" s="157">
        <f>R8*(1+Предпоссылки!S21)</f>
        <v>82.114143024316434</v>
      </c>
      <c r="T8" s="157">
        <f>S8*(1+Предпоссылки!T21)</f>
        <v>85.398708745289099</v>
      </c>
      <c r="U8" s="157">
        <f>T8*(1+Предпоссылки!U21)</f>
        <v>88.814657095100671</v>
      </c>
      <c r="V8" s="157">
        <f>U8*(1+Предпоссылки!V21)</f>
        <v>92.367243378904703</v>
      </c>
      <c r="W8" s="157">
        <f>V8*(1+Предпоссылки!W21)</f>
        <v>96.061933114060892</v>
      </c>
      <c r="X8" s="157">
        <f>W8*(1+Предпоссылки!X21)</f>
        <v>99.90441043862333</v>
      </c>
    </row>
    <row r="9" spans="1:24">
      <c r="B9" s="20" t="s">
        <v>147</v>
      </c>
      <c r="C9" s="20" t="s">
        <v>6</v>
      </c>
      <c r="I9" s="139"/>
      <c r="J9" s="139"/>
      <c r="K9" s="139">
        <f>K8*Предпоссылки!K81*Предпоссылки!K10</f>
        <v>14400</v>
      </c>
      <c r="L9" s="139">
        <f>L8*Предпоссылки!L81*Предпоссылки!L10</f>
        <v>14976</v>
      </c>
      <c r="M9" s="139">
        <f>M8*Предпоссылки!M81*Предпоссылки!M10</f>
        <v>15575.040000000005</v>
      </c>
      <c r="N9" s="139">
        <f>N8*Предпоссылки!N81*Предпоссылки!N10</f>
        <v>16198.041600000006</v>
      </c>
      <c r="O9" s="139">
        <f>O8*Предпоссылки!O81*Предпоссылки!O10</f>
        <v>16845.963264000005</v>
      </c>
      <c r="P9" s="139">
        <f>P8*Предпоссылки!P81*Предпоссылки!P10</f>
        <v>17519.801794560004</v>
      </c>
      <c r="Q9" s="139">
        <f>Q8*Предпоссылки!Q81*Предпоссылки!Q10</f>
        <v>18220.593866342402</v>
      </c>
      <c r="R9" s="139">
        <f>R8*Предпоссылки!R81*Предпоссылки!R10</f>
        <v>18949.417620996101</v>
      </c>
      <c r="S9" s="139">
        <f>S8*Предпоссылки!S81*Предпоссылки!S10</f>
        <v>19707.394325835943</v>
      </c>
      <c r="T9" s="139">
        <f>T8*Предпоссылки!T81*Предпоссылки!T10</f>
        <v>20495.690098869385</v>
      </c>
      <c r="U9" s="139">
        <f>U8*Предпоссылки!U81*Предпоссылки!U10</f>
        <v>21315.51770282416</v>
      </c>
      <c r="V9" s="139">
        <f>V8*Предпоссылки!V81*Предпоссылки!V10</f>
        <v>22168.138410937128</v>
      </c>
      <c r="W9" s="139">
        <f>W8*Предпоссылки!W81*Предпоссылки!W10</f>
        <v>23054.863947374615</v>
      </c>
      <c r="X9" s="139">
        <f>X8*Предпоссылки!X81*Предпоссылки!X10</f>
        <v>23977.058505269601</v>
      </c>
    </row>
    <row r="10" spans="1:24">
      <c r="B10" s="20" t="s">
        <v>154</v>
      </c>
      <c r="C10" s="20" t="s">
        <v>6</v>
      </c>
      <c r="I10" s="139">
        <f>Налоги!I14</f>
        <v>0</v>
      </c>
      <c r="J10" s="139">
        <f>Налоги!J14</f>
        <v>0</v>
      </c>
      <c r="K10" s="139">
        <f>Налоги!K14</f>
        <v>4781</v>
      </c>
      <c r="L10" s="139">
        <f>Налоги!L14</f>
        <v>4972</v>
      </c>
      <c r="M10" s="139">
        <f>Налоги!M14</f>
        <v>5171</v>
      </c>
      <c r="N10" s="139">
        <f>Налоги!N14</f>
        <v>5378</v>
      </c>
      <c r="O10" s="139">
        <f>Налоги!O14</f>
        <v>5593</v>
      </c>
      <c r="P10" s="139">
        <f>Налоги!P14</f>
        <v>5817</v>
      </c>
      <c r="Q10" s="139">
        <f>Налоги!Q14</f>
        <v>6049</v>
      </c>
      <c r="R10" s="139">
        <f>Налоги!R14</f>
        <v>6291</v>
      </c>
      <c r="S10" s="139">
        <f>Налоги!S14</f>
        <v>6543</v>
      </c>
      <c r="T10" s="139">
        <f>Налоги!T14</f>
        <v>6805</v>
      </c>
      <c r="U10" s="139">
        <f>Налоги!U14</f>
        <v>7077</v>
      </c>
      <c r="V10" s="139">
        <f>Налоги!V14</f>
        <v>7360</v>
      </c>
      <c r="W10" s="139">
        <f>Налоги!W14</f>
        <v>7654</v>
      </c>
      <c r="X10" s="139">
        <f>Налоги!X14</f>
        <v>7960</v>
      </c>
    </row>
    <row r="11" spans="1:24" ht="15" thickBot="1">
      <c r="B11" s="136" t="s">
        <v>152</v>
      </c>
      <c r="C11" s="136" t="s">
        <v>6</v>
      </c>
      <c r="D11" s="136"/>
      <c r="E11" s="136"/>
      <c r="F11" s="136"/>
      <c r="G11" s="136"/>
      <c r="H11" s="136"/>
      <c r="I11" s="136">
        <f>ROUND(((I9+I10)),0)</f>
        <v>0</v>
      </c>
      <c r="J11" s="136">
        <f t="shared" ref="J11:X11" si="1">ROUND(((J9+J10)),0)</f>
        <v>0</v>
      </c>
      <c r="K11" s="136">
        <f t="shared" si="1"/>
        <v>19181</v>
      </c>
      <c r="L11" s="136">
        <f t="shared" si="1"/>
        <v>19948</v>
      </c>
      <c r="M11" s="136">
        <f t="shared" si="1"/>
        <v>20746</v>
      </c>
      <c r="N11" s="136">
        <f t="shared" si="1"/>
        <v>21576</v>
      </c>
      <c r="O11" s="136">
        <f t="shared" si="1"/>
        <v>22439</v>
      </c>
      <c r="P11" s="136">
        <f t="shared" si="1"/>
        <v>23337</v>
      </c>
      <c r="Q11" s="136">
        <f t="shared" si="1"/>
        <v>24270</v>
      </c>
      <c r="R11" s="136">
        <f t="shared" si="1"/>
        <v>25240</v>
      </c>
      <c r="S11" s="136">
        <f t="shared" si="1"/>
        <v>26250</v>
      </c>
      <c r="T11" s="136">
        <f t="shared" si="1"/>
        <v>27301</v>
      </c>
      <c r="U11" s="136">
        <f t="shared" si="1"/>
        <v>28393</v>
      </c>
      <c r="V11" s="136">
        <f t="shared" si="1"/>
        <v>29528</v>
      </c>
      <c r="W11" s="136">
        <f t="shared" si="1"/>
        <v>30709</v>
      </c>
      <c r="X11" s="136">
        <f t="shared" si="1"/>
        <v>31937</v>
      </c>
    </row>
    <row r="12" spans="1:24" ht="15" thickBot="1">
      <c r="A12" s="72" t="s">
        <v>76</v>
      </c>
      <c r="B12" s="89" t="s">
        <v>155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4"/>
    </row>
    <row r="13" spans="1:24">
      <c r="B13" s="132" t="s">
        <v>120</v>
      </c>
      <c r="I13" s="157"/>
      <c r="J13" s="157"/>
      <c r="K13" s="157">
        <f>(K11+K6)*Предпоссылки!K87</f>
        <v>35343.800000000003</v>
      </c>
      <c r="L13" s="157">
        <f>(L11+L6)*Предпоссылки!L87*(1+Предпоссылки!L22)</f>
        <v>43156.176000000007</v>
      </c>
      <c r="M13" s="157">
        <f>(M11+M6)*Предпоссылки!M87*(1+Предпоссылки!M22)</f>
        <v>45946.368000000009</v>
      </c>
      <c r="N13" s="157">
        <f>(N11+N6)*Предпоссылки!N87*(1+Предпоссылки!N22)</f>
        <v>47902.816000000006</v>
      </c>
      <c r="O13" s="157">
        <f>(O11+O6)*Предпоссылки!O87*(1+Предпоссылки!O22)</f>
        <v>49695.568000000007</v>
      </c>
      <c r="P13" s="157">
        <f>(P11+P6)*Предпоссылки!P87*(1+Предпоссылки!P22)</f>
        <v>51683.424000000006</v>
      </c>
      <c r="Q13" s="157">
        <f>(Q11+Q6)*Предпоссылки!Q87*(1+Предпоссылки!Q22)</f>
        <v>53750.736000000004</v>
      </c>
      <c r="R13" s="157">
        <f>(R11+R6)*Предпоссылки!R87*(1+Предпоссылки!R22)</f>
        <v>56039.360000000001</v>
      </c>
      <c r="S13" s="157">
        <f>(S11+S6)*Предпоссылки!S87*(1+Предпоссылки!S22)</f>
        <v>58136.624000000011</v>
      </c>
      <c r="T13" s="157">
        <f>(T11+T6)*Предпоссылки!T87*(1+Предпоссылки!T22)</f>
        <v>60462.272000000004</v>
      </c>
      <c r="U13" s="157">
        <f>(U11+U6)*Предпоссылки!U87*(1+Предпоссылки!U22)</f>
        <v>62880.896000000001</v>
      </c>
      <c r="V13" s="157">
        <f>(V11+V6)*Предпоссылки!V87*(1+Предпоссылки!V22)</f>
        <v>65558.272000000012</v>
      </c>
      <c r="W13" s="157">
        <f>(W11+W6)*Предпоссылки!W87*(1+Предпоссылки!W22)</f>
        <v>68011.839999999997</v>
      </c>
      <c r="X13" s="157">
        <f>(X11+X6)*Предпоссылки!X87*(1+Предпоссылки!X22)</f>
        <v>70732.064000000013</v>
      </c>
    </row>
    <row r="14" spans="1:24">
      <c r="B14" s="132" t="s">
        <v>121</v>
      </c>
      <c r="I14" s="139"/>
      <c r="J14" s="139"/>
      <c r="K14" s="139">
        <f>(K6+K11)*Предпоссылки!K88</f>
        <v>17671.900000000001</v>
      </c>
      <c r="L14" s="139">
        <f>(L6+L11)*Предпоссылки!L88*(1+Предпоссылки!L22)</f>
        <v>21578.088000000003</v>
      </c>
      <c r="M14" s="139">
        <f>(M6+M11)*Предпоссылки!M88*(1+Предпоссылки!M22)</f>
        <v>22973.184000000005</v>
      </c>
      <c r="N14" s="139">
        <f>(N6+N11)*Предпоссылки!N88*(1+Предпоссылки!N22)</f>
        <v>23951.408000000003</v>
      </c>
      <c r="O14" s="139">
        <f>(O6+O11)*Предпоссылки!O88*(1+Предпоссылки!O22)</f>
        <v>24847.784000000003</v>
      </c>
      <c r="P14" s="139">
        <f>(P6+P11)*Предпоссылки!P88*(1+Предпоссылки!P22)</f>
        <v>25841.712000000003</v>
      </c>
      <c r="Q14" s="139">
        <f>(Q6+Q11)*Предпоссылки!Q88*(1+Предпоссылки!Q22)</f>
        <v>26875.368000000002</v>
      </c>
      <c r="R14" s="139">
        <f>(R6+R11)*Предпоссылки!R88*(1+Предпоссылки!R22)</f>
        <v>28019.68</v>
      </c>
      <c r="S14" s="139">
        <f>(S6+S11)*Предпоссылки!S88*(1+Предпоссылки!S22)</f>
        <v>29068.312000000005</v>
      </c>
      <c r="T14" s="139">
        <f>(T6+T11)*Предпоссылки!T88*(1+Предпоссылки!T22)</f>
        <v>30231.136000000002</v>
      </c>
      <c r="U14" s="139">
        <f>(U6+U11)*Предпоссылки!U88*(1+Предпоссылки!U22)</f>
        <v>31440.448</v>
      </c>
      <c r="V14" s="139">
        <f>(V6+V11)*Предпоссылки!V88*(1+Предпоссылки!V22)</f>
        <v>32779.136000000006</v>
      </c>
      <c r="W14" s="139">
        <f>(W6+W11)*Предпоссылки!W88*(1+Предпоссылки!W22)</f>
        <v>34005.919999999998</v>
      </c>
      <c r="X14" s="139">
        <f>(X6+X11)*Предпоссылки!X88*(1+Предпоссылки!X22)</f>
        <v>35366.032000000007</v>
      </c>
    </row>
    <row r="15" spans="1:24">
      <c r="B15" s="132" t="s">
        <v>119</v>
      </c>
      <c r="I15" s="139"/>
      <c r="J15" s="139"/>
      <c r="K15" s="139">
        <f>(K6+K11)*Предпоссылки!K89</f>
        <v>8835.9500000000007</v>
      </c>
      <c r="L15" s="139">
        <f>(L6+L11)*Предпоссылки!L89*(1+Предпоссылки!L22)</f>
        <v>10789.044000000002</v>
      </c>
      <c r="M15" s="139">
        <f>(M6+M11)*Предпоссылки!M89*(1+Предпоссылки!M22)</f>
        <v>11486.592000000002</v>
      </c>
      <c r="N15" s="139">
        <f>(N6+N11)*Предпоссылки!N89*(1+Предпоссылки!N22)</f>
        <v>11975.704000000002</v>
      </c>
      <c r="O15" s="139">
        <f>(O6+O11)*Предпоссылки!O89*(1+Предпоссылки!O22)</f>
        <v>12423.892000000002</v>
      </c>
      <c r="P15" s="139">
        <f>(P6+P11)*Предпоссылки!P89*(1+Предпоссылки!P22)</f>
        <v>12920.856000000002</v>
      </c>
      <c r="Q15" s="139">
        <f>(Q6+Q11)*Предпоссылки!Q89*(1+Предпоссылки!Q22)</f>
        <v>13437.684000000001</v>
      </c>
      <c r="R15" s="139">
        <f>(R6+R11)*Предпоссылки!R89*(1+Предпоссылки!R22)</f>
        <v>14009.84</v>
      </c>
      <c r="S15" s="139">
        <f>(S6+S11)*Предпоссылки!S89*(1+Предпоссылки!S22)</f>
        <v>14534.156000000003</v>
      </c>
      <c r="T15" s="139">
        <f>(T6+T11)*Предпоссылки!T89*(1+Предпоссылки!T22)</f>
        <v>15115.568000000001</v>
      </c>
      <c r="U15" s="139">
        <f>(U6+U11)*Предпоссылки!U89*(1+Предпоссылки!U22)</f>
        <v>15720.224</v>
      </c>
      <c r="V15" s="139">
        <f>(V6+V11)*Предпоссылки!V89*(1+Предпоссылки!V22)</f>
        <v>16389.568000000003</v>
      </c>
      <c r="W15" s="139">
        <f>(W6+W11)*Предпоссылки!W89*(1+Предпоссылки!W22)</f>
        <v>17002.96</v>
      </c>
      <c r="X15" s="139">
        <f>(X6+X11)*Предпоссылки!X89*(1+Предпоссылки!X22)</f>
        <v>17683.016000000003</v>
      </c>
    </row>
    <row r="16" spans="1:24" ht="15" thickBot="1">
      <c r="B16" s="133" t="s">
        <v>152</v>
      </c>
      <c r="C16" s="133" t="s">
        <v>6</v>
      </c>
      <c r="D16" s="133"/>
      <c r="E16" s="133"/>
      <c r="F16" s="133"/>
      <c r="G16" s="133"/>
      <c r="H16" s="133"/>
      <c r="I16" s="133">
        <f>ROUND((I14+I15+I13),0)</f>
        <v>0</v>
      </c>
      <c r="J16" s="133">
        <f t="shared" ref="J16:X16" si="2">ROUND((J14+J15+J13),0)</f>
        <v>0</v>
      </c>
      <c r="K16" s="133">
        <f t="shared" si="2"/>
        <v>61852</v>
      </c>
      <c r="L16" s="133">
        <f t="shared" si="2"/>
        <v>75523</v>
      </c>
      <c r="M16" s="133">
        <f t="shared" si="2"/>
        <v>80406</v>
      </c>
      <c r="N16" s="133">
        <f t="shared" si="2"/>
        <v>83830</v>
      </c>
      <c r="O16" s="133">
        <f t="shared" si="2"/>
        <v>86967</v>
      </c>
      <c r="P16" s="133">
        <f t="shared" si="2"/>
        <v>90446</v>
      </c>
      <c r="Q16" s="133">
        <f t="shared" si="2"/>
        <v>94064</v>
      </c>
      <c r="R16" s="133">
        <f t="shared" si="2"/>
        <v>98069</v>
      </c>
      <c r="S16" s="133">
        <f t="shared" si="2"/>
        <v>101739</v>
      </c>
      <c r="T16" s="133">
        <f t="shared" si="2"/>
        <v>105809</v>
      </c>
      <c r="U16" s="133">
        <f t="shared" si="2"/>
        <v>110042</v>
      </c>
      <c r="V16" s="133">
        <f t="shared" si="2"/>
        <v>114727</v>
      </c>
      <c r="W16" s="133">
        <f t="shared" si="2"/>
        <v>119021</v>
      </c>
      <c r="X16" s="133">
        <f t="shared" si="2"/>
        <v>123781</v>
      </c>
    </row>
    <row r="18" spans="2:24" ht="15" thickBot="1">
      <c r="B18" s="133" t="s">
        <v>156</v>
      </c>
      <c r="C18" s="133" t="s">
        <v>6</v>
      </c>
      <c r="D18" s="133"/>
      <c r="E18" s="133"/>
      <c r="F18" s="133"/>
      <c r="G18" s="133"/>
      <c r="H18" s="133"/>
      <c r="I18" s="133">
        <f>ROUND(((I16+I11+I6)),0)</f>
        <v>0</v>
      </c>
      <c r="J18" s="133">
        <f t="shared" ref="J18:X18" si="3">ROUND(((J16+J11+J6)),0)</f>
        <v>0</v>
      </c>
      <c r="K18" s="133">
        <f>ROUND(((K16+K11+K6)),0)</f>
        <v>238571</v>
      </c>
      <c r="L18" s="133">
        <f t="shared" si="3"/>
        <v>285019</v>
      </c>
      <c r="M18" s="133">
        <f t="shared" si="3"/>
        <v>301302</v>
      </c>
      <c r="N18" s="133">
        <f t="shared" si="3"/>
        <v>314132</v>
      </c>
      <c r="O18" s="133">
        <f t="shared" si="3"/>
        <v>325888</v>
      </c>
      <c r="P18" s="133">
        <f t="shared" si="3"/>
        <v>338924</v>
      </c>
      <c r="Q18" s="133">
        <f t="shared" si="3"/>
        <v>352481</v>
      </c>
      <c r="R18" s="133">
        <f t="shared" si="3"/>
        <v>367489</v>
      </c>
      <c r="S18" s="133">
        <f t="shared" si="3"/>
        <v>381242</v>
      </c>
      <c r="T18" s="133">
        <f t="shared" si="3"/>
        <v>396493</v>
      </c>
      <c r="U18" s="133">
        <f t="shared" si="3"/>
        <v>412354</v>
      </c>
      <c r="V18" s="133">
        <f t="shared" si="3"/>
        <v>429911</v>
      </c>
      <c r="W18" s="133">
        <f t="shared" si="3"/>
        <v>446001</v>
      </c>
      <c r="X18" s="133">
        <f t="shared" si="3"/>
        <v>463839</v>
      </c>
    </row>
    <row r="19" spans="2:24" ht="16">
      <c r="R19" s="1"/>
      <c r="S19" s="1"/>
    </row>
    <row r="20" spans="2:24" ht="16">
      <c r="R20" s="1"/>
      <c r="S20" s="1"/>
    </row>
    <row r="21" spans="2:24" ht="16">
      <c r="R21" s="1"/>
      <c r="S21" s="1"/>
    </row>
    <row r="22" spans="2:24" ht="16">
      <c r="R22" s="1"/>
      <c r="S22" s="1"/>
    </row>
    <row r="23" spans="2:24" ht="16">
      <c r="R23" s="1"/>
      <c r="S23" s="1"/>
    </row>
    <row r="24" spans="2:24" ht="16">
      <c r="R24" s="1"/>
      <c r="S24" s="1"/>
    </row>
    <row r="25" spans="2:24" ht="16">
      <c r="R25" s="1"/>
      <c r="S25" s="1"/>
    </row>
    <row r="26" spans="2:24" ht="16">
      <c r="R26" s="1"/>
      <c r="S26" s="1"/>
    </row>
    <row r="27" spans="2:24" ht="16">
      <c r="R27" s="1"/>
      <c r="S27" s="1"/>
    </row>
    <row r="28" spans="2:24" ht="16">
      <c r="R28" s="1"/>
      <c r="S28" s="1"/>
    </row>
    <row r="29" spans="2:24" ht="16">
      <c r="R29" s="1"/>
      <c r="S29" s="1"/>
    </row>
    <row r="30" spans="2:24" ht="16">
      <c r="R30" s="1"/>
      <c r="S30" s="1"/>
    </row>
    <row r="31" spans="2:24" ht="16">
      <c r="R31" s="1"/>
      <c r="S31" s="1"/>
    </row>
    <row r="32" spans="2:24" ht="16">
      <c r="R32" s="1"/>
      <c r="S32" s="1"/>
    </row>
    <row r="33" spans="2:19" ht="16">
      <c r="R33" s="1"/>
      <c r="S33" s="1"/>
    </row>
    <row r="34" spans="2:19" ht="16">
      <c r="R34" s="1"/>
      <c r="S34" s="1"/>
    </row>
    <row r="35" spans="2:19" ht="16">
      <c r="R35" s="1"/>
      <c r="S35" s="1"/>
    </row>
    <row r="36" spans="2:19" ht="16">
      <c r="R36" s="1"/>
      <c r="S36" s="1"/>
    </row>
    <row r="37" spans="2:19" ht="16">
      <c r="R37" s="1"/>
      <c r="S37" s="1"/>
    </row>
    <row r="38" spans="2:19" ht="16">
      <c r="R38" s="1"/>
      <c r="S38" s="1"/>
    </row>
    <row r="39" spans="2:19" ht="16">
      <c r="R39" s="1"/>
      <c r="S39" s="1"/>
    </row>
    <row r="40" spans="2:19" ht="16">
      <c r="R40" s="1"/>
      <c r="S40" s="1"/>
    </row>
    <row r="41" spans="2:19" ht="16">
      <c r="R41" s="1"/>
      <c r="S41" s="1"/>
    </row>
    <row r="42" spans="2:19" ht="16">
      <c r="R42" s="1"/>
      <c r="S42" s="1"/>
    </row>
    <row r="43" spans="2:19" ht="16">
      <c r="R43" s="1"/>
      <c r="S43" s="1"/>
    </row>
    <row r="44" spans="2:19" ht="16">
      <c r="R44" s="1"/>
      <c r="S44" s="1"/>
    </row>
    <row r="45" spans="2:19" ht="16">
      <c r="R45" s="1"/>
      <c r="S45" s="1"/>
    </row>
    <row r="46" spans="2:19" ht="16">
      <c r="R46" s="1"/>
      <c r="S46" s="1"/>
    </row>
    <row r="47" spans="2:19" ht="16">
      <c r="R47" s="1"/>
      <c r="S47" s="1"/>
    </row>
    <row r="48" spans="2:19" ht="16">
      <c r="B48" s="18"/>
      <c r="R48" s="1"/>
      <c r="S48" s="1"/>
    </row>
    <row r="49" spans="18:19" ht="16">
      <c r="R49" s="1"/>
      <c r="S49" s="1"/>
    </row>
    <row r="50" spans="18:19" ht="16">
      <c r="R50" s="1"/>
      <c r="S50" s="1"/>
    </row>
    <row r="51" spans="18:19" ht="16">
      <c r="R51" s="1"/>
      <c r="S51" s="1"/>
    </row>
    <row r="52" spans="18:19" ht="16">
      <c r="R52" s="1"/>
      <c r="S52" s="1"/>
    </row>
    <row r="53" spans="18:19" ht="16">
      <c r="R53" s="1"/>
      <c r="S53" s="1"/>
    </row>
    <row r="54" spans="18:19" ht="16">
      <c r="R54" s="1"/>
      <c r="S54" s="1"/>
    </row>
    <row r="55" spans="18:19" ht="16">
      <c r="R55" s="1"/>
      <c r="S55" s="1"/>
    </row>
    <row r="56" spans="18:19" ht="16">
      <c r="R56" s="1"/>
      <c r="S56" s="1"/>
    </row>
    <row r="57" spans="18:19" ht="16">
      <c r="R57" s="1"/>
      <c r="S57" s="1"/>
    </row>
    <row r="58" spans="18:19" ht="16">
      <c r="R58" s="1"/>
      <c r="S58" s="1"/>
    </row>
    <row r="59" spans="18:19" ht="16">
      <c r="R59" s="1"/>
      <c r="S59" s="1"/>
    </row>
    <row r="60" spans="18:19" ht="16">
      <c r="R60" s="1"/>
      <c r="S60" s="1"/>
    </row>
    <row r="61" spans="18:19" ht="16">
      <c r="R61" s="1"/>
      <c r="S61" s="1"/>
    </row>
    <row r="62" spans="18:19" ht="16">
      <c r="R62" s="1"/>
      <c r="S62" s="1"/>
    </row>
    <row r="63" spans="18:19" ht="16">
      <c r="R63" s="1"/>
      <c r="S63" s="1"/>
    </row>
    <row r="64" spans="18:19" ht="16">
      <c r="R64" s="1"/>
      <c r="S64" s="1"/>
    </row>
    <row r="65" spans="18:19" ht="16">
      <c r="R65" s="1"/>
      <c r="S65" s="1"/>
    </row>
    <row r="66" spans="18:19" ht="16">
      <c r="R66" s="1"/>
      <c r="S66" s="1"/>
    </row>
    <row r="67" spans="18:19" ht="16">
      <c r="R67" s="1"/>
      <c r="S67" s="1"/>
    </row>
    <row r="68" spans="18:19" ht="16">
      <c r="R68" s="1"/>
      <c r="S68" s="1"/>
    </row>
    <row r="69" spans="18:19" ht="16">
      <c r="R69" s="1"/>
      <c r="S69" s="1"/>
    </row>
    <row r="70" spans="18:19" ht="16">
      <c r="R70" s="1"/>
      <c r="S70" s="1"/>
    </row>
    <row r="71" spans="18:19" ht="16">
      <c r="R71" s="1"/>
      <c r="S71" s="1"/>
    </row>
    <row r="72" spans="18:19" ht="16">
      <c r="R72" s="1"/>
      <c r="S72" s="1"/>
    </row>
    <row r="73" spans="18:19" ht="16">
      <c r="R73" s="1"/>
      <c r="S73" s="1"/>
    </row>
    <row r="74" spans="18:19" ht="16">
      <c r="R74" s="1"/>
      <c r="S74" s="1"/>
    </row>
    <row r="75" spans="18:19" ht="16">
      <c r="R75" s="1"/>
      <c r="S75" s="1"/>
    </row>
    <row r="76" spans="18:19" ht="16">
      <c r="R76" s="1"/>
      <c r="S76" s="1"/>
    </row>
    <row r="77" spans="18:19" ht="16">
      <c r="R77" s="1"/>
      <c r="S77" s="1"/>
    </row>
    <row r="78" spans="18:19" ht="16">
      <c r="R78" s="1"/>
      <c r="S78" s="1"/>
    </row>
    <row r="79" spans="18:19" ht="16">
      <c r="R79" s="1"/>
      <c r="S79" s="1"/>
    </row>
    <row r="80" spans="18:19" ht="16">
      <c r="R80" s="1"/>
      <c r="S80" s="1"/>
    </row>
    <row r="81" spans="18:19" ht="16">
      <c r="R81" s="1"/>
      <c r="S81" s="1"/>
    </row>
    <row r="82" spans="18:19" ht="16">
      <c r="R82" s="1"/>
      <c r="S82" s="1"/>
    </row>
    <row r="83" spans="18:19" ht="16">
      <c r="R83" s="1"/>
      <c r="S83" s="1"/>
    </row>
    <row r="84" spans="18:19" ht="16">
      <c r="R84" s="1"/>
      <c r="S84" s="1"/>
    </row>
    <row r="85" spans="18:19" ht="16">
      <c r="R85" s="1"/>
      <c r="S85" s="1"/>
    </row>
    <row r="86" spans="18:19" ht="16">
      <c r="R86" s="1"/>
      <c r="S86" s="1"/>
    </row>
    <row r="87" spans="18:19" ht="16">
      <c r="R87" s="1"/>
      <c r="S87" s="1"/>
    </row>
    <row r="88" spans="18:19" ht="16">
      <c r="R88" s="1"/>
      <c r="S88" s="1"/>
    </row>
    <row r="89" spans="18:19" ht="16">
      <c r="R89" s="1"/>
      <c r="S89" s="1"/>
    </row>
    <row r="90" spans="18:19" ht="16">
      <c r="R90" s="1"/>
      <c r="S90" s="1"/>
    </row>
    <row r="91" spans="18:19" ht="16">
      <c r="R91" s="1"/>
      <c r="S91" s="1"/>
    </row>
    <row r="92" spans="18:19" ht="16">
      <c r="R92" s="1"/>
      <c r="S92" s="1"/>
    </row>
    <row r="93" spans="18:19" ht="16">
      <c r="R93" s="1"/>
      <c r="S93" s="1"/>
    </row>
    <row r="94" spans="18:19" ht="16">
      <c r="R94" s="1"/>
      <c r="S94" s="1"/>
    </row>
    <row r="95" spans="18:19" ht="16">
      <c r="R95" s="1"/>
      <c r="S95" s="1"/>
    </row>
    <row r="96" spans="18:19" ht="16">
      <c r="R96" s="1"/>
      <c r="S96" s="1"/>
    </row>
    <row r="97" spans="18:19" ht="16">
      <c r="R97" s="1"/>
      <c r="S97" s="1"/>
    </row>
    <row r="98" spans="18:19" ht="16">
      <c r="R98" s="1"/>
      <c r="S98" s="1"/>
    </row>
    <row r="99" spans="18:19" ht="16">
      <c r="R99" s="1"/>
      <c r="S99" s="1"/>
    </row>
    <row r="100" spans="18:19" ht="16">
      <c r="R100" s="1"/>
      <c r="S100" s="1"/>
    </row>
    <row r="101" spans="18:19" ht="16">
      <c r="R101" s="1"/>
      <c r="S101" s="1"/>
    </row>
    <row r="102" spans="18:19" ht="16">
      <c r="R102" s="1"/>
      <c r="S102" s="1"/>
    </row>
    <row r="103" spans="18:19" ht="16">
      <c r="R103" s="1"/>
      <c r="S103" s="1"/>
    </row>
    <row r="104" spans="18:19" ht="16">
      <c r="R104" s="1"/>
      <c r="S104" s="1"/>
    </row>
    <row r="105" spans="18:19" ht="16">
      <c r="R105" s="1"/>
      <c r="S105" s="1"/>
    </row>
    <row r="106" spans="18:19" ht="16">
      <c r="R106" s="1"/>
      <c r="S106" s="1"/>
    </row>
    <row r="107" spans="18:19" ht="16">
      <c r="R107" s="1"/>
      <c r="S107" s="1"/>
    </row>
    <row r="108" spans="18:19" ht="16">
      <c r="R108" s="1"/>
      <c r="S108" s="1"/>
    </row>
    <row r="109" spans="18:19" ht="16">
      <c r="R109" s="1"/>
      <c r="S109" s="1"/>
    </row>
    <row r="110" spans="18:19" ht="16">
      <c r="R110" s="1"/>
      <c r="S110" s="1"/>
    </row>
    <row r="111" spans="18:19" ht="16">
      <c r="R111" s="1"/>
      <c r="S111" s="1"/>
    </row>
    <row r="112" spans="18:19" ht="16">
      <c r="R112" s="1"/>
      <c r="S112" s="1"/>
    </row>
    <row r="113" spans="18:19" ht="16">
      <c r="R113" s="1"/>
      <c r="S113" s="1"/>
    </row>
    <row r="114" spans="18:19" ht="16">
      <c r="R114" s="1"/>
      <c r="S114" s="1"/>
    </row>
    <row r="115" spans="18:19" ht="16">
      <c r="R115" s="1"/>
      <c r="S115" s="1"/>
    </row>
    <row r="116" spans="18:19" ht="16">
      <c r="R116" s="1"/>
      <c r="S116" s="1"/>
    </row>
    <row r="117" spans="18:19" ht="16">
      <c r="R117" s="1"/>
      <c r="S117" s="1"/>
    </row>
    <row r="118" spans="18:19" ht="16">
      <c r="R118" s="1"/>
      <c r="S118" s="1"/>
    </row>
    <row r="119" spans="18:19" ht="16">
      <c r="R119" s="1"/>
      <c r="S119" s="1"/>
    </row>
    <row r="120" spans="18:19" ht="16">
      <c r="R120" s="1"/>
      <c r="S120" s="1"/>
    </row>
    <row r="121" spans="18:19" ht="16">
      <c r="R121" s="1"/>
      <c r="S121" s="1"/>
    </row>
    <row r="122" spans="18:19" ht="16">
      <c r="R122" s="1"/>
      <c r="S122" s="1"/>
    </row>
    <row r="123" spans="18:19" ht="16">
      <c r="R123" s="1"/>
      <c r="S123" s="1"/>
    </row>
    <row r="124" spans="18:19" ht="16">
      <c r="R124" s="1"/>
      <c r="S124" s="1"/>
    </row>
    <row r="125" spans="18:19" ht="16">
      <c r="R125" s="1"/>
      <c r="S125" s="1"/>
    </row>
    <row r="126" spans="18:19" ht="16">
      <c r="R126" s="1"/>
      <c r="S126" s="1"/>
    </row>
    <row r="127" spans="18:19" ht="16">
      <c r="R127" s="1"/>
      <c r="S127" s="1"/>
    </row>
    <row r="128" spans="18:19" ht="16">
      <c r="R128" s="1"/>
      <c r="S128" s="1"/>
    </row>
    <row r="129" spans="18:19" ht="16">
      <c r="R129" s="1"/>
      <c r="S129" s="1"/>
    </row>
    <row r="130" spans="18:19" ht="16">
      <c r="R130" s="1"/>
      <c r="S130" s="1"/>
    </row>
    <row r="131" spans="18:19" ht="16">
      <c r="R131" s="1"/>
      <c r="S131" s="1"/>
    </row>
    <row r="132" spans="18:19" ht="16">
      <c r="R132" s="1"/>
      <c r="S132" s="1"/>
    </row>
    <row r="133" spans="18:19" ht="16">
      <c r="R133" s="1"/>
      <c r="S133" s="1"/>
    </row>
    <row r="134" spans="18:19" ht="16">
      <c r="R134" s="1"/>
      <c r="S134" s="1"/>
    </row>
    <row r="135" spans="18:19" ht="16">
      <c r="R135" s="1"/>
      <c r="S135" s="1"/>
    </row>
    <row r="136" spans="18:19" ht="16">
      <c r="R136" s="1"/>
      <c r="S136" s="1"/>
    </row>
    <row r="137" spans="18:19" ht="16">
      <c r="R137" s="1"/>
      <c r="S137" s="1"/>
    </row>
    <row r="138" spans="18:19" ht="16">
      <c r="R138" s="1"/>
      <c r="S138" s="1"/>
    </row>
    <row r="139" spans="18:19" ht="16">
      <c r="R139" s="1"/>
      <c r="S139" s="1"/>
    </row>
    <row r="140" spans="18:19" ht="16">
      <c r="R140" s="1"/>
      <c r="S140" s="1"/>
    </row>
    <row r="141" spans="18:19" ht="16">
      <c r="R141" s="1"/>
      <c r="S141" s="1"/>
    </row>
    <row r="142" spans="18:19" ht="16">
      <c r="R142" s="1"/>
      <c r="S142" s="1"/>
    </row>
    <row r="143" spans="18:19" ht="16">
      <c r="R143" s="1"/>
      <c r="S143" s="1"/>
    </row>
    <row r="144" spans="18:19" ht="16">
      <c r="R144" s="1"/>
      <c r="S144" s="1"/>
    </row>
    <row r="145" spans="18:19" ht="16">
      <c r="R145" s="1"/>
      <c r="S145" s="1"/>
    </row>
    <row r="146" spans="18:19" ht="16">
      <c r="R146" s="1"/>
      <c r="S146" s="1"/>
    </row>
    <row r="147" spans="18:19" ht="16">
      <c r="R147" s="1"/>
      <c r="S147" s="1"/>
    </row>
    <row r="148" spans="18:19" ht="16">
      <c r="R148" s="1"/>
      <c r="S148" s="1"/>
    </row>
    <row r="149" spans="18:19" ht="16">
      <c r="R149" s="1"/>
      <c r="S149" s="1"/>
    </row>
    <row r="150" spans="18:19" ht="16">
      <c r="R150" s="1"/>
      <c r="S150" s="1"/>
    </row>
    <row r="151" spans="18:19" ht="16">
      <c r="R151" s="1"/>
      <c r="S151" s="1"/>
    </row>
    <row r="152" spans="18:19" ht="16">
      <c r="R152" s="1"/>
      <c r="S152" s="1"/>
    </row>
    <row r="153" spans="18:19" ht="16">
      <c r="R153" s="1"/>
      <c r="S153" s="1"/>
    </row>
    <row r="154" spans="18:19" ht="16">
      <c r="R154" s="1"/>
      <c r="S154" s="1"/>
    </row>
    <row r="155" spans="18:19" ht="16">
      <c r="R155" s="1"/>
      <c r="S155" s="1"/>
    </row>
    <row r="156" spans="18:19" ht="16">
      <c r="R156" s="1"/>
      <c r="S156" s="1"/>
    </row>
    <row r="157" spans="18:19" ht="16">
      <c r="R157" s="1"/>
      <c r="S157" s="1"/>
    </row>
    <row r="158" spans="18:19" ht="16">
      <c r="R158" s="1"/>
      <c r="S158" s="1"/>
    </row>
    <row r="159" spans="18:19" ht="16">
      <c r="R159" s="1"/>
      <c r="S15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9ECD-10F3-554B-BD99-1660456E11EA}">
  <sheetPr>
    <tabColor theme="5"/>
  </sheetPr>
  <dimension ref="A1:X156"/>
  <sheetViews>
    <sheetView zoomScale="90" zoomScaleNormal="90" workbookViewId="0">
      <pane ySplit="1" topLeftCell="A2" activePane="bottomLeft" state="frozen"/>
      <selection activeCell="C1" sqref="C1"/>
      <selection pane="bottomLeft"/>
    </sheetView>
  </sheetViews>
  <sheetFormatPr baseColWidth="10" defaultRowHeight="14"/>
  <cols>
    <col min="1" max="1" width="17" style="71" customWidth="1"/>
    <col min="2" max="2" width="46.83203125" style="20" customWidth="1"/>
    <col min="3" max="3" width="18.83203125" style="20" customWidth="1"/>
    <col min="4" max="4" width="21.5" style="20" customWidth="1"/>
    <col min="5" max="5" width="15" style="20" bestFit="1" customWidth="1"/>
    <col min="6" max="6" width="15" style="20" customWidth="1"/>
    <col min="7" max="7" width="16.6640625" style="20" customWidth="1"/>
    <col min="8" max="8" width="4.83203125" style="20" customWidth="1"/>
    <col min="9" max="16" width="15" style="20" bestFit="1" customWidth="1"/>
    <col min="17" max="16384" width="10.83203125" style="20"/>
  </cols>
  <sheetData>
    <row r="1" spans="1:24" ht="20" thickBot="1">
      <c r="A1" s="207" t="s">
        <v>109</v>
      </c>
      <c r="B1" s="14" t="s">
        <v>16</v>
      </c>
      <c r="C1" s="15" t="s">
        <v>17</v>
      </c>
      <c r="D1" s="16" t="s">
        <v>40</v>
      </c>
      <c r="E1" s="16" t="s">
        <v>29</v>
      </c>
      <c r="F1" s="16" t="s">
        <v>68</v>
      </c>
      <c r="G1" s="16" t="s">
        <v>34</v>
      </c>
      <c r="H1" s="98"/>
      <c r="I1" s="17">
        <f>Предпоссылки!I1</f>
        <v>2023</v>
      </c>
      <c r="J1" s="17">
        <f>Предпоссылки!J1</f>
        <v>2024</v>
      </c>
      <c r="K1" s="17">
        <f>Предпоссылки!K1</f>
        <v>2025</v>
      </c>
      <c r="L1" s="17">
        <f>Предпоссылки!L1</f>
        <v>2026</v>
      </c>
      <c r="M1" s="17">
        <f>Предпоссылки!M1</f>
        <v>2027</v>
      </c>
      <c r="N1" s="17">
        <f>Предпоссылки!N1</f>
        <v>2028</v>
      </c>
      <c r="O1" s="17">
        <f>Предпоссылки!O1</f>
        <v>2029</v>
      </c>
      <c r="P1" s="17">
        <f>Предпоссылки!P1</f>
        <v>2030</v>
      </c>
      <c r="Q1" s="17">
        <f>Предпоссылки!Q1</f>
        <v>2031</v>
      </c>
      <c r="R1" s="17">
        <f>Предпоссылки!R1</f>
        <v>2032</v>
      </c>
      <c r="S1" s="17">
        <f>Предпоссылки!S1</f>
        <v>2033</v>
      </c>
      <c r="T1" s="17">
        <f>Предпоссылки!T1</f>
        <v>2034</v>
      </c>
      <c r="U1" s="17">
        <f>Предпоссылки!U1</f>
        <v>2035</v>
      </c>
      <c r="V1" s="17">
        <f>Предпоссылки!V1</f>
        <v>2036</v>
      </c>
      <c r="W1" s="17">
        <f>Предпоссылки!W1</f>
        <v>2037</v>
      </c>
      <c r="X1" s="17">
        <f>Предпоссылки!X1</f>
        <v>2038</v>
      </c>
    </row>
    <row r="2" spans="1:24" ht="15" thickBot="1">
      <c r="A2" s="20" t="s">
        <v>80</v>
      </c>
      <c r="B2" s="22" t="s">
        <v>176</v>
      </c>
      <c r="C2" s="22" t="s">
        <v>175</v>
      </c>
      <c r="H2" s="47"/>
      <c r="I2" s="67">
        <v>0</v>
      </c>
      <c r="J2" s="67">
        <v>1</v>
      </c>
      <c r="K2" s="67">
        <v>2</v>
      </c>
      <c r="L2" s="67">
        <v>3</v>
      </c>
      <c r="M2" s="67">
        <v>4</v>
      </c>
      <c r="N2" s="67">
        <v>5</v>
      </c>
      <c r="O2" s="67">
        <v>6</v>
      </c>
      <c r="P2" s="67">
        <v>7</v>
      </c>
      <c r="Q2" s="67">
        <v>8</v>
      </c>
      <c r="R2" s="67">
        <v>9</v>
      </c>
      <c r="S2" s="67">
        <v>10</v>
      </c>
      <c r="T2" s="67">
        <v>11</v>
      </c>
      <c r="U2" s="67">
        <v>12</v>
      </c>
      <c r="V2" s="67">
        <v>13</v>
      </c>
      <c r="W2" s="67">
        <v>14</v>
      </c>
      <c r="X2" s="67">
        <v>15</v>
      </c>
    </row>
    <row r="3" spans="1:24" ht="15" thickBot="1">
      <c r="A3" s="72" t="s">
        <v>138</v>
      </c>
      <c r="B3" s="89" t="s">
        <v>145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4"/>
    </row>
    <row r="4" spans="1:24">
      <c r="B4" s="20" t="s">
        <v>114</v>
      </c>
      <c r="C4" s="20" t="s">
        <v>6</v>
      </c>
      <c r="I4" s="157"/>
      <c r="J4" s="157"/>
      <c r="K4" s="157">
        <f>Предпоссылки!K98</f>
        <v>70</v>
      </c>
      <c r="L4" s="157">
        <f>K4*(1+Предпоссылки!L21)</f>
        <v>72.8</v>
      </c>
      <c r="M4" s="157">
        <f>L4*(1+Предпоссылки!M21)</f>
        <v>75.712000000000003</v>
      </c>
      <c r="N4" s="157">
        <f>M4*(1+Предпоссылки!N21)</f>
        <v>78.740480000000005</v>
      </c>
      <c r="O4" s="157">
        <f>N4*(1+Предпоссылки!O21)</f>
        <v>81.890099200000009</v>
      </c>
      <c r="P4" s="157">
        <f>O4*(1+Предпоссылки!P21)</f>
        <v>85.165703168000007</v>
      </c>
      <c r="Q4" s="157">
        <f>P4*(1+Предпоссылки!Q21)</f>
        <v>88.572331294720016</v>
      </c>
      <c r="R4" s="157">
        <f>Q4*(1+Предпоссылки!R21)</f>
        <v>92.115224546508813</v>
      </c>
      <c r="S4" s="157">
        <f>R4*(1+Предпоссылки!S21)</f>
        <v>95.799833528369163</v>
      </c>
      <c r="T4" s="157">
        <f>S4*(1+Предпоссылки!T21)</f>
        <v>99.631826869503939</v>
      </c>
      <c r="U4" s="157">
        <f>T4*(1+Предпоссылки!U21)</f>
        <v>103.61709994428411</v>
      </c>
      <c r="V4" s="157">
        <f>U4*(1+Предпоссылки!V21)</f>
        <v>107.76178394205547</v>
      </c>
      <c r="W4" s="157">
        <f>V4*(1+Предпоссылки!W21)</f>
        <v>112.07225529973769</v>
      </c>
      <c r="X4" s="157">
        <f>W4*(1+Предпоссылки!X21)</f>
        <v>116.5551455117272</v>
      </c>
    </row>
    <row r="5" spans="1:24">
      <c r="B5" s="20" t="s">
        <v>147</v>
      </c>
      <c r="C5" s="20" t="s">
        <v>6</v>
      </c>
      <c r="I5" s="139"/>
      <c r="J5" s="139"/>
      <c r="K5" s="139">
        <f>K4*Предпоссылки!K94*Предпоссылки!K10</f>
        <v>12600</v>
      </c>
      <c r="L5" s="139">
        <f>L4*Предпоссылки!L94*Предпоссылки!L10</f>
        <v>13104</v>
      </c>
      <c r="M5" s="139">
        <f>M4*Предпоссылки!M94*Предпоссылки!M10</f>
        <v>13628.16</v>
      </c>
      <c r="N5" s="139">
        <f>N4*Предпоссылки!N94*Предпоссылки!N10</f>
        <v>14173.286400000001</v>
      </c>
      <c r="O5" s="139">
        <f>O4*Предпоссылки!O94*Предпоссылки!O10</f>
        <v>14740.217856000003</v>
      </c>
      <c r="P5" s="139">
        <f>P4*Предпоссылки!P94*Предпоссылки!P10</f>
        <v>15329.826570240002</v>
      </c>
      <c r="Q5" s="139">
        <f>Q4*Предпоссылки!Q94*Предпоссылки!Q10</f>
        <v>15943.019633049604</v>
      </c>
      <c r="R5" s="139">
        <f>R4*Предпоссылки!R94*Предпоссылки!R10</f>
        <v>16580.740418371584</v>
      </c>
      <c r="S5" s="139">
        <f>S4*Предпоссылки!S94*Предпоссылки!S10</f>
        <v>17243.970035106449</v>
      </c>
      <c r="T5" s="139">
        <f>T4*Предпоссылки!T94*Предпоссылки!T10</f>
        <v>17933.728836510709</v>
      </c>
      <c r="U5" s="139">
        <f>U4*Предпоссылки!U94*Предпоссылки!U10</f>
        <v>18651.077989971142</v>
      </c>
      <c r="V5" s="139">
        <f>V4*Предпоссылки!V94*Предпоссылки!V10</f>
        <v>19397.121109569984</v>
      </c>
      <c r="W5" s="139">
        <f>W4*Предпоссылки!W94*Предпоссылки!W10</f>
        <v>20173.005953952787</v>
      </c>
      <c r="X5" s="139">
        <f>X4*Предпоссылки!X94*Предпоссылки!X10</f>
        <v>20979.926192110895</v>
      </c>
    </row>
    <row r="6" spans="1:24">
      <c r="B6" s="20" t="s">
        <v>154</v>
      </c>
      <c r="C6" s="20" t="s">
        <v>6</v>
      </c>
      <c r="I6" s="139"/>
      <c r="J6" s="139"/>
      <c r="K6" s="139">
        <f>Налоги!K25</f>
        <v>4158</v>
      </c>
      <c r="L6" s="139">
        <f>Налоги!L25</f>
        <v>4324</v>
      </c>
      <c r="M6" s="139">
        <f>Налоги!M25</f>
        <v>4497</v>
      </c>
      <c r="N6" s="139">
        <f>Налоги!N25</f>
        <v>4677</v>
      </c>
      <c r="O6" s="139">
        <f>Налоги!O25</f>
        <v>4864</v>
      </c>
      <c r="P6" s="139">
        <f>Налоги!P25</f>
        <v>5059</v>
      </c>
      <c r="Q6" s="139">
        <f>Налоги!Q25</f>
        <v>5261</v>
      </c>
      <c r="R6" s="139">
        <f>Налоги!R25</f>
        <v>5472</v>
      </c>
      <c r="S6" s="139">
        <f>Налоги!S25</f>
        <v>5691</v>
      </c>
      <c r="T6" s="139">
        <f>Налоги!T25</f>
        <v>5918</v>
      </c>
      <c r="U6" s="139">
        <f>Налоги!U25</f>
        <v>6155</v>
      </c>
      <c r="V6" s="139">
        <f>Налоги!V25</f>
        <v>6401</v>
      </c>
      <c r="W6" s="139">
        <f>Налоги!W25</f>
        <v>6657</v>
      </c>
      <c r="X6" s="139">
        <f>Налоги!X25</f>
        <v>6923</v>
      </c>
    </row>
    <row r="8" spans="1:24">
      <c r="B8" s="20" t="s">
        <v>115</v>
      </c>
      <c r="C8" s="20" t="s">
        <v>6</v>
      </c>
      <c r="I8" s="139"/>
      <c r="J8" s="139"/>
      <c r="K8" s="139">
        <f>Предпоссылки!K99</f>
        <v>45</v>
      </c>
      <c r="L8" s="139">
        <f>K8*(1+Предпоссылки!L21)</f>
        <v>46.800000000000004</v>
      </c>
      <c r="M8" s="139">
        <f>L8*(1+Предпоссылки!M21)</f>
        <v>48.672000000000004</v>
      </c>
      <c r="N8" s="139">
        <f>M8*(1+Предпоссылки!N21)</f>
        <v>50.618880000000004</v>
      </c>
      <c r="O8" s="139">
        <f>N8*(1+Предпоссылки!O21)</f>
        <v>52.643635200000006</v>
      </c>
      <c r="P8" s="139">
        <f>O8*(1+Предпоссылки!P21)</f>
        <v>54.74938060800001</v>
      </c>
      <c r="Q8" s="139">
        <f>P8*(1+Предпоссылки!Q21)</f>
        <v>56.939355832320011</v>
      </c>
      <c r="R8" s="139">
        <f>Q8*(1+Предпоссылки!R21)</f>
        <v>59.216930065612814</v>
      </c>
      <c r="S8" s="139">
        <f>R8*(1+Предпоссылки!S21)</f>
        <v>61.585607268237332</v>
      </c>
      <c r="T8" s="139">
        <f>S8*(1+Предпоссылки!T21)</f>
        <v>64.049031558966831</v>
      </c>
      <c r="U8" s="139">
        <f>T8*(1+Предпоссылки!U21)</f>
        <v>66.61099282132551</v>
      </c>
      <c r="V8" s="139">
        <f>U8*(1+Предпоссылки!V21)</f>
        <v>69.275432534178535</v>
      </c>
      <c r="W8" s="139">
        <f>V8*(1+Предпоссылки!W21)</f>
        <v>72.046449835545673</v>
      </c>
      <c r="X8" s="139">
        <f>W8*(1+Предпоссылки!X21)</f>
        <v>74.928307828967505</v>
      </c>
    </row>
    <row r="9" spans="1:24">
      <c r="B9" s="20" t="s">
        <v>147</v>
      </c>
      <c r="C9" s="20" t="s">
        <v>6</v>
      </c>
      <c r="I9" s="139"/>
      <c r="J9" s="139"/>
      <c r="K9" s="139">
        <f>K8*Предпоссылки!K95*Предпоссылки!K10</f>
        <v>2700</v>
      </c>
      <c r="L9" s="139">
        <f>L8*Предпоссылки!L95*Предпоссылки!L10</f>
        <v>2808.0000000000005</v>
      </c>
      <c r="M9" s="139">
        <f>M8*Предпоссылки!M95*Предпоссылки!M10</f>
        <v>2920.32</v>
      </c>
      <c r="N9" s="139">
        <f>N8*Предпоссылки!N95*Предпоссылки!N10</f>
        <v>3037.1328000000003</v>
      </c>
      <c r="O9" s="139">
        <f>O8*Предпоссылки!O95*Предпоссылки!O10</f>
        <v>3158.6181120000001</v>
      </c>
      <c r="P9" s="139">
        <f>P8*Предпоссылки!P95*Предпоссылки!P10</f>
        <v>3284.962836480001</v>
      </c>
      <c r="Q9" s="139">
        <f>Q8*Предпоссылки!Q95*Предпоссылки!Q10</f>
        <v>3416.3613499392004</v>
      </c>
      <c r="R9" s="139">
        <f>R8*Предпоссылки!R95*Предпоссылки!R10</f>
        <v>3553.0158039367689</v>
      </c>
      <c r="S9" s="139">
        <f>S8*Предпоссылки!S95*Предпоссылки!S10</f>
        <v>3695.1364360942398</v>
      </c>
      <c r="T9" s="139">
        <f>T8*Предпоссылки!T95*Предпоссылки!T10</f>
        <v>3842.9418935380099</v>
      </c>
      <c r="U9" s="139">
        <f>U8*Предпоссылки!U95*Предпоссылки!U10</f>
        <v>3996.6595692795308</v>
      </c>
      <c r="V9" s="139">
        <f>V8*Предпоссылки!V95*Предпоссылки!V10</f>
        <v>4156.5259520507125</v>
      </c>
      <c r="W9" s="139">
        <f>W8*Предпоссылки!W95*Предпоссылки!W10</f>
        <v>4322.7869901327404</v>
      </c>
      <c r="X9" s="139">
        <f>X8*Предпоссылки!X95*Предпоссылки!X10</f>
        <v>4495.6984697380503</v>
      </c>
    </row>
    <row r="10" spans="1:24">
      <c r="B10" s="20" t="s">
        <v>154</v>
      </c>
      <c r="C10" s="20" t="s">
        <v>6</v>
      </c>
      <c r="I10" s="139"/>
      <c r="J10" s="139"/>
      <c r="K10" s="139">
        <f>Налоги!K35</f>
        <v>891</v>
      </c>
      <c r="L10" s="139">
        <f>Налоги!L35</f>
        <v>927</v>
      </c>
      <c r="M10" s="139">
        <f>Налоги!M35</f>
        <v>964</v>
      </c>
      <c r="N10" s="139">
        <f>Налоги!N35</f>
        <v>1002</v>
      </c>
      <c r="O10" s="139">
        <f>Налоги!O35</f>
        <v>1042</v>
      </c>
      <c r="P10" s="139">
        <f>Налоги!P35</f>
        <v>1084</v>
      </c>
      <c r="Q10" s="139">
        <f>Налоги!Q35</f>
        <v>1127</v>
      </c>
      <c r="R10" s="139">
        <f>Налоги!R35</f>
        <v>1172</v>
      </c>
      <c r="S10" s="139">
        <f>Налоги!S35</f>
        <v>1219</v>
      </c>
      <c r="T10" s="139">
        <f>Налоги!T35</f>
        <v>1268</v>
      </c>
      <c r="U10" s="139">
        <f>Налоги!U35</f>
        <v>1319</v>
      </c>
      <c r="V10" s="139">
        <f>Налоги!V35</f>
        <v>1372</v>
      </c>
      <c r="W10" s="139">
        <f>Налоги!W35</f>
        <v>1427</v>
      </c>
      <c r="X10" s="139">
        <f>Налоги!X35</f>
        <v>1484</v>
      </c>
    </row>
    <row r="11" spans="1:24" ht="15" thickBot="1">
      <c r="B11" s="136" t="s">
        <v>152</v>
      </c>
      <c r="C11" s="136" t="s">
        <v>6</v>
      </c>
      <c r="D11" s="136"/>
      <c r="E11" s="136"/>
      <c r="F11" s="136"/>
      <c r="G11" s="136"/>
      <c r="H11" s="136"/>
      <c r="I11" s="136">
        <f>ROUND(((I5+I6+I9+I10)),0)</f>
        <v>0</v>
      </c>
      <c r="J11" s="136">
        <f t="shared" ref="J11:X11" si="0">ROUND(((J5+J6+J9+J10)),0)</f>
        <v>0</v>
      </c>
      <c r="K11" s="136">
        <f t="shared" si="0"/>
        <v>20349</v>
      </c>
      <c r="L11" s="136">
        <f t="shared" si="0"/>
        <v>21163</v>
      </c>
      <c r="M11" s="136">
        <f t="shared" si="0"/>
        <v>22009</v>
      </c>
      <c r="N11" s="136">
        <f t="shared" si="0"/>
        <v>22889</v>
      </c>
      <c r="O11" s="136">
        <f t="shared" si="0"/>
        <v>23805</v>
      </c>
      <c r="P11" s="136">
        <f t="shared" si="0"/>
        <v>24758</v>
      </c>
      <c r="Q11" s="136">
        <f t="shared" si="0"/>
        <v>25747</v>
      </c>
      <c r="R11" s="136">
        <f t="shared" si="0"/>
        <v>26778</v>
      </c>
      <c r="S11" s="136">
        <f t="shared" si="0"/>
        <v>27849</v>
      </c>
      <c r="T11" s="136">
        <f t="shared" si="0"/>
        <v>28963</v>
      </c>
      <c r="U11" s="136">
        <f t="shared" si="0"/>
        <v>30122</v>
      </c>
      <c r="V11" s="136">
        <f t="shared" si="0"/>
        <v>31327</v>
      </c>
      <c r="W11" s="136">
        <f t="shared" si="0"/>
        <v>32580</v>
      </c>
      <c r="X11" s="136">
        <f t="shared" si="0"/>
        <v>33883</v>
      </c>
    </row>
    <row r="12" spans="1:24" ht="15" thickBot="1">
      <c r="A12" s="72" t="s">
        <v>72</v>
      </c>
      <c r="B12" s="89" t="s">
        <v>159</v>
      </c>
      <c r="C12" s="53"/>
      <c r="D12" s="53"/>
      <c r="E12" s="53"/>
      <c r="F12" s="53"/>
      <c r="G12" s="134" t="s">
        <v>158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4"/>
    </row>
    <row r="13" spans="1:24">
      <c r="B13" s="132" t="s">
        <v>119</v>
      </c>
      <c r="I13" s="157"/>
      <c r="J13" s="157"/>
      <c r="K13" s="157">
        <f>OpEx!K18*Предпоссылки!K102</f>
        <v>47714.200000000004</v>
      </c>
      <c r="L13" s="157">
        <f>OpEx!L18*Предпоссылки!L102*(1+Предпоссылки!L21)</f>
        <v>59283.952000000005</v>
      </c>
      <c r="M13" s="157">
        <f>OpEx!M18*Предпоссылки!M102*(1+Предпоссылки!M21)</f>
        <v>62670.816000000006</v>
      </c>
      <c r="N13" s="157">
        <f>OpEx!N18*Предпоссылки!N102*(1+Предпоссылки!N21)</f>
        <v>65339.456000000006</v>
      </c>
      <c r="O13" s="157">
        <f>OpEx!O18*Предпоссылки!O102*(1+Предпоссылки!O21)</f>
        <v>67784.704000000012</v>
      </c>
      <c r="P13" s="157">
        <f>OpEx!P18*Предпоссылки!P102*(1+Предпоссылки!P21)</f>
        <v>70496.19200000001</v>
      </c>
      <c r="Q13" s="157">
        <f>OpEx!Q18*Предпоссылки!Q102*(1+Предпоссылки!Q21)</f>
        <v>73316.047999999995</v>
      </c>
      <c r="R13" s="157">
        <f>OpEx!R18*Предпоссылки!R102*(1+Предпоссылки!R21)</f>
        <v>76437.712</v>
      </c>
      <c r="S13" s="157">
        <f>OpEx!S18*Предпоссылки!S102*(1+Предпоссылки!S21)</f>
        <v>79298.33600000001</v>
      </c>
      <c r="T13" s="157">
        <f>OpEx!T18*Предпоссылки!T102*(1+Предпоссылки!T21)</f>
        <v>82470.544000000009</v>
      </c>
      <c r="U13" s="157">
        <f>OpEx!U18*Предпоссылки!U102*(1+Предпоссылки!U21)</f>
        <v>85769.632000000012</v>
      </c>
      <c r="V13" s="157">
        <f>OpEx!V18*Предпоссылки!V102*(1+Предпоссылки!V21)</f>
        <v>89421.488000000012</v>
      </c>
      <c r="W13" s="157">
        <f>OpEx!W18*Предпоссылки!W102*(1+Предпоссылки!W21)</f>
        <v>92768.208000000013</v>
      </c>
      <c r="X13" s="157">
        <f>OpEx!X18*Предпоссылки!X102*(1+Предпоссылки!X21)</f>
        <v>96478.512000000002</v>
      </c>
    </row>
    <row r="15" spans="1:24" ht="15" thickBot="1">
      <c r="B15" s="133" t="s">
        <v>160</v>
      </c>
      <c r="C15" s="133" t="s">
        <v>6</v>
      </c>
      <c r="D15" s="133"/>
      <c r="E15" s="133"/>
      <c r="F15" s="133"/>
      <c r="G15" s="133"/>
      <c r="H15" s="133"/>
      <c r="I15" s="133">
        <f>ROUND((I11+I13),0)</f>
        <v>0</v>
      </c>
      <c r="J15" s="133">
        <f t="shared" ref="J15:X15" si="1">ROUND((J11+J13),0)</f>
        <v>0</v>
      </c>
      <c r="K15" s="133">
        <f t="shared" si="1"/>
        <v>68063</v>
      </c>
      <c r="L15" s="133">
        <f t="shared" si="1"/>
        <v>80447</v>
      </c>
      <c r="M15" s="133">
        <f t="shared" si="1"/>
        <v>84680</v>
      </c>
      <c r="N15" s="133">
        <f t="shared" si="1"/>
        <v>88228</v>
      </c>
      <c r="O15" s="133">
        <f t="shared" si="1"/>
        <v>91590</v>
      </c>
      <c r="P15" s="133">
        <f t="shared" si="1"/>
        <v>95254</v>
      </c>
      <c r="Q15" s="133">
        <f t="shared" si="1"/>
        <v>99063</v>
      </c>
      <c r="R15" s="133">
        <f t="shared" si="1"/>
        <v>103216</v>
      </c>
      <c r="S15" s="133">
        <f t="shared" si="1"/>
        <v>107147</v>
      </c>
      <c r="T15" s="133">
        <f t="shared" si="1"/>
        <v>111434</v>
      </c>
      <c r="U15" s="133">
        <f t="shared" si="1"/>
        <v>115892</v>
      </c>
      <c r="V15" s="133">
        <f t="shared" si="1"/>
        <v>120748</v>
      </c>
      <c r="W15" s="133">
        <f t="shared" si="1"/>
        <v>125348</v>
      </c>
      <c r="X15" s="133">
        <f t="shared" si="1"/>
        <v>130362</v>
      </c>
    </row>
    <row r="16" spans="1:24" ht="16">
      <c r="R16" s="1"/>
      <c r="S16" s="1"/>
    </row>
    <row r="17" spans="18:19" ht="16">
      <c r="R17" s="1"/>
      <c r="S17" s="1"/>
    </row>
    <row r="18" spans="18:19" ht="16">
      <c r="R18" s="1"/>
      <c r="S18" s="1"/>
    </row>
    <row r="19" spans="18:19" ht="16">
      <c r="R19" s="1"/>
      <c r="S19" s="1"/>
    </row>
    <row r="20" spans="18:19" ht="16">
      <c r="R20" s="1"/>
      <c r="S20" s="1"/>
    </row>
    <row r="21" spans="18:19" ht="16">
      <c r="R21" s="1"/>
      <c r="S21" s="1"/>
    </row>
    <row r="22" spans="18:19" ht="16">
      <c r="R22" s="1"/>
      <c r="S22" s="1"/>
    </row>
    <row r="23" spans="18:19" ht="16">
      <c r="R23" s="1"/>
      <c r="S23" s="1"/>
    </row>
    <row r="24" spans="18:19" ht="16">
      <c r="R24" s="1"/>
      <c r="S24" s="1"/>
    </row>
    <row r="25" spans="18:19" ht="16">
      <c r="R25" s="1"/>
      <c r="S25" s="1"/>
    </row>
    <row r="26" spans="18:19" ht="16">
      <c r="R26" s="1"/>
      <c r="S26" s="1"/>
    </row>
    <row r="27" spans="18:19" ht="16">
      <c r="R27" s="1"/>
      <c r="S27" s="1"/>
    </row>
    <row r="28" spans="18:19" ht="16">
      <c r="R28" s="1"/>
      <c r="S28" s="1"/>
    </row>
    <row r="29" spans="18:19" ht="16">
      <c r="R29" s="1"/>
      <c r="S29" s="1"/>
    </row>
    <row r="30" spans="18:19" ht="16">
      <c r="R30" s="1"/>
      <c r="S30" s="1"/>
    </row>
    <row r="31" spans="18:19" ht="16">
      <c r="R31" s="1"/>
      <c r="S31" s="1"/>
    </row>
    <row r="32" spans="18:19" ht="16">
      <c r="R32" s="1"/>
      <c r="S32" s="1"/>
    </row>
    <row r="33" spans="2:19" ht="16">
      <c r="R33" s="1"/>
      <c r="S33" s="1"/>
    </row>
    <row r="34" spans="2:19" ht="16">
      <c r="R34" s="1"/>
      <c r="S34" s="1"/>
    </row>
    <row r="35" spans="2:19" ht="16">
      <c r="R35" s="1"/>
      <c r="S35" s="1"/>
    </row>
    <row r="36" spans="2:19" ht="16">
      <c r="R36" s="1"/>
      <c r="S36" s="1"/>
    </row>
    <row r="37" spans="2:19" ht="16">
      <c r="R37" s="1"/>
      <c r="S37" s="1"/>
    </row>
    <row r="38" spans="2:19" ht="16">
      <c r="R38" s="1"/>
      <c r="S38" s="1"/>
    </row>
    <row r="39" spans="2:19" ht="16">
      <c r="R39" s="1"/>
      <c r="S39" s="1"/>
    </row>
    <row r="40" spans="2:19" ht="16">
      <c r="R40" s="1"/>
      <c r="S40" s="1"/>
    </row>
    <row r="41" spans="2:19" ht="16">
      <c r="R41" s="1"/>
      <c r="S41" s="1"/>
    </row>
    <row r="42" spans="2:19" ht="16">
      <c r="R42" s="1"/>
      <c r="S42" s="1"/>
    </row>
    <row r="43" spans="2:19" ht="16">
      <c r="R43" s="1"/>
      <c r="S43" s="1"/>
    </row>
    <row r="44" spans="2:19" ht="16">
      <c r="R44" s="1"/>
      <c r="S44" s="1"/>
    </row>
    <row r="45" spans="2:19" ht="16">
      <c r="B45" s="18"/>
      <c r="R45" s="1"/>
      <c r="S45" s="1"/>
    </row>
    <row r="46" spans="2:19" ht="16">
      <c r="R46" s="1"/>
      <c r="S46" s="1"/>
    </row>
    <row r="47" spans="2:19" ht="16">
      <c r="R47" s="1"/>
      <c r="S47" s="1"/>
    </row>
    <row r="48" spans="2:19" ht="16">
      <c r="R48" s="1"/>
      <c r="S48" s="1"/>
    </row>
    <row r="49" spans="18:19" ht="16">
      <c r="R49" s="1"/>
      <c r="S49" s="1"/>
    </row>
    <row r="50" spans="18:19" ht="16">
      <c r="R50" s="1"/>
      <c r="S50" s="1"/>
    </row>
    <row r="51" spans="18:19" ht="16">
      <c r="R51" s="1"/>
      <c r="S51" s="1"/>
    </row>
    <row r="52" spans="18:19" ht="16">
      <c r="R52" s="1"/>
      <c r="S52" s="1"/>
    </row>
    <row r="53" spans="18:19" ht="16">
      <c r="R53" s="1"/>
      <c r="S53" s="1"/>
    </row>
    <row r="54" spans="18:19" ht="16">
      <c r="R54" s="1"/>
      <c r="S54" s="1"/>
    </row>
    <row r="55" spans="18:19" ht="16">
      <c r="R55" s="1"/>
      <c r="S55" s="1"/>
    </row>
    <row r="56" spans="18:19" ht="16">
      <c r="R56" s="1"/>
      <c r="S56" s="1"/>
    </row>
    <row r="57" spans="18:19" ht="16">
      <c r="R57" s="1"/>
      <c r="S57" s="1"/>
    </row>
    <row r="58" spans="18:19" ht="16">
      <c r="R58" s="1"/>
      <c r="S58" s="1"/>
    </row>
    <row r="59" spans="18:19" ht="16">
      <c r="R59" s="1"/>
      <c r="S59" s="1"/>
    </row>
    <row r="60" spans="18:19" ht="16">
      <c r="R60" s="1"/>
      <c r="S60" s="1"/>
    </row>
    <row r="61" spans="18:19" ht="16">
      <c r="R61" s="1"/>
      <c r="S61" s="1"/>
    </row>
    <row r="62" spans="18:19" ht="16">
      <c r="R62" s="1"/>
      <c r="S62" s="1"/>
    </row>
    <row r="63" spans="18:19" ht="16">
      <c r="R63" s="1"/>
      <c r="S63" s="1"/>
    </row>
    <row r="64" spans="18:19" ht="16">
      <c r="R64" s="1"/>
      <c r="S64" s="1"/>
    </row>
    <row r="65" spans="18:19" ht="16">
      <c r="R65" s="1"/>
      <c r="S65" s="1"/>
    </row>
    <row r="66" spans="18:19" ht="16">
      <c r="R66" s="1"/>
      <c r="S66" s="1"/>
    </row>
    <row r="67" spans="18:19" ht="16">
      <c r="R67" s="1"/>
      <c r="S67" s="1"/>
    </row>
    <row r="68" spans="18:19" ht="16">
      <c r="R68" s="1"/>
      <c r="S68" s="1"/>
    </row>
    <row r="69" spans="18:19" ht="16">
      <c r="R69" s="1"/>
      <c r="S69" s="1"/>
    </row>
    <row r="70" spans="18:19" ht="16">
      <c r="R70" s="1"/>
      <c r="S70" s="1"/>
    </row>
    <row r="71" spans="18:19" ht="16">
      <c r="R71" s="1"/>
      <c r="S71" s="1"/>
    </row>
    <row r="72" spans="18:19" ht="16">
      <c r="R72" s="1"/>
      <c r="S72" s="1"/>
    </row>
    <row r="73" spans="18:19" ht="16">
      <c r="R73" s="1"/>
      <c r="S73" s="1"/>
    </row>
    <row r="74" spans="18:19" ht="16">
      <c r="R74" s="1"/>
      <c r="S74" s="1"/>
    </row>
    <row r="75" spans="18:19" ht="16">
      <c r="R75" s="1"/>
      <c r="S75" s="1"/>
    </row>
    <row r="76" spans="18:19" ht="16">
      <c r="R76" s="1"/>
      <c r="S76" s="1"/>
    </row>
    <row r="77" spans="18:19" ht="16">
      <c r="R77" s="1"/>
      <c r="S77" s="1"/>
    </row>
    <row r="78" spans="18:19" ht="16">
      <c r="R78" s="1"/>
      <c r="S78" s="1"/>
    </row>
    <row r="79" spans="18:19" ht="16">
      <c r="R79" s="1"/>
      <c r="S79" s="1"/>
    </row>
    <row r="80" spans="18:19" ht="16">
      <c r="R80" s="1"/>
      <c r="S80" s="1"/>
    </row>
    <row r="81" spans="18:19" ht="16">
      <c r="R81" s="1"/>
      <c r="S81" s="1"/>
    </row>
    <row r="82" spans="18:19" ht="16">
      <c r="R82" s="1"/>
      <c r="S82" s="1"/>
    </row>
    <row r="83" spans="18:19" ht="16">
      <c r="R83" s="1"/>
      <c r="S83" s="1"/>
    </row>
    <row r="84" spans="18:19" ht="16">
      <c r="R84" s="1"/>
      <c r="S84" s="1"/>
    </row>
    <row r="85" spans="18:19" ht="16">
      <c r="R85" s="1"/>
      <c r="S85" s="1"/>
    </row>
    <row r="86" spans="18:19" ht="16">
      <c r="R86" s="1"/>
      <c r="S86" s="1"/>
    </row>
    <row r="87" spans="18:19" ht="16">
      <c r="R87" s="1"/>
      <c r="S87" s="1"/>
    </row>
    <row r="88" spans="18:19" ht="16">
      <c r="R88" s="1"/>
      <c r="S88" s="1"/>
    </row>
    <row r="89" spans="18:19" ht="16">
      <c r="R89" s="1"/>
      <c r="S89" s="1"/>
    </row>
    <row r="90" spans="18:19" ht="16">
      <c r="R90" s="1"/>
      <c r="S90" s="1"/>
    </row>
    <row r="91" spans="18:19" ht="16">
      <c r="R91" s="1"/>
      <c r="S91" s="1"/>
    </row>
    <row r="92" spans="18:19" ht="16">
      <c r="R92" s="1"/>
      <c r="S92" s="1"/>
    </row>
    <row r="93" spans="18:19" ht="16">
      <c r="R93" s="1"/>
      <c r="S93" s="1"/>
    </row>
    <row r="94" spans="18:19" ht="16">
      <c r="R94" s="1"/>
      <c r="S94" s="1"/>
    </row>
    <row r="95" spans="18:19" ht="16">
      <c r="R95" s="1"/>
      <c r="S95" s="1"/>
    </row>
    <row r="96" spans="18:19" ht="16">
      <c r="R96" s="1"/>
      <c r="S96" s="1"/>
    </row>
    <row r="97" spans="18:19" ht="16">
      <c r="R97" s="1"/>
      <c r="S97" s="1"/>
    </row>
    <row r="98" spans="18:19" ht="16">
      <c r="R98" s="1"/>
      <c r="S98" s="1"/>
    </row>
    <row r="99" spans="18:19" ht="16">
      <c r="R99" s="1"/>
      <c r="S99" s="1"/>
    </row>
    <row r="100" spans="18:19" ht="16">
      <c r="R100" s="1"/>
      <c r="S100" s="1"/>
    </row>
    <row r="101" spans="18:19" ht="16">
      <c r="R101" s="1"/>
      <c r="S101" s="1"/>
    </row>
    <row r="102" spans="18:19" ht="16">
      <c r="R102" s="1"/>
      <c r="S102" s="1"/>
    </row>
    <row r="103" spans="18:19" ht="16">
      <c r="R103" s="1"/>
      <c r="S103" s="1"/>
    </row>
    <row r="104" spans="18:19" ht="16">
      <c r="R104" s="1"/>
      <c r="S104" s="1"/>
    </row>
    <row r="105" spans="18:19" ht="16">
      <c r="R105" s="1"/>
      <c r="S105" s="1"/>
    </row>
    <row r="106" spans="18:19" ht="16">
      <c r="R106" s="1"/>
      <c r="S106" s="1"/>
    </row>
    <row r="107" spans="18:19" ht="16">
      <c r="R107" s="1"/>
      <c r="S107" s="1"/>
    </row>
    <row r="108" spans="18:19" ht="16">
      <c r="R108" s="1"/>
      <c r="S108" s="1"/>
    </row>
    <row r="109" spans="18:19" ht="16">
      <c r="R109" s="1"/>
      <c r="S109" s="1"/>
    </row>
    <row r="110" spans="18:19" ht="16">
      <c r="R110" s="1"/>
      <c r="S110" s="1"/>
    </row>
    <row r="111" spans="18:19" ht="16">
      <c r="R111" s="1"/>
      <c r="S111" s="1"/>
    </row>
    <row r="112" spans="18:19" ht="16">
      <c r="R112" s="1"/>
      <c r="S112" s="1"/>
    </row>
    <row r="113" spans="18:19" ht="16">
      <c r="R113" s="1"/>
      <c r="S113" s="1"/>
    </row>
    <row r="114" spans="18:19" ht="16">
      <c r="R114" s="1"/>
      <c r="S114" s="1"/>
    </row>
    <row r="115" spans="18:19" ht="16">
      <c r="R115" s="1"/>
      <c r="S115" s="1"/>
    </row>
    <row r="116" spans="18:19" ht="16">
      <c r="R116" s="1"/>
      <c r="S116" s="1"/>
    </row>
    <row r="117" spans="18:19" ht="16">
      <c r="R117" s="1"/>
      <c r="S117" s="1"/>
    </row>
    <row r="118" spans="18:19" ht="16">
      <c r="R118" s="1"/>
      <c r="S118" s="1"/>
    </row>
    <row r="119" spans="18:19" ht="16">
      <c r="R119" s="1"/>
      <c r="S119" s="1"/>
    </row>
    <row r="120" spans="18:19" ht="16">
      <c r="R120" s="1"/>
      <c r="S120" s="1"/>
    </row>
    <row r="121" spans="18:19" ht="16">
      <c r="R121" s="1"/>
      <c r="S121" s="1"/>
    </row>
    <row r="122" spans="18:19" ht="16">
      <c r="R122" s="1"/>
      <c r="S122" s="1"/>
    </row>
    <row r="123" spans="18:19" ht="16">
      <c r="R123" s="1"/>
      <c r="S123" s="1"/>
    </row>
    <row r="124" spans="18:19" ht="16">
      <c r="R124" s="1"/>
      <c r="S124" s="1"/>
    </row>
    <row r="125" spans="18:19" ht="16">
      <c r="R125" s="1"/>
      <c r="S125" s="1"/>
    </row>
    <row r="126" spans="18:19" ht="16">
      <c r="R126" s="1"/>
      <c r="S126" s="1"/>
    </row>
    <row r="127" spans="18:19" ht="16">
      <c r="R127" s="1"/>
      <c r="S127" s="1"/>
    </row>
    <row r="128" spans="18:19" ht="16">
      <c r="R128" s="1"/>
      <c r="S128" s="1"/>
    </row>
    <row r="129" spans="18:19" ht="16">
      <c r="R129" s="1"/>
      <c r="S129" s="1"/>
    </row>
    <row r="130" spans="18:19" ht="16">
      <c r="R130" s="1"/>
      <c r="S130" s="1"/>
    </row>
    <row r="131" spans="18:19" ht="16">
      <c r="R131" s="1"/>
      <c r="S131" s="1"/>
    </row>
    <row r="132" spans="18:19" ht="16">
      <c r="R132" s="1"/>
      <c r="S132" s="1"/>
    </row>
    <row r="133" spans="18:19" ht="16">
      <c r="R133" s="1"/>
      <c r="S133" s="1"/>
    </row>
    <row r="134" spans="18:19" ht="16">
      <c r="R134" s="1"/>
      <c r="S134" s="1"/>
    </row>
    <row r="135" spans="18:19" ht="16">
      <c r="R135" s="1"/>
      <c r="S135" s="1"/>
    </row>
    <row r="136" spans="18:19" ht="16">
      <c r="R136" s="1"/>
      <c r="S136" s="1"/>
    </row>
    <row r="137" spans="18:19" ht="16">
      <c r="R137" s="1"/>
      <c r="S137" s="1"/>
    </row>
    <row r="138" spans="18:19" ht="16">
      <c r="R138" s="1"/>
      <c r="S138" s="1"/>
    </row>
    <row r="139" spans="18:19" ht="16">
      <c r="R139" s="1"/>
      <c r="S139" s="1"/>
    </row>
    <row r="140" spans="18:19" ht="16">
      <c r="R140" s="1"/>
      <c r="S140" s="1"/>
    </row>
    <row r="141" spans="18:19" ht="16">
      <c r="R141" s="1"/>
      <c r="S141" s="1"/>
    </row>
    <row r="142" spans="18:19" ht="16">
      <c r="R142" s="1"/>
      <c r="S142" s="1"/>
    </row>
    <row r="143" spans="18:19" ht="16">
      <c r="R143" s="1"/>
      <c r="S143" s="1"/>
    </row>
    <row r="144" spans="18:19" ht="16">
      <c r="R144" s="1"/>
      <c r="S144" s="1"/>
    </row>
    <row r="145" spans="18:19" ht="16">
      <c r="R145" s="1"/>
      <c r="S145" s="1"/>
    </row>
    <row r="146" spans="18:19" ht="16">
      <c r="R146" s="1"/>
      <c r="S146" s="1"/>
    </row>
    <row r="147" spans="18:19" ht="16">
      <c r="R147" s="1"/>
      <c r="S147" s="1"/>
    </row>
    <row r="148" spans="18:19" ht="16">
      <c r="R148" s="1"/>
      <c r="S148" s="1"/>
    </row>
    <row r="149" spans="18:19" ht="16">
      <c r="R149" s="1"/>
      <c r="S149" s="1"/>
    </row>
    <row r="150" spans="18:19" ht="16">
      <c r="R150" s="1"/>
      <c r="S150" s="1"/>
    </row>
    <row r="151" spans="18:19" ht="16">
      <c r="R151" s="1"/>
      <c r="S151" s="1"/>
    </row>
    <row r="152" spans="18:19" ht="16">
      <c r="R152" s="1"/>
      <c r="S152" s="1"/>
    </row>
    <row r="153" spans="18:19" ht="16">
      <c r="R153" s="1"/>
      <c r="S153" s="1"/>
    </row>
    <row r="154" spans="18:19" ht="16">
      <c r="R154" s="1"/>
      <c r="S154" s="1"/>
    </row>
    <row r="155" spans="18:19" ht="16">
      <c r="R155" s="1"/>
      <c r="S155" s="1"/>
    </row>
    <row r="156" spans="18:19" ht="16">
      <c r="R156" s="1"/>
      <c r="S15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BD4A-FC6F-794E-93B8-0FAD89C201FB}">
  <sheetPr>
    <tabColor theme="5"/>
  </sheetPr>
  <dimension ref="A1:X142"/>
  <sheetViews>
    <sheetView zoomScale="90" zoomScaleNormal="90" workbookViewId="0">
      <pane ySplit="1" topLeftCell="A2" activePane="bottomLeft" state="frozen"/>
      <selection activeCell="C1" sqref="C1"/>
      <selection pane="bottomLeft"/>
    </sheetView>
  </sheetViews>
  <sheetFormatPr baseColWidth="10" defaultRowHeight="14"/>
  <cols>
    <col min="1" max="1" width="17" style="71" customWidth="1"/>
    <col min="2" max="2" width="46.83203125" style="20" customWidth="1"/>
    <col min="3" max="3" width="18.83203125" style="20" customWidth="1"/>
    <col min="4" max="4" width="21.5" style="20" customWidth="1"/>
    <col min="5" max="5" width="15" style="20" bestFit="1" customWidth="1"/>
    <col min="6" max="6" width="15" style="20" customWidth="1"/>
    <col min="7" max="7" width="16.6640625" style="20" customWidth="1"/>
    <col min="8" max="8" width="4.83203125" style="20" customWidth="1"/>
    <col min="9" max="16" width="15" style="20" bestFit="1" customWidth="1"/>
    <col min="17" max="16384" width="10.83203125" style="20"/>
  </cols>
  <sheetData>
    <row r="1" spans="1:24" ht="20" thickBot="1">
      <c r="A1" s="207" t="s">
        <v>193</v>
      </c>
      <c r="B1" s="14" t="s">
        <v>16</v>
      </c>
      <c r="C1" s="15" t="s">
        <v>17</v>
      </c>
      <c r="D1" s="16" t="s">
        <v>40</v>
      </c>
      <c r="E1" s="16" t="s">
        <v>29</v>
      </c>
      <c r="F1" s="16" t="s">
        <v>68</v>
      </c>
      <c r="G1" s="16" t="s">
        <v>34</v>
      </c>
      <c r="H1" s="98"/>
      <c r="I1" s="17">
        <f>Предпоссылки!I1</f>
        <v>2023</v>
      </c>
      <c r="J1" s="17">
        <f>Предпоссылки!J1</f>
        <v>2024</v>
      </c>
      <c r="K1" s="17">
        <f>Предпоссылки!K1</f>
        <v>2025</v>
      </c>
      <c r="L1" s="17">
        <f>Предпоссылки!L1</f>
        <v>2026</v>
      </c>
      <c r="M1" s="17">
        <f>Предпоссылки!M1</f>
        <v>2027</v>
      </c>
      <c r="N1" s="17">
        <f>Предпоссылки!N1</f>
        <v>2028</v>
      </c>
      <c r="O1" s="17">
        <f>Предпоссылки!O1</f>
        <v>2029</v>
      </c>
      <c r="P1" s="17">
        <f>Предпоссылки!P1</f>
        <v>2030</v>
      </c>
      <c r="Q1" s="17">
        <f>Предпоссылки!Q1</f>
        <v>2031</v>
      </c>
      <c r="R1" s="17">
        <f>Предпоссылки!R1</f>
        <v>2032</v>
      </c>
      <c r="S1" s="17">
        <f>Предпоссылки!S1</f>
        <v>2033</v>
      </c>
      <c r="T1" s="17">
        <f>Предпоссылки!T1</f>
        <v>2034</v>
      </c>
      <c r="U1" s="17">
        <f>Предпоссылки!U1</f>
        <v>2035</v>
      </c>
      <c r="V1" s="17">
        <f>Предпоссылки!V1</f>
        <v>2036</v>
      </c>
      <c r="W1" s="17">
        <f>Предпоссылки!W1</f>
        <v>2037</v>
      </c>
      <c r="X1" s="17">
        <f>Предпоссылки!X1</f>
        <v>2038</v>
      </c>
    </row>
    <row r="2" spans="1:24" ht="15" thickBot="1">
      <c r="A2" s="20" t="s">
        <v>80</v>
      </c>
      <c r="B2" s="22" t="s">
        <v>176</v>
      </c>
      <c r="C2" s="22" t="s">
        <v>175</v>
      </c>
      <c r="H2" s="47"/>
      <c r="I2" s="67">
        <v>0</v>
      </c>
      <c r="J2" s="67">
        <v>1</v>
      </c>
      <c r="K2" s="67">
        <v>2</v>
      </c>
      <c r="L2" s="67">
        <v>3</v>
      </c>
      <c r="M2" s="67">
        <v>4</v>
      </c>
      <c r="N2" s="67">
        <v>5</v>
      </c>
      <c r="O2" s="67">
        <v>6</v>
      </c>
      <c r="P2" s="67">
        <v>7</v>
      </c>
      <c r="Q2" s="67">
        <v>8</v>
      </c>
      <c r="R2" s="67">
        <v>9</v>
      </c>
      <c r="S2" s="67">
        <v>10</v>
      </c>
      <c r="T2" s="67">
        <v>11</v>
      </c>
      <c r="U2" s="67">
        <v>12</v>
      </c>
      <c r="V2" s="67">
        <v>13</v>
      </c>
      <c r="W2" s="67">
        <v>14</v>
      </c>
      <c r="X2" s="67">
        <v>15</v>
      </c>
    </row>
    <row r="3" spans="1:24" ht="15" thickBot="1">
      <c r="A3" s="72" t="s">
        <v>138</v>
      </c>
      <c r="B3" s="89" t="s">
        <v>231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4"/>
    </row>
    <row r="4" spans="1:24">
      <c r="G4" s="132"/>
      <c r="I4" s="132"/>
    </row>
    <row r="5" spans="1:24">
      <c r="B5" s="20" t="s">
        <v>19</v>
      </c>
      <c r="C5" s="20" t="s">
        <v>6</v>
      </c>
      <c r="I5" s="139">
        <f>Выручка!I14</f>
        <v>0</v>
      </c>
      <c r="J5" s="139">
        <f>Выручка!J14</f>
        <v>0</v>
      </c>
      <c r="K5" s="139">
        <f>Выручка!K14</f>
        <v>608393</v>
      </c>
      <c r="L5" s="139">
        <f>Выручка!L14</f>
        <v>708777</v>
      </c>
      <c r="M5" s="139">
        <f>Выручка!M14</f>
        <v>740350</v>
      </c>
      <c r="N5" s="139">
        <f>Выручка!N14</f>
        <v>772073</v>
      </c>
      <c r="O5" s="139">
        <f>Выручка!O14</f>
        <v>800762</v>
      </c>
      <c r="P5" s="139">
        <f>Выручка!P14</f>
        <v>832793</v>
      </c>
      <c r="Q5" s="139">
        <f>Выручка!Q14</f>
        <v>866105</v>
      </c>
      <c r="R5" s="139">
        <f>Выручка!R14</f>
        <v>903217</v>
      </c>
      <c r="S5" s="139">
        <f>Выручка!S14</f>
        <v>936779</v>
      </c>
      <c r="T5" s="139">
        <f>Выручка!T14</f>
        <v>974250</v>
      </c>
      <c r="U5" s="139">
        <f>Выручка!U14</f>
        <v>1013220</v>
      </c>
      <c r="V5" s="139">
        <f>Выручка!V14</f>
        <v>1056636</v>
      </c>
      <c r="W5" s="139">
        <f>Выручка!W14</f>
        <v>1095899</v>
      </c>
      <c r="X5" s="139">
        <f>Выручка!X14</f>
        <v>1139734</v>
      </c>
    </row>
    <row r="6" spans="1:24">
      <c r="B6" s="20" t="s">
        <v>163</v>
      </c>
      <c r="C6" s="20" t="s">
        <v>6</v>
      </c>
      <c r="I6" s="139">
        <f>OpEx!I18</f>
        <v>0</v>
      </c>
      <c r="J6" s="139">
        <f>OpEx!J18</f>
        <v>0</v>
      </c>
      <c r="K6" s="139">
        <f>OpEx!K18</f>
        <v>238571</v>
      </c>
      <c r="L6" s="139">
        <f>OpEx!L18</f>
        <v>285019</v>
      </c>
      <c r="M6" s="139">
        <f>OpEx!M18</f>
        <v>301302</v>
      </c>
      <c r="N6" s="139">
        <f>OpEx!N18</f>
        <v>314132</v>
      </c>
      <c r="O6" s="139">
        <f>OpEx!O18</f>
        <v>325888</v>
      </c>
      <c r="P6" s="139">
        <f>OpEx!P18</f>
        <v>338924</v>
      </c>
      <c r="Q6" s="139">
        <f>OpEx!Q18</f>
        <v>352481</v>
      </c>
      <c r="R6" s="139">
        <f>OpEx!R18</f>
        <v>367489</v>
      </c>
      <c r="S6" s="139">
        <f>OpEx!S18</f>
        <v>381242</v>
      </c>
      <c r="T6" s="139">
        <f>OpEx!T18</f>
        <v>396493</v>
      </c>
      <c r="U6" s="139">
        <f>OpEx!U18</f>
        <v>412354</v>
      </c>
      <c r="V6" s="139">
        <f>OpEx!V18</f>
        <v>429911</v>
      </c>
      <c r="W6" s="139">
        <f>OpEx!W18</f>
        <v>446001</v>
      </c>
      <c r="X6" s="139">
        <f>OpEx!X18</f>
        <v>463839</v>
      </c>
    </row>
    <row r="7" spans="1:24">
      <c r="B7" s="20" t="s">
        <v>109</v>
      </c>
      <c r="C7" s="20" t="s">
        <v>6</v>
      </c>
      <c r="I7" s="139">
        <f>'SG&amp;A'!I15</f>
        <v>0</v>
      </c>
      <c r="J7" s="139">
        <f>'SG&amp;A'!J15</f>
        <v>0</v>
      </c>
      <c r="K7" s="139">
        <f>'SG&amp;A'!K15</f>
        <v>68063</v>
      </c>
      <c r="L7" s="139">
        <f>'SG&amp;A'!L15</f>
        <v>80447</v>
      </c>
      <c r="M7" s="139">
        <f>'SG&amp;A'!M15</f>
        <v>84680</v>
      </c>
      <c r="N7" s="139">
        <f>'SG&amp;A'!N15</f>
        <v>88228</v>
      </c>
      <c r="O7" s="139">
        <f>'SG&amp;A'!O15</f>
        <v>91590</v>
      </c>
      <c r="P7" s="139">
        <f>'SG&amp;A'!P15</f>
        <v>95254</v>
      </c>
      <c r="Q7" s="139">
        <f>'SG&amp;A'!Q15</f>
        <v>99063</v>
      </c>
      <c r="R7" s="139">
        <f>'SG&amp;A'!R15</f>
        <v>103216</v>
      </c>
      <c r="S7" s="139">
        <f>'SG&amp;A'!S15</f>
        <v>107147</v>
      </c>
      <c r="T7" s="139">
        <f>'SG&amp;A'!T15</f>
        <v>111434</v>
      </c>
      <c r="U7" s="139">
        <f>'SG&amp;A'!U15</f>
        <v>115892</v>
      </c>
      <c r="V7" s="139">
        <f>'SG&amp;A'!V15</f>
        <v>120748</v>
      </c>
      <c r="W7" s="139">
        <f>'SG&amp;A'!W15</f>
        <v>125348</v>
      </c>
      <c r="X7" s="139">
        <f>'SG&amp;A'!X15</f>
        <v>130362</v>
      </c>
    </row>
    <row r="8" spans="1:24" ht="15" thickBot="1"/>
    <row r="9" spans="1:24" ht="15" thickBot="1">
      <c r="A9" s="72" t="s">
        <v>72</v>
      </c>
      <c r="B9" s="89" t="s">
        <v>164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4"/>
    </row>
    <row r="11" spans="1:24">
      <c r="B11" s="20" t="s">
        <v>170</v>
      </c>
      <c r="C11" s="20" t="s">
        <v>6</v>
      </c>
      <c r="G11" s="20" t="s">
        <v>211</v>
      </c>
      <c r="I11" s="139">
        <f>I5*I12/Предпоссылки!I11</f>
        <v>0</v>
      </c>
      <c r="J11" s="139">
        <f>J5*J12/Предпоссылки!J11</f>
        <v>0</v>
      </c>
      <c r="K11" s="139">
        <f>K5*K12/Предпоссылки!K11</f>
        <v>50004.904109589042</v>
      </c>
      <c r="L11" s="139">
        <f>L5*L12/Предпоссылки!L11</f>
        <v>58255.643835616436</v>
      </c>
      <c r="M11" s="139">
        <f>M5*M12/Предпоссылки!M11</f>
        <v>60850.684931506847</v>
      </c>
      <c r="N11" s="139">
        <f>N5*N12/Предпоссылки!N11</f>
        <v>63284.672131147541</v>
      </c>
      <c r="O11" s="139">
        <f>O5*O12/Предпоссылки!O11</f>
        <v>65816.054794520547</v>
      </c>
      <c r="P11" s="139">
        <f>P5*P12/Предпоссылки!P11</f>
        <v>68448.739726027401</v>
      </c>
      <c r="Q11" s="139">
        <f>Q5*Q12/Предпоссылки!Q11</f>
        <v>71186.712328767127</v>
      </c>
      <c r="R11" s="139">
        <f>R5*R12/Предпоссылки!R11</f>
        <v>74034.180327868846</v>
      </c>
      <c r="S11" s="139">
        <f>S5*S12/Предпоссылки!S11</f>
        <v>76995.534246575349</v>
      </c>
      <c r="T11" s="139">
        <f>T5*T12/Предпоссылки!T11</f>
        <v>80075.34246575342</v>
      </c>
      <c r="U11" s="139">
        <f>U5*U12/Предпоссылки!U11</f>
        <v>83278.356164383556</v>
      </c>
      <c r="V11" s="139">
        <f>V5*V12/Предпоссылки!V11</f>
        <v>86609.508196721305</v>
      </c>
      <c r="W11" s="139">
        <f>W5*W12/Предпоссылки!W11</f>
        <v>90073.890410958906</v>
      </c>
      <c r="X11" s="139">
        <f>X5*X12/Предпоссылки!X11</f>
        <v>93676.767123287675</v>
      </c>
    </row>
    <row r="12" spans="1:24">
      <c r="B12" s="20" t="s">
        <v>171</v>
      </c>
      <c r="C12" s="20" t="s">
        <v>42</v>
      </c>
      <c r="I12" s="139">
        <f>Предпоссылки!$E$106</f>
        <v>30</v>
      </c>
      <c r="J12" s="139">
        <f>Предпоссылки!$E$106</f>
        <v>30</v>
      </c>
      <c r="K12" s="139">
        <f>Предпоссылки!$E$106</f>
        <v>30</v>
      </c>
      <c r="L12" s="139">
        <f>Предпоссылки!$E$106</f>
        <v>30</v>
      </c>
      <c r="M12" s="139">
        <f>Предпоссылки!$E$106</f>
        <v>30</v>
      </c>
      <c r="N12" s="139">
        <f>Предпоссылки!$E$106</f>
        <v>30</v>
      </c>
      <c r="O12" s="139">
        <f>Предпоссылки!$E$106</f>
        <v>30</v>
      </c>
      <c r="P12" s="139">
        <f>Предпоссылки!$E$106</f>
        <v>30</v>
      </c>
      <c r="Q12" s="139">
        <f>Предпоссылки!$E$106</f>
        <v>30</v>
      </c>
      <c r="R12" s="139">
        <f>Предпоссылки!$E$106</f>
        <v>30</v>
      </c>
      <c r="S12" s="139">
        <f>Предпоссылки!$E$106</f>
        <v>30</v>
      </c>
      <c r="T12" s="139">
        <f>Предпоссылки!$E$106</f>
        <v>30</v>
      </c>
      <c r="U12" s="139">
        <f>Предпоссылки!$E$106</f>
        <v>30</v>
      </c>
      <c r="V12" s="139">
        <f>Предпоссылки!$E$106</f>
        <v>30</v>
      </c>
      <c r="W12" s="139">
        <f>Предпоссылки!$E$106</f>
        <v>30</v>
      </c>
      <c r="X12" s="139">
        <f>Предпоссылки!$E$106</f>
        <v>30</v>
      </c>
    </row>
    <row r="15" spans="1:24" ht="15" thickBot="1">
      <c r="B15" s="133" t="s">
        <v>191</v>
      </c>
      <c r="C15" s="133" t="s">
        <v>6</v>
      </c>
      <c r="D15" s="133"/>
      <c r="E15" s="133"/>
      <c r="F15" s="133"/>
      <c r="G15" s="133"/>
      <c r="H15" s="133"/>
      <c r="I15" s="133">
        <f>ROUND(I11,0)</f>
        <v>0</v>
      </c>
      <c r="J15" s="133">
        <f t="shared" ref="J15:X15" si="0">ROUND(J11,0)</f>
        <v>0</v>
      </c>
      <c r="K15" s="133">
        <f t="shared" si="0"/>
        <v>50005</v>
      </c>
      <c r="L15" s="133">
        <f t="shared" si="0"/>
        <v>58256</v>
      </c>
      <c r="M15" s="133">
        <f t="shared" si="0"/>
        <v>60851</v>
      </c>
      <c r="N15" s="133">
        <f t="shared" si="0"/>
        <v>63285</v>
      </c>
      <c r="O15" s="133">
        <f t="shared" si="0"/>
        <v>65816</v>
      </c>
      <c r="P15" s="133">
        <f t="shared" si="0"/>
        <v>68449</v>
      </c>
      <c r="Q15" s="133">
        <f t="shared" si="0"/>
        <v>71187</v>
      </c>
      <c r="R15" s="133">
        <f t="shared" si="0"/>
        <v>74034</v>
      </c>
      <c r="S15" s="133">
        <f t="shared" si="0"/>
        <v>76996</v>
      </c>
      <c r="T15" s="133">
        <f t="shared" si="0"/>
        <v>80075</v>
      </c>
      <c r="U15" s="133">
        <f t="shared" si="0"/>
        <v>83278</v>
      </c>
      <c r="V15" s="133">
        <f t="shared" si="0"/>
        <v>86610</v>
      </c>
      <c r="W15" s="133">
        <f t="shared" si="0"/>
        <v>90074</v>
      </c>
      <c r="X15" s="133">
        <f t="shared" si="0"/>
        <v>93677</v>
      </c>
    </row>
    <row r="16" spans="1:24" ht="15" thickBot="1"/>
    <row r="17" spans="1:24" ht="15" thickBot="1">
      <c r="A17" s="72" t="s">
        <v>72</v>
      </c>
      <c r="B17" s="89" t="s">
        <v>187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4"/>
    </row>
    <row r="19" spans="1:24">
      <c r="B19" s="20" t="s">
        <v>188</v>
      </c>
      <c r="C19" s="20" t="s">
        <v>6</v>
      </c>
      <c r="G19" s="20" t="s">
        <v>240</v>
      </c>
      <c r="I19" s="139">
        <f>I20*(I6+I7)/Предпоссылки!I11</f>
        <v>0</v>
      </c>
      <c r="J19" s="139">
        <f>J20*(J6+J7)/Предпоссылки!J11</f>
        <v>0</v>
      </c>
      <c r="K19" s="139">
        <f>K20*(K6+K7)/Предпоссылки!K11</f>
        <v>25202.794520547945</v>
      </c>
      <c r="L19" s="139">
        <f>L20*(L6+L7)/Предпоссылки!L11</f>
        <v>30038.301369863013</v>
      </c>
      <c r="M19" s="139">
        <f>M20*(M6+M7)/Предпоссылки!M11</f>
        <v>31724.547945205479</v>
      </c>
      <c r="N19" s="139">
        <f>N20*(N6+N7)/Предпоссылки!N11</f>
        <v>32980.327868852459</v>
      </c>
      <c r="O19" s="139">
        <f>O20*(O6+O7)/Предпоссылки!O11</f>
        <v>34313.260273972606</v>
      </c>
      <c r="P19" s="139">
        <f>P20*(P6+P7)/Предпоссылки!P11</f>
        <v>35685.863013698632</v>
      </c>
      <c r="Q19" s="139">
        <f>Q20*(Q6+Q7)/Предпоссылки!Q11</f>
        <v>37113.205479452052</v>
      </c>
      <c r="R19" s="139">
        <f>R20*(R6+R7)/Предпоссылки!R11</f>
        <v>38582.37704918033</v>
      </c>
      <c r="S19" s="139">
        <f>S20*(S6+S7)/Предпоссылки!S11</f>
        <v>40141.561643835616</v>
      </c>
      <c r="T19" s="139">
        <f>T20*(T6+T7)/Предпоссылки!T11</f>
        <v>41747.424657534248</v>
      </c>
      <c r="U19" s="139">
        <f>U20*(U6+U7)/Предпоссылки!U11</f>
        <v>43417.479452054795</v>
      </c>
      <c r="V19" s="139">
        <f>V20*(V6+V7)/Предпоссылки!V11</f>
        <v>45135.983606557376</v>
      </c>
      <c r="W19" s="139">
        <f>W20*(W6+W7)/Предпоссылки!W11</f>
        <v>46960.191780821915</v>
      </c>
      <c r="X19" s="139">
        <f>X20*(X6+X7)/Предпоссылки!X11</f>
        <v>48838.438356164384</v>
      </c>
    </row>
    <row r="20" spans="1:24">
      <c r="B20" s="20" t="s">
        <v>189</v>
      </c>
      <c r="C20" s="20" t="s">
        <v>42</v>
      </c>
      <c r="I20" s="139">
        <f>Предпоссылки!$E$107</f>
        <v>30</v>
      </c>
      <c r="J20" s="139">
        <f>Предпоссылки!$E$107</f>
        <v>30</v>
      </c>
      <c r="K20" s="139">
        <v>30</v>
      </c>
      <c r="L20" s="139">
        <f>Предпоссылки!$E$107</f>
        <v>30</v>
      </c>
      <c r="M20" s="139">
        <f>Предпоссылки!$E$107</f>
        <v>30</v>
      </c>
      <c r="N20" s="139">
        <f>Предпоссылки!$E$107</f>
        <v>30</v>
      </c>
      <c r="O20" s="139">
        <f>Предпоссылки!$E$107</f>
        <v>30</v>
      </c>
      <c r="P20" s="139">
        <f>Предпоссылки!$E$107</f>
        <v>30</v>
      </c>
      <c r="Q20" s="139">
        <f>Предпоссылки!$E$107</f>
        <v>30</v>
      </c>
      <c r="R20" s="139">
        <f>Предпоссылки!$E$107</f>
        <v>30</v>
      </c>
      <c r="S20" s="139">
        <f>Предпоссылки!$E$107</f>
        <v>30</v>
      </c>
      <c r="T20" s="139">
        <f>Предпоссылки!$E$107</f>
        <v>30</v>
      </c>
      <c r="U20" s="139">
        <f>Предпоссылки!$E$107</f>
        <v>30</v>
      </c>
      <c r="V20" s="139">
        <f>Предпоссылки!$E$107</f>
        <v>30</v>
      </c>
      <c r="W20" s="139">
        <f>Предпоссылки!$E$107</f>
        <v>30</v>
      </c>
      <c r="X20" s="139">
        <f>Предпоссылки!$E$107</f>
        <v>30</v>
      </c>
    </row>
    <row r="22" spans="1:24" ht="15" thickBot="1">
      <c r="B22" s="133" t="s">
        <v>190</v>
      </c>
      <c r="C22" s="133" t="s">
        <v>6</v>
      </c>
      <c r="D22" s="133"/>
      <c r="E22" s="133"/>
      <c r="F22" s="133"/>
      <c r="G22" s="133"/>
      <c r="H22" s="133"/>
      <c r="I22" s="133">
        <f>ROUND(I19,0)</f>
        <v>0</v>
      </c>
      <c r="J22" s="133">
        <f t="shared" ref="J22:X22" si="1">ROUND(J19,0)</f>
        <v>0</v>
      </c>
      <c r="K22" s="133">
        <f t="shared" si="1"/>
        <v>25203</v>
      </c>
      <c r="L22" s="133">
        <f t="shared" si="1"/>
        <v>30038</v>
      </c>
      <c r="M22" s="133">
        <f t="shared" si="1"/>
        <v>31725</v>
      </c>
      <c r="N22" s="133">
        <f t="shared" si="1"/>
        <v>32980</v>
      </c>
      <c r="O22" s="133">
        <f t="shared" si="1"/>
        <v>34313</v>
      </c>
      <c r="P22" s="133">
        <f t="shared" si="1"/>
        <v>35686</v>
      </c>
      <c r="Q22" s="133">
        <f t="shared" si="1"/>
        <v>37113</v>
      </c>
      <c r="R22" s="133">
        <f t="shared" si="1"/>
        <v>38582</v>
      </c>
      <c r="S22" s="133">
        <f t="shared" si="1"/>
        <v>40142</v>
      </c>
      <c r="T22" s="133">
        <f t="shared" si="1"/>
        <v>41747</v>
      </c>
      <c r="U22" s="133">
        <f t="shared" si="1"/>
        <v>43417</v>
      </c>
      <c r="V22" s="133">
        <f t="shared" si="1"/>
        <v>45136</v>
      </c>
      <c r="W22" s="133">
        <f t="shared" si="1"/>
        <v>46960</v>
      </c>
      <c r="X22" s="133">
        <f t="shared" si="1"/>
        <v>48838</v>
      </c>
    </row>
    <row r="23" spans="1:24" ht="17" thickBot="1">
      <c r="R23" s="1"/>
      <c r="S23" s="1"/>
    </row>
    <row r="24" spans="1:24" ht="15" thickBot="1">
      <c r="A24" s="72" t="s">
        <v>76</v>
      </c>
      <c r="B24" s="89" t="s">
        <v>193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4"/>
    </row>
    <row r="25" spans="1:24" ht="16">
      <c r="R25" s="1"/>
      <c r="S25" s="1"/>
    </row>
    <row r="26" spans="1:24" ht="15" thickBot="1">
      <c r="B26" s="133" t="s">
        <v>193</v>
      </c>
      <c r="C26" s="133" t="s">
        <v>6</v>
      </c>
      <c r="D26" s="133"/>
      <c r="E26" s="133"/>
      <c r="F26" s="133"/>
      <c r="G26" s="133"/>
      <c r="H26" s="133"/>
      <c r="I26" s="133">
        <f t="shared" ref="I26:X26" si="2">ROUND((I15-I22),0)</f>
        <v>0</v>
      </c>
      <c r="J26" s="133">
        <f t="shared" si="2"/>
        <v>0</v>
      </c>
      <c r="K26" s="133">
        <f t="shared" si="2"/>
        <v>24802</v>
      </c>
      <c r="L26" s="133">
        <f t="shared" si="2"/>
        <v>28218</v>
      </c>
      <c r="M26" s="133">
        <f t="shared" si="2"/>
        <v>29126</v>
      </c>
      <c r="N26" s="133">
        <f t="shared" si="2"/>
        <v>30305</v>
      </c>
      <c r="O26" s="133">
        <f t="shared" si="2"/>
        <v>31503</v>
      </c>
      <c r="P26" s="133">
        <f t="shared" si="2"/>
        <v>32763</v>
      </c>
      <c r="Q26" s="133">
        <f t="shared" si="2"/>
        <v>34074</v>
      </c>
      <c r="R26" s="133">
        <f t="shared" si="2"/>
        <v>35452</v>
      </c>
      <c r="S26" s="133">
        <f t="shared" si="2"/>
        <v>36854</v>
      </c>
      <c r="T26" s="133">
        <f t="shared" si="2"/>
        <v>38328</v>
      </c>
      <c r="U26" s="133">
        <f t="shared" si="2"/>
        <v>39861</v>
      </c>
      <c r="V26" s="133">
        <f t="shared" si="2"/>
        <v>41474</v>
      </c>
      <c r="W26" s="133">
        <f t="shared" si="2"/>
        <v>43114</v>
      </c>
      <c r="X26" s="133">
        <f t="shared" si="2"/>
        <v>44839</v>
      </c>
    </row>
    <row r="27" spans="1:24" ht="15" thickBot="1">
      <c r="B27" s="146" t="s">
        <v>214</v>
      </c>
      <c r="C27" s="146" t="s">
        <v>201</v>
      </c>
      <c r="D27" s="146"/>
      <c r="E27" s="146"/>
      <c r="F27" s="146"/>
      <c r="G27" s="146"/>
      <c r="H27" s="146"/>
      <c r="I27" s="146"/>
      <c r="J27" s="146"/>
      <c r="K27" s="146">
        <f>ROUND((K26-J26),0)</f>
        <v>24802</v>
      </c>
      <c r="L27" s="146">
        <f t="shared" ref="L27:X27" si="3">ROUND((L26-K26),0)</f>
        <v>3416</v>
      </c>
      <c r="M27" s="146">
        <f t="shared" si="3"/>
        <v>908</v>
      </c>
      <c r="N27" s="146">
        <f t="shared" si="3"/>
        <v>1179</v>
      </c>
      <c r="O27" s="146">
        <f t="shared" si="3"/>
        <v>1198</v>
      </c>
      <c r="P27" s="146">
        <f t="shared" si="3"/>
        <v>1260</v>
      </c>
      <c r="Q27" s="146">
        <f t="shared" si="3"/>
        <v>1311</v>
      </c>
      <c r="R27" s="146">
        <f t="shared" si="3"/>
        <v>1378</v>
      </c>
      <c r="S27" s="146">
        <f t="shared" si="3"/>
        <v>1402</v>
      </c>
      <c r="T27" s="146">
        <f t="shared" si="3"/>
        <v>1474</v>
      </c>
      <c r="U27" s="146">
        <f t="shared" si="3"/>
        <v>1533</v>
      </c>
      <c r="V27" s="146">
        <f t="shared" si="3"/>
        <v>1613</v>
      </c>
      <c r="W27" s="146">
        <f t="shared" si="3"/>
        <v>1640</v>
      </c>
      <c r="X27" s="146">
        <f t="shared" si="3"/>
        <v>1725</v>
      </c>
    </row>
    <row r="28" spans="1:24" ht="16">
      <c r="R28" s="1"/>
      <c r="S28" s="1"/>
    </row>
    <row r="29" spans="1:24" ht="16">
      <c r="R29" s="1"/>
      <c r="S29" s="1"/>
    </row>
    <row r="30" spans="1:24" ht="16">
      <c r="R30" s="1"/>
      <c r="S30" s="1"/>
    </row>
    <row r="31" spans="1:24" ht="16">
      <c r="B31" s="18"/>
      <c r="R31" s="1"/>
      <c r="S31" s="1"/>
    </row>
    <row r="32" spans="1:24" ht="16">
      <c r="K32" s="141"/>
      <c r="R32" s="1"/>
      <c r="S32" s="1"/>
    </row>
    <row r="33" spans="18:19" ht="16">
      <c r="R33" s="1"/>
      <c r="S33" s="1"/>
    </row>
    <row r="34" spans="18:19" ht="16">
      <c r="R34" s="1"/>
      <c r="S34" s="1"/>
    </row>
    <row r="35" spans="18:19" ht="16">
      <c r="R35" s="1"/>
      <c r="S35" s="1"/>
    </row>
    <row r="36" spans="18:19" ht="16">
      <c r="R36" s="1"/>
      <c r="S36" s="1"/>
    </row>
    <row r="37" spans="18:19" ht="16">
      <c r="R37" s="1"/>
      <c r="S37" s="1"/>
    </row>
    <row r="38" spans="18:19" ht="16">
      <c r="R38" s="1"/>
      <c r="S38" s="1"/>
    </row>
    <row r="39" spans="18:19" ht="16">
      <c r="R39" s="1"/>
      <c r="S39" s="1"/>
    </row>
    <row r="40" spans="18:19" ht="16">
      <c r="R40" s="1"/>
      <c r="S40" s="1"/>
    </row>
    <row r="41" spans="18:19" ht="16">
      <c r="R41" s="1"/>
      <c r="S41" s="1"/>
    </row>
    <row r="42" spans="18:19" ht="16">
      <c r="R42" s="1"/>
      <c r="S42" s="1"/>
    </row>
    <row r="43" spans="18:19" ht="16">
      <c r="R43" s="1"/>
      <c r="S43" s="1"/>
    </row>
    <row r="44" spans="18:19" ht="16">
      <c r="R44" s="1"/>
      <c r="S44" s="1"/>
    </row>
    <row r="45" spans="18:19" ht="16">
      <c r="R45" s="1"/>
      <c r="S45" s="1"/>
    </row>
    <row r="46" spans="18:19" ht="16">
      <c r="R46" s="1"/>
      <c r="S46" s="1"/>
    </row>
    <row r="47" spans="18:19" ht="16">
      <c r="R47" s="1"/>
      <c r="S47" s="1"/>
    </row>
    <row r="48" spans="18:19" ht="16">
      <c r="R48" s="1"/>
      <c r="S48" s="1"/>
    </row>
    <row r="49" spans="18:19" ht="16">
      <c r="R49" s="1"/>
      <c r="S49" s="1"/>
    </row>
    <row r="50" spans="18:19" ht="16">
      <c r="R50" s="1"/>
      <c r="S50" s="1"/>
    </row>
    <row r="51" spans="18:19" ht="16">
      <c r="R51" s="1"/>
      <c r="S51" s="1"/>
    </row>
    <row r="52" spans="18:19" ht="16">
      <c r="R52" s="1"/>
      <c r="S52" s="1"/>
    </row>
    <row r="53" spans="18:19" ht="16">
      <c r="R53" s="1"/>
      <c r="S53" s="1"/>
    </row>
    <row r="54" spans="18:19" ht="16">
      <c r="R54" s="1"/>
      <c r="S54" s="1"/>
    </row>
    <row r="55" spans="18:19" ht="16">
      <c r="R55" s="1"/>
      <c r="S55" s="1"/>
    </row>
    <row r="56" spans="18:19" ht="16">
      <c r="R56" s="1"/>
      <c r="S56" s="1"/>
    </row>
    <row r="57" spans="18:19" ht="16">
      <c r="R57" s="1"/>
      <c r="S57" s="1"/>
    </row>
    <row r="58" spans="18:19" ht="16">
      <c r="R58" s="1"/>
      <c r="S58" s="1"/>
    </row>
    <row r="59" spans="18:19" ht="16">
      <c r="R59" s="1"/>
      <c r="S59" s="1"/>
    </row>
    <row r="60" spans="18:19" ht="16">
      <c r="R60" s="1"/>
      <c r="S60" s="1"/>
    </row>
    <row r="61" spans="18:19" ht="16">
      <c r="R61" s="1"/>
      <c r="S61" s="1"/>
    </row>
    <row r="62" spans="18:19" ht="16">
      <c r="R62" s="1"/>
      <c r="S62" s="1"/>
    </row>
    <row r="63" spans="18:19" ht="16">
      <c r="R63" s="1"/>
      <c r="S63" s="1"/>
    </row>
    <row r="64" spans="18:19" ht="16">
      <c r="R64" s="1"/>
      <c r="S64" s="1"/>
    </row>
    <row r="65" spans="18:19" ht="16">
      <c r="R65" s="1"/>
      <c r="S65" s="1"/>
    </row>
    <row r="66" spans="18:19" ht="16">
      <c r="R66" s="1"/>
      <c r="S66" s="1"/>
    </row>
    <row r="67" spans="18:19" ht="16">
      <c r="R67" s="1"/>
      <c r="S67" s="1"/>
    </row>
    <row r="68" spans="18:19" ht="16">
      <c r="R68" s="1"/>
      <c r="S68" s="1"/>
    </row>
    <row r="69" spans="18:19" ht="16">
      <c r="R69" s="1"/>
      <c r="S69" s="1"/>
    </row>
    <row r="70" spans="18:19" ht="16">
      <c r="R70" s="1"/>
      <c r="S70" s="1"/>
    </row>
    <row r="71" spans="18:19" ht="16">
      <c r="R71" s="1"/>
      <c r="S71" s="1"/>
    </row>
    <row r="72" spans="18:19" ht="16">
      <c r="R72" s="1"/>
      <c r="S72" s="1"/>
    </row>
    <row r="73" spans="18:19" ht="16">
      <c r="R73" s="1"/>
      <c r="S73" s="1"/>
    </row>
    <row r="74" spans="18:19" ht="16">
      <c r="R74" s="1"/>
      <c r="S74" s="1"/>
    </row>
    <row r="75" spans="18:19" ht="16">
      <c r="R75" s="1"/>
      <c r="S75" s="1"/>
    </row>
    <row r="76" spans="18:19" ht="16">
      <c r="R76" s="1"/>
      <c r="S76" s="1"/>
    </row>
    <row r="77" spans="18:19" ht="16">
      <c r="R77" s="1"/>
      <c r="S77" s="1"/>
    </row>
    <row r="78" spans="18:19" ht="16">
      <c r="R78" s="1"/>
      <c r="S78" s="1"/>
    </row>
    <row r="79" spans="18:19" ht="16">
      <c r="R79" s="1"/>
      <c r="S79" s="1"/>
    </row>
    <row r="80" spans="18:19" ht="16">
      <c r="R80" s="1"/>
      <c r="S80" s="1"/>
    </row>
    <row r="81" spans="18:19" ht="16">
      <c r="R81" s="1"/>
      <c r="S81" s="1"/>
    </row>
    <row r="82" spans="18:19" ht="16">
      <c r="R82" s="1"/>
      <c r="S82" s="1"/>
    </row>
    <row r="83" spans="18:19" ht="16">
      <c r="R83" s="1"/>
      <c r="S83" s="1"/>
    </row>
    <row r="84" spans="18:19" ht="16">
      <c r="R84" s="1"/>
      <c r="S84" s="1"/>
    </row>
    <row r="85" spans="18:19" ht="16">
      <c r="R85" s="1"/>
      <c r="S85" s="1"/>
    </row>
    <row r="86" spans="18:19" ht="16">
      <c r="R86" s="1"/>
      <c r="S86" s="1"/>
    </row>
    <row r="87" spans="18:19" ht="16">
      <c r="R87" s="1"/>
      <c r="S87" s="1"/>
    </row>
    <row r="88" spans="18:19" ht="16">
      <c r="R88" s="1"/>
      <c r="S88" s="1"/>
    </row>
    <row r="89" spans="18:19" ht="16">
      <c r="R89" s="1"/>
      <c r="S89" s="1"/>
    </row>
    <row r="90" spans="18:19" ht="16">
      <c r="R90" s="1"/>
      <c r="S90" s="1"/>
    </row>
    <row r="91" spans="18:19" ht="16">
      <c r="R91" s="1"/>
      <c r="S91" s="1"/>
    </row>
    <row r="92" spans="18:19" ht="16">
      <c r="R92" s="1"/>
      <c r="S92" s="1"/>
    </row>
    <row r="93" spans="18:19" ht="16">
      <c r="R93" s="1"/>
      <c r="S93" s="1"/>
    </row>
    <row r="94" spans="18:19" ht="16">
      <c r="R94" s="1"/>
      <c r="S94" s="1"/>
    </row>
    <row r="95" spans="18:19" ht="16">
      <c r="R95" s="1"/>
      <c r="S95" s="1"/>
    </row>
    <row r="96" spans="18:19" ht="16">
      <c r="R96" s="1"/>
      <c r="S96" s="1"/>
    </row>
    <row r="97" spans="18:19" ht="16">
      <c r="R97" s="1"/>
      <c r="S97" s="1"/>
    </row>
    <row r="98" spans="18:19" ht="16">
      <c r="R98" s="1"/>
      <c r="S98" s="1"/>
    </row>
    <row r="99" spans="18:19" ht="16">
      <c r="R99" s="1"/>
      <c r="S99" s="1"/>
    </row>
    <row r="100" spans="18:19" ht="16">
      <c r="R100" s="1"/>
      <c r="S100" s="1"/>
    </row>
    <row r="101" spans="18:19" ht="16">
      <c r="R101" s="1"/>
      <c r="S101" s="1"/>
    </row>
    <row r="102" spans="18:19" ht="16">
      <c r="R102" s="1"/>
      <c r="S102" s="1"/>
    </row>
    <row r="103" spans="18:19" ht="16">
      <c r="R103" s="1"/>
      <c r="S103" s="1"/>
    </row>
    <row r="104" spans="18:19" ht="16">
      <c r="R104" s="1"/>
      <c r="S104" s="1"/>
    </row>
    <row r="105" spans="18:19" ht="16">
      <c r="R105" s="1"/>
      <c r="S105" s="1"/>
    </row>
    <row r="106" spans="18:19" ht="16">
      <c r="R106" s="1"/>
      <c r="S106" s="1"/>
    </row>
    <row r="107" spans="18:19" ht="16">
      <c r="R107" s="1"/>
      <c r="S107" s="1"/>
    </row>
    <row r="108" spans="18:19" ht="16">
      <c r="R108" s="1"/>
      <c r="S108" s="1"/>
    </row>
    <row r="109" spans="18:19" ht="16">
      <c r="R109" s="1"/>
      <c r="S109" s="1"/>
    </row>
    <row r="110" spans="18:19" ht="16">
      <c r="R110" s="1"/>
      <c r="S110" s="1"/>
    </row>
    <row r="111" spans="18:19" ht="16">
      <c r="R111" s="1"/>
      <c r="S111" s="1"/>
    </row>
    <row r="112" spans="18:19" ht="16">
      <c r="R112" s="1"/>
      <c r="S112" s="1"/>
    </row>
    <row r="113" spans="18:19" ht="16">
      <c r="R113" s="1"/>
      <c r="S113" s="1"/>
    </row>
    <row r="114" spans="18:19" ht="16">
      <c r="R114" s="1"/>
      <c r="S114" s="1"/>
    </row>
    <row r="115" spans="18:19" ht="16">
      <c r="R115" s="1"/>
      <c r="S115" s="1"/>
    </row>
    <row r="116" spans="18:19" ht="16">
      <c r="R116" s="1"/>
      <c r="S116" s="1"/>
    </row>
    <row r="117" spans="18:19" ht="16">
      <c r="R117" s="1"/>
      <c r="S117" s="1"/>
    </row>
    <row r="118" spans="18:19" ht="16">
      <c r="R118" s="1"/>
      <c r="S118" s="1"/>
    </row>
    <row r="119" spans="18:19" ht="16">
      <c r="R119" s="1"/>
      <c r="S119" s="1"/>
    </row>
    <row r="120" spans="18:19" ht="16">
      <c r="R120" s="1"/>
      <c r="S120" s="1"/>
    </row>
    <row r="121" spans="18:19" ht="16">
      <c r="R121" s="1"/>
      <c r="S121" s="1"/>
    </row>
    <row r="122" spans="18:19" ht="16">
      <c r="R122" s="1"/>
      <c r="S122" s="1"/>
    </row>
    <row r="123" spans="18:19" ht="16">
      <c r="R123" s="1"/>
      <c r="S123" s="1"/>
    </row>
    <row r="124" spans="18:19" ht="16">
      <c r="R124" s="1"/>
      <c r="S124" s="1"/>
    </row>
    <row r="125" spans="18:19" ht="16">
      <c r="R125" s="1"/>
      <c r="S125" s="1"/>
    </row>
    <row r="126" spans="18:19" ht="16">
      <c r="R126" s="1"/>
      <c r="S126" s="1"/>
    </row>
    <row r="127" spans="18:19" ht="16">
      <c r="R127" s="1"/>
      <c r="S127" s="1"/>
    </row>
    <row r="128" spans="18:19" ht="16">
      <c r="R128" s="1"/>
      <c r="S128" s="1"/>
    </row>
    <row r="129" spans="18:19" ht="16">
      <c r="R129" s="1"/>
      <c r="S129" s="1"/>
    </row>
    <row r="130" spans="18:19" ht="16">
      <c r="R130" s="1"/>
      <c r="S130" s="1"/>
    </row>
    <row r="131" spans="18:19" ht="16">
      <c r="R131" s="1"/>
      <c r="S131" s="1"/>
    </row>
    <row r="132" spans="18:19" ht="16">
      <c r="R132" s="1"/>
      <c r="S132" s="1"/>
    </row>
    <row r="133" spans="18:19" ht="16">
      <c r="R133" s="1"/>
      <c r="S133" s="1"/>
    </row>
    <row r="134" spans="18:19" ht="16">
      <c r="R134" s="1"/>
      <c r="S134" s="1"/>
    </row>
    <row r="135" spans="18:19" ht="16">
      <c r="R135" s="1"/>
      <c r="S135" s="1"/>
    </row>
    <row r="136" spans="18:19" ht="16">
      <c r="R136" s="1"/>
      <c r="S136" s="1"/>
    </row>
    <row r="137" spans="18:19" ht="16">
      <c r="R137" s="1"/>
      <c r="S137" s="1"/>
    </row>
    <row r="138" spans="18:19" ht="16">
      <c r="R138" s="1"/>
      <c r="S138" s="1"/>
    </row>
    <row r="139" spans="18:19" ht="16">
      <c r="R139" s="1"/>
      <c r="S139" s="1"/>
    </row>
    <row r="140" spans="18:19" ht="16">
      <c r="R140" s="1"/>
      <c r="S140" s="1"/>
    </row>
    <row r="141" spans="18:19" ht="16">
      <c r="R141" s="1"/>
      <c r="S141" s="1"/>
    </row>
    <row r="142" spans="18:19" ht="16">
      <c r="R142" s="1"/>
      <c r="S14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6AA5-2DD9-0A4C-888C-B41611C95142}">
  <sheetPr>
    <tabColor theme="5"/>
  </sheetPr>
  <dimension ref="A1:X178"/>
  <sheetViews>
    <sheetView topLeftCell="B1" zoomScale="90" zoomScaleNormal="90" workbookViewId="0">
      <pane ySplit="1" topLeftCell="A44" activePane="bottomLeft" state="frozen"/>
      <selection activeCell="C1" sqref="C1"/>
      <selection pane="bottomLeft"/>
    </sheetView>
  </sheetViews>
  <sheetFormatPr baseColWidth="10" defaultRowHeight="14"/>
  <cols>
    <col min="1" max="1" width="17" style="71" customWidth="1"/>
    <col min="2" max="2" width="46.83203125" style="20" customWidth="1"/>
    <col min="3" max="3" width="18.83203125" style="20" customWidth="1"/>
    <col min="4" max="4" width="21.5" style="20" customWidth="1"/>
    <col min="5" max="5" width="15" style="20" bestFit="1" customWidth="1"/>
    <col min="6" max="6" width="15" style="20" customWidth="1"/>
    <col min="7" max="7" width="16.6640625" style="20" customWidth="1"/>
    <col min="8" max="8" width="4.83203125" style="20" customWidth="1"/>
    <col min="9" max="16" width="15" style="20" bestFit="1" customWidth="1"/>
    <col min="17" max="16384" width="10.83203125" style="20"/>
  </cols>
  <sheetData>
    <row r="1" spans="1:24" ht="20" thickBot="1">
      <c r="A1" s="207" t="s">
        <v>55</v>
      </c>
      <c r="B1" s="14" t="s">
        <v>16</v>
      </c>
      <c r="C1" s="15" t="s">
        <v>17</v>
      </c>
      <c r="D1" s="16" t="s">
        <v>40</v>
      </c>
      <c r="E1" s="16" t="s">
        <v>29</v>
      </c>
      <c r="F1" s="16" t="s">
        <v>68</v>
      </c>
      <c r="G1" s="16" t="s">
        <v>34</v>
      </c>
      <c r="H1" s="98"/>
      <c r="I1" s="17">
        <f>Предпоссылки!I1</f>
        <v>2023</v>
      </c>
      <c r="J1" s="17">
        <f>Предпоссылки!J1</f>
        <v>2024</v>
      </c>
      <c r="K1" s="17">
        <f>Предпоссылки!K1</f>
        <v>2025</v>
      </c>
      <c r="L1" s="17">
        <f>Предпоссылки!L1</f>
        <v>2026</v>
      </c>
      <c r="M1" s="17">
        <f>Предпоссылки!M1</f>
        <v>2027</v>
      </c>
      <c r="N1" s="17">
        <f>Предпоссылки!N1</f>
        <v>2028</v>
      </c>
      <c r="O1" s="17">
        <f>Предпоссылки!O1</f>
        <v>2029</v>
      </c>
      <c r="P1" s="17">
        <f>Предпоссылки!P1</f>
        <v>2030</v>
      </c>
      <c r="Q1" s="17">
        <f>Предпоссылки!Q1</f>
        <v>2031</v>
      </c>
      <c r="R1" s="17">
        <f>Предпоссылки!R1</f>
        <v>2032</v>
      </c>
      <c r="S1" s="17">
        <f>Предпоссылки!S1</f>
        <v>2033</v>
      </c>
      <c r="T1" s="17">
        <f>Предпоссылки!T1</f>
        <v>2034</v>
      </c>
      <c r="U1" s="17">
        <f>Предпоссылки!U1</f>
        <v>2035</v>
      </c>
      <c r="V1" s="17">
        <f>Предпоссылки!V1</f>
        <v>2036</v>
      </c>
      <c r="W1" s="17">
        <f>Предпоссылки!W1</f>
        <v>2037</v>
      </c>
      <c r="X1" s="17">
        <f>Предпоссылки!X1</f>
        <v>2038</v>
      </c>
    </row>
    <row r="2" spans="1:24" ht="15" thickBot="1">
      <c r="A2" s="20" t="s">
        <v>80</v>
      </c>
      <c r="B2" s="22" t="s">
        <v>176</v>
      </c>
      <c r="C2" s="22" t="s">
        <v>175</v>
      </c>
      <c r="H2" s="47"/>
      <c r="I2" s="67">
        <v>0</v>
      </c>
      <c r="J2" s="67">
        <v>1</v>
      </c>
      <c r="K2" s="67">
        <v>2</v>
      </c>
      <c r="L2" s="67">
        <v>3</v>
      </c>
      <c r="M2" s="67">
        <v>4</v>
      </c>
      <c r="N2" s="67">
        <v>5</v>
      </c>
      <c r="O2" s="67">
        <v>6</v>
      </c>
      <c r="P2" s="67">
        <v>7</v>
      </c>
      <c r="Q2" s="67">
        <v>8</v>
      </c>
      <c r="R2" s="67">
        <v>9</v>
      </c>
      <c r="S2" s="67">
        <v>10</v>
      </c>
      <c r="T2" s="67">
        <v>11</v>
      </c>
      <c r="U2" s="67">
        <v>12</v>
      </c>
      <c r="V2" s="67">
        <v>13</v>
      </c>
      <c r="W2" s="67">
        <v>14</v>
      </c>
      <c r="X2" s="67">
        <v>15</v>
      </c>
    </row>
    <row r="3" spans="1:24">
      <c r="A3" s="151" t="s">
        <v>138</v>
      </c>
      <c r="B3" s="131" t="s">
        <v>154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90"/>
    </row>
    <row r="4" spans="1:24" ht="15" thickBot="1">
      <c r="A4" s="152" t="s">
        <v>69</v>
      </c>
      <c r="B4" s="154" t="s">
        <v>99</v>
      </c>
      <c r="C4" s="68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70"/>
    </row>
    <row r="5" spans="1:24">
      <c r="B5" s="20" t="s">
        <v>100</v>
      </c>
      <c r="C5" s="20" t="s">
        <v>101</v>
      </c>
      <c r="I5" s="157"/>
      <c r="J5" s="157"/>
      <c r="K5" s="157">
        <f>Предпоссылки!K81</f>
        <v>20</v>
      </c>
      <c r="L5" s="157">
        <f>Предпоссылки!L81</f>
        <v>20</v>
      </c>
      <c r="M5" s="157">
        <f>Предпоссылки!M81</f>
        <v>20</v>
      </c>
      <c r="N5" s="157">
        <f>Предпоссылки!N81</f>
        <v>20</v>
      </c>
      <c r="O5" s="157">
        <f>Предпоссылки!O81</f>
        <v>20</v>
      </c>
      <c r="P5" s="157">
        <f>Предпоссылки!P81</f>
        <v>20</v>
      </c>
      <c r="Q5" s="157">
        <f>Предпоссылки!Q81</f>
        <v>20</v>
      </c>
      <c r="R5" s="157">
        <f>Предпоссылки!R81</f>
        <v>20</v>
      </c>
      <c r="S5" s="157">
        <f>Предпоссылки!S81</f>
        <v>20</v>
      </c>
      <c r="T5" s="157">
        <f>Предпоссылки!T81</f>
        <v>20</v>
      </c>
      <c r="U5" s="157">
        <f>Предпоссылки!U81</f>
        <v>20</v>
      </c>
      <c r="V5" s="157">
        <f>Предпоссылки!V81</f>
        <v>20</v>
      </c>
      <c r="W5" s="157">
        <f>Предпоссылки!W81</f>
        <v>20</v>
      </c>
      <c r="X5" s="157">
        <f>Предпоссылки!X81</f>
        <v>20</v>
      </c>
    </row>
    <row r="6" spans="1:24">
      <c r="B6" s="132" t="s">
        <v>147</v>
      </c>
      <c r="C6" s="132" t="s">
        <v>65</v>
      </c>
      <c r="I6" s="139">
        <f>OpEx!I9</f>
        <v>0</v>
      </c>
      <c r="J6" s="139">
        <f>OpEx!J9</f>
        <v>0</v>
      </c>
      <c r="K6" s="139">
        <f>OpEx!K9</f>
        <v>14400</v>
      </c>
      <c r="L6" s="139">
        <f>OpEx!L9</f>
        <v>14976</v>
      </c>
      <c r="M6" s="139">
        <f>OpEx!M9</f>
        <v>15575.040000000005</v>
      </c>
      <c r="N6" s="139">
        <f>OpEx!N9</f>
        <v>16198.041600000006</v>
      </c>
      <c r="O6" s="139">
        <f>OpEx!O9</f>
        <v>16845.963264000005</v>
      </c>
      <c r="P6" s="139">
        <f>OpEx!P9</f>
        <v>17519.801794560004</v>
      </c>
      <c r="Q6" s="139">
        <f>OpEx!Q9</f>
        <v>18220.593866342402</v>
      </c>
      <c r="R6" s="139">
        <f>OpEx!R9</f>
        <v>18949.417620996101</v>
      </c>
      <c r="S6" s="139">
        <f>OpEx!S9</f>
        <v>19707.394325835943</v>
      </c>
      <c r="T6" s="139">
        <f>OpEx!T9</f>
        <v>20495.690098869385</v>
      </c>
      <c r="U6" s="139">
        <f>OpEx!U9</f>
        <v>21315.51770282416</v>
      </c>
      <c r="V6" s="139">
        <f>OpEx!V9</f>
        <v>22168.138410937128</v>
      </c>
      <c r="W6" s="139">
        <f>OpEx!W9</f>
        <v>23054.863947374615</v>
      </c>
      <c r="X6" s="139">
        <f>OpEx!X9</f>
        <v>23977.058505269601</v>
      </c>
    </row>
    <row r="7" spans="1:24">
      <c r="B7" s="20" t="s">
        <v>148</v>
      </c>
      <c r="C7" s="132" t="s">
        <v>65</v>
      </c>
      <c r="I7" s="139"/>
      <c r="J7" s="139"/>
      <c r="K7" s="139">
        <f>K6/K5</f>
        <v>720</v>
      </c>
      <c r="L7" s="139">
        <f t="shared" ref="L7:O7" si="0">L6/L5</f>
        <v>748.8</v>
      </c>
      <c r="M7" s="139">
        <f t="shared" si="0"/>
        <v>778.75200000000018</v>
      </c>
      <c r="N7" s="139">
        <f t="shared" si="0"/>
        <v>809.9020800000003</v>
      </c>
      <c r="O7" s="139">
        <f t="shared" si="0"/>
        <v>842.29816320000032</v>
      </c>
      <c r="P7" s="139">
        <f>P6/P5</f>
        <v>875.99008972800016</v>
      </c>
      <c r="Q7" s="139">
        <f t="shared" ref="Q7:U7" si="1">Q6/Q5</f>
        <v>911.02969331712006</v>
      </c>
      <c r="R7" s="139">
        <f t="shared" si="1"/>
        <v>947.47088104980503</v>
      </c>
      <c r="S7" s="139">
        <f t="shared" si="1"/>
        <v>985.3697162917972</v>
      </c>
      <c r="T7" s="139">
        <f t="shared" si="1"/>
        <v>1024.7845049434693</v>
      </c>
      <c r="U7" s="139">
        <f t="shared" si="1"/>
        <v>1065.7758851412079</v>
      </c>
      <c r="V7" s="139">
        <f>V6/V5</f>
        <v>1108.4069205468563</v>
      </c>
      <c r="W7" s="139">
        <f t="shared" ref="W7" si="2">W6/W5</f>
        <v>1152.7431973687308</v>
      </c>
      <c r="X7" s="139">
        <f>X6/X5</f>
        <v>1198.8529252634801</v>
      </c>
    </row>
    <row r="9" spans="1:24">
      <c r="B9" s="20" t="s">
        <v>151</v>
      </c>
      <c r="C9" s="20" t="s">
        <v>65</v>
      </c>
      <c r="I9" s="139">
        <f>Предпоссылки!I28</f>
        <v>1917</v>
      </c>
      <c r="J9" s="139">
        <f>Предпоссылки!J28</f>
        <v>1993.68</v>
      </c>
      <c r="K9" s="139">
        <f>Предпоссылки!K28</f>
        <v>2073.4272000000001</v>
      </c>
      <c r="L9" s="139">
        <f>Предпоссылки!L28</f>
        <v>2156.3642880000002</v>
      </c>
      <c r="M9" s="139">
        <f>Предпоссылки!M28</f>
        <v>2242.6188595200001</v>
      </c>
      <c r="N9" s="139">
        <f>Предпоссылки!N28</f>
        <v>2332.3236139008004</v>
      </c>
      <c r="O9" s="139">
        <f>Предпоссылки!O28</f>
        <v>2425.6165584568325</v>
      </c>
      <c r="P9" s="139">
        <f>Предпоссылки!P28</f>
        <v>2522.6412207951057</v>
      </c>
      <c r="Q9" s="139">
        <f>Предпоссылки!Q28</f>
        <v>2623.5468696269099</v>
      </c>
      <c r="R9" s="139">
        <f>Предпоссылки!R28</f>
        <v>2728.4887444119863</v>
      </c>
      <c r="S9" s="139">
        <f>Предпоссылки!S28</f>
        <v>2837.628294188466</v>
      </c>
      <c r="T9" s="139">
        <f>Предпоссылки!T28</f>
        <v>2951.1334259560049</v>
      </c>
      <c r="U9" s="139">
        <f>Предпоссылки!U28</f>
        <v>3069.1787629942451</v>
      </c>
      <c r="V9" s="139">
        <f>Предпоссылки!V28</f>
        <v>3191.945913514015</v>
      </c>
      <c r="W9" s="139">
        <f>Предпоссылки!W28</f>
        <v>3319.6237500545758</v>
      </c>
      <c r="X9" s="139">
        <f>Предпоссылки!X28</f>
        <v>3452.4087000567588</v>
      </c>
    </row>
    <row r="11" spans="1:24">
      <c r="B11" s="20" t="s">
        <v>149</v>
      </c>
      <c r="C11" s="20" t="s">
        <v>65</v>
      </c>
      <c r="I11" s="139"/>
      <c r="J11" s="139"/>
      <c r="K11" s="139">
        <f>MIN(K7,K9)*K5*Предпоссылки!K26</f>
        <v>4752</v>
      </c>
      <c r="L11" s="139">
        <f>MIN(L7,L9)*L5*Предпоссылки!L26</f>
        <v>4942.08</v>
      </c>
      <c r="M11" s="139">
        <f>MIN(M7,M9)*M5*Предпоссылки!M26</f>
        <v>5139.7632000000021</v>
      </c>
      <c r="N11" s="139">
        <f>MIN(N7,N9)*N5*Предпоссылки!N26</f>
        <v>5345.3537280000019</v>
      </c>
      <c r="O11" s="139">
        <f>MIN(O7,O9)*O5*Предпоссылки!O26</f>
        <v>5559.1678771200022</v>
      </c>
      <c r="P11" s="139">
        <f>MIN(P7,P9)*P5*Предпоссылки!P26</f>
        <v>5781.5345922048018</v>
      </c>
      <c r="Q11" s="139">
        <f>MIN(Q7,Q9)*Q5*Предпоссылки!Q26</f>
        <v>6012.7959758929928</v>
      </c>
      <c r="R11" s="139">
        <f>MIN(R7,R9)*R5*Предпоссылки!R26</f>
        <v>6253.3078149287139</v>
      </c>
      <c r="S11" s="139">
        <f>MIN(S7,S9)*S5*Предпоссылки!S26</f>
        <v>6503.4401275258615</v>
      </c>
      <c r="T11" s="139">
        <f>MIN(T7,T9)*T5*Предпоссылки!T26</f>
        <v>6763.5777326268972</v>
      </c>
      <c r="U11" s="139">
        <f>MIN(U7,U9)*U5*Предпоссылки!U26</f>
        <v>7034.1208419319728</v>
      </c>
      <c r="V11" s="139">
        <f>MIN(V7,V9)*V5*Предпоссылки!V26</f>
        <v>7315.4856756092531</v>
      </c>
      <c r="W11" s="139">
        <f>MIN(W7,W9)*W5*Предпоссылки!W26</f>
        <v>7608.1051026336236</v>
      </c>
      <c r="X11" s="139">
        <f>MIN(X7,X9)*X5*Предпоссылки!X26</f>
        <v>7912.429306738969</v>
      </c>
    </row>
    <row r="12" spans="1:24">
      <c r="B12" s="20" t="s">
        <v>150</v>
      </c>
      <c r="C12" s="20" t="s">
        <v>65</v>
      </c>
      <c r="I12" s="139"/>
      <c r="J12" s="139"/>
      <c r="K12" s="139">
        <f>MAX(K7-K9,0)*K5*Предпоссылки!K27</f>
        <v>0</v>
      </c>
      <c r="L12" s="139">
        <f>MAX(L7-L9,0)*L5*Предпоссылки!L27</f>
        <v>0</v>
      </c>
      <c r="M12" s="139">
        <f>MAX(M7-M9,0)*M5*Предпоссылки!M27</f>
        <v>0</v>
      </c>
      <c r="N12" s="139">
        <f>MAX(N7-N9,0)*N5*Предпоссылки!N27</f>
        <v>0</v>
      </c>
      <c r="O12" s="139">
        <f>MAX(O7-O9,0)*O5*Предпоссылки!O27</f>
        <v>0</v>
      </c>
      <c r="P12" s="139">
        <f>MAX(P7-P9,0)*P5*Предпоссылки!P27</f>
        <v>0</v>
      </c>
      <c r="Q12" s="139">
        <f>MAX(Q7-Q9,0)*Q5*Предпоссылки!Q27</f>
        <v>0</v>
      </c>
      <c r="R12" s="139">
        <f>MAX(R7-R9,0)*R5*Предпоссылки!R27</f>
        <v>0</v>
      </c>
      <c r="S12" s="139">
        <f>MAX(S7-S9,0)*S5*Предпоссылки!S27</f>
        <v>0</v>
      </c>
      <c r="T12" s="139">
        <f>MAX(T7-T9,0)*T5*Предпоссылки!T27</f>
        <v>0</v>
      </c>
      <c r="U12" s="139">
        <f>MAX(U7-U9,0)*U5*Предпоссылки!U27</f>
        <v>0</v>
      </c>
      <c r="V12" s="139">
        <f>MAX(V7-V9,0)*V5*Предпоссылки!V27</f>
        <v>0</v>
      </c>
      <c r="W12" s="139">
        <f>MAX(W7-W9,0)*W5*Предпоссылки!W27</f>
        <v>0</v>
      </c>
      <c r="X12" s="139">
        <f>MAX(X7-X9,0)*X5*Предпоссылки!X27</f>
        <v>0</v>
      </c>
    </row>
    <row r="13" spans="1:24">
      <c r="B13" s="20" t="s">
        <v>153</v>
      </c>
      <c r="C13" s="20" t="s">
        <v>65</v>
      </c>
      <c r="I13" s="139">
        <f>I6*Предпоссылки!I29</f>
        <v>0</v>
      </c>
      <c r="J13" s="139">
        <f>J6*Предпоссылки!J29</f>
        <v>0</v>
      </c>
      <c r="K13" s="139">
        <f>K6*Предпоссылки!K29</f>
        <v>28.8</v>
      </c>
      <c r="L13" s="139">
        <f>L6*Предпоссылки!L29</f>
        <v>29.952000000000002</v>
      </c>
      <c r="M13" s="139">
        <f>M6*Предпоссылки!M29</f>
        <v>31.15008000000001</v>
      </c>
      <c r="N13" s="139">
        <f>N6*Предпоссылки!N29</f>
        <v>32.396083200000014</v>
      </c>
      <c r="O13" s="139">
        <f>O6*Предпоссылки!O29</f>
        <v>33.69192652800001</v>
      </c>
      <c r="P13" s="139">
        <f>P6*Предпоссылки!P29</f>
        <v>35.039603589120006</v>
      </c>
      <c r="Q13" s="139">
        <f>Q6*Предпоссылки!Q29</f>
        <v>36.441187732684803</v>
      </c>
      <c r="R13" s="139">
        <f>R6*Предпоссылки!R29</f>
        <v>37.898835241992202</v>
      </c>
      <c r="S13" s="139">
        <f>S6*Предпоссылки!S29</f>
        <v>39.414788651671884</v>
      </c>
      <c r="T13" s="139">
        <f>T6*Предпоссылки!T29</f>
        <v>40.991380197738771</v>
      </c>
      <c r="U13" s="139">
        <f>U6*Предпоссылки!U29</f>
        <v>42.631035405648319</v>
      </c>
      <c r="V13" s="139">
        <f>V6*Предпоссылки!V29</f>
        <v>44.336276821874257</v>
      </c>
      <c r="W13" s="139">
        <f>W6*Предпоссылки!W29</f>
        <v>46.109727894749234</v>
      </c>
      <c r="X13" s="139">
        <f>X6*Предпоссылки!X29</f>
        <v>47.9541170105392</v>
      </c>
    </row>
    <row r="14" spans="1:24" ht="15" thickBot="1">
      <c r="B14" s="133" t="s">
        <v>152</v>
      </c>
      <c r="C14" s="133"/>
      <c r="D14" s="133"/>
      <c r="E14" s="133"/>
      <c r="F14" s="133"/>
      <c r="G14" s="133"/>
      <c r="H14" s="133"/>
      <c r="I14" s="133">
        <f>ROUND((I11+I12+I13),0)</f>
        <v>0</v>
      </c>
      <c r="J14" s="133">
        <f t="shared" ref="J14:X14" si="3">ROUND((J11+J12+J13),0)</f>
        <v>0</v>
      </c>
      <c r="K14" s="133">
        <f t="shared" si="3"/>
        <v>4781</v>
      </c>
      <c r="L14" s="133">
        <f t="shared" si="3"/>
        <v>4972</v>
      </c>
      <c r="M14" s="133">
        <f t="shared" si="3"/>
        <v>5171</v>
      </c>
      <c r="N14" s="133">
        <f t="shared" si="3"/>
        <v>5378</v>
      </c>
      <c r="O14" s="133">
        <f t="shared" si="3"/>
        <v>5593</v>
      </c>
      <c r="P14" s="133">
        <f t="shared" si="3"/>
        <v>5817</v>
      </c>
      <c r="Q14" s="133">
        <f t="shared" si="3"/>
        <v>6049</v>
      </c>
      <c r="R14" s="133">
        <f t="shared" si="3"/>
        <v>6291</v>
      </c>
      <c r="S14" s="133">
        <f t="shared" si="3"/>
        <v>6543</v>
      </c>
      <c r="T14" s="133">
        <f t="shared" si="3"/>
        <v>6805</v>
      </c>
      <c r="U14" s="133">
        <f t="shared" si="3"/>
        <v>7077</v>
      </c>
      <c r="V14" s="133">
        <f t="shared" si="3"/>
        <v>7360</v>
      </c>
      <c r="W14" s="133">
        <f t="shared" si="3"/>
        <v>7654</v>
      </c>
      <c r="X14" s="133">
        <f t="shared" si="3"/>
        <v>7960</v>
      </c>
    </row>
    <row r="15" spans="1:24"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</row>
    <row r="16" spans="1:24" ht="15" thickBot="1">
      <c r="A16" s="71" t="s">
        <v>70</v>
      </c>
      <c r="B16" s="84" t="s">
        <v>157</v>
      </c>
      <c r="C16" s="85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7"/>
      <c r="Q16" s="87"/>
      <c r="R16" s="87"/>
      <c r="S16" s="87"/>
      <c r="T16" s="87"/>
      <c r="U16" s="87"/>
      <c r="V16" s="87"/>
      <c r="W16" s="87"/>
      <c r="X16" s="87"/>
    </row>
    <row r="17" spans="2:24">
      <c r="B17" s="132" t="s">
        <v>111</v>
      </c>
      <c r="C17" s="132" t="s">
        <v>101</v>
      </c>
      <c r="I17" s="139"/>
      <c r="J17" s="139"/>
      <c r="K17" s="139">
        <f>Предпоссылки!K94</f>
        <v>15</v>
      </c>
      <c r="L17" s="139">
        <f>Предпоссылки!L94</f>
        <v>15</v>
      </c>
      <c r="M17" s="139">
        <f>Предпоссылки!M94</f>
        <v>15</v>
      </c>
      <c r="N17" s="139">
        <f>Предпоссылки!N94</f>
        <v>15</v>
      </c>
      <c r="O17" s="139">
        <f>Предпоссылки!O94</f>
        <v>15</v>
      </c>
      <c r="P17" s="139">
        <f>Предпоссылки!P94</f>
        <v>15</v>
      </c>
      <c r="Q17" s="139">
        <f>Предпоссылки!Q94</f>
        <v>15</v>
      </c>
      <c r="R17" s="139">
        <f>Предпоссылки!R94</f>
        <v>15</v>
      </c>
      <c r="S17" s="139">
        <f>Предпоссылки!S94</f>
        <v>15</v>
      </c>
      <c r="T17" s="139">
        <f>Предпоссылки!T94</f>
        <v>15</v>
      </c>
      <c r="U17" s="139">
        <f>Предпоссылки!U94</f>
        <v>15</v>
      </c>
      <c r="V17" s="139">
        <f>Предпоссылки!V94</f>
        <v>15</v>
      </c>
      <c r="W17" s="139">
        <f>Предпоссылки!W94</f>
        <v>15</v>
      </c>
      <c r="X17" s="139">
        <f>Предпоссылки!X94</f>
        <v>15</v>
      </c>
    </row>
    <row r="18" spans="2:24">
      <c r="B18" s="20" t="s">
        <v>147</v>
      </c>
      <c r="C18" s="20" t="s">
        <v>65</v>
      </c>
      <c r="I18" s="139"/>
      <c r="J18" s="139"/>
      <c r="K18" s="139">
        <f>'SG&amp;A'!K5</f>
        <v>12600</v>
      </c>
      <c r="L18" s="139">
        <f>'SG&amp;A'!L5</f>
        <v>13104</v>
      </c>
      <c r="M18" s="139">
        <f>'SG&amp;A'!M5</f>
        <v>13628.16</v>
      </c>
      <c r="N18" s="139">
        <f>'SG&amp;A'!N5</f>
        <v>14173.286400000001</v>
      </c>
      <c r="O18" s="139">
        <f>'SG&amp;A'!O5</f>
        <v>14740.217856000003</v>
      </c>
      <c r="P18" s="139">
        <f>'SG&amp;A'!P5</f>
        <v>15329.826570240002</v>
      </c>
      <c r="Q18" s="139">
        <f>'SG&amp;A'!Q5</f>
        <v>15943.019633049604</v>
      </c>
      <c r="R18" s="139">
        <f>'SG&amp;A'!R5</f>
        <v>16580.740418371584</v>
      </c>
      <c r="S18" s="139">
        <f>'SG&amp;A'!S5</f>
        <v>17243.970035106449</v>
      </c>
      <c r="T18" s="139">
        <f>'SG&amp;A'!T5</f>
        <v>17933.728836510709</v>
      </c>
      <c r="U18" s="139">
        <f>'SG&amp;A'!U5</f>
        <v>18651.077989971142</v>
      </c>
      <c r="V18" s="139">
        <f>'SG&amp;A'!V5</f>
        <v>19397.121109569984</v>
      </c>
      <c r="W18" s="139">
        <f>'SG&amp;A'!W5</f>
        <v>20173.005953952787</v>
      </c>
      <c r="X18" s="139">
        <f>'SG&amp;A'!X5</f>
        <v>20979.926192110895</v>
      </c>
    </row>
    <row r="19" spans="2:24">
      <c r="B19" s="20" t="s">
        <v>148</v>
      </c>
      <c r="C19" s="20" t="s">
        <v>65</v>
      </c>
      <c r="I19" s="139"/>
      <c r="J19" s="139"/>
      <c r="K19" s="139">
        <f>K18/K17</f>
        <v>840</v>
      </c>
      <c r="L19" s="139">
        <f t="shared" ref="L19" si="4">L18/L17</f>
        <v>873.6</v>
      </c>
      <c r="M19" s="139">
        <f t="shared" ref="M19" si="5">M18/M17</f>
        <v>908.54399999999998</v>
      </c>
      <c r="N19" s="139">
        <f t="shared" ref="N19" si="6">N18/N17</f>
        <v>944.88576</v>
      </c>
      <c r="O19" s="139">
        <f t="shared" ref="O19" si="7">O18/O17</f>
        <v>982.68119040000022</v>
      </c>
      <c r="P19" s="139">
        <f>P18/P17</f>
        <v>1021.9884380160001</v>
      </c>
      <c r="Q19" s="139">
        <f t="shared" ref="Q19:U19" si="8">Q18/Q17</f>
        <v>1062.8679755366402</v>
      </c>
      <c r="R19" s="139">
        <f t="shared" si="8"/>
        <v>1105.3826945581056</v>
      </c>
      <c r="S19" s="139">
        <f t="shared" si="8"/>
        <v>1149.59800234043</v>
      </c>
      <c r="T19" s="139">
        <f t="shared" si="8"/>
        <v>1195.5819224340473</v>
      </c>
      <c r="U19" s="139">
        <f t="shared" si="8"/>
        <v>1243.4051993314094</v>
      </c>
      <c r="V19" s="139">
        <f>V18/V17</f>
        <v>1293.1414073046656</v>
      </c>
      <c r="W19" s="139">
        <f t="shared" ref="W19" si="9">W18/W17</f>
        <v>1344.8670635968524</v>
      </c>
      <c r="X19" s="139">
        <f>X18/X17</f>
        <v>1398.6617461407263</v>
      </c>
    </row>
    <row r="20" spans="2:24">
      <c r="B20" s="95"/>
    </row>
    <row r="21" spans="2:24">
      <c r="B21" s="20" t="s">
        <v>151</v>
      </c>
      <c r="C21" s="20" t="s">
        <v>65</v>
      </c>
      <c r="I21" s="139">
        <f>Предпоссылки!I28</f>
        <v>1917</v>
      </c>
      <c r="J21" s="139">
        <f>Предпоссылки!J28</f>
        <v>1993.68</v>
      </c>
      <c r="K21" s="139">
        <f>Предпоссылки!K28</f>
        <v>2073.4272000000001</v>
      </c>
      <c r="L21" s="139">
        <f>Предпоссылки!L28</f>
        <v>2156.3642880000002</v>
      </c>
      <c r="M21" s="139">
        <f>Предпоссылки!M28</f>
        <v>2242.6188595200001</v>
      </c>
      <c r="N21" s="139">
        <f>Предпоссылки!N28</f>
        <v>2332.3236139008004</v>
      </c>
      <c r="O21" s="139">
        <f>Предпоссылки!O28</f>
        <v>2425.6165584568325</v>
      </c>
      <c r="P21" s="139">
        <f>Предпоссылки!P28</f>
        <v>2522.6412207951057</v>
      </c>
      <c r="Q21" s="139">
        <f>Предпоссылки!Q28</f>
        <v>2623.5468696269099</v>
      </c>
      <c r="R21" s="139">
        <f>Предпоссылки!R28</f>
        <v>2728.4887444119863</v>
      </c>
      <c r="S21" s="139">
        <f>Предпоссылки!S28</f>
        <v>2837.628294188466</v>
      </c>
      <c r="T21" s="139">
        <f>Предпоссылки!T28</f>
        <v>2951.1334259560049</v>
      </c>
      <c r="U21" s="139">
        <f>Предпоссылки!U28</f>
        <v>3069.1787629942451</v>
      </c>
      <c r="V21" s="139">
        <f>Предпоссылки!V28</f>
        <v>3191.945913514015</v>
      </c>
      <c r="W21" s="139">
        <f>Предпоссылки!W28</f>
        <v>3319.6237500545758</v>
      </c>
      <c r="X21" s="139">
        <f>Предпоссылки!X28</f>
        <v>3452.4087000567588</v>
      </c>
    </row>
    <row r="23" spans="2:24">
      <c r="B23" s="20" t="s">
        <v>149</v>
      </c>
      <c r="C23" s="20" t="s">
        <v>65</v>
      </c>
      <c r="I23" s="139"/>
      <c r="J23" s="139"/>
      <c r="K23" s="139">
        <f>MIN(K19,K21)*K17*Предпоссылки!K26</f>
        <v>4158</v>
      </c>
      <c r="L23" s="139">
        <f>MIN(L19,L21)*L17*Предпоссылки!L26</f>
        <v>4324.3200000000006</v>
      </c>
      <c r="M23" s="139">
        <f>MIN(M19,M21)*M17*Предпоссылки!M26</f>
        <v>4497.2928000000002</v>
      </c>
      <c r="N23" s="139">
        <f>MIN(N19,N21)*N17*Предпоссылки!N26</f>
        <v>4677.1845120000007</v>
      </c>
      <c r="O23" s="139">
        <f>MIN(O19,O21)*O17*Предпоссылки!O26</f>
        <v>4864.271892480001</v>
      </c>
      <c r="P23" s="139">
        <f>MIN(P19,P21)*P17*Предпоссылки!P26</f>
        <v>5058.8427681792009</v>
      </c>
      <c r="Q23" s="139">
        <f>MIN(Q19,Q21)*Q17*Предпоссылки!Q26</f>
        <v>5261.1964789063695</v>
      </c>
      <c r="R23" s="139">
        <f>MIN(R19,R21)*R17*Предпоссылки!R26</f>
        <v>5471.6443380626233</v>
      </c>
      <c r="S23" s="139">
        <f>MIN(S19,S21)*S17*Предпоссылки!S26</f>
        <v>5690.5101115851285</v>
      </c>
      <c r="T23" s="139">
        <f>MIN(T19,T21)*T17*Предпоссылки!T26</f>
        <v>5918.1305160485344</v>
      </c>
      <c r="U23" s="139">
        <f>MIN(U19,U21)*U17*Предпоссылки!U26</f>
        <v>6154.855736690477</v>
      </c>
      <c r="V23" s="139">
        <f>MIN(V19,V21)*V17*Предпоссылки!V26</f>
        <v>6401.0499661580952</v>
      </c>
      <c r="W23" s="139">
        <f>MIN(W19,W21)*W17*Предпоссылки!W26</f>
        <v>6657.0919648044201</v>
      </c>
      <c r="X23" s="139">
        <f>MIN(X19,X21)*X17*Предпоссылки!X26</f>
        <v>6923.3756433965955</v>
      </c>
    </row>
    <row r="24" spans="2:24">
      <c r="B24" s="20" t="s">
        <v>150</v>
      </c>
      <c r="C24" s="20" t="s">
        <v>65</v>
      </c>
      <c r="I24" s="139"/>
      <c r="J24" s="139"/>
      <c r="K24" s="139">
        <f>MAX(K19-K21,0)*K17*Предпоссылки!K27</f>
        <v>0</v>
      </c>
      <c r="L24" s="139">
        <f>MAX(L19-L21,0)*L17*Предпоссылки!L27</f>
        <v>0</v>
      </c>
      <c r="M24" s="139">
        <f>MAX(M19-M21,0)*M17*Предпоссылки!M27</f>
        <v>0</v>
      </c>
      <c r="N24" s="139">
        <f>MAX(N19-N21,0)*N17*Предпоссылки!N27</f>
        <v>0</v>
      </c>
      <c r="O24" s="139">
        <f>MAX(O19-O21,0)*O17*Предпоссылки!O27</f>
        <v>0</v>
      </c>
      <c r="P24" s="139">
        <f>MAX(P19-P21,0)*P17*Предпоссылки!P27</f>
        <v>0</v>
      </c>
      <c r="Q24" s="139">
        <f>MAX(Q19-Q21,0)*Q17*Предпоссылки!Q27</f>
        <v>0</v>
      </c>
      <c r="R24" s="139">
        <f>MAX(R19-R21,0)*R17*Предпоссылки!R27</f>
        <v>0</v>
      </c>
      <c r="S24" s="139">
        <f>MAX(S19-S21,0)*S17*Предпоссылки!S27</f>
        <v>0</v>
      </c>
      <c r="T24" s="139">
        <f>MAX(T19-T21,0)*T17*Предпоссылки!T27</f>
        <v>0</v>
      </c>
      <c r="U24" s="139">
        <f>MAX(U19-U21,0)*U17*Предпоссылки!U27</f>
        <v>0</v>
      </c>
      <c r="V24" s="139">
        <f>MAX(V19-V21,0)*V17*Предпоссылки!V27</f>
        <v>0</v>
      </c>
      <c r="W24" s="139">
        <f>MAX(W19-W21,0)*W17*Предпоссылки!W27</f>
        <v>0</v>
      </c>
      <c r="X24" s="139">
        <f>MAX(X19-X21,0)*X17*Предпоссылки!X27</f>
        <v>0</v>
      </c>
    </row>
    <row r="25" spans="2:24" ht="15" thickBot="1">
      <c r="B25" s="133" t="s">
        <v>152</v>
      </c>
      <c r="C25" s="133"/>
      <c r="D25" s="133"/>
      <c r="E25" s="133"/>
      <c r="F25" s="133"/>
      <c r="G25" s="133"/>
      <c r="H25" s="133"/>
      <c r="I25" s="133">
        <f>ROUND((I22+I23+I24),0)</f>
        <v>0</v>
      </c>
      <c r="J25" s="133">
        <f t="shared" ref="J25:X25" si="10">ROUND((J22+J23+J24),0)</f>
        <v>0</v>
      </c>
      <c r="K25" s="133">
        <f t="shared" si="10"/>
        <v>4158</v>
      </c>
      <c r="L25" s="133">
        <f t="shared" si="10"/>
        <v>4324</v>
      </c>
      <c r="M25" s="133">
        <f t="shared" si="10"/>
        <v>4497</v>
      </c>
      <c r="N25" s="133">
        <f t="shared" si="10"/>
        <v>4677</v>
      </c>
      <c r="O25" s="133">
        <f t="shared" si="10"/>
        <v>4864</v>
      </c>
      <c r="P25" s="133">
        <f t="shared" si="10"/>
        <v>5059</v>
      </c>
      <c r="Q25" s="133">
        <f t="shared" si="10"/>
        <v>5261</v>
      </c>
      <c r="R25" s="133">
        <f t="shared" si="10"/>
        <v>5472</v>
      </c>
      <c r="S25" s="133">
        <f t="shared" si="10"/>
        <v>5691</v>
      </c>
      <c r="T25" s="133">
        <f t="shared" si="10"/>
        <v>5918</v>
      </c>
      <c r="U25" s="133">
        <f t="shared" si="10"/>
        <v>6155</v>
      </c>
      <c r="V25" s="133">
        <f t="shared" si="10"/>
        <v>6401</v>
      </c>
      <c r="W25" s="133">
        <f t="shared" si="10"/>
        <v>6657</v>
      </c>
      <c r="X25" s="133">
        <f t="shared" si="10"/>
        <v>6923</v>
      </c>
    </row>
    <row r="27" spans="2:24">
      <c r="B27" s="20" t="s">
        <v>113</v>
      </c>
      <c r="C27" s="20" t="s">
        <v>101</v>
      </c>
      <c r="I27" s="139">
        <f>Предпоссылки!I95</f>
        <v>0</v>
      </c>
      <c r="J27" s="139">
        <f>Предпоссылки!J95</f>
        <v>0</v>
      </c>
      <c r="K27" s="139">
        <f>Предпоссылки!K95</f>
        <v>5</v>
      </c>
      <c r="L27" s="139">
        <f>Предпоссылки!L95</f>
        <v>5</v>
      </c>
      <c r="M27" s="139">
        <f>Предпоссылки!M95</f>
        <v>5</v>
      </c>
      <c r="N27" s="139">
        <f>Предпоссылки!N95</f>
        <v>5</v>
      </c>
      <c r="O27" s="139">
        <f>Предпоссылки!O95</f>
        <v>5</v>
      </c>
      <c r="P27" s="139">
        <f>Предпоссылки!P95</f>
        <v>5</v>
      </c>
      <c r="Q27" s="139">
        <f>Предпоссылки!Q95</f>
        <v>5</v>
      </c>
      <c r="R27" s="139">
        <f>Предпоссылки!R95</f>
        <v>5</v>
      </c>
      <c r="S27" s="139">
        <f>Предпоссылки!S95</f>
        <v>5</v>
      </c>
      <c r="T27" s="139">
        <f>Предпоссылки!T95</f>
        <v>5</v>
      </c>
      <c r="U27" s="139">
        <f>Предпоссылки!U95</f>
        <v>5</v>
      </c>
      <c r="V27" s="139">
        <f>Предпоссылки!V95</f>
        <v>5</v>
      </c>
      <c r="W27" s="139">
        <f>Предпоссылки!W95</f>
        <v>5</v>
      </c>
      <c r="X27" s="139">
        <f>Предпоссылки!X95</f>
        <v>5</v>
      </c>
    </row>
    <row r="28" spans="2:24">
      <c r="B28" s="20" t="s">
        <v>147</v>
      </c>
      <c r="C28" s="20" t="s">
        <v>65</v>
      </c>
      <c r="I28" s="139">
        <f>'SG&amp;A'!I9</f>
        <v>0</v>
      </c>
      <c r="J28" s="139">
        <f>'SG&amp;A'!J9</f>
        <v>0</v>
      </c>
      <c r="K28" s="139">
        <f>'SG&amp;A'!K9</f>
        <v>2700</v>
      </c>
      <c r="L28" s="139">
        <f>'SG&amp;A'!L9</f>
        <v>2808.0000000000005</v>
      </c>
      <c r="M28" s="139">
        <f>'SG&amp;A'!M9</f>
        <v>2920.32</v>
      </c>
      <c r="N28" s="139">
        <f>'SG&amp;A'!N9</f>
        <v>3037.1328000000003</v>
      </c>
      <c r="O28" s="139">
        <f>'SG&amp;A'!O9</f>
        <v>3158.6181120000001</v>
      </c>
      <c r="P28" s="139">
        <f>'SG&amp;A'!P9</f>
        <v>3284.962836480001</v>
      </c>
      <c r="Q28" s="139">
        <f>'SG&amp;A'!Q9</f>
        <v>3416.3613499392004</v>
      </c>
      <c r="R28" s="139">
        <f>'SG&amp;A'!R9</f>
        <v>3553.0158039367689</v>
      </c>
      <c r="S28" s="139">
        <f>'SG&amp;A'!S9</f>
        <v>3695.1364360942398</v>
      </c>
      <c r="T28" s="139">
        <f>'SG&amp;A'!T9</f>
        <v>3842.9418935380099</v>
      </c>
      <c r="U28" s="139">
        <f>'SG&amp;A'!U9</f>
        <v>3996.6595692795308</v>
      </c>
      <c r="V28" s="139">
        <f>'SG&amp;A'!V9</f>
        <v>4156.5259520507125</v>
      </c>
      <c r="W28" s="139">
        <f>'SG&amp;A'!W9</f>
        <v>4322.7869901327404</v>
      </c>
      <c r="X28" s="139">
        <f>'SG&amp;A'!X9</f>
        <v>4495.6984697380503</v>
      </c>
    </row>
    <row r="29" spans="2:24">
      <c r="B29" s="20" t="s">
        <v>148</v>
      </c>
      <c r="C29" s="20" t="s">
        <v>65</v>
      </c>
      <c r="I29" s="139"/>
      <c r="J29" s="139"/>
      <c r="K29" s="139">
        <f>K28/K27</f>
        <v>540</v>
      </c>
      <c r="L29" s="139">
        <f t="shared" ref="L29" si="11">L28/L27</f>
        <v>561.60000000000014</v>
      </c>
      <c r="M29" s="139">
        <f t="shared" ref="M29" si="12">M28/M27</f>
        <v>584.06400000000008</v>
      </c>
      <c r="N29" s="139">
        <f t="shared" ref="N29" si="13">N28/N27</f>
        <v>607.42656000000011</v>
      </c>
      <c r="O29" s="139">
        <f t="shared" ref="O29" si="14">O28/O27</f>
        <v>631.72362240000007</v>
      </c>
      <c r="P29" s="139">
        <f>P28/P27</f>
        <v>656.99256729600017</v>
      </c>
      <c r="Q29" s="139">
        <f t="shared" ref="Q29:U29" si="15">Q28/Q27</f>
        <v>683.2722699878401</v>
      </c>
      <c r="R29" s="139">
        <f t="shared" si="15"/>
        <v>710.60316078735377</v>
      </c>
      <c r="S29" s="139">
        <f t="shared" si="15"/>
        <v>739.02728721884796</v>
      </c>
      <c r="T29" s="139">
        <f t="shared" si="15"/>
        <v>768.58837870760203</v>
      </c>
      <c r="U29" s="139">
        <f t="shared" si="15"/>
        <v>799.33191385590612</v>
      </c>
      <c r="V29" s="139">
        <f>V28/V27</f>
        <v>831.30519041014247</v>
      </c>
      <c r="W29" s="139">
        <f t="shared" ref="W29" si="16">W28/W27</f>
        <v>864.55739802654807</v>
      </c>
      <c r="X29" s="139">
        <f>X28/X27</f>
        <v>899.13969394761011</v>
      </c>
    </row>
    <row r="30" spans="2:24">
      <c r="B30" s="95"/>
    </row>
    <row r="31" spans="2:24">
      <c r="B31" s="20" t="s">
        <v>151</v>
      </c>
      <c r="C31" s="20" t="s">
        <v>65</v>
      </c>
      <c r="I31" s="139">
        <f>Предпоссылки!I28</f>
        <v>1917</v>
      </c>
      <c r="J31" s="139">
        <f>Предпоссылки!J28</f>
        <v>1993.68</v>
      </c>
      <c r="K31" s="139">
        <f>Предпоссылки!K28</f>
        <v>2073.4272000000001</v>
      </c>
      <c r="L31" s="139">
        <f>Предпоссылки!L28</f>
        <v>2156.3642880000002</v>
      </c>
      <c r="M31" s="139">
        <f>Предпоссылки!M28</f>
        <v>2242.6188595200001</v>
      </c>
      <c r="N31" s="139">
        <f>Предпоссылки!N28</f>
        <v>2332.3236139008004</v>
      </c>
      <c r="O31" s="139">
        <f>Предпоссылки!O28</f>
        <v>2425.6165584568325</v>
      </c>
      <c r="P31" s="139">
        <f>Предпоссылки!P28</f>
        <v>2522.6412207951057</v>
      </c>
      <c r="Q31" s="139">
        <f>Предпоссылки!Q28</f>
        <v>2623.5468696269099</v>
      </c>
      <c r="R31" s="139">
        <f>Предпоссылки!R28</f>
        <v>2728.4887444119863</v>
      </c>
      <c r="S31" s="139">
        <f>Предпоссылки!S28</f>
        <v>2837.628294188466</v>
      </c>
      <c r="T31" s="139">
        <f>Предпоссылки!T28</f>
        <v>2951.1334259560049</v>
      </c>
      <c r="U31" s="139">
        <f>Предпоссылки!U28</f>
        <v>3069.1787629942451</v>
      </c>
      <c r="V31" s="139">
        <f>Предпоссылки!V28</f>
        <v>3191.945913514015</v>
      </c>
      <c r="W31" s="139">
        <f>Предпоссылки!W28</f>
        <v>3319.6237500545758</v>
      </c>
      <c r="X31" s="139">
        <f>Предпоссылки!X28</f>
        <v>3452.4087000567588</v>
      </c>
    </row>
    <row r="33" spans="1:24">
      <c r="B33" s="20" t="s">
        <v>149</v>
      </c>
      <c r="C33" s="20" t="s">
        <v>65</v>
      </c>
      <c r="I33" s="139"/>
      <c r="J33" s="139"/>
      <c r="K33" s="139">
        <f>MIN(K29,K31)*K27*Предпоссылки!K26</f>
        <v>891</v>
      </c>
      <c r="L33" s="139">
        <f>MIN(L29,L31)*L27*Предпоссылки!L26</f>
        <v>926.64000000000033</v>
      </c>
      <c r="M33" s="139">
        <f>MIN(M29,M31)*M27*Предпоссылки!M26</f>
        <v>963.70560000000023</v>
      </c>
      <c r="N33" s="139">
        <f>MIN(N29,N31)*N27*Предпоссылки!N26</f>
        <v>1002.2538240000001</v>
      </c>
      <c r="O33" s="139">
        <f>MIN(O29,O31)*O27*Предпоссылки!O26</f>
        <v>1042.3439769600002</v>
      </c>
      <c r="P33" s="139">
        <f>MIN(P29,P31)*P27*Предпоссылки!P26</f>
        <v>1084.0377360384005</v>
      </c>
      <c r="Q33" s="139">
        <f>MIN(Q29,Q31)*Q27*Предпоссылки!Q26</f>
        <v>1127.3992454799361</v>
      </c>
      <c r="R33" s="139">
        <f>MIN(R29,R31)*R27*Предпоссылки!R26</f>
        <v>1172.4952152991339</v>
      </c>
      <c r="S33" s="139">
        <f>MIN(S29,S31)*S27*Предпоссылки!S26</f>
        <v>1219.3950239110991</v>
      </c>
      <c r="T33" s="139">
        <f>MIN(T29,T31)*T27*Предпоссылки!T26</f>
        <v>1268.1708248675434</v>
      </c>
      <c r="U33" s="139">
        <f>MIN(U29,U31)*U27*Предпоссылки!U26</f>
        <v>1318.8976578622453</v>
      </c>
      <c r="V33" s="139">
        <f>MIN(V29,V31)*V27*Предпоссылки!V26</f>
        <v>1371.6535641767352</v>
      </c>
      <c r="W33" s="139">
        <f>MIN(W29,W31)*W27*Предпоссылки!W26</f>
        <v>1426.5197067438044</v>
      </c>
      <c r="X33" s="139">
        <f>MIN(X29,X31)*X27*Предпоссылки!X26</f>
        <v>1483.5804950135566</v>
      </c>
    </row>
    <row r="34" spans="1:24">
      <c r="B34" s="20" t="s">
        <v>150</v>
      </c>
      <c r="C34" s="20" t="s">
        <v>65</v>
      </c>
      <c r="I34" s="139"/>
      <c r="J34" s="139"/>
      <c r="K34" s="139">
        <f>MAX(K29-K31,0)*K27*Предпоссылки!K27</f>
        <v>0</v>
      </c>
      <c r="L34" s="139">
        <f>MAX(L29-L31,0)*L27*Предпоссылки!L27</f>
        <v>0</v>
      </c>
      <c r="M34" s="139">
        <f>MAX(M29-M31,0)*M27*Предпоссылки!M27</f>
        <v>0</v>
      </c>
      <c r="N34" s="139">
        <f>MAX(N29-N31,0)*N27*Предпоссылки!N27</f>
        <v>0</v>
      </c>
      <c r="O34" s="139">
        <f>MAX(O29-O31,0)*O27*Предпоссылки!O27</f>
        <v>0</v>
      </c>
      <c r="P34" s="139">
        <f>MAX(P29-P31,0)*P27*Предпоссылки!P27</f>
        <v>0</v>
      </c>
      <c r="Q34" s="139">
        <f>MAX(Q29-Q31,0)*Q27*Предпоссылки!Q27</f>
        <v>0</v>
      </c>
      <c r="R34" s="139">
        <f>MAX(R29-R31,0)*R27*Предпоссылки!R27</f>
        <v>0</v>
      </c>
      <c r="S34" s="139">
        <f>MAX(S29-S31,0)*S27*Предпоссылки!S27</f>
        <v>0</v>
      </c>
      <c r="T34" s="139">
        <f>MAX(T29-T31,0)*T27*Предпоссылки!T27</f>
        <v>0</v>
      </c>
      <c r="U34" s="139">
        <f>MAX(U29-U31,0)*U27*Предпоссылки!U27</f>
        <v>0</v>
      </c>
      <c r="V34" s="139">
        <f>MAX(V29-V31,0)*V27*Предпоссылки!V27</f>
        <v>0</v>
      </c>
      <c r="W34" s="139">
        <f>MAX(W29-W31,0)*W27*Предпоссылки!W27</f>
        <v>0</v>
      </c>
      <c r="X34" s="139">
        <f>MAX(X29-X31,0)*X27*Предпоссылки!X27</f>
        <v>0</v>
      </c>
    </row>
    <row r="35" spans="1:24" ht="15" thickBot="1">
      <c r="B35" s="133" t="s">
        <v>152</v>
      </c>
      <c r="C35" s="133"/>
      <c r="D35" s="133"/>
      <c r="E35" s="133"/>
      <c r="F35" s="133"/>
      <c r="G35" s="133"/>
      <c r="H35" s="133"/>
      <c r="I35" s="133">
        <f>ROUND((I32+I33+I34),0)</f>
        <v>0</v>
      </c>
      <c r="J35" s="133">
        <f t="shared" ref="J35:X35" si="17">ROUND((J32+J33+J34),0)</f>
        <v>0</v>
      </c>
      <c r="K35" s="133">
        <f t="shared" si="17"/>
        <v>891</v>
      </c>
      <c r="L35" s="133">
        <f t="shared" si="17"/>
        <v>927</v>
      </c>
      <c r="M35" s="133">
        <f t="shared" si="17"/>
        <v>964</v>
      </c>
      <c r="N35" s="133">
        <f t="shared" si="17"/>
        <v>1002</v>
      </c>
      <c r="O35" s="133">
        <f t="shared" si="17"/>
        <v>1042</v>
      </c>
      <c r="P35" s="133">
        <f t="shared" si="17"/>
        <v>1084</v>
      </c>
      <c r="Q35" s="133">
        <f t="shared" si="17"/>
        <v>1127</v>
      </c>
      <c r="R35" s="133">
        <f t="shared" si="17"/>
        <v>1172</v>
      </c>
      <c r="S35" s="133">
        <f t="shared" si="17"/>
        <v>1219</v>
      </c>
      <c r="T35" s="133">
        <f t="shared" si="17"/>
        <v>1268</v>
      </c>
      <c r="U35" s="133">
        <f t="shared" si="17"/>
        <v>1319</v>
      </c>
      <c r="V35" s="133">
        <f t="shared" si="17"/>
        <v>1372</v>
      </c>
      <c r="W35" s="133">
        <f t="shared" si="17"/>
        <v>1427</v>
      </c>
      <c r="X35" s="133">
        <f t="shared" si="17"/>
        <v>1484</v>
      </c>
    </row>
    <row r="36" spans="1:24" ht="15" thickBot="1"/>
    <row r="37" spans="1:24" ht="15" thickBot="1">
      <c r="A37" s="72" t="s">
        <v>72</v>
      </c>
      <c r="B37" s="138" t="s">
        <v>67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4"/>
    </row>
    <row r="39" spans="1:24">
      <c r="B39" s="20" t="s">
        <v>183</v>
      </c>
      <c r="C39" s="20" t="s">
        <v>6</v>
      </c>
      <c r="I39" s="139">
        <f>ОС!I11</f>
        <v>0</v>
      </c>
      <c r="J39" s="139">
        <f>ОС!J11</f>
        <v>0</v>
      </c>
      <c r="K39" s="139">
        <f>ОС!K11</f>
        <v>580000</v>
      </c>
      <c r="L39" s="139">
        <f>ОС!L11</f>
        <v>560000</v>
      </c>
      <c r="M39" s="139">
        <f>ОС!M11</f>
        <v>540000</v>
      </c>
      <c r="N39" s="139">
        <f>ОС!N11</f>
        <v>520000</v>
      </c>
      <c r="O39" s="139">
        <f>ОС!O11</f>
        <v>500000</v>
      </c>
      <c r="P39" s="139">
        <f>ОС!P11</f>
        <v>480000</v>
      </c>
      <c r="Q39" s="139">
        <f>ОС!Q11</f>
        <v>460000</v>
      </c>
      <c r="R39" s="139">
        <f>ОС!R11</f>
        <v>440000</v>
      </c>
      <c r="S39" s="139">
        <f>ОС!S11</f>
        <v>420000</v>
      </c>
      <c r="T39" s="139">
        <f>ОС!T11</f>
        <v>400000</v>
      </c>
      <c r="U39" s="139">
        <f>ОС!U11</f>
        <v>380000</v>
      </c>
      <c r="V39" s="139">
        <f>ОС!V11</f>
        <v>360000</v>
      </c>
      <c r="W39" s="139">
        <f>ОС!W11</f>
        <v>340000</v>
      </c>
      <c r="X39" s="139">
        <f>ОС!X11</f>
        <v>320000</v>
      </c>
    </row>
    <row r="40" spans="1:24">
      <c r="B40" s="20" t="s">
        <v>182</v>
      </c>
      <c r="C40" s="20" t="s">
        <v>6</v>
      </c>
      <c r="I40" s="139">
        <f t="shared" ref="I40:J40" si="18">AVERAGE(H39,I39)</f>
        <v>0</v>
      </c>
      <c r="J40" s="139">
        <f t="shared" si="18"/>
        <v>0</v>
      </c>
      <c r="K40" s="139">
        <f>AVERAGE(J39,K39)</f>
        <v>290000</v>
      </c>
      <c r="L40" s="139">
        <f>AVERAGE(K39,L39)</f>
        <v>570000</v>
      </c>
      <c r="M40" s="139">
        <f t="shared" ref="M40:P40" si="19">AVERAGE(L39,M39)</f>
        <v>550000</v>
      </c>
      <c r="N40" s="139">
        <f t="shared" si="19"/>
        <v>530000</v>
      </c>
      <c r="O40" s="139">
        <f t="shared" si="19"/>
        <v>510000</v>
      </c>
      <c r="P40" s="139">
        <f t="shared" si="19"/>
        <v>490000</v>
      </c>
      <c r="Q40" s="139">
        <f t="shared" ref="Q40" si="20">AVERAGE(P39,Q39)</f>
        <v>470000</v>
      </c>
      <c r="R40" s="139">
        <f t="shared" ref="R40" si="21">AVERAGE(Q39,R39)</f>
        <v>450000</v>
      </c>
      <c r="S40" s="139">
        <f t="shared" ref="S40" si="22">AVERAGE(R39,S39)</f>
        <v>430000</v>
      </c>
      <c r="T40" s="139">
        <f t="shared" ref="T40" si="23">AVERAGE(S39,T39)</f>
        <v>410000</v>
      </c>
      <c r="U40" s="139">
        <f t="shared" ref="U40" si="24">AVERAGE(T39,U39)</f>
        <v>390000</v>
      </c>
      <c r="V40" s="139">
        <f t="shared" ref="V40" si="25">AVERAGE(U39,V39)</f>
        <v>370000</v>
      </c>
      <c r="W40" s="139">
        <f t="shared" ref="W40:X40" si="26">AVERAGE(V39,W39)</f>
        <v>350000</v>
      </c>
      <c r="X40" s="139">
        <f t="shared" si="26"/>
        <v>330000</v>
      </c>
    </row>
    <row r="41" spans="1:24">
      <c r="B41" s="20" t="s">
        <v>67</v>
      </c>
      <c r="C41" s="20" t="s">
        <v>6</v>
      </c>
      <c r="I41" s="139">
        <f>ROUND((I40*Предпоссылки!I36),0)</f>
        <v>0</v>
      </c>
      <c r="J41" s="139">
        <f>ROUND((J40*Предпоссылки!J36),0)</f>
        <v>0</v>
      </c>
      <c r="K41" s="139">
        <f>ROUND((K40*Предпоссылки!K36),0)</f>
        <v>6380</v>
      </c>
      <c r="L41" s="139">
        <f>ROUND((L40*Предпоссылки!L36),0)</f>
        <v>12540</v>
      </c>
      <c r="M41" s="139">
        <f>ROUND((M40*Предпоссылки!M36),0)</f>
        <v>12100</v>
      </c>
      <c r="N41" s="139">
        <f>ROUND((N40*Предпоссылки!N36),0)</f>
        <v>11660</v>
      </c>
      <c r="O41" s="139">
        <f>ROUND((O40*Предпоссылки!O36),0)</f>
        <v>11220</v>
      </c>
      <c r="P41" s="139">
        <f>ROUND((P40*Предпоссылки!P36),0)</f>
        <v>10780</v>
      </c>
      <c r="Q41" s="139">
        <f>ROUND((Q40*Предпоссылки!Q36),0)</f>
        <v>10340</v>
      </c>
      <c r="R41" s="139">
        <f>ROUND((R40*Предпоссылки!R36),0)</f>
        <v>9900</v>
      </c>
      <c r="S41" s="139">
        <f>ROUND((S40*Предпоссылки!S36),0)</f>
        <v>9460</v>
      </c>
      <c r="T41" s="139">
        <f>ROUND((T40*Предпоссылки!T36),0)</f>
        <v>9020</v>
      </c>
      <c r="U41" s="139">
        <f>ROUND((U40*Предпоссылки!U36),0)</f>
        <v>8580</v>
      </c>
      <c r="V41" s="139">
        <f>ROUND((V40*Предпоссылки!V36),0)</f>
        <v>8140</v>
      </c>
      <c r="W41" s="139">
        <f>ROUND((W40*Предпоссылки!W36),0)</f>
        <v>7700</v>
      </c>
      <c r="X41" s="139">
        <f>ROUND((X40*Предпоссылки!X36),0)</f>
        <v>7260</v>
      </c>
    </row>
    <row r="42" spans="1:24" ht="15" thickBot="1"/>
    <row r="43" spans="1:24" ht="15" thickBot="1">
      <c r="A43" s="72" t="s">
        <v>76</v>
      </c>
      <c r="B43" s="138" t="s">
        <v>61</v>
      </c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4"/>
    </row>
    <row r="46" spans="1:24">
      <c r="B46" s="101" t="s">
        <v>261</v>
      </c>
    </row>
    <row r="47" spans="1:24">
      <c r="B47" s="20" t="s">
        <v>118</v>
      </c>
      <c r="C47" s="20" t="s">
        <v>6</v>
      </c>
      <c r="I47" s="139">
        <f>ОС!I21</f>
        <v>600000</v>
      </c>
      <c r="J47" s="139">
        <f>ОС!J21</f>
        <v>1400000</v>
      </c>
      <c r="K47" s="139">
        <f>ОС!K21</f>
        <v>0</v>
      </c>
      <c r="L47" s="139">
        <f>ОС!L21</f>
        <v>0</v>
      </c>
      <c r="M47" s="139">
        <f>ОС!M21</f>
        <v>0</v>
      </c>
      <c r="N47" s="139">
        <f>ОС!N21</f>
        <v>0</v>
      </c>
      <c r="O47" s="139">
        <f>ОС!O21</f>
        <v>0</v>
      </c>
      <c r="P47" s="139">
        <f>ОС!P21</f>
        <v>0</v>
      </c>
      <c r="Q47" s="139">
        <f>ОС!Q21</f>
        <v>0</v>
      </c>
      <c r="R47" s="139">
        <f>ОС!R21</f>
        <v>0</v>
      </c>
      <c r="S47" s="139">
        <f>ОС!S21</f>
        <v>0</v>
      </c>
      <c r="T47" s="139">
        <f>ОС!T21</f>
        <v>0</v>
      </c>
      <c r="U47" s="139">
        <f>ОС!U21</f>
        <v>0</v>
      </c>
      <c r="V47" s="139">
        <f>ОС!V21</f>
        <v>0</v>
      </c>
      <c r="W47" s="139">
        <f>ОС!W21</f>
        <v>0</v>
      </c>
      <c r="X47" s="139">
        <f>ОС!X21</f>
        <v>0</v>
      </c>
    </row>
    <row r="48" spans="1:24">
      <c r="B48" s="20" t="s">
        <v>232</v>
      </c>
      <c r="C48" s="20" t="s">
        <v>6</v>
      </c>
      <c r="I48" s="173">
        <f>I47*Предпоссылки!I32</f>
        <v>120000</v>
      </c>
      <c r="J48" s="173">
        <f>J47*Предпоссылки!J32</f>
        <v>280000</v>
      </c>
      <c r="K48" s="173">
        <f>K47*Предпоссылки!K32</f>
        <v>0</v>
      </c>
      <c r="L48" s="173">
        <f>L47*Предпоссылки!L32</f>
        <v>0</v>
      </c>
      <c r="M48" s="173">
        <f>M47*Предпоссылки!M32</f>
        <v>0</v>
      </c>
      <c r="N48" s="173">
        <f>N47*Предпоссылки!N32</f>
        <v>0</v>
      </c>
      <c r="O48" s="173">
        <f>O47*Предпоссылки!O32</f>
        <v>0</v>
      </c>
      <c r="P48" s="173">
        <f>P47*Предпоссылки!P32</f>
        <v>0</v>
      </c>
      <c r="Q48" s="173">
        <f>Q47*Предпоссылки!Q32</f>
        <v>0</v>
      </c>
      <c r="R48" s="173">
        <f>R47*Предпоссылки!R32</f>
        <v>0</v>
      </c>
      <c r="S48" s="173">
        <f>S47*Предпоссылки!S32</f>
        <v>0</v>
      </c>
      <c r="T48" s="173">
        <f>T47*Предпоссылки!T32</f>
        <v>0</v>
      </c>
      <c r="U48" s="173">
        <f>U47*Предпоссылки!U32</f>
        <v>0</v>
      </c>
      <c r="V48" s="173">
        <f>V47*Предпоссылки!V32</f>
        <v>0</v>
      </c>
      <c r="W48" s="173">
        <f>W47*Предпоссылки!W32</f>
        <v>0</v>
      </c>
      <c r="X48" s="173">
        <f>X47*Предпоссылки!X32</f>
        <v>0</v>
      </c>
    </row>
    <row r="50" spans="2:24">
      <c r="B50" s="101" t="s">
        <v>262</v>
      </c>
    </row>
    <row r="51" spans="2:24">
      <c r="B51" s="20" t="s">
        <v>19</v>
      </c>
      <c r="C51" s="20" t="s">
        <v>6</v>
      </c>
      <c r="I51" s="139">
        <f>Выручка!I14</f>
        <v>0</v>
      </c>
      <c r="J51" s="139">
        <f>Выручка!J14</f>
        <v>0</v>
      </c>
      <c r="K51" s="139">
        <f>Выручка!K14</f>
        <v>608393</v>
      </c>
      <c r="L51" s="139">
        <f>Выручка!L14</f>
        <v>708777</v>
      </c>
      <c r="M51" s="139">
        <f>Выручка!M14</f>
        <v>740350</v>
      </c>
      <c r="N51" s="139">
        <f>Выручка!N14</f>
        <v>772073</v>
      </c>
      <c r="O51" s="139">
        <f>Выручка!O14</f>
        <v>800762</v>
      </c>
      <c r="P51" s="139">
        <f>Выручка!P14</f>
        <v>832793</v>
      </c>
      <c r="Q51" s="139">
        <f>Выручка!Q14</f>
        <v>866105</v>
      </c>
      <c r="R51" s="139">
        <f>Выручка!R14</f>
        <v>903217</v>
      </c>
      <c r="S51" s="139">
        <f>Выручка!S14</f>
        <v>936779</v>
      </c>
      <c r="T51" s="139">
        <f>Выручка!T14</f>
        <v>974250</v>
      </c>
      <c r="U51" s="139">
        <f>Выручка!U14</f>
        <v>1013220</v>
      </c>
      <c r="V51" s="139">
        <f>Выручка!V14</f>
        <v>1056636</v>
      </c>
      <c r="W51" s="139">
        <f>Выручка!W14</f>
        <v>1095899</v>
      </c>
      <c r="X51" s="139">
        <f>Выручка!X14</f>
        <v>1139734</v>
      </c>
    </row>
    <row r="52" spans="2:24">
      <c r="B52" s="20" t="s">
        <v>233</v>
      </c>
      <c r="C52" s="20" t="s">
        <v>6</v>
      </c>
      <c r="I52" s="139">
        <f>(I51*Предпоссылки!I32)</f>
        <v>0</v>
      </c>
      <c r="J52" s="139">
        <f>(J51*Предпоссылки!J32)</f>
        <v>0</v>
      </c>
      <c r="K52" s="139">
        <f>(K51*Предпоссылки!K32)</f>
        <v>121678.6</v>
      </c>
      <c r="L52" s="139">
        <f>(L51*Предпоссылки!L32)</f>
        <v>141755.4</v>
      </c>
      <c r="M52" s="139">
        <f>(M51*Предпоссылки!M32)</f>
        <v>148070</v>
      </c>
      <c r="N52" s="139">
        <f>(N51*Предпоссылки!N32)</f>
        <v>154414.6</v>
      </c>
      <c r="O52" s="139">
        <f>(O51*Предпоссылки!O32)</f>
        <v>160152.40000000002</v>
      </c>
      <c r="P52" s="139">
        <f>(P51*Предпоссылки!P32)</f>
        <v>166558.6</v>
      </c>
      <c r="Q52" s="139">
        <f>(Q51*Предпоссылки!Q32)</f>
        <v>173221</v>
      </c>
      <c r="R52" s="139">
        <f>(R51*Предпоссылки!R32)</f>
        <v>180643.40000000002</v>
      </c>
      <c r="S52" s="139">
        <f>(S51*Предпоссылки!S32)</f>
        <v>187355.80000000002</v>
      </c>
      <c r="T52" s="139">
        <f>(T51*Предпоссылки!T32)</f>
        <v>194850</v>
      </c>
      <c r="U52" s="139">
        <f>(U51*Предпоссылки!U32)</f>
        <v>202644</v>
      </c>
      <c r="V52" s="139">
        <f>(V51*Предпоссылки!V32)</f>
        <v>211327.2</v>
      </c>
      <c r="W52" s="139">
        <f>(W51*Предпоссылки!W32)</f>
        <v>219179.80000000002</v>
      </c>
      <c r="X52" s="139">
        <f>(X51*Предпоссылки!X32)</f>
        <v>227946.80000000002</v>
      </c>
    </row>
    <row r="54" spans="2:24">
      <c r="B54" s="20" t="s">
        <v>161</v>
      </c>
      <c r="C54" s="20" t="s">
        <v>6</v>
      </c>
      <c r="I54" s="139">
        <f>OpEx!I18-OpEx!I11</f>
        <v>0</v>
      </c>
      <c r="J54" s="139">
        <f>OpEx!J18-OpEx!J11</f>
        <v>0</v>
      </c>
      <c r="K54" s="139">
        <f>OpEx!K18-OpEx!K11</f>
        <v>219390</v>
      </c>
      <c r="L54" s="139">
        <f>OpEx!L18-OpEx!L11</f>
        <v>265071</v>
      </c>
      <c r="M54" s="139">
        <f>OpEx!M18-OpEx!M11</f>
        <v>280556</v>
      </c>
      <c r="N54" s="139">
        <f>OpEx!N18-OpEx!N11</f>
        <v>292556</v>
      </c>
      <c r="O54" s="139">
        <f>OpEx!O18-OpEx!O11</f>
        <v>303449</v>
      </c>
      <c r="P54" s="139">
        <f>OpEx!P18-OpEx!P11</f>
        <v>315587</v>
      </c>
      <c r="Q54" s="139">
        <f>OpEx!Q18-OpEx!Q11</f>
        <v>328211</v>
      </c>
      <c r="R54" s="139">
        <f>OpEx!R18-OpEx!R11</f>
        <v>342249</v>
      </c>
      <c r="S54" s="139">
        <f>OpEx!S18-OpEx!S11</f>
        <v>354992</v>
      </c>
      <c r="T54" s="139">
        <f>OpEx!T18-OpEx!T11</f>
        <v>369192</v>
      </c>
      <c r="U54" s="139">
        <f>OpEx!U18-OpEx!U11</f>
        <v>383961</v>
      </c>
      <c r="V54" s="139">
        <f>OpEx!V18-OpEx!V11</f>
        <v>400383</v>
      </c>
      <c r="W54" s="139">
        <f>OpEx!W18-OpEx!W11</f>
        <v>415292</v>
      </c>
      <c r="X54" s="139">
        <f>OpEx!X18-OpEx!X11</f>
        <v>431902</v>
      </c>
    </row>
    <row r="55" spans="2:24">
      <c r="B55" s="20" t="s">
        <v>234</v>
      </c>
      <c r="C55" s="20" t="s">
        <v>6</v>
      </c>
      <c r="I55" s="139">
        <f>I54*Предпоссылки!I32</f>
        <v>0</v>
      </c>
      <c r="J55" s="139">
        <f>J54*Предпоссылки!J32</f>
        <v>0</v>
      </c>
      <c r="K55" s="139">
        <f>K54*Предпоссылки!K32</f>
        <v>43878</v>
      </c>
      <c r="L55" s="139">
        <f>L54*Предпоссылки!L32</f>
        <v>53014.200000000004</v>
      </c>
      <c r="M55" s="139">
        <f>M54*Предпоссылки!M32</f>
        <v>56111.200000000004</v>
      </c>
      <c r="N55" s="139">
        <f>N54*Предпоссылки!N32</f>
        <v>58511.200000000004</v>
      </c>
      <c r="O55" s="139">
        <f>O54*Предпоссылки!O32</f>
        <v>60689.8</v>
      </c>
      <c r="P55" s="139">
        <f>P54*Предпоссылки!P32</f>
        <v>63117.4</v>
      </c>
      <c r="Q55" s="139">
        <f>Q54*Предпоссылки!Q32</f>
        <v>65642.2</v>
      </c>
      <c r="R55" s="139">
        <f>R54*Предпоссылки!R32</f>
        <v>68449.8</v>
      </c>
      <c r="S55" s="139">
        <f>S54*Предпоссылки!S32</f>
        <v>70998.400000000009</v>
      </c>
      <c r="T55" s="139">
        <f>T54*Предпоссылки!T32</f>
        <v>73838.400000000009</v>
      </c>
      <c r="U55" s="139">
        <f>U54*Предпоссылки!U32</f>
        <v>76792.2</v>
      </c>
      <c r="V55" s="139">
        <f>V54*Предпоссылки!V32</f>
        <v>80076.600000000006</v>
      </c>
      <c r="W55" s="139">
        <f>W54*Предпоссылки!W32</f>
        <v>83058.400000000009</v>
      </c>
      <c r="X55" s="139">
        <f>X54*Предпоссылки!X32</f>
        <v>86380.400000000009</v>
      </c>
    </row>
    <row r="57" spans="2:24">
      <c r="B57" s="20" t="s">
        <v>184</v>
      </c>
      <c r="C57" s="20" t="s">
        <v>6</v>
      </c>
      <c r="I57" s="139">
        <f>'SG&amp;A'!I13</f>
        <v>0</v>
      </c>
      <c r="J57" s="139">
        <f>'SG&amp;A'!J13</f>
        <v>0</v>
      </c>
      <c r="K57" s="139">
        <f>'SG&amp;A'!K13</f>
        <v>47714.200000000004</v>
      </c>
      <c r="L57" s="139">
        <f>'SG&amp;A'!L13</f>
        <v>59283.952000000005</v>
      </c>
      <c r="M57" s="139">
        <f>'SG&amp;A'!M13</f>
        <v>62670.816000000006</v>
      </c>
      <c r="N57" s="139">
        <f>'SG&amp;A'!N13</f>
        <v>65339.456000000006</v>
      </c>
      <c r="O57" s="139">
        <f>'SG&amp;A'!O13</f>
        <v>67784.704000000012</v>
      </c>
      <c r="P57" s="139">
        <f>'SG&amp;A'!P13</f>
        <v>70496.19200000001</v>
      </c>
      <c r="Q57" s="139">
        <f>'SG&amp;A'!Q13</f>
        <v>73316.047999999995</v>
      </c>
      <c r="R57" s="139">
        <f>'SG&amp;A'!R13</f>
        <v>76437.712</v>
      </c>
      <c r="S57" s="139">
        <f>'SG&amp;A'!S13</f>
        <v>79298.33600000001</v>
      </c>
      <c r="T57" s="139">
        <f>'SG&amp;A'!T13</f>
        <v>82470.544000000009</v>
      </c>
      <c r="U57" s="139">
        <f>'SG&amp;A'!U13</f>
        <v>85769.632000000012</v>
      </c>
      <c r="V57" s="139">
        <f>'SG&amp;A'!V13</f>
        <v>89421.488000000012</v>
      </c>
      <c r="W57" s="139">
        <f>'SG&amp;A'!W13</f>
        <v>92768.208000000013</v>
      </c>
      <c r="X57" s="139">
        <f>'SG&amp;A'!X13</f>
        <v>96478.512000000002</v>
      </c>
    </row>
    <row r="58" spans="2:24">
      <c r="B58" s="20" t="s">
        <v>235</v>
      </c>
      <c r="C58" s="20" t="s">
        <v>6</v>
      </c>
      <c r="I58" s="139">
        <f>I57*Предпоссылки!I32</f>
        <v>0</v>
      </c>
      <c r="J58" s="139">
        <f>J57*Предпоссылки!J32</f>
        <v>0</v>
      </c>
      <c r="K58" s="139">
        <f>K57*Предпоссылки!K32</f>
        <v>9542.840000000002</v>
      </c>
      <c r="L58" s="139">
        <f>L57*Предпоссылки!L32</f>
        <v>11856.790400000002</v>
      </c>
      <c r="M58" s="139">
        <f>M57*Предпоссылки!M32</f>
        <v>12534.163200000003</v>
      </c>
      <c r="N58" s="139">
        <f>N57*Предпоссылки!N32</f>
        <v>13067.891200000002</v>
      </c>
      <c r="O58" s="139">
        <f>O57*Предпоссылки!O32</f>
        <v>13556.940800000004</v>
      </c>
      <c r="P58" s="139">
        <f>P57*Предпоссылки!P32</f>
        <v>14099.238400000002</v>
      </c>
      <c r="Q58" s="139">
        <f>Q57*Предпоссылки!Q32</f>
        <v>14663.2096</v>
      </c>
      <c r="R58" s="139">
        <f>R57*Предпоссылки!R32</f>
        <v>15287.5424</v>
      </c>
      <c r="S58" s="139">
        <f>S57*Предпоссылки!S32</f>
        <v>15859.667200000004</v>
      </c>
      <c r="T58" s="139">
        <f>T57*Предпоссылки!T32</f>
        <v>16494.108800000002</v>
      </c>
      <c r="U58" s="139">
        <f>U57*Предпоссылки!U32</f>
        <v>17153.926400000004</v>
      </c>
      <c r="V58" s="139">
        <f>V57*Предпоссылки!V32</f>
        <v>17884.297600000002</v>
      </c>
      <c r="W58" s="139">
        <f>W57*Предпоссылки!W32</f>
        <v>18553.641600000003</v>
      </c>
      <c r="X58" s="139">
        <f>X57*Предпоссылки!X32</f>
        <v>19295.702400000002</v>
      </c>
    </row>
    <row r="59" spans="2:24">
      <c r="B59" s="18"/>
    </row>
    <row r="61" spans="2:24">
      <c r="B61" s="20" t="str">
        <f>Предпоссылки!B33</f>
        <v>Период оплаты НДС</v>
      </c>
      <c r="E61" s="139">
        <f>Предпоссылки!E33</f>
        <v>30</v>
      </c>
    </row>
    <row r="62" spans="2:24">
      <c r="B62" s="20" t="str">
        <f>Предпоссылки!B11</f>
        <v>Дней в периоде</v>
      </c>
      <c r="I62" s="139">
        <f>Предпоссылки!I11</f>
        <v>365</v>
      </c>
      <c r="J62" s="139">
        <f>Предпоссылки!J11</f>
        <v>366</v>
      </c>
      <c r="K62" s="139">
        <f>Предпоссылки!K11</f>
        <v>365</v>
      </c>
      <c r="L62" s="139">
        <f>Предпоссылки!L11</f>
        <v>365</v>
      </c>
      <c r="M62" s="139">
        <f>Предпоссылки!M11</f>
        <v>365</v>
      </c>
      <c r="N62" s="139">
        <f>Предпоссылки!N11</f>
        <v>366</v>
      </c>
      <c r="O62" s="139">
        <f>Предпоссылки!O11</f>
        <v>365</v>
      </c>
      <c r="P62" s="139">
        <f>Предпоссылки!P11</f>
        <v>365</v>
      </c>
      <c r="Q62" s="139">
        <f>Предпоссылки!Q11</f>
        <v>365</v>
      </c>
      <c r="R62" s="139">
        <f>Предпоссылки!R11</f>
        <v>366</v>
      </c>
      <c r="S62" s="139">
        <f>Предпоссылки!S11</f>
        <v>365</v>
      </c>
      <c r="T62" s="139">
        <f>Предпоссылки!T11</f>
        <v>365</v>
      </c>
      <c r="U62" s="139">
        <f>Предпоссылки!U11</f>
        <v>365</v>
      </c>
      <c r="V62" s="139">
        <f>Предпоссылки!V11</f>
        <v>366</v>
      </c>
      <c r="W62" s="139">
        <f>Предпоссылки!W11</f>
        <v>365</v>
      </c>
      <c r="X62" s="139">
        <f>Предпоссылки!X11</f>
        <v>365</v>
      </c>
    </row>
    <row r="64" spans="2:24" ht="15" thickBot="1">
      <c r="B64" s="133" t="s">
        <v>236</v>
      </c>
      <c r="C64" s="133" t="s">
        <v>6</v>
      </c>
      <c r="D64" s="133"/>
      <c r="E64" s="133"/>
      <c r="F64" s="133"/>
      <c r="G64" s="133"/>
      <c r="H64" s="133"/>
      <c r="I64" s="133"/>
      <c r="J64" s="133">
        <f>ROUND(I69,0)</f>
        <v>120000</v>
      </c>
      <c r="K64" s="133">
        <f t="shared" ref="K64:X64" si="27">ROUND(J69,0)</f>
        <v>400000</v>
      </c>
      <c r="L64" s="133">
        <f t="shared" si="27"/>
        <v>331742</v>
      </c>
      <c r="M64" s="133">
        <f t="shared" si="27"/>
        <v>254858</v>
      </c>
      <c r="N64" s="133">
        <f t="shared" si="27"/>
        <v>175433</v>
      </c>
      <c r="O64" s="133">
        <f t="shared" si="27"/>
        <v>92597</v>
      </c>
      <c r="P64" s="133">
        <f t="shared" si="27"/>
        <v>6691</v>
      </c>
      <c r="Q64" s="133">
        <f t="shared" si="27"/>
        <v>-6793</v>
      </c>
      <c r="R64" s="133">
        <f t="shared" si="27"/>
        <v>-8195</v>
      </c>
      <c r="S64" s="133">
        <f t="shared" si="27"/>
        <v>-8615</v>
      </c>
      <c r="T64" s="133">
        <f t="shared" si="27"/>
        <v>-8968</v>
      </c>
      <c r="U64" s="133">
        <f t="shared" si="27"/>
        <v>-9328</v>
      </c>
      <c r="V64" s="133">
        <f t="shared" si="27"/>
        <v>-9701</v>
      </c>
      <c r="W64" s="133">
        <f t="shared" si="27"/>
        <v>-10087</v>
      </c>
      <c r="X64" s="133">
        <f t="shared" si="27"/>
        <v>-10492</v>
      </c>
    </row>
    <row r="65" spans="1:24">
      <c r="B65" s="20" t="s">
        <v>237</v>
      </c>
      <c r="C65" s="20" t="s">
        <v>6</v>
      </c>
      <c r="I65" s="139">
        <f>I52</f>
        <v>0</v>
      </c>
      <c r="J65" s="139">
        <f t="shared" ref="J65:X65" si="28">J52</f>
        <v>0</v>
      </c>
      <c r="K65" s="139">
        <f t="shared" si="28"/>
        <v>121678.6</v>
      </c>
      <c r="L65" s="139">
        <f t="shared" si="28"/>
        <v>141755.4</v>
      </c>
      <c r="M65" s="139">
        <f t="shared" si="28"/>
        <v>148070</v>
      </c>
      <c r="N65" s="139">
        <f t="shared" si="28"/>
        <v>154414.6</v>
      </c>
      <c r="O65" s="139">
        <f t="shared" si="28"/>
        <v>160152.40000000002</v>
      </c>
      <c r="P65" s="139">
        <f t="shared" si="28"/>
        <v>166558.6</v>
      </c>
      <c r="Q65" s="139">
        <f t="shared" si="28"/>
        <v>173221</v>
      </c>
      <c r="R65" s="139">
        <f t="shared" si="28"/>
        <v>180643.40000000002</v>
      </c>
      <c r="S65" s="139">
        <f t="shared" si="28"/>
        <v>187355.80000000002</v>
      </c>
      <c r="T65" s="139">
        <f t="shared" si="28"/>
        <v>194850</v>
      </c>
      <c r="U65" s="139">
        <f t="shared" si="28"/>
        <v>202644</v>
      </c>
      <c r="V65" s="139">
        <f t="shared" si="28"/>
        <v>211327.2</v>
      </c>
      <c r="W65" s="139">
        <f t="shared" si="28"/>
        <v>219179.80000000002</v>
      </c>
      <c r="X65" s="139">
        <f t="shared" si="28"/>
        <v>227946.80000000002</v>
      </c>
    </row>
    <row r="66" spans="1:24">
      <c r="B66" s="20" t="s">
        <v>234</v>
      </c>
      <c r="C66" s="20" t="s">
        <v>6</v>
      </c>
      <c r="I66" s="139">
        <f>I55</f>
        <v>0</v>
      </c>
      <c r="J66" s="139">
        <f t="shared" ref="J66:X66" si="29">J55</f>
        <v>0</v>
      </c>
      <c r="K66" s="139">
        <f t="shared" si="29"/>
        <v>43878</v>
      </c>
      <c r="L66" s="139">
        <f t="shared" si="29"/>
        <v>53014.200000000004</v>
      </c>
      <c r="M66" s="139">
        <f t="shared" si="29"/>
        <v>56111.200000000004</v>
      </c>
      <c r="N66" s="139">
        <f t="shared" si="29"/>
        <v>58511.200000000004</v>
      </c>
      <c r="O66" s="139">
        <f t="shared" si="29"/>
        <v>60689.8</v>
      </c>
      <c r="P66" s="139">
        <f t="shared" si="29"/>
        <v>63117.4</v>
      </c>
      <c r="Q66" s="139">
        <f t="shared" si="29"/>
        <v>65642.2</v>
      </c>
      <c r="R66" s="139">
        <f t="shared" si="29"/>
        <v>68449.8</v>
      </c>
      <c r="S66" s="139">
        <f t="shared" si="29"/>
        <v>70998.400000000009</v>
      </c>
      <c r="T66" s="139">
        <f t="shared" si="29"/>
        <v>73838.400000000009</v>
      </c>
      <c r="U66" s="139">
        <f t="shared" si="29"/>
        <v>76792.2</v>
      </c>
      <c r="V66" s="139">
        <f t="shared" si="29"/>
        <v>80076.600000000006</v>
      </c>
      <c r="W66" s="139">
        <f t="shared" si="29"/>
        <v>83058.400000000009</v>
      </c>
      <c r="X66" s="139">
        <f t="shared" si="29"/>
        <v>86380.400000000009</v>
      </c>
    </row>
    <row r="67" spans="1:24">
      <c r="B67" s="20" t="s">
        <v>235</v>
      </c>
      <c r="C67" s="20" t="s">
        <v>6</v>
      </c>
      <c r="I67" s="139">
        <f>I58</f>
        <v>0</v>
      </c>
      <c r="J67" s="139">
        <f t="shared" ref="J67:X67" si="30">J58</f>
        <v>0</v>
      </c>
      <c r="K67" s="139">
        <f t="shared" si="30"/>
        <v>9542.840000000002</v>
      </c>
      <c r="L67" s="139">
        <f t="shared" si="30"/>
        <v>11856.790400000002</v>
      </c>
      <c r="M67" s="139">
        <f t="shared" si="30"/>
        <v>12534.163200000003</v>
      </c>
      <c r="N67" s="139">
        <f t="shared" si="30"/>
        <v>13067.891200000002</v>
      </c>
      <c r="O67" s="139">
        <f t="shared" si="30"/>
        <v>13556.940800000004</v>
      </c>
      <c r="P67" s="139">
        <f t="shared" si="30"/>
        <v>14099.238400000002</v>
      </c>
      <c r="Q67" s="139">
        <f t="shared" si="30"/>
        <v>14663.2096</v>
      </c>
      <c r="R67" s="139">
        <f t="shared" si="30"/>
        <v>15287.5424</v>
      </c>
      <c r="S67" s="139">
        <f t="shared" si="30"/>
        <v>15859.667200000004</v>
      </c>
      <c r="T67" s="139">
        <f t="shared" si="30"/>
        <v>16494.108800000002</v>
      </c>
      <c r="U67" s="139">
        <f t="shared" si="30"/>
        <v>17153.926400000004</v>
      </c>
      <c r="V67" s="139">
        <f t="shared" si="30"/>
        <v>17884.297600000002</v>
      </c>
      <c r="W67" s="139">
        <f t="shared" si="30"/>
        <v>18553.641600000003</v>
      </c>
      <c r="X67" s="139">
        <f t="shared" si="30"/>
        <v>19295.702400000002</v>
      </c>
    </row>
    <row r="68" spans="1:24">
      <c r="B68" s="20" t="s">
        <v>232</v>
      </c>
      <c r="C68" s="20" t="s">
        <v>6</v>
      </c>
      <c r="I68" s="139">
        <f t="shared" ref="I68:X68" si="31">I48</f>
        <v>120000</v>
      </c>
      <c r="J68" s="139">
        <f t="shared" si="31"/>
        <v>280000</v>
      </c>
      <c r="K68" s="139">
        <f t="shared" si="31"/>
        <v>0</v>
      </c>
      <c r="L68" s="139">
        <f t="shared" si="31"/>
        <v>0</v>
      </c>
      <c r="M68" s="139">
        <f t="shared" si="31"/>
        <v>0</v>
      </c>
      <c r="N68" s="139">
        <f t="shared" si="31"/>
        <v>0</v>
      </c>
      <c r="O68" s="139">
        <f t="shared" si="31"/>
        <v>0</v>
      </c>
      <c r="P68" s="139">
        <f t="shared" si="31"/>
        <v>0</v>
      </c>
      <c r="Q68" s="139">
        <f t="shared" si="31"/>
        <v>0</v>
      </c>
      <c r="R68" s="139">
        <f t="shared" si="31"/>
        <v>0</v>
      </c>
      <c r="S68" s="139">
        <f t="shared" si="31"/>
        <v>0</v>
      </c>
      <c r="T68" s="139">
        <f t="shared" si="31"/>
        <v>0</v>
      </c>
      <c r="U68" s="139">
        <f t="shared" si="31"/>
        <v>0</v>
      </c>
      <c r="V68" s="139">
        <f t="shared" si="31"/>
        <v>0</v>
      </c>
      <c r="W68" s="139">
        <f t="shared" si="31"/>
        <v>0</v>
      </c>
      <c r="X68" s="139">
        <f t="shared" si="31"/>
        <v>0</v>
      </c>
    </row>
    <row r="69" spans="1:24" ht="15" thickBot="1">
      <c r="B69" s="133" t="s">
        <v>238</v>
      </c>
      <c r="C69" s="133" t="s">
        <v>6</v>
      </c>
      <c r="D69" s="133"/>
      <c r="E69" s="133"/>
      <c r="F69" s="133"/>
      <c r="G69" s="133"/>
      <c r="H69" s="133"/>
      <c r="I69" s="133">
        <f t="shared" ref="I69:X69" si="32">IF((I64+I68+I67+I66-I65)&lt;0,ROUND(($E$61/I62*(I64+I68+I67+I66-I65)),0),ROUND((I64+I68+I67+I66-I65),0))</f>
        <v>120000</v>
      </c>
      <c r="J69" s="133">
        <f t="shared" si="32"/>
        <v>400000</v>
      </c>
      <c r="K69" s="133">
        <f t="shared" si="32"/>
        <v>331742</v>
      </c>
      <c r="L69" s="133">
        <f t="shared" si="32"/>
        <v>254858</v>
      </c>
      <c r="M69" s="133">
        <f t="shared" si="32"/>
        <v>175433</v>
      </c>
      <c r="N69" s="133">
        <f t="shared" si="32"/>
        <v>92597</v>
      </c>
      <c r="O69" s="133">
        <f t="shared" si="32"/>
        <v>6691</v>
      </c>
      <c r="P69" s="133">
        <f t="shared" si="32"/>
        <v>-6793</v>
      </c>
      <c r="Q69" s="133">
        <f t="shared" si="32"/>
        <v>-8195</v>
      </c>
      <c r="R69" s="133">
        <f t="shared" si="32"/>
        <v>-8615</v>
      </c>
      <c r="S69" s="133">
        <f t="shared" si="32"/>
        <v>-8968</v>
      </c>
      <c r="T69" s="133">
        <f t="shared" si="32"/>
        <v>-9328</v>
      </c>
      <c r="U69" s="133">
        <f t="shared" si="32"/>
        <v>-9701</v>
      </c>
      <c r="V69" s="133">
        <f t="shared" si="32"/>
        <v>-10087</v>
      </c>
      <c r="W69" s="133">
        <f t="shared" si="32"/>
        <v>-10492</v>
      </c>
      <c r="X69" s="133">
        <f t="shared" si="32"/>
        <v>-10912</v>
      </c>
    </row>
    <row r="73" spans="1:24">
      <c r="A73" s="172"/>
      <c r="B73" s="20" t="s">
        <v>257</v>
      </c>
      <c r="C73" s="20" t="s">
        <v>6</v>
      </c>
      <c r="I73" s="139">
        <f>I69-I64</f>
        <v>120000</v>
      </c>
      <c r="J73" s="139">
        <f t="shared" ref="J73:X73" si="33">J69-J64</f>
        <v>280000</v>
      </c>
      <c r="K73" s="139">
        <f t="shared" si="33"/>
        <v>-68258</v>
      </c>
      <c r="L73" s="139">
        <f t="shared" si="33"/>
        <v>-76884</v>
      </c>
      <c r="M73" s="139">
        <f t="shared" si="33"/>
        <v>-79425</v>
      </c>
      <c r="N73" s="139">
        <f t="shared" si="33"/>
        <v>-82836</v>
      </c>
      <c r="O73" s="139">
        <f t="shared" si="33"/>
        <v>-85906</v>
      </c>
      <c r="P73" s="139">
        <f t="shared" si="33"/>
        <v>-13484</v>
      </c>
      <c r="Q73" s="139">
        <f t="shared" si="33"/>
        <v>-1402</v>
      </c>
      <c r="R73" s="139">
        <f t="shared" si="33"/>
        <v>-420</v>
      </c>
      <c r="S73" s="139">
        <f t="shared" si="33"/>
        <v>-353</v>
      </c>
      <c r="T73" s="139">
        <f t="shared" si="33"/>
        <v>-360</v>
      </c>
      <c r="U73" s="139">
        <f t="shared" si="33"/>
        <v>-373</v>
      </c>
      <c r="V73" s="139">
        <f t="shared" si="33"/>
        <v>-386</v>
      </c>
      <c r="W73" s="139">
        <f t="shared" si="33"/>
        <v>-405</v>
      </c>
      <c r="X73" s="139">
        <f t="shared" si="33"/>
        <v>-420</v>
      </c>
    </row>
    <row r="75" spans="1:24">
      <c r="B75" s="20" t="s">
        <v>213</v>
      </c>
      <c r="C75" s="20" t="s">
        <v>6</v>
      </c>
      <c r="I75" s="139">
        <f>IF(I69&gt;0,I69,0)</f>
        <v>120000</v>
      </c>
      <c r="J75" s="139">
        <f t="shared" ref="J75:X75" si="34">IF(J69&gt;0,J69,0)</f>
        <v>400000</v>
      </c>
      <c r="K75" s="139">
        <f t="shared" si="34"/>
        <v>331742</v>
      </c>
      <c r="L75" s="139">
        <f t="shared" si="34"/>
        <v>254858</v>
      </c>
      <c r="M75" s="139">
        <f t="shared" si="34"/>
        <v>175433</v>
      </c>
      <c r="N75" s="139">
        <f t="shared" si="34"/>
        <v>92597</v>
      </c>
      <c r="O75" s="139">
        <f t="shared" si="34"/>
        <v>6691</v>
      </c>
      <c r="P75" s="139">
        <f t="shared" si="34"/>
        <v>0</v>
      </c>
      <c r="Q75" s="139">
        <f t="shared" si="34"/>
        <v>0</v>
      </c>
      <c r="R75" s="139">
        <f t="shared" si="34"/>
        <v>0</v>
      </c>
      <c r="S75" s="139">
        <f t="shared" si="34"/>
        <v>0</v>
      </c>
      <c r="T75" s="139">
        <f t="shared" si="34"/>
        <v>0</v>
      </c>
      <c r="U75" s="139">
        <f t="shared" si="34"/>
        <v>0</v>
      </c>
      <c r="V75" s="139">
        <f t="shared" si="34"/>
        <v>0</v>
      </c>
      <c r="W75" s="139">
        <f t="shared" si="34"/>
        <v>0</v>
      </c>
      <c r="X75" s="139">
        <f t="shared" si="34"/>
        <v>0</v>
      </c>
    </row>
    <row r="76" spans="1:24">
      <c r="B76" s="20" t="s">
        <v>174</v>
      </c>
      <c r="C76" s="20" t="s">
        <v>6</v>
      </c>
      <c r="I76" s="139">
        <f>IF(I69&lt;0,-I69,0)</f>
        <v>0</v>
      </c>
      <c r="J76" s="139">
        <f t="shared" ref="J76:X76" si="35">IF(J69&lt;0,-J69,0)</f>
        <v>0</v>
      </c>
      <c r="K76" s="139">
        <f t="shared" si="35"/>
        <v>0</v>
      </c>
      <c r="L76" s="139">
        <f t="shared" si="35"/>
        <v>0</v>
      </c>
      <c r="M76" s="139">
        <f t="shared" si="35"/>
        <v>0</v>
      </c>
      <c r="N76" s="139">
        <f t="shared" si="35"/>
        <v>0</v>
      </c>
      <c r="O76" s="139">
        <f t="shared" si="35"/>
        <v>0</v>
      </c>
      <c r="P76" s="139">
        <f t="shared" si="35"/>
        <v>6793</v>
      </c>
      <c r="Q76" s="139">
        <f t="shared" si="35"/>
        <v>8195</v>
      </c>
      <c r="R76" s="139">
        <f t="shared" si="35"/>
        <v>8615</v>
      </c>
      <c r="S76" s="139">
        <f t="shared" si="35"/>
        <v>8968</v>
      </c>
      <c r="T76" s="139">
        <f t="shared" si="35"/>
        <v>9328</v>
      </c>
      <c r="U76" s="139">
        <f t="shared" si="35"/>
        <v>9701</v>
      </c>
      <c r="V76" s="139">
        <f t="shared" si="35"/>
        <v>10087</v>
      </c>
      <c r="W76" s="139">
        <f t="shared" si="35"/>
        <v>10492</v>
      </c>
      <c r="X76" s="139">
        <f t="shared" si="35"/>
        <v>10912</v>
      </c>
    </row>
    <row r="78" spans="1:24" ht="15" thickBot="1"/>
    <row r="79" spans="1:24" ht="15" thickBot="1">
      <c r="A79" s="72" t="s">
        <v>202</v>
      </c>
      <c r="B79" s="138" t="s">
        <v>66</v>
      </c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4"/>
    </row>
    <row r="81" spans="2:24">
      <c r="B81" s="20" t="s">
        <v>203</v>
      </c>
      <c r="C81" s="20" t="s">
        <v>6</v>
      </c>
      <c r="I81" s="139">
        <f>PL!I14</f>
        <v>0</v>
      </c>
      <c r="J81" s="139">
        <f>PL!J14</f>
        <v>0</v>
      </c>
      <c r="K81" s="139">
        <f>PL!K14</f>
        <v>228712.33333333334</v>
      </c>
      <c r="L81" s="139">
        <f>PL!L14</f>
        <v>265659.88888888888</v>
      </c>
      <c r="M81" s="139">
        <f>PL!M14</f>
        <v>278660.59259259258</v>
      </c>
      <c r="N81" s="139">
        <f>PL!N14</f>
        <v>295899.17283950618</v>
      </c>
      <c r="O81" s="139">
        <f>PL!O14</f>
        <v>311315.30041152262</v>
      </c>
      <c r="P81" s="139">
        <f>PL!P14</f>
        <v>328444.59039780521</v>
      </c>
      <c r="Q81" s="139">
        <f>PL!Q14</f>
        <v>346143.60405121173</v>
      </c>
      <c r="R81" s="139">
        <f>PL!R14</f>
        <v>365803.850582838</v>
      </c>
      <c r="S81" s="139">
        <f>PL!S14</f>
        <v>383348.78889674338</v>
      </c>
      <c r="T81" s="139">
        <f>PL!T14</f>
        <v>402907.82926685194</v>
      </c>
      <c r="U81" s="139">
        <f>PL!U14</f>
        <v>423145.33495795686</v>
      </c>
      <c r="V81" s="139">
        <f>PL!V14</f>
        <v>445696.62379269162</v>
      </c>
      <c r="W81" s="139">
        <f>PL!W14</f>
        <v>465780.96966626856</v>
      </c>
      <c r="X81" s="139">
        <f>PL!X14</f>
        <v>488239.60401072633</v>
      </c>
    </row>
    <row r="82" spans="2:24">
      <c r="B82" s="20" t="s">
        <v>204</v>
      </c>
      <c r="C82" s="20" t="s">
        <v>6</v>
      </c>
      <c r="I82" s="139">
        <f>ROUND((I81*Предпоссылки!I35),0)</f>
        <v>0</v>
      </c>
      <c r="J82" s="139">
        <f>ROUND((J81*Предпоссылки!J35),0)</f>
        <v>0</v>
      </c>
      <c r="K82" s="139">
        <f>ROUND((K81*Предпоссылки!K35),0)</f>
        <v>45742</v>
      </c>
      <c r="L82" s="139">
        <f>ROUND((L81*Предпоссылки!L35),0)</f>
        <v>53132</v>
      </c>
      <c r="M82" s="139">
        <f>ROUND((M81*Предпоссылки!M35),0)</f>
        <v>55732</v>
      </c>
      <c r="N82" s="139">
        <f>ROUND((N81*Предпоссылки!N35),0)</f>
        <v>59180</v>
      </c>
      <c r="O82" s="139">
        <f>ROUND((O81*Предпоссылки!O35),0)</f>
        <v>62263</v>
      </c>
      <c r="P82" s="139">
        <f>ROUND((P81*Предпоссылки!P35),0)</f>
        <v>65689</v>
      </c>
      <c r="Q82" s="139">
        <f>ROUND((Q81*Предпоссылки!Q35),0)</f>
        <v>69229</v>
      </c>
      <c r="R82" s="139">
        <f>ROUND((R81*Предпоссылки!R35),0)</f>
        <v>73161</v>
      </c>
      <c r="S82" s="139">
        <f>ROUND((S81*Предпоссылки!S35),0)</f>
        <v>76670</v>
      </c>
      <c r="T82" s="139">
        <f>ROUND((T81*Предпоссылки!T35),0)</f>
        <v>80582</v>
      </c>
      <c r="U82" s="139">
        <f>ROUND((U81*Предпоссылки!U35),0)</f>
        <v>84629</v>
      </c>
      <c r="V82" s="139">
        <f>ROUND((V81*Предпоссылки!V35),0)</f>
        <v>89139</v>
      </c>
      <c r="W82" s="139">
        <f>ROUND((W81*Предпоссылки!W35),0)</f>
        <v>93156</v>
      </c>
      <c r="X82" s="139">
        <f>ROUND((X81*Предпоссылки!X35),0)</f>
        <v>97648</v>
      </c>
    </row>
    <row r="83" spans="2:24" ht="16">
      <c r="R83" s="1"/>
      <c r="S83" s="1"/>
    </row>
    <row r="84" spans="2:24" ht="16">
      <c r="R84" s="1"/>
      <c r="S84" s="1"/>
    </row>
    <row r="85" spans="2:24" ht="16">
      <c r="R85" s="1"/>
      <c r="S85" s="1"/>
    </row>
    <row r="86" spans="2:24" ht="16">
      <c r="R86" s="1"/>
      <c r="S86" s="1"/>
    </row>
    <row r="87" spans="2:24" ht="16">
      <c r="R87" s="1"/>
      <c r="S87" s="1"/>
    </row>
    <row r="88" spans="2:24" ht="16">
      <c r="R88" s="1"/>
      <c r="S88" s="1"/>
    </row>
    <row r="89" spans="2:24" ht="16">
      <c r="R89" s="1"/>
      <c r="S89" s="1"/>
    </row>
    <row r="90" spans="2:24" ht="16">
      <c r="R90" s="1"/>
      <c r="S90" s="1"/>
    </row>
    <row r="91" spans="2:24" ht="16">
      <c r="R91" s="1"/>
      <c r="S91" s="1"/>
    </row>
    <row r="92" spans="2:24" ht="16">
      <c r="R92" s="1"/>
      <c r="S92" s="1"/>
    </row>
    <row r="93" spans="2:24" ht="16">
      <c r="R93" s="1"/>
      <c r="S93" s="1"/>
    </row>
    <row r="94" spans="2:24" ht="16">
      <c r="R94" s="1"/>
      <c r="S94" s="1"/>
    </row>
    <row r="95" spans="2:24" ht="16">
      <c r="R95" s="1"/>
      <c r="S95" s="1"/>
    </row>
    <row r="96" spans="2:24" ht="16">
      <c r="R96" s="1"/>
      <c r="S96" s="1"/>
    </row>
    <row r="97" spans="18:19" ht="16">
      <c r="R97" s="1"/>
      <c r="S97" s="1"/>
    </row>
    <row r="98" spans="18:19" ht="16">
      <c r="R98" s="1"/>
      <c r="S98" s="1"/>
    </row>
    <row r="99" spans="18:19" ht="16">
      <c r="R99" s="1"/>
      <c r="S99" s="1"/>
    </row>
    <row r="100" spans="18:19" ht="16">
      <c r="R100" s="1"/>
      <c r="S100" s="1"/>
    </row>
    <row r="101" spans="18:19" ht="16">
      <c r="R101" s="1"/>
      <c r="S101" s="1"/>
    </row>
    <row r="102" spans="18:19" ht="16">
      <c r="R102" s="1"/>
      <c r="S102" s="1"/>
    </row>
    <row r="103" spans="18:19" ht="16">
      <c r="R103" s="1"/>
      <c r="S103" s="1"/>
    </row>
    <row r="104" spans="18:19" ht="16">
      <c r="R104" s="1"/>
      <c r="S104" s="1"/>
    </row>
    <row r="105" spans="18:19" ht="16">
      <c r="R105" s="1"/>
      <c r="S105" s="1"/>
    </row>
    <row r="106" spans="18:19" ht="16">
      <c r="R106" s="1"/>
      <c r="S106" s="1"/>
    </row>
    <row r="107" spans="18:19" ht="16">
      <c r="R107" s="1"/>
      <c r="S107" s="1"/>
    </row>
    <row r="108" spans="18:19" ht="16">
      <c r="R108" s="1"/>
      <c r="S108" s="1"/>
    </row>
    <row r="109" spans="18:19" ht="16">
      <c r="R109" s="1"/>
      <c r="S109" s="1"/>
    </row>
    <row r="110" spans="18:19" ht="16">
      <c r="R110" s="1"/>
      <c r="S110" s="1"/>
    </row>
    <row r="111" spans="18:19" ht="16">
      <c r="R111" s="1"/>
      <c r="S111" s="1"/>
    </row>
    <row r="112" spans="18:19" ht="16">
      <c r="R112" s="1"/>
      <c r="S112" s="1"/>
    </row>
    <row r="113" spans="18:19" ht="16">
      <c r="R113" s="1"/>
      <c r="S113" s="1"/>
    </row>
    <row r="114" spans="18:19" ht="16">
      <c r="R114" s="1"/>
      <c r="S114" s="1"/>
    </row>
    <row r="115" spans="18:19" ht="16">
      <c r="R115" s="1"/>
      <c r="S115" s="1"/>
    </row>
    <row r="116" spans="18:19" ht="16">
      <c r="R116" s="1"/>
      <c r="S116" s="1"/>
    </row>
    <row r="117" spans="18:19" ht="16">
      <c r="R117" s="1"/>
      <c r="S117" s="1"/>
    </row>
    <row r="118" spans="18:19" ht="16">
      <c r="R118" s="1"/>
      <c r="S118" s="1"/>
    </row>
    <row r="119" spans="18:19" ht="16">
      <c r="R119" s="1"/>
      <c r="S119" s="1"/>
    </row>
    <row r="120" spans="18:19" ht="16">
      <c r="R120" s="1"/>
      <c r="S120" s="1"/>
    </row>
    <row r="121" spans="18:19" ht="16">
      <c r="R121" s="1"/>
      <c r="S121" s="1"/>
    </row>
    <row r="122" spans="18:19" ht="16">
      <c r="R122" s="1"/>
      <c r="S122" s="1"/>
    </row>
    <row r="123" spans="18:19" ht="16">
      <c r="R123" s="1"/>
      <c r="S123" s="1"/>
    </row>
    <row r="124" spans="18:19" ht="16">
      <c r="R124" s="1"/>
      <c r="S124" s="1"/>
    </row>
    <row r="125" spans="18:19" ht="16">
      <c r="R125" s="1"/>
      <c r="S125" s="1"/>
    </row>
    <row r="126" spans="18:19" ht="16">
      <c r="R126" s="1"/>
      <c r="S126" s="1"/>
    </row>
    <row r="127" spans="18:19" ht="16">
      <c r="R127" s="1"/>
      <c r="S127" s="1"/>
    </row>
    <row r="128" spans="18:19" ht="16">
      <c r="R128" s="1"/>
      <c r="S128" s="1"/>
    </row>
    <row r="129" spans="18:19" ht="16">
      <c r="R129" s="1"/>
      <c r="S129" s="1"/>
    </row>
    <row r="130" spans="18:19" ht="16">
      <c r="R130" s="1"/>
      <c r="S130" s="1"/>
    </row>
    <row r="131" spans="18:19" ht="16">
      <c r="R131" s="1"/>
      <c r="S131" s="1"/>
    </row>
    <row r="132" spans="18:19" ht="16">
      <c r="R132" s="1"/>
      <c r="S132" s="1"/>
    </row>
    <row r="133" spans="18:19" ht="16">
      <c r="R133" s="1"/>
      <c r="S133" s="1"/>
    </row>
    <row r="134" spans="18:19" ht="16">
      <c r="R134" s="1"/>
      <c r="S134" s="1"/>
    </row>
    <row r="135" spans="18:19" ht="16">
      <c r="R135" s="1"/>
      <c r="S135" s="1"/>
    </row>
    <row r="136" spans="18:19" ht="16">
      <c r="R136" s="1"/>
      <c r="S136" s="1"/>
    </row>
    <row r="137" spans="18:19" ht="16">
      <c r="R137" s="1"/>
      <c r="S137" s="1"/>
    </row>
    <row r="138" spans="18:19" ht="16">
      <c r="R138" s="1"/>
      <c r="S138" s="1"/>
    </row>
    <row r="139" spans="18:19" ht="16">
      <c r="R139" s="1"/>
      <c r="S139" s="1"/>
    </row>
    <row r="140" spans="18:19" ht="16">
      <c r="R140" s="1"/>
      <c r="S140" s="1"/>
    </row>
    <row r="141" spans="18:19" ht="16">
      <c r="R141" s="1"/>
      <c r="S141" s="1"/>
    </row>
    <row r="142" spans="18:19" ht="16">
      <c r="R142" s="1"/>
      <c r="S142" s="1"/>
    </row>
    <row r="143" spans="18:19" ht="16">
      <c r="R143" s="1"/>
      <c r="S143" s="1"/>
    </row>
    <row r="144" spans="18:19" ht="16">
      <c r="R144" s="1"/>
      <c r="S144" s="1"/>
    </row>
    <row r="145" spans="18:19" ht="16">
      <c r="R145" s="1"/>
      <c r="S145" s="1"/>
    </row>
    <row r="146" spans="18:19" ht="16">
      <c r="R146" s="1"/>
      <c r="S146" s="1"/>
    </row>
    <row r="147" spans="18:19" ht="16">
      <c r="R147" s="1"/>
      <c r="S147" s="1"/>
    </row>
    <row r="148" spans="18:19" ht="16">
      <c r="R148" s="1"/>
      <c r="S148" s="1"/>
    </row>
    <row r="149" spans="18:19" ht="16">
      <c r="R149" s="1"/>
      <c r="S149" s="1"/>
    </row>
    <row r="150" spans="18:19" ht="16">
      <c r="R150" s="1"/>
      <c r="S150" s="1"/>
    </row>
    <row r="151" spans="18:19" ht="16">
      <c r="R151" s="1"/>
      <c r="S151" s="1"/>
    </row>
    <row r="152" spans="18:19" ht="16">
      <c r="R152" s="1"/>
      <c r="S152" s="1"/>
    </row>
    <row r="153" spans="18:19" ht="16">
      <c r="R153" s="1"/>
      <c r="S153" s="1"/>
    </row>
    <row r="154" spans="18:19" ht="16">
      <c r="R154" s="1"/>
      <c r="S154" s="1"/>
    </row>
    <row r="155" spans="18:19" ht="16">
      <c r="R155" s="1"/>
      <c r="S155" s="1"/>
    </row>
    <row r="156" spans="18:19" ht="16">
      <c r="R156" s="1"/>
      <c r="S156" s="1"/>
    </row>
    <row r="157" spans="18:19" ht="16">
      <c r="R157" s="1"/>
      <c r="S157" s="1"/>
    </row>
    <row r="158" spans="18:19" ht="16">
      <c r="R158" s="1"/>
      <c r="S158" s="1"/>
    </row>
    <row r="159" spans="18:19" ht="16">
      <c r="R159" s="1"/>
      <c r="S159" s="1"/>
    </row>
    <row r="160" spans="18:19" ht="16">
      <c r="R160" s="1"/>
      <c r="S160" s="1"/>
    </row>
    <row r="161" spans="18:19" ht="16">
      <c r="R161" s="1"/>
      <c r="S161" s="1"/>
    </row>
    <row r="162" spans="18:19" ht="16">
      <c r="R162" s="1"/>
      <c r="S162" s="1"/>
    </row>
    <row r="163" spans="18:19" ht="16">
      <c r="R163" s="1"/>
      <c r="S163" s="1"/>
    </row>
    <row r="164" spans="18:19" ht="16">
      <c r="R164" s="1"/>
      <c r="S164" s="1"/>
    </row>
    <row r="165" spans="18:19" ht="16">
      <c r="R165" s="1"/>
      <c r="S165" s="1"/>
    </row>
    <row r="166" spans="18:19" ht="16">
      <c r="R166" s="1"/>
      <c r="S166" s="1"/>
    </row>
    <row r="167" spans="18:19" ht="16">
      <c r="R167" s="1"/>
      <c r="S167" s="1"/>
    </row>
    <row r="168" spans="18:19" ht="16">
      <c r="R168" s="1"/>
      <c r="S168" s="1"/>
    </row>
    <row r="169" spans="18:19" ht="16">
      <c r="R169" s="1"/>
      <c r="S169" s="1"/>
    </row>
    <row r="170" spans="18:19" ht="16">
      <c r="R170" s="1"/>
      <c r="S170" s="1"/>
    </row>
    <row r="171" spans="18:19" ht="16">
      <c r="R171" s="1"/>
      <c r="S171" s="1"/>
    </row>
    <row r="172" spans="18:19" ht="16">
      <c r="R172" s="1"/>
      <c r="S172" s="1"/>
    </row>
    <row r="173" spans="18:19" ht="16">
      <c r="R173" s="1"/>
      <c r="S173" s="1"/>
    </row>
    <row r="174" spans="18:19" ht="16">
      <c r="R174" s="1"/>
      <c r="S174" s="1"/>
    </row>
    <row r="175" spans="18:19" ht="16">
      <c r="R175" s="1"/>
      <c r="S175" s="1"/>
    </row>
    <row r="176" spans="18:19" ht="16">
      <c r="R176" s="1"/>
      <c r="S176" s="1"/>
    </row>
    <row r="177" spans="18:19" ht="16">
      <c r="R177" s="1"/>
      <c r="S177" s="1"/>
    </row>
    <row r="178" spans="18:19" ht="16">
      <c r="R178" s="1"/>
      <c r="S17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E230-20E2-D848-8D27-D2912A991057}">
  <sheetPr>
    <tabColor theme="5"/>
  </sheetPr>
  <dimension ref="A1:X103"/>
  <sheetViews>
    <sheetView zoomScale="90" zoomScaleNormal="90" workbookViewId="0">
      <pane ySplit="1" topLeftCell="A2" activePane="bottomLeft" state="frozen"/>
      <selection activeCell="C1" sqref="C1"/>
      <selection pane="bottomLeft" activeCell="C31" sqref="C31"/>
    </sheetView>
  </sheetViews>
  <sheetFormatPr baseColWidth="10" defaultRowHeight="14"/>
  <cols>
    <col min="1" max="1" width="17" style="71" customWidth="1"/>
    <col min="2" max="2" width="46.83203125" style="20" customWidth="1"/>
    <col min="3" max="3" width="18.83203125" style="20" customWidth="1"/>
    <col min="4" max="4" width="21.5" style="20" customWidth="1"/>
    <col min="5" max="5" width="15" style="20" bestFit="1" customWidth="1"/>
    <col min="6" max="6" width="15" style="20" customWidth="1"/>
    <col min="7" max="7" width="16.6640625" style="20" customWidth="1"/>
    <col min="8" max="8" width="4.83203125" style="20" customWidth="1"/>
    <col min="9" max="16" width="15" style="20" bestFit="1" customWidth="1"/>
    <col min="17" max="16384" width="10.83203125" style="20"/>
  </cols>
  <sheetData>
    <row r="1" spans="1:24" ht="20" thickBot="1">
      <c r="A1" s="207" t="s">
        <v>192</v>
      </c>
      <c r="B1" s="14" t="s">
        <v>16</v>
      </c>
      <c r="C1" s="15" t="s">
        <v>17</v>
      </c>
      <c r="D1" s="16" t="s">
        <v>40</v>
      </c>
      <c r="E1" s="16" t="s">
        <v>29</v>
      </c>
      <c r="F1" s="16" t="s">
        <v>68</v>
      </c>
      <c r="G1" s="16" t="s">
        <v>34</v>
      </c>
      <c r="H1" s="98"/>
      <c r="I1" s="17">
        <f>Предпоссылки!I1</f>
        <v>2023</v>
      </c>
      <c r="J1" s="17">
        <f>Предпоссылки!J1</f>
        <v>2024</v>
      </c>
      <c r="K1" s="17">
        <f>Предпоссылки!K1</f>
        <v>2025</v>
      </c>
      <c r="L1" s="17">
        <f>Предпоссылки!L1</f>
        <v>2026</v>
      </c>
      <c r="M1" s="17">
        <f>Предпоссылки!M1</f>
        <v>2027</v>
      </c>
      <c r="N1" s="17">
        <f>Предпоссылки!N1</f>
        <v>2028</v>
      </c>
      <c r="O1" s="17">
        <f>Предпоссылки!O1</f>
        <v>2029</v>
      </c>
      <c r="P1" s="17">
        <f>Предпоссылки!P1</f>
        <v>2030</v>
      </c>
      <c r="Q1" s="17">
        <f>Предпоссылки!Q1</f>
        <v>2031</v>
      </c>
      <c r="R1" s="17">
        <f>Предпоссылки!R1</f>
        <v>2032</v>
      </c>
      <c r="S1" s="17">
        <f>Предпоссылки!S1</f>
        <v>2033</v>
      </c>
      <c r="T1" s="17">
        <f>Предпоссылки!T1</f>
        <v>2034</v>
      </c>
      <c r="U1" s="17">
        <f>Предпоссылки!U1</f>
        <v>2035</v>
      </c>
      <c r="V1" s="17">
        <f>Предпоссылки!V1</f>
        <v>2036</v>
      </c>
      <c r="W1" s="17">
        <f>Предпоссылки!W1</f>
        <v>2037</v>
      </c>
      <c r="X1" s="17">
        <f>Предпоссылки!X1</f>
        <v>2038</v>
      </c>
    </row>
    <row r="2" spans="1:24" ht="15" thickBot="1">
      <c r="A2" s="20" t="s">
        <v>80</v>
      </c>
      <c r="B2" s="22" t="s">
        <v>176</v>
      </c>
      <c r="C2" s="22" t="s">
        <v>175</v>
      </c>
      <c r="H2" s="47"/>
      <c r="I2" s="17">
        <v>0</v>
      </c>
      <c r="J2" s="17">
        <v>1</v>
      </c>
      <c r="K2" s="17">
        <v>2</v>
      </c>
      <c r="L2" s="17">
        <v>3</v>
      </c>
      <c r="M2" s="17">
        <v>4</v>
      </c>
      <c r="N2" s="17">
        <v>5</v>
      </c>
      <c r="O2" s="17">
        <v>6</v>
      </c>
      <c r="P2" s="17">
        <v>7</v>
      </c>
      <c r="Q2" s="17">
        <v>8</v>
      </c>
      <c r="R2" s="17">
        <v>9</v>
      </c>
      <c r="S2" s="17">
        <v>10</v>
      </c>
      <c r="T2" s="17">
        <v>11</v>
      </c>
      <c r="U2" s="17">
        <v>12</v>
      </c>
      <c r="V2" s="17">
        <v>13</v>
      </c>
      <c r="W2" s="17">
        <v>14</v>
      </c>
      <c r="X2" s="17">
        <v>15</v>
      </c>
    </row>
    <row r="3" spans="1:24" ht="15" thickBot="1"/>
    <row r="4" spans="1:24" ht="15" thickBot="1">
      <c r="A4" s="72" t="s">
        <v>138</v>
      </c>
      <c r="B4" s="89" t="s">
        <v>212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4"/>
      <c r="Q4" s="54"/>
      <c r="R4" s="54"/>
      <c r="S4" s="54"/>
      <c r="T4" s="54"/>
      <c r="U4" s="54"/>
      <c r="V4" s="54"/>
      <c r="W4" s="54"/>
      <c r="X4" s="54"/>
    </row>
    <row r="5" spans="1:24">
      <c r="B5" s="106" t="s">
        <v>179</v>
      </c>
    </row>
    <row r="6" spans="1:24">
      <c r="B6" s="168" t="s">
        <v>118</v>
      </c>
      <c r="C6" s="20" t="s">
        <v>6</v>
      </c>
      <c r="I6" s="139">
        <f>Предпоссылки!I121</f>
        <v>600000</v>
      </c>
      <c r="J6" s="139">
        <f>Предпоссылки!J121</f>
        <v>0</v>
      </c>
      <c r="K6" s="139">
        <f>Предпоссылки!K121</f>
        <v>0</v>
      </c>
      <c r="L6" s="139">
        <f>Предпоссылки!L121</f>
        <v>0</v>
      </c>
      <c r="M6" s="139">
        <f>Предпоссылки!M121</f>
        <v>0</v>
      </c>
      <c r="N6" s="139">
        <f>Предпоссылки!N121</f>
        <v>0</v>
      </c>
      <c r="O6" s="139">
        <f>Предпоссылки!O121</f>
        <v>0</v>
      </c>
      <c r="P6" s="139">
        <f>Предпоссылки!P121</f>
        <v>0</v>
      </c>
      <c r="Q6" s="139">
        <f>Предпоссылки!Q121</f>
        <v>0</v>
      </c>
      <c r="R6" s="139">
        <f>Предпоссылки!R121</f>
        <v>0</v>
      </c>
      <c r="S6" s="139">
        <f>Предпоссылки!S121</f>
        <v>0</v>
      </c>
      <c r="T6" s="139">
        <f>Предпоссылки!T121</f>
        <v>0</v>
      </c>
      <c r="U6" s="139">
        <f>Предпоссылки!U121</f>
        <v>0</v>
      </c>
      <c r="V6" s="139">
        <f>Предпоссылки!V121</f>
        <v>0</v>
      </c>
      <c r="W6" s="139">
        <f>Предпоссылки!W121</f>
        <v>0</v>
      </c>
      <c r="X6" s="139">
        <f>Предпоссылки!X121</f>
        <v>0</v>
      </c>
    </row>
    <row r="7" spans="1:24">
      <c r="B7" s="168" t="s">
        <v>210</v>
      </c>
      <c r="C7" s="20" t="s">
        <v>6</v>
      </c>
      <c r="I7" s="139">
        <f>IF(Предпоссылки!I112=1,ОС!$I$6,0)</f>
        <v>600000</v>
      </c>
      <c r="J7" s="139">
        <f>IF(Предпоссылки!J112=1,ОС!$I$6,0)</f>
        <v>600000</v>
      </c>
      <c r="K7" s="139">
        <f>IF(Предпоссылки!K112=1,ОС!$I$6,0)</f>
        <v>0</v>
      </c>
      <c r="L7" s="139">
        <f>IF(Предпоссылки!L112=1,ОС!$I$6,0)</f>
        <v>0</v>
      </c>
      <c r="M7" s="139">
        <f>IF(Предпоссылки!M112=1,ОС!$I$6,0)</f>
        <v>0</v>
      </c>
      <c r="N7" s="139">
        <f>IF(Предпоссылки!N112=1,ОС!$I$6,0)</f>
        <v>0</v>
      </c>
      <c r="O7" s="139">
        <f>IF(Предпоссылки!O112=1,ОС!$I$6,0)</f>
        <v>0</v>
      </c>
      <c r="P7" s="139">
        <f>IF(Предпоссылки!P112=1,ОС!$I$6,0)</f>
        <v>0</v>
      </c>
      <c r="Q7" s="139">
        <f>IF(Предпоссылки!Q112=1,ОС!$I$6,0)</f>
        <v>0</v>
      </c>
      <c r="R7" s="139">
        <f>IF(Предпоссылки!R112=1,ОС!$I$6,0)</f>
        <v>0</v>
      </c>
      <c r="S7" s="139">
        <f>IF(Предпоссылки!S112=1,ОС!$I$6,0)</f>
        <v>0</v>
      </c>
      <c r="T7" s="139">
        <f>IF(Предпоссылки!T112=1,ОС!$I$6,0)</f>
        <v>0</v>
      </c>
      <c r="U7" s="139">
        <f>IF(Предпоссылки!U112=1,ОС!$I$6,0)</f>
        <v>0</v>
      </c>
      <c r="V7" s="139">
        <f>IF(Предпоссылки!V112=1,ОС!$I$6,0)</f>
        <v>0</v>
      </c>
      <c r="W7" s="139">
        <f>IF(Предпоссылки!W112=1,ОС!$I$6,0)</f>
        <v>0</v>
      </c>
      <c r="X7" s="139">
        <f>IF(Предпоссылки!X112=1,ОС!$I$6,0)</f>
        <v>0</v>
      </c>
    </row>
    <row r="8" spans="1:24">
      <c r="B8" s="20" t="s">
        <v>180</v>
      </c>
      <c r="C8" s="20" t="s">
        <v>6</v>
      </c>
      <c r="I8" s="169">
        <f>IF(Предпоссылки!I113=1,ОС!$J$7,0)</f>
        <v>0</v>
      </c>
      <c r="J8" s="169">
        <f>IF(Предпоссылки!J113=1,ОС!$J$7,0)</f>
        <v>0</v>
      </c>
      <c r="K8" s="169">
        <f>IF(Предпоссылки!K113=1,ОС!$J$7,0)</f>
        <v>600000</v>
      </c>
      <c r="L8" s="169">
        <f>IF(Предпоссылки!L113=1,ОС!$J$7,0)</f>
        <v>600000</v>
      </c>
      <c r="M8" s="169">
        <f>IF(Предпоссылки!M113=1,ОС!$J$7,0)</f>
        <v>600000</v>
      </c>
      <c r="N8" s="169">
        <f>IF(Предпоссылки!N113=1,ОС!$J$7,0)</f>
        <v>600000</v>
      </c>
      <c r="O8" s="169">
        <f>IF(Предпоссылки!O113=1,ОС!$J$7,0)</f>
        <v>600000</v>
      </c>
      <c r="P8" s="169">
        <f>IF(Предпоссылки!P113=1,ОС!$J$7,0)</f>
        <v>600000</v>
      </c>
      <c r="Q8" s="169">
        <f>IF(Предпоссылки!Q113=1,ОС!$J$7,0)</f>
        <v>600000</v>
      </c>
      <c r="R8" s="169">
        <f>IF(Предпоссылки!R113=1,ОС!$J$7,0)</f>
        <v>600000</v>
      </c>
      <c r="S8" s="169">
        <f>IF(Предпоссылки!S113=1,ОС!$J$7,0)</f>
        <v>600000</v>
      </c>
      <c r="T8" s="169">
        <f>IF(Предпоссылки!T113=1,ОС!$J$7,0)</f>
        <v>600000</v>
      </c>
      <c r="U8" s="169">
        <f>IF(Предпоссылки!U113=1,ОС!$J$7,0)</f>
        <v>600000</v>
      </c>
      <c r="V8" s="169">
        <f>IF(Предпоссылки!V113=1,ОС!$J$7,0)</f>
        <v>600000</v>
      </c>
      <c r="W8" s="169">
        <f>IF(Предпоссылки!W113=1,ОС!$J$7,0)</f>
        <v>600000</v>
      </c>
      <c r="X8" s="169">
        <f>IF(Предпоссылки!X113=1,ОС!$J$7,0)</f>
        <v>600000</v>
      </c>
    </row>
    <row r="9" spans="1:24">
      <c r="B9" s="20" t="s">
        <v>178</v>
      </c>
      <c r="C9" s="20" t="s">
        <v>6</v>
      </c>
      <c r="I9" s="139">
        <f>I8/Предпоссылки!$E$118</f>
        <v>0</v>
      </c>
      <c r="J9" s="139">
        <f>J8/Предпоссылки!$E$118</f>
        <v>0</v>
      </c>
      <c r="K9" s="139">
        <f>K8/Предпоссылки!$E$118</f>
        <v>20000</v>
      </c>
      <c r="L9" s="139">
        <f>L8/Предпоссылки!$E$118</f>
        <v>20000</v>
      </c>
      <c r="M9" s="139">
        <f>M8/Предпоссылки!$E$118</f>
        <v>20000</v>
      </c>
      <c r="N9" s="139">
        <f>N8/Предпоссылки!$E$118</f>
        <v>20000</v>
      </c>
      <c r="O9" s="139">
        <f>O8/Предпоссылки!$E$118</f>
        <v>20000</v>
      </c>
      <c r="P9" s="139">
        <f>P8/Предпоссылки!$E$118</f>
        <v>20000</v>
      </c>
      <c r="Q9" s="139">
        <f>Q8/Предпоссылки!$E$118</f>
        <v>20000</v>
      </c>
      <c r="R9" s="139">
        <f>R8/Предпоссылки!$E$118</f>
        <v>20000</v>
      </c>
      <c r="S9" s="139">
        <f>S8/Предпоссылки!$E$118</f>
        <v>20000</v>
      </c>
      <c r="T9" s="139">
        <f>T8/Предпоссылки!$E$118</f>
        <v>20000</v>
      </c>
      <c r="U9" s="139">
        <f>U8/Предпоссылки!$E$118</f>
        <v>20000</v>
      </c>
      <c r="V9" s="139">
        <f>V8/Предпоссылки!$E$118</f>
        <v>20000</v>
      </c>
      <c r="W9" s="139">
        <f>W8/Предпоссылки!$E$118</f>
        <v>20000</v>
      </c>
      <c r="X9" s="139">
        <f>X8/Предпоссылки!$E$118</f>
        <v>20000</v>
      </c>
    </row>
    <row r="10" spans="1:24">
      <c r="B10" s="20" t="s">
        <v>181</v>
      </c>
      <c r="C10" s="20" t="s">
        <v>6</v>
      </c>
      <c r="I10" s="139">
        <f>I9</f>
        <v>0</v>
      </c>
      <c r="J10" s="139">
        <f>I10+J9</f>
        <v>0</v>
      </c>
      <c r="K10" s="139">
        <f t="shared" ref="K10:P10" si="0">J10+K9</f>
        <v>20000</v>
      </c>
      <c r="L10" s="139">
        <f t="shared" si="0"/>
        <v>40000</v>
      </c>
      <c r="M10" s="139">
        <f t="shared" si="0"/>
        <v>60000</v>
      </c>
      <c r="N10" s="139">
        <f t="shared" si="0"/>
        <v>80000</v>
      </c>
      <c r="O10" s="139">
        <f t="shared" si="0"/>
        <v>100000</v>
      </c>
      <c r="P10" s="139">
        <f t="shared" si="0"/>
        <v>120000</v>
      </c>
      <c r="Q10" s="139">
        <f t="shared" ref="Q10" si="1">P10+Q9</f>
        <v>140000</v>
      </c>
      <c r="R10" s="139">
        <f t="shared" ref="R10" si="2">Q10+R9</f>
        <v>160000</v>
      </c>
      <c r="S10" s="139">
        <f t="shared" ref="S10" si="3">R10+S9</f>
        <v>180000</v>
      </c>
      <c r="T10" s="139">
        <f t="shared" ref="T10" si="4">S10+T9</f>
        <v>200000</v>
      </c>
      <c r="U10" s="139">
        <f t="shared" ref="U10" si="5">T10+U9</f>
        <v>220000</v>
      </c>
      <c r="V10" s="139">
        <f t="shared" ref="V10" si="6">U10+V9</f>
        <v>240000</v>
      </c>
      <c r="W10" s="139">
        <f t="shared" ref="W10" si="7">V10+W9</f>
        <v>260000</v>
      </c>
      <c r="X10" s="139">
        <f t="shared" ref="X10" si="8">W10+X9</f>
        <v>280000</v>
      </c>
    </row>
    <row r="11" spans="1:24">
      <c r="B11" s="20" t="s">
        <v>177</v>
      </c>
      <c r="C11" s="20" t="s">
        <v>6</v>
      </c>
      <c r="I11" s="139">
        <f>I8-I9</f>
        <v>0</v>
      </c>
      <c r="J11" s="139">
        <f t="shared" ref="J11:K11" si="9">J8-J9</f>
        <v>0</v>
      </c>
      <c r="K11" s="139">
        <f t="shared" si="9"/>
        <v>580000</v>
      </c>
      <c r="L11" s="139">
        <f>K11-L9</f>
        <v>560000</v>
      </c>
      <c r="M11" s="139">
        <f t="shared" ref="M11:X11" si="10">L11-M9</f>
        <v>540000</v>
      </c>
      <c r="N11" s="139">
        <f t="shared" si="10"/>
        <v>520000</v>
      </c>
      <c r="O11" s="139">
        <f t="shared" si="10"/>
        <v>500000</v>
      </c>
      <c r="P11" s="139">
        <f t="shared" si="10"/>
        <v>480000</v>
      </c>
      <c r="Q11" s="139">
        <f t="shared" si="10"/>
        <v>460000</v>
      </c>
      <c r="R11" s="139">
        <f t="shared" si="10"/>
        <v>440000</v>
      </c>
      <c r="S11" s="139">
        <f t="shared" si="10"/>
        <v>420000</v>
      </c>
      <c r="T11" s="139">
        <f t="shared" si="10"/>
        <v>400000</v>
      </c>
      <c r="U11" s="139">
        <f t="shared" si="10"/>
        <v>380000</v>
      </c>
      <c r="V11" s="139">
        <f t="shared" si="10"/>
        <v>360000</v>
      </c>
      <c r="W11" s="139">
        <f t="shared" si="10"/>
        <v>340000</v>
      </c>
      <c r="X11" s="139">
        <f t="shared" si="10"/>
        <v>320000</v>
      </c>
    </row>
    <row r="13" spans="1:24">
      <c r="B13" s="106" t="s">
        <v>126</v>
      </c>
    </row>
    <row r="14" spans="1:24">
      <c r="B14" s="168" t="s">
        <v>118</v>
      </c>
      <c r="C14" s="20" t="s">
        <v>6</v>
      </c>
      <c r="I14" s="139">
        <f>Предпоссылки!I122</f>
        <v>0</v>
      </c>
      <c r="J14" s="139">
        <f>Предпоссылки!J122</f>
        <v>1400000</v>
      </c>
      <c r="K14" s="139">
        <f>Предпоссылки!K122</f>
        <v>0</v>
      </c>
      <c r="L14" s="139">
        <f>Предпоссылки!L122</f>
        <v>0</v>
      </c>
      <c r="M14" s="139">
        <f>Предпоссылки!M122</f>
        <v>0</v>
      </c>
      <c r="N14" s="139">
        <f>Предпоссылки!N122</f>
        <v>0</v>
      </c>
      <c r="O14" s="139">
        <f>Предпоссылки!O122</f>
        <v>0</v>
      </c>
      <c r="P14" s="139">
        <f>Предпоссылки!P122</f>
        <v>0</v>
      </c>
      <c r="Q14" s="139">
        <f>Предпоссылки!Q122</f>
        <v>0</v>
      </c>
      <c r="R14" s="139">
        <f>Предпоссылки!R122</f>
        <v>0</v>
      </c>
      <c r="S14" s="139">
        <f>Предпоссылки!S122</f>
        <v>0</v>
      </c>
      <c r="T14" s="139">
        <f>Предпоссылки!T122</f>
        <v>0</v>
      </c>
      <c r="U14" s="139">
        <f>Предпоссылки!U122</f>
        <v>0</v>
      </c>
      <c r="V14" s="139">
        <f>Предпоссылки!V122</f>
        <v>0</v>
      </c>
      <c r="W14" s="139">
        <f>Предпоссылки!W122</f>
        <v>0</v>
      </c>
      <c r="X14" s="139">
        <f>Предпоссылки!X122</f>
        <v>0</v>
      </c>
    </row>
    <row r="15" spans="1:24">
      <c r="B15" s="168" t="s">
        <v>210</v>
      </c>
      <c r="C15" s="20" t="s">
        <v>6</v>
      </c>
      <c r="I15" s="139"/>
      <c r="J15" s="139">
        <f>IF(Предпоссылки!I112=1,ОС!$J$14,0)</f>
        <v>1400000</v>
      </c>
      <c r="K15" s="139">
        <f>IF(Предпоссылки!K112=1,ОС!$J$14,0)</f>
        <v>0</v>
      </c>
      <c r="L15" s="139">
        <f>IF(Предпоссылки!K112=1,ОС!$J$14,0)</f>
        <v>0</v>
      </c>
      <c r="M15" s="139">
        <f>IF(Предпоссылки!L112=1,ОС!$J$14,0)</f>
        <v>0</v>
      </c>
      <c r="N15" s="139">
        <f>IF(Предпоссылки!M112=1,ОС!$J$14,0)</f>
        <v>0</v>
      </c>
      <c r="O15" s="139">
        <f>IF(Предпоссылки!N112=1,ОС!$J$14,0)</f>
        <v>0</v>
      </c>
      <c r="P15" s="139">
        <f>IF(Предпоссылки!O112=1,ОС!$J$14,0)</f>
        <v>0</v>
      </c>
      <c r="Q15" s="139">
        <f>IF(Предпоссылки!P112=1,ОС!$J$14,0)</f>
        <v>0</v>
      </c>
      <c r="R15" s="139">
        <f>IF(Предпоссылки!Q112=1,ОС!$J$14,0)</f>
        <v>0</v>
      </c>
      <c r="S15" s="139">
        <f>IF(Предпоссылки!R112=1,ОС!$J$14,0)</f>
        <v>0</v>
      </c>
      <c r="T15" s="139">
        <f>IF(Предпоссылки!S112=1,ОС!$J$14,0)</f>
        <v>0</v>
      </c>
      <c r="U15" s="139">
        <f>IF(Предпоссылки!T112=1,ОС!$J$14,0)</f>
        <v>0</v>
      </c>
      <c r="V15" s="139">
        <f>IF(Предпоссылки!U112=1,ОС!$J$14,0)</f>
        <v>0</v>
      </c>
      <c r="W15" s="139">
        <f>IF(Предпоссылки!V112=1,ОС!$J$14,0)</f>
        <v>0</v>
      </c>
      <c r="X15" s="139">
        <f>IF(Предпоссылки!W112=1,ОС!$J$14,0)</f>
        <v>0</v>
      </c>
    </row>
    <row r="16" spans="1:24">
      <c r="B16" s="20" t="s">
        <v>180</v>
      </c>
      <c r="C16" s="20" t="s">
        <v>6</v>
      </c>
      <c r="I16" s="139">
        <f>IF(I$2=Предпоссылки!$D$111,ОС!#REF!,0)</f>
        <v>0</v>
      </c>
      <c r="J16" s="139">
        <f>IF(Предпоссылки!J113=1,ОС!$J$15,0)</f>
        <v>0</v>
      </c>
      <c r="K16" s="139">
        <f>IF(Предпоссылки!K113=1,ОС!$J$15,0)</f>
        <v>1400000</v>
      </c>
      <c r="L16" s="139">
        <f>IF(Предпоссылки!L113=1,ОС!$J$15,0)</f>
        <v>1400000</v>
      </c>
      <c r="M16" s="139">
        <f>IF(Предпоссылки!M113=1,ОС!$J$15,0)</f>
        <v>1400000</v>
      </c>
      <c r="N16" s="139">
        <f>IF(Предпоссылки!N113=1,ОС!$J$15,0)</f>
        <v>1400000</v>
      </c>
      <c r="O16" s="139">
        <f>IF(Предпоссылки!O113=1,ОС!$J$15,0)</f>
        <v>1400000</v>
      </c>
      <c r="P16" s="139">
        <f>IF(Предпоссылки!P113=1,ОС!$J$15,0)</f>
        <v>1400000</v>
      </c>
      <c r="Q16" s="139">
        <f>IF(Предпоссылки!Q113=1,ОС!$J$15,0)</f>
        <v>1400000</v>
      </c>
      <c r="R16" s="139">
        <f>IF(Предпоссылки!R113=1,ОС!$J$15,0)</f>
        <v>1400000</v>
      </c>
      <c r="S16" s="139">
        <f>IF(Предпоссылки!S113=1,ОС!$J$15,0)</f>
        <v>1400000</v>
      </c>
      <c r="T16" s="139">
        <f>IF(Предпоссылки!T113=1,ОС!$J$15,0)</f>
        <v>1400000</v>
      </c>
      <c r="U16" s="139">
        <f>IF(Предпоссылки!U113=1,ОС!$J$15,0)</f>
        <v>1400000</v>
      </c>
      <c r="V16" s="139">
        <f>IF(Предпоссылки!V113=1,ОС!$J$15,0)</f>
        <v>1400000</v>
      </c>
      <c r="W16" s="139">
        <f>IF(Предпоссылки!W113=1,ОС!$J$15,0)</f>
        <v>1400000</v>
      </c>
      <c r="X16" s="139">
        <f>IF(Предпоссылки!X113=1,ОС!$J$15,0)</f>
        <v>1400000</v>
      </c>
    </row>
    <row r="17" spans="2:24">
      <c r="B17" s="20" t="s">
        <v>178</v>
      </c>
      <c r="C17" s="20" t="s">
        <v>6</v>
      </c>
      <c r="I17" s="139"/>
      <c r="J17" s="139"/>
      <c r="K17" s="139">
        <f>K16/Предпоссылки!$E$118</f>
        <v>46666.666666666664</v>
      </c>
      <c r="L17" s="139">
        <f>K19/Предпоссылки!$E$118</f>
        <v>45111.111111111109</v>
      </c>
      <c r="M17" s="139">
        <f>L19/Предпоссылки!$E$118</f>
        <v>43607.407407407409</v>
      </c>
      <c r="N17" s="139">
        <f>M19/Предпоссылки!$E$118</f>
        <v>42153.827160493827</v>
      </c>
      <c r="O17" s="139">
        <f>N19/Предпоссылки!$E$118</f>
        <v>40748.699588477364</v>
      </c>
      <c r="P17" s="139">
        <f>O19/Предпоссылки!$E$118</f>
        <v>39390.409602194784</v>
      </c>
      <c r="Q17" s="139">
        <f>P19/Предпоссылки!$E$118</f>
        <v>38077.395948788289</v>
      </c>
      <c r="R17" s="139">
        <f>Q19/Предпоссылки!$E$118</f>
        <v>36808.149417162014</v>
      </c>
      <c r="S17" s="139">
        <f>R19/Предпоссылки!$E$118</f>
        <v>35581.21110325661</v>
      </c>
      <c r="T17" s="139">
        <f>S19/Предпоссылки!$E$118</f>
        <v>34395.170733148065</v>
      </c>
      <c r="U17" s="139">
        <f>T19/Предпоссылки!$E$118</f>
        <v>33248.665042043125</v>
      </c>
      <c r="V17" s="139">
        <f>U19/Предпоссылки!$E$118</f>
        <v>32140.376207308356</v>
      </c>
      <c r="W17" s="139">
        <f>V19/Предпоссылки!$E$118</f>
        <v>31069.030333731407</v>
      </c>
      <c r="X17" s="139">
        <f>W19/Предпоссылки!$E$118</f>
        <v>30033.395989273693</v>
      </c>
    </row>
    <row r="18" spans="2:24">
      <c r="B18" s="20" t="s">
        <v>181</v>
      </c>
      <c r="C18" s="20" t="s">
        <v>6</v>
      </c>
      <c r="I18" s="139">
        <f>I17</f>
        <v>0</v>
      </c>
      <c r="J18" s="139">
        <f>I18+J17</f>
        <v>0</v>
      </c>
      <c r="K18" s="139">
        <f t="shared" ref="K18" si="11">J18+K17</f>
        <v>46666.666666666664</v>
      </c>
      <c r="L18" s="139">
        <f t="shared" ref="L18" si="12">K18+L17</f>
        <v>91777.777777777781</v>
      </c>
      <c r="M18" s="139">
        <f t="shared" ref="M18" si="13">L18+M17</f>
        <v>135385.1851851852</v>
      </c>
      <c r="N18" s="139">
        <f t="shared" ref="N18" si="14">M18+N17</f>
        <v>177539.01234567902</v>
      </c>
      <c r="O18" s="139">
        <f t="shared" ref="O18" si="15">N18+O17</f>
        <v>218287.71193415637</v>
      </c>
      <c r="P18" s="139">
        <f t="shared" ref="P18" si="16">O18+P17</f>
        <v>257678.12153635116</v>
      </c>
      <c r="Q18" s="139">
        <f t="shared" ref="Q18" si="17">P18+Q17</f>
        <v>295755.51748513943</v>
      </c>
      <c r="R18" s="139">
        <f t="shared" ref="R18" si="18">Q18+R17</f>
        <v>332563.66690230143</v>
      </c>
      <c r="S18" s="139">
        <f t="shared" ref="S18" si="19">R18+S17</f>
        <v>368144.87800555804</v>
      </c>
      <c r="T18" s="139">
        <f t="shared" ref="T18" si="20">S18+T17</f>
        <v>402540.0487387061</v>
      </c>
      <c r="U18" s="139">
        <f t="shared" ref="U18" si="21">T18+U17</f>
        <v>435788.71378074924</v>
      </c>
      <c r="V18" s="139">
        <f t="shared" ref="V18" si="22">U18+V17</f>
        <v>467929.08998805762</v>
      </c>
      <c r="W18" s="139">
        <f t="shared" ref="W18" si="23">V18+W17</f>
        <v>498998.120321789</v>
      </c>
      <c r="X18" s="139">
        <f t="shared" ref="X18" si="24">W18+X17</f>
        <v>529031.51631106273</v>
      </c>
    </row>
    <row r="19" spans="2:24">
      <c r="B19" s="20" t="s">
        <v>177</v>
      </c>
      <c r="C19" s="20" t="s">
        <v>6</v>
      </c>
      <c r="I19" s="139"/>
      <c r="J19" s="139"/>
      <c r="K19" s="139">
        <f>K16-K17</f>
        <v>1353333.3333333333</v>
      </c>
      <c r="L19" s="139">
        <f>K19-L17</f>
        <v>1308222.2222222222</v>
      </c>
      <c r="M19" s="139">
        <f t="shared" ref="M19:P19" si="25">L19-M17</f>
        <v>1264614.8148148148</v>
      </c>
      <c r="N19" s="139">
        <f t="shared" si="25"/>
        <v>1222460.9876543209</v>
      </c>
      <c r="O19" s="139">
        <f t="shared" si="25"/>
        <v>1181712.2880658435</v>
      </c>
      <c r="P19" s="139">
        <f t="shared" si="25"/>
        <v>1142321.8784636487</v>
      </c>
      <c r="Q19" s="139">
        <f t="shared" ref="Q19:X19" si="26">P19-Q17</f>
        <v>1104244.4825148603</v>
      </c>
      <c r="R19" s="139">
        <f t="shared" si="26"/>
        <v>1067436.3330976984</v>
      </c>
      <c r="S19" s="139">
        <f t="shared" si="26"/>
        <v>1031855.1219944418</v>
      </c>
      <c r="T19" s="139">
        <f t="shared" si="26"/>
        <v>997459.95126129373</v>
      </c>
      <c r="U19" s="139">
        <f t="shared" si="26"/>
        <v>964211.28621925064</v>
      </c>
      <c r="V19" s="139">
        <f t="shared" si="26"/>
        <v>932070.91001194227</v>
      </c>
      <c r="W19" s="139">
        <f t="shared" si="26"/>
        <v>901001.87967821083</v>
      </c>
      <c r="X19" s="139">
        <f t="shared" si="26"/>
        <v>870968.48368893715</v>
      </c>
    </row>
    <row r="21" spans="2:24" ht="15" thickBot="1">
      <c r="B21" s="133" t="s">
        <v>118</v>
      </c>
      <c r="C21" s="133" t="s">
        <v>6</v>
      </c>
      <c r="D21" s="133"/>
      <c r="E21" s="133"/>
      <c r="F21" s="133"/>
      <c r="G21" s="133"/>
      <c r="H21" s="133"/>
      <c r="I21" s="133">
        <f t="shared" ref="I21:X21" si="27">I6+I14</f>
        <v>600000</v>
      </c>
      <c r="J21" s="133">
        <f t="shared" si="27"/>
        <v>1400000</v>
      </c>
      <c r="K21" s="133">
        <f t="shared" si="27"/>
        <v>0</v>
      </c>
      <c r="L21" s="133">
        <f t="shared" si="27"/>
        <v>0</v>
      </c>
      <c r="M21" s="133">
        <f t="shared" si="27"/>
        <v>0</v>
      </c>
      <c r="N21" s="133">
        <f t="shared" si="27"/>
        <v>0</v>
      </c>
      <c r="O21" s="133">
        <f t="shared" si="27"/>
        <v>0</v>
      </c>
      <c r="P21" s="133">
        <f t="shared" si="27"/>
        <v>0</v>
      </c>
      <c r="Q21" s="133">
        <f t="shared" si="27"/>
        <v>0</v>
      </c>
      <c r="R21" s="133">
        <f t="shared" si="27"/>
        <v>0</v>
      </c>
      <c r="S21" s="133">
        <f t="shared" si="27"/>
        <v>0</v>
      </c>
      <c r="T21" s="133">
        <f t="shared" si="27"/>
        <v>0</v>
      </c>
      <c r="U21" s="133">
        <f t="shared" si="27"/>
        <v>0</v>
      </c>
      <c r="V21" s="133">
        <f t="shared" si="27"/>
        <v>0</v>
      </c>
      <c r="W21" s="133">
        <f t="shared" si="27"/>
        <v>0</v>
      </c>
      <c r="X21" s="133">
        <f t="shared" si="27"/>
        <v>0</v>
      </c>
    </row>
    <row r="22" spans="2:24" ht="15" thickBot="1">
      <c r="B22" s="133" t="s">
        <v>256</v>
      </c>
      <c r="C22" s="133" t="s">
        <v>6</v>
      </c>
      <c r="D22" s="133"/>
      <c r="E22" s="133"/>
      <c r="F22" s="133"/>
      <c r="G22" s="133"/>
      <c r="H22" s="133"/>
      <c r="I22" s="133">
        <f t="shared" ref="I22:X22" si="28">I7+I15</f>
        <v>600000</v>
      </c>
      <c r="J22" s="133">
        <f t="shared" si="28"/>
        <v>2000000</v>
      </c>
      <c r="K22" s="133">
        <f t="shared" si="28"/>
        <v>0</v>
      </c>
      <c r="L22" s="133">
        <f t="shared" si="28"/>
        <v>0</v>
      </c>
      <c r="M22" s="133">
        <f t="shared" si="28"/>
        <v>0</v>
      </c>
      <c r="N22" s="133">
        <f t="shared" si="28"/>
        <v>0</v>
      </c>
      <c r="O22" s="133">
        <f t="shared" si="28"/>
        <v>0</v>
      </c>
      <c r="P22" s="133">
        <f t="shared" si="28"/>
        <v>0</v>
      </c>
      <c r="Q22" s="133">
        <f t="shared" si="28"/>
        <v>0</v>
      </c>
      <c r="R22" s="133">
        <f t="shared" si="28"/>
        <v>0</v>
      </c>
      <c r="S22" s="133">
        <f t="shared" si="28"/>
        <v>0</v>
      </c>
      <c r="T22" s="133">
        <f t="shared" si="28"/>
        <v>0</v>
      </c>
      <c r="U22" s="133">
        <f t="shared" si="28"/>
        <v>0</v>
      </c>
      <c r="V22" s="133">
        <f t="shared" si="28"/>
        <v>0</v>
      </c>
      <c r="W22" s="133">
        <f t="shared" si="28"/>
        <v>0</v>
      </c>
      <c r="X22" s="133">
        <f t="shared" si="28"/>
        <v>0</v>
      </c>
    </row>
    <row r="23" spans="2:24" ht="15" thickBot="1">
      <c r="B23" s="133" t="s">
        <v>180</v>
      </c>
      <c r="C23" s="133" t="s">
        <v>6</v>
      </c>
      <c r="D23" s="133"/>
      <c r="E23" s="133"/>
      <c r="F23" s="133"/>
      <c r="G23" s="133"/>
      <c r="H23" s="133"/>
      <c r="I23" s="133">
        <f t="shared" ref="I23:X23" si="29">ROUND(I8+I16,0)</f>
        <v>0</v>
      </c>
      <c r="J23" s="133">
        <f t="shared" si="29"/>
        <v>0</v>
      </c>
      <c r="K23" s="133">
        <f t="shared" si="29"/>
        <v>2000000</v>
      </c>
      <c r="L23" s="133">
        <f t="shared" si="29"/>
        <v>2000000</v>
      </c>
      <c r="M23" s="133">
        <f t="shared" si="29"/>
        <v>2000000</v>
      </c>
      <c r="N23" s="133">
        <f t="shared" si="29"/>
        <v>2000000</v>
      </c>
      <c r="O23" s="133">
        <f t="shared" si="29"/>
        <v>2000000</v>
      </c>
      <c r="P23" s="133">
        <f t="shared" si="29"/>
        <v>2000000</v>
      </c>
      <c r="Q23" s="133">
        <f t="shared" si="29"/>
        <v>2000000</v>
      </c>
      <c r="R23" s="133">
        <f t="shared" si="29"/>
        <v>2000000</v>
      </c>
      <c r="S23" s="133">
        <f t="shared" si="29"/>
        <v>2000000</v>
      </c>
      <c r="T23" s="133">
        <f t="shared" si="29"/>
        <v>2000000</v>
      </c>
      <c r="U23" s="133">
        <f t="shared" si="29"/>
        <v>2000000</v>
      </c>
      <c r="V23" s="133">
        <f t="shared" si="29"/>
        <v>2000000</v>
      </c>
      <c r="W23" s="133">
        <f t="shared" si="29"/>
        <v>2000000</v>
      </c>
      <c r="X23" s="133">
        <f t="shared" si="29"/>
        <v>2000000</v>
      </c>
    </row>
    <row r="24" spans="2:24" ht="15" thickBot="1">
      <c r="B24" s="133" t="s">
        <v>178</v>
      </c>
      <c r="C24" s="133" t="s">
        <v>6</v>
      </c>
      <c r="D24" s="133"/>
      <c r="E24" s="133"/>
      <c r="F24" s="133"/>
      <c r="G24" s="133"/>
      <c r="H24" s="133"/>
      <c r="I24" s="133">
        <f t="shared" ref="I24:X24" si="30">I9+I17</f>
        <v>0</v>
      </c>
      <c r="J24" s="133">
        <f t="shared" si="30"/>
        <v>0</v>
      </c>
      <c r="K24" s="133">
        <f t="shared" si="30"/>
        <v>66666.666666666657</v>
      </c>
      <c r="L24" s="133">
        <f t="shared" si="30"/>
        <v>65111.111111111109</v>
      </c>
      <c r="M24" s="133">
        <f t="shared" si="30"/>
        <v>63607.407407407409</v>
      </c>
      <c r="N24" s="133">
        <f t="shared" si="30"/>
        <v>62153.827160493827</v>
      </c>
      <c r="O24" s="133">
        <f t="shared" si="30"/>
        <v>60748.699588477364</v>
      </c>
      <c r="P24" s="133">
        <f t="shared" si="30"/>
        <v>59390.409602194784</v>
      </c>
      <c r="Q24" s="133">
        <f t="shared" si="30"/>
        <v>58077.395948788289</v>
      </c>
      <c r="R24" s="133">
        <f t="shared" si="30"/>
        <v>56808.149417162014</v>
      </c>
      <c r="S24" s="133">
        <f t="shared" si="30"/>
        <v>55581.21110325661</v>
      </c>
      <c r="T24" s="133">
        <f t="shared" si="30"/>
        <v>54395.170733148065</v>
      </c>
      <c r="U24" s="133">
        <f t="shared" si="30"/>
        <v>53248.665042043125</v>
      </c>
      <c r="V24" s="133">
        <f t="shared" si="30"/>
        <v>52140.376207308356</v>
      </c>
      <c r="W24" s="133">
        <f t="shared" si="30"/>
        <v>51069.030333731411</v>
      </c>
      <c r="X24" s="133">
        <f t="shared" si="30"/>
        <v>50033.395989273689</v>
      </c>
    </row>
    <row r="25" spans="2:24" ht="15" thickBot="1">
      <c r="B25" s="133" t="s">
        <v>181</v>
      </c>
      <c r="C25" s="133" t="s">
        <v>6</v>
      </c>
      <c r="D25" s="133"/>
      <c r="E25" s="133"/>
      <c r="F25" s="133"/>
      <c r="G25" s="133"/>
      <c r="H25" s="133"/>
      <c r="I25" s="133">
        <f>ROUND(SUM($I$10:I10),0)</f>
        <v>0</v>
      </c>
      <c r="J25" s="133">
        <f>ROUND(SUM($I$10:J10),0)</f>
        <v>0</v>
      </c>
      <c r="K25" s="133">
        <f t="shared" ref="K25:X25" si="31">ROUND(K10+K18,0)</f>
        <v>66667</v>
      </c>
      <c r="L25" s="133">
        <f t="shared" si="31"/>
        <v>131778</v>
      </c>
      <c r="M25" s="133">
        <f t="shared" si="31"/>
        <v>195385</v>
      </c>
      <c r="N25" s="133">
        <f t="shared" si="31"/>
        <v>257539</v>
      </c>
      <c r="O25" s="133">
        <f t="shared" si="31"/>
        <v>318288</v>
      </c>
      <c r="P25" s="133">
        <f t="shared" si="31"/>
        <v>377678</v>
      </c>
      <c r="Q25" s="133">
        <f t="shared" si="31"/>
        <v>435756</v>
      </c>
      <c r="R25" s="133">
        <f t="shared" si="31"/>
        <v>492564</v>
      </c>
      <c r="S25" s="133">
        <f t="shared" si="31"/>
        <v>548145</v>
      </c>
      <c r="T25" s="133">
        <f t="shared" si="31"/>
        <v>602540</v>
      </c>
      <c r="U25" s="133">
        <f t="shared" si="31"/>
        <v>655789</v>
      </c>
      <c r="V25" s="133">
        <f t="shared" si="31"/>
        <v>707929</v>
      </c>
      <c r="W25" s="133">
        <f t="shared" si="31"/>
        <v>758998</v>
      </c>
      <c r="X25" s="133">
        <f t="shared" si="31"/>
        <v>809032</v>
      </c>
    </row>
    <row r="26" spans="2:24" ht="15" thickBot="1">
      <c r="B26" s="133" t="s">
        <v>241</v>
      </c>
      <c r="C26" s="133" t="s">
        <v>6</v>
      </c>
      <c r="D26" s="133"/>
      <c r="E26" s="133"/>
      <c r="F26" s="133"/>
      <c r="G26" s="133"/>
      <c r="H26" s="133"/>
      <c r="I26" s="133">
        <f>ROUND((I23-I25),0)</f>
        <v>0</v>
      </c>
      <c r="J26" s="133">
        <f t="shared" ref="J26:X26" si="32">ROUND((J23-J25),0)</f>
        <v>0</v>
      </c>
      <c r="K26" s="133">
        <f t="shared" si="32"/>
        <v>1933333</v>
      </c>
      <c r="L26" s="133">
        <f t="shared" si="32"/>
        <v>1868222</v>
      </c>
      <c r="M26" s="133">
        <f t="shared" si="32"/>
        <v>1804615</v>
      </c>
      <c r="N26" s="133">
        <f t="shared" si="32"/>
        <v>1742461</v>
      </c>
      <c r="O26" s="133">
        <f t="shared" si="32"/>
        <v>1681712</v>
      </c>
      <c r="P26" s="133">
        <f t="shared" si="32"/>
        <v>1622322</v>
      </c>
      <c r="Q26" s="133">
        <f t="shared" si="32"/>
        <v>1564244</v>
      </c>
      <c r="R26" s="133">
        <f t="shared" si="32"/>
        <v>1507436</v>
      </c>
      <c r="S26" s="133">
        <f t="shared" si="32"/>
        <v>1451855</v>
      </c>
      <c r="T26" s="133">
        <f t="shared" si="32"/>
        <v>1397460</v>
      </c>
      <c r="U26" s="133">
        <f t="shared" si="32"/>
        <v>1344211</v>
      </c>
      <c r="V26" s="133">
        <f t="shared" si="32"/>
        <v>1292071</v>
      </c>
      <c r="W26" s="133">
        <f t="shared" si="32"/>
        <v>1241002</v>
      </c>
      <c r="X26" s="133">
        <f t="shared" si="32"/>
        <v>1190968</v>
      </c>
    </row>
    <row r="28" spans="2:24" ht="16">
      <c r="R28" s="1"/>
      <c r="S28" s="1"/>
    </row>
    <row r="29" spans="2:24" ht="16">
      <c r="R29" s="1"/>
      <c r="S29" s="1"/>
    </row>
    <row r="30" spans="2:24" ht="16">
      <c r="R30" s="1"/>
      <c r="S30" s="1"/>
    </row>
    <row r="31" spans="2:24" ht="16">
      <c r="R31" s="1"/>
      <c r="S31" s="1"/>
    </row>
    <row r="32" spans="2:24" ht="16">
      <c r="R32" s="1"/>
      <c r="S32" s="1"/>
    </row>
    <row r="33" spans="18:19" ht="16">
      <c r="R33" s="1"/>
      <c r="S33" s="1"/>
    </row>
    <row r="34" spans="18:19" ht="16">
      <c r="R34" s="1"/>
      <c r="S34" s="1"/>
    </row>
    <row r="35" spans="18:19" ht="16">
      <c r="R35" s="1"/>
      <c r="S35" s="1"/>
    </row>
    <row r="36" spans="18:19" ht="16">
      <c r="R36" s="1"/>
      <c r="S36" s="1"/>
    </row>
    <row r="37" spans="18:19" ht="16">
      <c r="R37" s="1"/>
      <c r="S37" s="1"/>
    </row>
    <row r="38" spans="18:19" ht="16">
      <c r="R38" s="1"/>
      <c r="S38" s="1"/>
    </row>
    <row r="39" spans="18:19" ht="16">
      <c r="R39" s="1"/>
      <c r="S39" s="1"/>
    </row>
    <row r="40" spans="18:19" ht="16">
      <c r="R40" s="1"/>
      <c r="S40" s="1"/>
    </row>
    <row r="41" spans="18:19" ht="16">
      <c r="R41" s="1"/>
      <c r="S41" s="1"/>
    </row>
    <row r="42" spans="18:19" ht="16">
      <c r="R42" s="1"/>
      <c r="S42" s="1"/>
    </row>
    <row r="43" spans="18:19" ht="16">
      <c r="R43" s="1"/>
      <c r="S43" s="1"/>
    </row>
    <row r="44" spans="18:19" ht="16">
      <c r="R44" s="1"/>
      <c r="S44" s="1"/>
    </row>
    <row r="45" spans="18:19" ht="16">
      <c r="R45" s="1"/>
      <c r="S45" s="1"/>
    </row>
    <row r="46" spans="18:19" ht="16">
      <c r="R46" s="1"/>
      <c r="S46" s="1"/>
    </row>
    <row r="47" spans="18:19" ht="16">
      <c r="R47" s="1"/>
      <c r="S47" s="1"/>
    </row>
    <row r="48" spans="18:19" ht="16">
      <c r="R48" s="1"/>
      <c r="S48" s="1"/>
    </row>
    <row r="49" spans="18:19" ht="16">
      <c r="R49" s="1"/>
      <c r="S49" s="1"/>
    </row>
    <row r="50" spans="18:19" ht="16">
      <c r="R50" s="1"/>
      <c r="S50" s="1"/>
    </row>
    <row r="51" spans="18:19" ht="16">
      <c r="R51" s="1"/>
      <c r="S51" s="1"/>
    </row>
    <row r="52" spans="18:19" ht="16">
      <c r="R52" s="1"/>
      <c r="S52" s="1"/>
    </row>
    <row r="53" spans="18:19" ht="16">
      <c r="R53" s="1"/>
      <c r="S53" s="1"/>
    </row>
    <row r="54" spans="18:19" ht="16">
      <c r="R54" s="1"/>
      <c r="S54" s="1"/>
    </row>
    <row r="55" spans="18:19" ht="16">
      <c r="R55" s="1"/>
      <c r="S55" s="1"/>
    </row>
    <row r="56" spans="18:19" ht="16">
      <c r="R56" s="1"/>
      <c r="S56" s="1"/>
    </row>
    <row r="57" spans="18:19" ht="16">
      <c r="R57" s="1"/>
      <c r="S57" s="1"/>
    </row>
    <row r="58" spans="18:19" ht="16">
      <c r="R58" s="1"/>
      <c r="S58" s="1"/>
    </row>
    <row r="59" spans="18:19" ht="16">
      <c r="R59" s="1"/>
      <c r="S59" s="1"/>
    </row>
    <row r="60" spans="18:19" ht="16">
      <c r="R60" s="1"/>
      <c r="S60" s="1"/>
    </row>
    <row r="61" spans="18:19" ht="16">
      <c r="R61" s="1"/>
      <c r="S61" s="1"/>
    </row>
    <row r="62" spans="18:19" ht="16">
      <c r="R62" s="1"/>
      <c r="S62" s="1"/>
    </row>
    <row r="63" spans="18:19" ht="16">
      <c r="R63" s="1"/>
      <c r="S63" s="1"/>
    </row>
    <row r="64" spans="18:19" ht="16">
      <c r="R64" s="1"/>
      <c r="S64" s="1"/>
    </row>
    <row r="65" spans="18:19" ht="16">
      <c r="R65" s="1"/>
      <c r="S65" s="1"/>
    </row>
    <row r="66" spans="18:19" ht="16">
      <c r="R66" s="1"/>
      <c r="S66" s="1"/>
    </row>
    <row r="67" spans="18:19" ht="16">
      <c r="R67" s="1"/>
      <c r="S67" s="1"/>
    </row>
    <row r="68" spans="18:19" ht="16">
      <c r="R68" s="1"/>
      <c r="S68" s="1"/>
    </row>
    <row r="69" spans="18:19" ht="16">
      <c r="R69" s="1"/>
      <c r="S69" s="1"/>
    </row>
    <row r="70" spans="18:19" ht="16">
      <c r="R70" s="1"/>
      <c r="S70" s="1"/>
    </row>
    <row r="71" spans="18:19" ht="16">
      <c r="R71" s="1"/>
      <c r="S71" s="1"/>
    </row>
    <row r="72" spans="18:19" ht="16">
      <c r="R72" s="1"/>
      <c r="S72" s="1"/>
    </row>
    <row r="73" spans="18:19" ht="16">
      <c r="R73" s="1"/>
      <c r="S73" s="1"/>
    </row>
    <row r="74" spans="18:19" ht="16">
      <c r="R74" s="1"/>
      <c r="S74" s="1"/>
    </row>
    <row r="75" spans="18:19" ht="16">
      <c r="R75" s="1"/>
      <c r="S75" s="1"/>
    </row>
    <row r="76" spans="18:19" ht="16">
      <c r="R76" s="1"/>
      <c r="S76" s="1"/>
    </row>
    <row r="77" spans="18:19" ht="16">
      <c r="R77" s="1"/>
      <c r="S77" s="1"/>
    </row>
    <row r="78" spans="18:19" ht="16">
      <c r="R78" s="1"/>
      <c r="S78" s="1"/>
    </row>
    <row r="79" spans="18:19" ht="16">
      <c r="R79" s="1"/>
      <c r="S79" s="1"/>
    </row>
    <row r="80" spans="18:19" ht="16">
      <c r="R80" s="1"/>
      <c r="S80" s="1"/>
    </row>
    <row r="81" spans="18:19" ht="16">
      <c r="R81" s="1"/>
      <c r="S81" s="1"/>
    </row>
    <row r="82" spans="18:19" ht="16">
      <c r="R82" s="1"/>
      <c r="S82" s="1"/>
    </row>
    <row r="83" spans="18:19" ht="16">
      <c r="R83" s="1"/>
      <c r="S83" s="1"/>
    </row>
    <row r="84" spans="18:19" ht="16">
      <c r="R84" s="1"/>
      <c r="S84" s="1"/>
    </row>
    <row r="85" spans="18:19" ht="16">
      <c r="R85" s="1"/>
      <c r="S85" s="1"/>
    </row>
    <row r="86" spans="18:19" ht="16">
      <c r="R86" s="1"/>
      <c r="S86" s="1"/>
    </row>
    <row r="87" spans="18:19" ht="16">
      <c r="R87" s="1"/>
      <c r="S87" s="1"/>
    </row>
    <row r="88" spans="18:19" ht="16">
      <c r="R88" s="1"/>
      <c r="S88" s="1"/>
    </row>
    <row r="89" spans="18:19" ht="16">
      <c r="R89" s="1"/>
      <c r="S89" s="1"/>
    </row>
    <row r="90" spans="18:19" ht="16">
      <c r="R90" s="1"/>
      <c r="S90" s="1"/>
    </row>
    <row r="91" spans="18:19" ht="16">
      <c r="R91" s="1"/>
      <c r="S91" s="1"/>
    </row>
    <row r="92" spans="18:19" ht="16">
      <c r="R92" s="1"/>
      <c r="S92" s="1"/>
    </row>
    <row r="93" spans="18:19" ht="16">
      <c r="R93" s="1"/>
      <c r="S93" s="1"/>
    </row>
    <row r="94" spans="18:19" ht="16">
      <c r="R94" s="1"/>
      <c r="S94" s="1"/>
    </row>
    <row r="95" spans="18:19" ht="16">
      <c r="R95" s="1"/>
      <c r="S95" s="1"/>
    </row>
    <row r="96" spans="18:19" ht="16">
      <c r="R96" s="1"/>
      <c r="S96" s="1"/>
    </row>
    <row r="97" spans="18:19" ht="16">
      <c r="R97" s="1"/>
      <c r="S97" s="1"/>
    </row>
    <row r="98" spans="18:19" ht="16">
      <c r="R98" s="1"/>
      <c r="S98" s="1"/>
    </row>
    <row r="99" spans="18:19" ht="16">
      <c r="R99" s="1"/>
      <c r="S99" s="1"/>
    </row>
    <row r="100" spans="18:19" ht="16">
      <c r="R100" s="1"/>
      <c r="S100" s="1"/>
    </row>
    <row r="101" spans="18:19" ht="16">
      <c r="R101" s="1"/>
      <c r="S101" s="1"/>
    </row>
    <row r="102" spans="18:19" ht="16">
      <c r="R102" s="1"/>
      <c r="S102" s="1"/>
    </row>
    <row r="103" spans="18:19" ht="16">
      <c r="R103" s="1"/>
      <c r="S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4</vt:i4>
      </vt:variant>
    </vt:vector>
  </HeadingPairs>
  <TitlesOfParts>
    <vt:vector size="17" baseType="lpstr">
      <vt:lpstr>DCF</vt:lpstr>
      <vt:lpstr>BS</vt:lpstr>
      <vt:lpstr>CF</vt:lpstr>
      <vt:lpstr>PL</vt:lpstr>
      <vt:lpstr>Ввод &gt;&gt;&gt;</vt:lpstr>
      <vt:lpstr>Предпоссылки</vt:lpstr>
      <vt:lpstr>Рассчеты &gt;&gt;&gt;</vt:lpstr>
      <vt:lpstr>Выручка</vt:lpstr>
      <vt:lpstr>OpEx</vt:lpstr>
      <vt:lpstr>SG&amp;A</vt:lpstr>
      <vt:lpstr>NWC</vt:lpstr>
      <vt:lpstr>Налоги</vt:lpstr>
      <vt:lpstr>ОС</vt:lpstr>
      <vt:lpstr>днигод</vt:lpstr>
      <vt:lpstr>моднач</vt:lpstr>
      <vt:lpstr>начпер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Игнатов Денис Сергеевич</dc:creator>
  <cp:lastModifiedBy>0 Игнатов Денис Сергеевич</cp:lastModifiedBy>
  <dcterms:created xsi:type="dcterms:W3CDTF">2023-01-16T15:11:57Z</dcterms:created>
  <dcterms:modified xsi:type="dcterms:W3CDTF">2023-01-30T04:52:22Z</dcterms:modified>
</cp:coreProperties>
</file>