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denis/Documents/варгаши/Около финал/"/>
    </mc:Choice>
  </mc:AlternateContent>
  <xr:revisionPtr revIDLastSave="0" documentId="8_{DBCBF754-0EAF-2647-BD6D-CFF81EF29AE8}" xr6:coauthVersionLast="47" xr6:coauthVersionMax="47" xr10:uidLastSave="{00000000-0000-0000-0000-000000000000}"/>
  <bookViews>
    <workbookView xWindow="0" yWindow="0" windowWidth="33600" windowHeight="21000" activeTab="8" xr2:uid="{00000000-000D-0000-FFFF-FFFF00000000}"/>
  </bookViews>
  <sheets>
    <sheet name="Графики" sheetId="1" r:id="rId1"/>
    <sheet name="Предпоссылки" sheetId="2" r:id="rId2"/>
    <sheet name="ОПУ-Баланс-ОДДС" sheetId="8" r:id="rId3"/>
    <sheet name="Эффективность проекта" sheetId="9" r:id="rId4"/>
    <sheet name="Анализ чувствительности" sheetId="10" r:id="rId5"/>
    <sheet name="OPEX &amp; SALES" sheetId="3" r:id="rId6"/>
    <sheet name="CAPEX | Finance" sheetId="4" r:id="rId7"/>
    <sheet name="Налоги" sheetId="6" r:id="rId8"/>
    <sheet name="ОПУ-Баланс-ОДДС (без льгот)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G12" i="2"/>
  <c r="G11" i="2"/>
  <c r="F13" i="2"/>
  <c r="F12" i="2"/>
  <c r="F11" i="2"/>
  <c r="E13" i="2"/>
  <c r="E12" i="2"/>
  <c r="E11" i="2"/>
  <c r="D13" i="2"/>
  <c r="D12" i="2"/>
  <c r="D11" i="2"/>
  <c r="D9" i="2"/>
  <c r="E9" i="2"/>
  <c r="F9" i="2"/>
  <c r="G9" i="2"/>
  <c r="I14" i="10" l="1"/>
  <c r="J14" i="10" s="1"/>
  <c r="K14" i="10" s="1"/>
  <c r="L14" i="10" s="1"/>
  <c r="G14" i="10"/>
  <c r="F14" i="10" s="1"/>
  <c r="E14" i="10" s="1"/>
  <c r="D14" i="10" s="1"/>
  <c r="I20" i="10"/>
  <c r="J20" i="10" s="1"/>
  <c r="K20" i="10" s="1"/>
  <c r="L20" i="10" s="1"/>
  <c r="G20" i="10"/>
  <c r="F20" i="10" s="1"/>
  <c r="E20" i="10" s="1"/>
  <c r="D20" i="10" s="1"/>
  <c r="I26" i="10"/>
  <c r="J26" i="10" s="1"/>
  <c r="K26" i="10" s="1"/>
  <c r="L26" i="10" s="1"/>
  <c r="G26" i="10"/>
  <c r="F26" i="10" s="1"/>
  <c r="E26" i="10" s="1"/>
  <c r="D26" i="10" s="1"/>
  <c r="I8" i="10"/>
  <c r="J8" i="10" s="1"/>
  <c r="K8" i="10" s="1"/>
  <c r="L8" i="10" s="1"/>
  <c r="G8" i="10"/>
  <c r="F8" i="10" s="1"/>
  <c r="E8" i="10" s="1"/>
  <c r="D8" i="10" s="1"/>
  <c r="D65" i="3"/>
  <c r="B17" i="4"/>
  <c r="B3" i="4"/>
  <c r="B4" i="4"/>
  <c r="B49" i="4" s="1"/>
  <c r="D49" i="4" s="1"/>
  <c r="D62" i="2"/>
  <c r="E65" i="3"/>
  <c r="C14" i="10"/>
  <c r="C20" i="10"/>
  <c r="C8" i="10"/>
  <c r="D78" i="2"/>
  <c r="B12" i="4" l="1"/>
  <c r="B13" i="4" s="1"/>
  <c r="B15" i="4" s="1"/>
  <c r="B7" i="4"/>
  <c r="B8" i="4" s="1"/>
  <c r="D63" i="2"/>
  <c r="D3" i="4"/>
  <c r="D4" i="4"/>
  <c r="D15" i="4" s="1"/>
  <c r="E17" i="4"/>
  <c r="C26" i="10"/>
  <c r="D61" i="2"/>
  <c r="D50" i="4" l="1"/>
  <c r="D51" i="4" s="1"/>
  <c r="R44" i="13"/>
  <c r="Q44" i="13"/>
  <c r="P44" i="13"/>
  <c r="O44" i="13"/>
  <c r="N44" i="13"/>
  <c r="M44" i="13"/>
  <c r="L44" i="13"/>
  <c r="K44" i="13"/>
  <c r="J44" i="13"/>
  <c r="I44" i="13"/>
  <c r="H44" i="13"/>
  <c r="G43" i="13"/>
  <c r="R41" i="13"/>
  <c r="Q41" i="13"/>
  <c r="P41" i="13"/>
  <c r="E41" i="13"/>
  <c r="D41" i="13"/>
  <c r="R40" i="13"/>
  <c r="Q40" i="13"/>
  <c r="P40" i="13"/>
  <c r="O40" i="13"/>
  <c r="N40" i="13"/>
  <c r="M40" i="13"/>
  <c r="L40" i="13"/>
  <c r="K40" i="13"/>
  <c r="J40" i="13"/>
  <c r="I40" i="13"/>
  <c r="H40" i="13"/>
  <c r="G40" i="13"/>
  <c r="F40" i="13"/>
  <c r="D40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D39" i="13"/>
  <c r="R36" i="13"/>
  <c r="R35" i="13" s="1"/>
  <c r="Q36" i="13"/>
  <c r="Q35" i="13" s="1"/>
  <c r="P36" i="13"/>
  <c r="P35" i="13" s="1"/>
  <c r="O36" i="13"/>
  <c r="O35" i="13" s="1"/>
  <c r="N36" i="13"/>
  <c r="N35" i="13" s="1"/>
  <c r="M36" i="13"/>
  <c r="M35" i="13" s="1"/>
  <c r="L36" i="13"/>
  <c r="L35" i="13" s="1"/>
  <c r="K36" i="13"/>
  <c r="K35" i="13" s="1"/>
  <c r="J36" i="13"/>
  <c r="J35" i="13" s="1"/>
  <c r="I36" i="13"/>
  <c r="I35" i="13" s="1"/>
  <c r="H36" i="13"/>
  <c r="H35" i="13" s="1"/>
  <c r="G36" i="13"/>
  <c r="G35" i="13" s="1"/>
  <c r="F36" i="13"/>
  <c r="F35" i="13" s="1"/>
  <c r="E29" i="13"/>
  <c r="D29" i="13"/>
  <c r="E16" i="13"/>
  <c r="D16" i="13"/>
  <c r="E11" i="13"/>
  <c r="D11" i="13"/>
  <c r="E9" i="13"/>
  <c r="D9" i="13" l="1"/>
  <c r="D42" i="8"/>
  <c r="F54" i="3"/>
  <c r="F53" i="3"/>
  <c r="F65" i="3"/>
  <c r="D6" i="6" l="1"/>
  <c r="E43" i="13" l="1"/>
  <c r="F17" i="4"/>
  <c r="F43" i="13" s="1"/>
  <c r="D31" i="8"/>
  <c r="D28" i="13"/>
  <c r="D18" i="4"/>
  <c r="D44" i="13" s="1"/>
  <c r="E9" i="8"/>
  <c r="D9" i="8"/>
  <c r="D17" i="3"/>
  <c r="D12" i="6"/>
  <c r="D52" i="4"/>
  <c r="E51" i="4"/>
  <c r="E6" i="6" s="1"/>
  <c r="H54" i="3"/>
  <c r="H53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Z26" i="1"/>
  <c r="U26" i="1"/>
  <c r="G23" i="3" s="1"/>
  <c r="G54" i="3" s="1"/>
  <c r="P26" i="1"/>
  <c r="F23" i="3" s="1"/>
  <c r="K26" i="1"/>
  <c r="F26" i="1"/>
  <c r="Z25" i="1"/>
  <c r="Y24" i="1"/>
  <c r="X24" i="1"/>
  <c r="W24" i="1"/>
  <c r="V24" i="1"/>
  <c r="Y1" i="1"/>
  <c r="X1" i="1"/>
  <c r="W1" i="1"/>
  <c r="V1" i="1"/>
  <c r="T24" i="1"/>
  <c r="S24" i="1"/>
  <c r="R24" i="1"/>
  <c r="Q24" i="1"/>
  <c r="O24" i="1"/>
  <c r="N24" i="1"/>
  <c r="M24" i="1"/>
  <c r="L24" i="1"/>
  <c r="J24" i="1"/>
  <c r="I24" i="1"/>
  <c r="H24" i="1"/>
  <c r="G24" i="1"/>
  <c r="E24" i="1"/>
  <c r="D24" i="1"/>
  <c r="C24" i="1"/>
  <c r="B24" i="1"/>
  <c r="U25" i="1"/>
  <c r="P25" i="1"/>
  <c r="K25" i="1"/>
  <c r="F25" i="1"/>
  <c r="E17" i="3" l="1"/>
  <c r="E4" i="9"/>
  <c r="E31" i="8"/>
  <c r="E28" i="13"/>
  <c r="E12" i="6"/>
  <c r="G53" i="3"/>
  <c r="E48" i="4"/>
  <c r="E119" i="9"/>
  <c r="F119" i="9" s="1"/>
  <c r="G119" i="9" s="1"/>
  <c r="H119" i="9" s="1"/>
  <c r="E28" i="6"/>
  <c r="F28" i="6"/>
  <c r="G28" i="6"/>
  <c r="H28" i="6"/>
  <c r="I28" i="6"/>
  <c r="J28" i="6"/>
  <c r="K28" i="6"/>
  <c r="L28" i="6"/>
  <c r="M28" i="6"/>
  <c r="N28" i="6"/>
  <c r="O28" i="6"/>
  <c r="P28" i="6"/>
  <c r="Q28" i="6"/>
  <c r="R28" i="6"/>
  <c r="D28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D20" i="6"/>
  <c r="F92" i="9"/>
  <c r="G92" i="9"/>
  <c r="D44" i="2"/>
  <c r="E44" i="2"/>
  <c r="F44" i="2"/>
  <c r="G44" i="2"/>
  <c r="H44" i="2"/>
  <c r="I44" i="2"/>
  <c r="J44" i="2"/>
  <c r="D45" i="2"/>
  <c r="I45" i="2"/>
  <c r="J45" i="2"/>
  <c r="K45" i="2"/>
  <c r="D128" i="2"/>
  <c r="D129" i="2"/>
  <c r="D127" i="2"/>
  <c r="E39" i="6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D39" i="6"/>
  <c r="D19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D18" i="6"/>
  <c r="E48" i="2"/>
  <c r="F48" i="2" s="1"/>
  <c r="F38" i="9"/>
  <c r="G38" i="9"/>
  <c r="F42" i="8"/>
  <c r="G42" i="8"/>
  <c r="H42" i="8"/>
  <c r="I42" i="8"/>
  <c r="J42" i="8"/>
  <c r="K42" i="8"/>
  <c r="L42" i="8"/>
  <c r="M42" i="8"/>
  <c r="N42" i="8"/>
  <c r="O42" i="8"/>
  <c r="P42" i="8"/>
  <c r="Q42" i="8"/>
  <c r="R42" i="8"/>
  <c r="E33" i="9"/>
  <c r="D33" i="9"/>
  <c r="G21" i="3"/>
  <c r="H21" i="3"/>
  <c r="F21" i="3"/>
  <c r="B24" i="2"/>
  <c r="B26" i="2" s="1"/>
  <c r="B19" i="2"/>
  <c r="B36" i="2" s="1"/>
  <c r="J50" i="4" l="1"/>
  <c r="J51" i="4" s="1"/>
  <c r="J6" i="6" s="1"/>
  <c r="P50" i="4"/>
  <c r="P9" i="13" s="1"/>
  <c r="K50" i="4"/>
  <c r="K9" i="13" s="1"/>
  <c r="Q50" i="4"/>
  <c r="Q9" i="13" s="1"/>
  <c r="L50" i="4"/>
  <c r="L9" i="13" s="1"/>
  <c r="R50" i="4"/>
  <c r="R9" i="13" s="1"/>
  <c r="G50" i="4"/>
  <c r="G51" i="4" s="1"/>
  <c r="G6" i="6" s="1"/>
  <c r="M50" i="4"/>
  <c r="M9" i="13" s="1"/>
  <c r="F50" i="4"/>
  <c r="H50" i="4"/>
  <c r="N50" i="4"/>
  <c r="N9" i="13" s="1"/>
  <c r="I50" i="4"/>
  <c r="O50" i="4"/>
  <c r="O9" i="13" s="1"/>
  <c r="G154" i="9"/>
  <c r="G183" i="9"/>
  <c r="F154" i="9"/>
  <c r="F183" i="9"/>
  <c r="E64" i="9"/>
  <c r="E166" i="9" s="1"/>
  <c r="E149" i="9"/>
  <c r="D64" i="9"/>
  <c r="D166" i="9" s="1"/>
  <c r="D149" i="9"/>
  <c r="E52" i="4"/>
  <c r="F30" i="4" s="1"/>
  <c r="D21" i="6"/>
  <c r="R21" i="6"/>
  <c r="F19" i="6"/>
  <c r="F21" i="6" s="1"/>
  <c r="G48" i="2"/>
  <c r="E19" i="6"/>
  <c r="E21" i="6"/>
  <c r="I119" i="9"/>
  <c r="Q21" i="6"/>
  <c r="P21" i="6"/>
  <c r="F51" i="4" l="1"/>
  <c r="F6" i="6" s="1"/>
  <c r="F31" i="8" s="1"/>
  <c r="G31" i="8"/>
  <c r="G28" i="13"/>
  <c r="I9" i="8"/>
  <c r="I9" i="13"/>
  <c r="F9" i="13"/>
  <c r="H9" i="8"/>
  <c r="H9" i="13"/>
  <c r="J31" i="8"/>
  <c r="J28" i="13"/>
  <c r="G9" i="8"/>
  <c r="G9" i="13"/>
  <c r="J9" i="8"/>
  <c r="J9" i="13"/>
  <c r="K51" i="4"/>
  <c r="K6" i="6" s="1"/>
  <c r="K9" i="8"/>
  <c r="Q9" i="8"/>
  <c r="Q51" i="4"/>
  <c r="Q6" i="6" s="1"/>
  <c r="R9" i="8"/>
  <c r="R51" i="4"/>
  <c r="R6" i="6" s="1"/>
  <c r="M9" i="8"/>
  <c r="M51" i="4"/>
  <c r="M6" i="6" s="1"/>
  <c r="L51" i="4"/>
  <c r="L6" i="6" s="1"/>
  <c r="L9" i="8"/>
  <c r="O9" i="8"/>
  <c r="O51" i="4"/>
  <c r="O6" i="6" s="1"/>
  <c r="H51" i="4"/>
  <c r="H6" i="6" s="1"/>
  <c r="N9" i="8"/>
  <c r="N51" i="4"/>
  <c r="N6" i="6" s="1"/>
  <c r="I51" i="4"/>
  <c r="I6" i="6" s="1"/>
  <c r="P9" i="8"/>
  <c r="P51" i="4"/>
  <c r="P6" i="6" s="1"/>
  <c r="F9" i="8"/>
  <c r="F48" i="4"/>
  <c r="J17" i="3"/>
  <c r="G17" i="3"/>
  <c r="H48" i="2"/>
  <c r="G19" i="6"/>
  <c r="G21" i="6" s="1"/>
  <c r="J119" i="9"/>
  <c r="F52" i="4" l="1"/>
  <c r="G48" i="4" s="1"/>
  <c r="G52" i="4" s="1"/>
  <c r="F28" i="13"/>
  <c r="F37" i="4"/>
  <c r="G37" i="4" s="1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K17" i="3"/>
  <c r="L17" i="3"/>
  <c r="Q17" i="3"/>
  <c r="I31" i="8"/>
  <c r="I28" i="13"/>
  <c r="M31" i="8"/>
  <c r="M28" i="13"/>
  <c r="O31" i="8"/>
  <c r="O28" i="13"/>
  <c r="R31" i="8"/>
  <c r="R28" i="13"/>
  <c r="H31" i="8"/>
  <c r="H28" i="13"/>
  <c r="Q31" i="8"/>
  <c r="Q28" i="13"/>
  <c r="N31" i="8"/>
  <c r="N28" i="13"/>
  <c r="P31" i="8"/>
  <c r="P28" i="13"/>
  <c r="L31" i="8"/>
  <c r="L28" i="13"/>
  <c r="K31" i="8"/>
  <c r="K28" i="13"/>
  <c r="I17" i="3"/>
  <c r="O17" i="3"/>
  <c r="N17" i="3"/>
  <c r="R17" i="3"/>
  <c r="H17" i="3"/>
  <c r="P17" i="3"/>
  <c r="M17" i="3"/>
  <c r="F17" i="3"/>
  <c r="I48" i="2"/>
  <c r="H19" i="6"/>
  <c r="H21" i="6" s="1"/>
  <c r="K119" i="9"/>
  <c r="H48" i="4" l="1"/>
  <c r="H52" i="4" s="1"/>
  <c r="J48" i="2"/>
  <c r="I19" i="6"/>
  <c r="I21" i="6" s="1"/>
  <c r="L119" i="9"/>
  <c r="I48" i="4" l="1"/>
  <c r="I52" i="4" s="1"/>
  <c r="K48" i="2"/>
  <c r="J19" i="6"/>
  <c r="J21" i="6" s="1"/>
  <c r="M119" i="9"/>
  <c r="J48" i="4" l="1"/>
  <c r="J52" i="4" s="1"/>
  <c r="K48" i="4" s="1"/>
  <c r="K52" i="4" s="1"/>
  <c r="L48" i="4" s="1"/>
  <c r="L52" i="4" s="1"/>
  <c r="M48" i="4" s="1"/>
  <c r="M52" i="4" s="1"/>
  <c r="N48" i="4" s="1"/>
  <c r="N52" i="4" s="1"/>
  <c r="O48" i="4" s="1"/>
  <c r="O52" i="4" s="1"/>
  <c r="P48" i="4" s="1"/>
  <c r="P52" i="4" s="1"/>
  <c r="Q48" i="4" s="1"/>
  <c r="Q52" i="4" s="1"/>
  <c r="R48" i="4" s="1"/>
  <c r="R52" i="4" s="1"/>
  <c r="L48" i="2"/>
  <c r="K19" i="6"/>
  <c r="K21" i="6" s="1"/>
  <c r="N119" i="9"/>
  <c r="M48" i="2" l="1"/>
  <c r="L19" i="6"/>
  <c r="L21" i="6" s="1"/>
  <c r="O119" i="9"/>
  <c r="N48" i="2" l="1"/>
  <c r="M19" i="6"/>
  <c r="M21" i="6" s="1"/>
  <c r="P119" i="9"/>
  <c r="O48" i="2" l="1"/>
  <c r="N19" i="6"/>
  <c r="N21" i="6" s="1"/>
  <c r="Q119" i="9"/>
  <c r="P48" i="2" l="1"/>
  <c r="O19" i="6"/>
  <c r="O21" i="6" s="1"/>
  <c r="R119" i="9"/>
  <c r="Q48" i="2" l="1"/>
  <c r="P19" i="6"/>
  <c r="D34" i="3"/>
  <c r="D35" i="3"/>
  <c r="D33" i="3"/>
  <c r="R48" i="2" l="1"/>
  <c r="R19" i="6" s="1"/>
  <c r="Q19" i="6"/>
  <c r="D5" i="3"/>
  <c r="F4" i="9"/>
  <c r="G4" i="9"/>
  <c r="E44" i="8"/>
  <c r="P44" i="8"/>
  <c r="Q44" i="8"/>
  <c r="R44" i="8"/>
  <c r="D44" i="8"/>
  <c r="G41" i="4"/>
  <c r="H41" i="4" s="1"/>
  <c r="I41" i="4" s="1"/>
  <c r="D41" i="4"/>
  <c r="D45" i="4" s="1"/>
  <c r="D72" i="8" s="1"/>
  <c r="D67" i="8"/>
  <c r="E67" i="8" s="1"/>
  <c r="F67" i="8" s="1"/>
  <c r="G67" i="8" s="1"/>
  <c r="H67" i="8" s="1"/>
  <c r="I67" i="8" s="1"/>
  <c r="J67" i="8" s="1"/>
  <c r="K67" i="8" s="1"/>
  <c r="L67" i="8" s="1"/>
  <c r="M67" i="8" s="1"/>
  <c r="N67" i="8" s="1"/>
  <c r="F66" i="3"/>
  <c r="L38" i="6"/>
  <c r="L45" i="2" s="1"/>
  <c r="E38" i="6"/>
  <c r="E45" i="2" s="1"/>
  <c r="E33" i="6"/>
  <c r="E34" i="6"/>
  <c r="K34" i="6"/>
  <c r="E35" i="6"/>
  <c r="K35" i="6"/>
  <c r="D34" i="6"/>
  <c r="D35" i="6"/>
  <c r="D33" i="6"/>
  <c r="E57" i="8"/>
  <c r="D57" i="8"/>
  <c r="F56" i="8"/>
  <c r="D27" i="6"/>
  <c r="E51" i="2"/>
  <c r="F51" i="2" s="1"/>
  <c r="E25" i="6"/>
  <c r="D25" i="6"/>
  <c r="D30" i="13" s="1"/>
  <c r="D26" i="6"/>
  <c r="F43" i="8"/>
  <c r="G43" i="8"/>
  <c r="H43" i="8"/>
  <c r="I43" i="8"/>
  <c r="J43" i="8"/>
  <c r="K43" i="8"/>
  <c r="L43" i="8"/>
  <c r="M43" i="8"/>
  <c r="N43" i="8"/>
  <c r="O43" i="8"/>
  <c r="P43" i="8"/>
  <c r="Q43" i="8"/>
  <c r="R43" i="8"/>
  <c r="F46" i="8"/>
  <c r="G46" i="8"/>
  <c r="D43" i="8"/>
  <c r="D47" i="8"/>
  <c r="D6" i="9" s="1"/>
  <c r="E32" i="8"/>
  <c r="D32" i="8"/>
  <c r="E17" i="8"/>
  <c r="D17" i="8"/>
  <c r="E11" i="8"/>
  <c r="D11" i="8"/>
  <c r="G31" i="4"/>
  <c r="H31" i="4" s="1"/>
  <c r="I31" i="4" s="1"/>
  <c r="J31" i="4" s="1"/>
  <c r="K31" i="4" s="1"/>
  <c r="L31" i="4" s="1"/>
  <c r="M31" i="4" s="1"/>
  <c r="N31" i="4" s="1"/>
  <c r="O31" i="4" s="1"/>
  <c r="P31" i="4" s="1"/>
  <c r="Q31" i="4" s="1"/>
  <c r="R31" i="4" s="1"/>
  <c r="G30" i="4"/>
  <c r="F29" i="4"/>
  <c r="D7" i="4"/>
  <c r="D6" i="4"/>
  <c r="E3" i="4"/>
  <c r="F52" i="3"/>
  <c r="D52" i="3"/>
  <c r="F36" i="4" l="1"/>
  <c r="F35" i="4" s="1"/>
  <c r="D10" i="13"/>
  <c r="D151" i="9"/>
  <c r="D181" i="9"/>
  <c r="D8" i="4"/>
  <c r="D21" i="4"/>
  <c r="H30" i="4"/>
  <c r="I30" i="4" s="1"/>
  <c r="J30" i="4" s="1"/>
  <c r="K30" i="4" s="1"/>
  <c r="L30" i="4" s="1"/>
  <c r="M30" i="4" s="1"/>
  <c r="N30" i="4" s="1"/>
  <c r="O30" i="4" s="1"/>
  <c r="P30" i="4" s="1"/>
  <c r="Q30" i="4" s="1"/>
  <c r="R30" i="4" s="1"/>
  <c r="E92" i="9"/>
  <c r="E183" i="9" s="1"/>
  <c r="F38" i="6"/>
  <c r="F45" i="2" s="1"/>
  <c r="F28" i="4"/>
  <c r="M38" i="6"/>
  <c r="D47" i="6"/>
  <c r="K37" i="6"/>
  <c r="K44" i="2" s="1"/>
  <c r="E36" i="6"/>
  <c r="E47" i="6"/>
  <c r="D36" i="6"/>
  <c r="D43" i="4"/>
  <c r="E7" i="4"/>
  <c r="E8" i="4" s="1"/>
  <c r="E36" i="13" s="1"/>
  <c r="E38" i="9"/>
  <c r="E46" i="8"/>
  <c r="F27" i="6"/>
  <c r="G51" i="2"/>
  <c r="E27" i="6"/>
  <c r="J41" i="4"/>
  <c r="O67" i="8"/>
  <c r="P67" i="8" s="1"/>
  <c r="D29" i="6"/>
  <c r="G66" i="3"/>
  <c r="G29" i="4"/>
  <c r="E6" i="4"/>
  <c r="D24" i="4" l="1"/>
  <c r="D56" i="8" s="1"/>
  <c r="D39" i="8"/>
  <c r="D36" i="13"/>
  <c r="G36" i="4"/>
  <c r="G35" i="4" s="1"/>
  <c r="F32" i="4"/>
  <c r="F11" i="13" s="1"/>
  <c r="D15" i="13"/>
  <c r="D42" i="13"/>
  <c r="E154" i="9"/>
  <c r="D22" i="4"/>
  <c r="D37" i="13" s="1"/>
  <c r="G38" i="6"/>
  <c r="M45" i="2"/>
  <c r="N38" i="6"/>
  <c r="E40" i="6"/>
  <c r="E46" i="6"/>
  <c r="E43" i="2"/>
  <c r="D40" i="6"/>
  <c r="D43" i="2"/>
  <c r="G45" i="2"/>
  <c r="H38" i="6"/>
  <c r="H45" i="2" s="1"/>
  <c r="K36" i="6"/>
  <c r="D46" i="6"/>
  <c r="E21" i="4"/>
  <c r="E39" i="8"/>
  <c r="D45" i="8"/>
  <c r="D16" i="8"/>
  <c r="D33" i="8"/>
  <c r="D35" i="9"/>
  <c r="D90" i="9" s="1"/>
  <c r="F25" i="6"/>
  <c r="F57" i="8"/>
  <c r="G27" i="6"/>
  <c r="H51" i="2"/>
  <c r="D72" i="3"/>
  <c r="D71" i="3" s="1"/>
  <c r="D18" i="3" s="1"/>
  <c r="K41" i="4"/>
  <c r="Q67" i="8"/>
  <c r="G28" i="4"/>
  <c r="H29" i="4"/>
  <c r="G32" i="4" l="1"/>
  <c r="G11" i="13" s="1"/>
  <c r="H36" i="4"/>
  <c r="H35" i="4" s="1"/>
  <c r="H57" i="8" s="1"/>
  <c r="F11" i="8"/>
  <c r="F34" i="4"/>
  <c r="D35" i="13"/>
  <c r="F29" i="6"/>
  <c r="F72" i="3" s="1"/>
  <c r="F71" i="3" s="1"/>
  <c r="F10" i="8" s="1"/>
  <c r="D40" i="8"/>
  <c r="D38" i="8" s="1"/>
  <c r="D5" i="9" s="1"/>
  <c r="D8" i="9" s="1"/>
  <c r="G25" i="6"/>
  <c r="K40" i="6"/>
  <c r="K43" i="2"/>
  <c r="N45" i="2"/>
  <c r="O38" i="6"/>
  <c r="K46" i="6"/>
  <c r="E22" i="4"/>
  <c r="E37" i="13" s="1"/>
  <c r="E35" i="13" s="1"/>
  <c r="E24" i="4"/>
  <c r="E56" i="8" s="1"/>
  <c r="G57" i="8"/>
  <c r="H27" i="6"/>
  <c r="I51" i="2"/>
  <c r="D10" i="8"/>
  <c r="L41" i="4"/>
  <c r="R67" i="8"/>
  <c r="G65" i="3"/>
  <c r="H28" i="4"/>
  <c r="I29" i="4"/>
  <c r="I36" i="4" l="1"/>
  <c r="I32" i="4" s="1"/>
  <c r="H32" i="4"/>
  <c r="H11" i="13" s="1"/>
  <c r="G34" i="4"/>
  <c r="G67" i="3"/>
  <c r="G11" i="8"/>
  <c r="F18" i="3"/>
  <c r="F35" i="9"/>
  <c r="F90" i="9" s="1"/>
  <c r="F33" i="8"/>
  <c r="G29" i="6"/>
  <c r="G35" i="9" s="1"/>
  <c r="G90" i="9" s="1"/>
  <c r="H25" i="6"/>
  <c r="O45" i="2"/>
  <c r="P38" i="6"/>
  <c r="F25" i="4"/>
  <c r="E40" i="8"/>
  <c r="E38" i="8" s="1"/>
  <c r="E5" i="9" s="1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J51" i="2"/>
  <c r="I27" i="6"/>
  <c r="M41" i="4"/>
  <c r="I28" i="4"/>
  <c r="J29" i="4"/>
  <c r="J36" i="4" l="1"/>
  <c r="J35" i="4" s="1"/>
  <c r="I35" i="4"/>
  <c r="I25" i="6" s="1"/>
  <c r="H11" i="8"/>
  <c r="H34" i="4"/>
  <c r="I34" i="4" s="1"/>
  <c r="I11" i="13"/>
  <c r="I11" i="8"/>
  <c r="J32" i="4"/>
  <c r="G33" i="8"/>
  <c r="G72" i="3"/>
  <c r="G71" i="3" s="1"/>
  <c r="G10" i="8" s="1"/>
  <c r="H29" i="6"/>
  <c r="H35" i="9" s="1"/>
  <c r="H90" i="9" s="1"/>
  <c r="P45" i="2"/>
  <c r="Q38" i="6"/>
  <c r="K51" i="2"/>
  <c r="J27" i="6"/>
  <c r="N41" i="4"/>
  <c r="J28" i="4"/>
  <c r="K29" i="4"/>
  <c r="I57" i="8" l="1"/>
  <c r="K36" i="4"/>
  <c r="K35" i="4" s="1"/>
  <c r="K25" i="6" s="1"/>
  <c r="J25" i="6"/>
  <c r="J29" i="6" s="1"/>
  <c r="J35" i="9" s="1"/>
  <c r="J90" i="9" s="1"/>
  <c r="I29" i="6"/>
  <c r="I35" i="9" s="1"/>
  <c r="I90" i="9" s="1"/>
  <c r="J34" i="4"/>
  <c r="J11" i="13"/>
  <c r="J11" i="8"/>
  <c r="G18" i="3"/>
  <c r="H33" i="8"/>
  <c r="H72" i="3"/>
  <c r="H71" i="3" s="1"/>
  <c r="H18" i="3" s="1"/>
  <c r="J57" i="8"/>
  <c r="Q45" i="2"/>
  <c r="R38" i="6"/>
  <c r="R45" i="2" s="1"/>
  <c r="L51" i="2"/>
  <c r="K27" i="6"/>
  <c r="O41" i="4"/>
  <c r="K28" i="4"/>
  <c r="L29" i="4"/>
  <c r="K32" i="4" l="1"/>
  <c r="K11" i="8" s="1"/>
  <c r="L36" i="4"/>
  <c r="L32" i="4" s="1"/>
  <c r="L11" i="13" s="1"/>
  <c r="I72" i="3"/>
  <c r="I71" i="3" s="1"/>
  <c r="I18" i="3" s="1"/>
  <c r="I33" i="8"/>
  <c r="K34" i="4"/>
  <c r="H10" i="8"/>
  <c r="J33" i="8"/>
  <c r="K57" i="8"/>
  <c r="J72" i="3"/>
  <c r="J71" i="3" s="1"/>
  <c r="J10" i="8" s="1"/>
  <c r="K29" i="6"/>
  <c r="K35" i="9" s="1"/>
  <c r="K90" i="9" s="1"/>
  <c r="M51" i="2"/>
  <c r="L27" i="6"/>
  <c r="P41" i="4"/>
  <c r="M29" i="4"/>
  <c r="L28" i="4"/>
  <c r="K11" i="13" l="1"/>
  <c r="L35" i="4"/>
  <c r="L25" i="6" s="1"/>
  <c r="L29" i="6" s="1"/>
  <c r="L35" i="9" s="1"/>
  <c r="L90" i="9" s="1"/>
  <c r="L34" i="4"/>
  <c r="L11" i="8"/>
  <c r="M36" i="4"/>
  <c r="M32" i="4" s="1"/>
  <c r="M11" i="8" s="1"/>
  <c r="I10" i="8"/>
  <c r="K33" i="8"/>
  <c r="J18" i="3"/>
  <c r="K72" i="3"/>
  <c r="K71" i="3" s="1"/>
  <c r="K18" i="3" s="1"/>
  <c r="N51" i="2"/>
  <c r="M27" i="6"/>
  <c r="Q41" i="4"/>
  <c r="N29" i="4"/>
  <c r="M28" i="4"/>
  <c r="M11" i="13" l="1"/>
  <c r="M34" i="4"/>
  <c r="N36" i="4"/>
  <c r="N35" i="4" s="1"/>
  <c r="L57" i="8"/>
  <c r="M35" i="4"/>
  <c r="M25" i="6" s="1"/>
  <c r="M29" i="6" s="1"/>
  <c r="M35" i="9" s="1"/>
  <c r="M90" i="9" s="1"/>
  <c r="L33" i="8"/>
  <c r="L72" i="3"/>
  <c r="L71" i="3" s="1"/>
  <c r="L18" i="3" s="1"/>
  <c r="K10" i="8"/>
  <c r="O51" i="2"/>
  <c r="N27" i="6"/>
  <c r="R41" i="4"/>
  <c r="O29" i="4"/>
  <c r="N28" i="4"/>
  <c r="N32" i="4" l="1"/>
  <c r="N11" i="13" s="1"/>
  <c r="O36" i="4"/>
  <c r="O35" i="4" s="1"/>
  <c r="O25" i="6" s="1"/>
  <c r="N25" i="6"/>
  <c r="N29" i="6" s="1"/>
  <c r="N35" i="9" s="1"/>
  <c r="N90" i="9" s="1"/>
  <c r="M57" i="8"/>
  <c r="N34" i="4"/>
  <c r="L10" i="8"/>
  <c r="M33" i="8"/>
  <c r="M72" i="3"/>
  <c r="M71" i="3" s="1"/>
  <c r="M10" i="8" s="1"/>
  <c r="N57" i="8"/>
  <c r="P51" i="2"/>
  <c r="O27" i="6"/>
  <c r="P29" i="4"/>
  <c r="O28" i="4"/>
  <c r="P36" i="4" l="1"/>
  <c r="P32" i="4" s="1"/>
  <c r="N11" i="8"/>
  <c r="O32" i="4"/>
  <c r="O11" i="13" s="1"/>
  <c r="M18" i="3"/>
  <c r="N33" i="8"/>
  <c r="N72" i="3"/>
  <c r="N71" i="3" s="1"/>
  <c r="N10" i="8" s="1"/>
  <c r="O57" i="8"/>
  <c r="P35" i="4"/>
  <c r="P25" i="6" s="1"/>
  <c r="O29" i="6"/>
  <c r="O35" i="9" s="1"/>
  <c r="O90" i="9" s="1"/>
  <c r="Q51" i="2"/>
  <c r="P27" i="6"/>
  <c r="Q29" i="4"/>
  <c r="P28" i="4"/>
  <c r="Q36" i="4" l="1"/>
  <c r="O34" i="4"/>
  <c r="O11" i="8"/>
  <c r="P34" i="4"/>
  <c r="P11" i="13"/>
  <c r="P11" i="8"/>
  <c r="Q32" i="4"/>
  <c r="N18" i="3"/>
  <c r="P57" i="8"/>
  <c r="O33" i="8"/>
  <c r="Q35" i="4"/>
  <c r="Q25" i="6" s="1"/>
  <c r="O72" i="3"/>
  <c r="O71" i="3" s="1"/>
  <c r="O18" i="3" s="1"/>
  <c r="R51" i="2"/>
  <c r="R27" i="6" s="1"/>
  <c r="Q27" i="6"/>
  <c r="R29" i="4"/>
  <c r="R28" i="4" s="1"/>
  <c r="Q28" i="4"/>
  <c r="Q11" i="13" l="1"/>
  <c r="Q11" i="8"/>
  <c r="Q34" i="4"/>
  <c r="R36" i="4"/>
  <c r="Q57" i="8"/>
  <c r="O10" i="8"/>
  <c r="G52" i="3"/>
  <c r="H17" i="4"/>
  <c r="E123" i="2"/>
  <c r="F123" i="2" s="1"/>
  <c r="G123" i="2" s="1"/>
  <c r="E125" i="2"/>
  <c r="F125" i="2" s="1"/>
  <c r="G125" i="2" s="1"/>
  <c r="G43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I44" i="3"/>
  <c r="J44" i="3" s="1"/>
  <c r="K44" i="3" s="1"/>
  <c r="L44" i="3" s="1"/>
  <c r="M44" i="3" s="1"/>
  <c r="N44" i="3" s="1"/>
  <c r="O44" i="3" s="1"/>
  <c r="P44" i="3" s="1"/>
  <c r="Q44" i="3" s="1"/>
  <c r="R44" i="3" s="1"/>
  <c r="L42" i="2"/>
  <c r="L41" i="2"/>
  <c r="F42" i="2"/>
  <c r="F41" i="2"/>
  <c r="E57" i="2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E56" i="2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E55" i="2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E50" i="2"/>
  <c r="F40" i="2"/>
  <c r="D39" i="3"/>
  <c r="D12" i="3" s="1"/>
  <c r="D38" i="3"/>
  <c r="D11" i="3" s="1"/>
  <c r="E57" i="3"/>
  <c r="F57" i="3" s="1"/>
  <c r="G57" i="3" s="1"/>
  <c r="E56" i="3"/>
  <c r="F56" i="3" s="1"/>
  <c r="E54" i="3"/>
  <c r="D37" i="3"/>
  <c r="D10" i="3" s="1"/>
  <c r="D4" i="3"/>
  <c r="D26" i="8" s="1"/>
  <c r="E78" i="2"/>
  <c r="E77" i="2"/>
  <c r="E76" i="2"/>
  <c r="E74" i="2"/>
  <c r="F74" i="2" s="1"/>
  <c r="G74" i="2" s="1"/>
  <c r="E73" i="2"/>
  <c r="F73" i="2" s="1"/>
  <c r="G73" i="2" s="1"/>
  <c r="E72" i="2"/>
  <c r="F72" i="2" s="1"/>
  <c r="G72" i="2" s="1"/>
  <c r="E70" i="2"/>
  <c r="F70" i="2" s="1"/>
  <c r="G70" i="2" s="1"/>
  <c r="E69" i="2"/>
  <c r="F69" i="2" s="1"/>
  <c r="G69" i="2" s="1"/>
  <c r="E68" i="2"/>
  <c r="F68" i="2" s="1"/>
  <c r="G68" i="2" s="1"/>
  <c r="E67" i="2"/>
  <c r="F67" i="2" s="1"/>
  <c r="G67" i="2" s="1"/>
  <c r="E66" i="2"/>
  <c r="F66" i="2" s="1"/>
  <c r="G66" i="2" s="1"/>
  <c r="E65" i="2"/>
  <c r="F65" i="2" s="1"/>
  <c r="G65" i="2" s="1"/>
  <c r="E63" i="2"/>
  <c r="E62" i="2"/>
  <c r="E61" i="2"/>
  <c r="G27" i="3"/>
  <c r="H27" i="3" s="1"/>
  <c r="G26" i="3"/>
  <c r="G25" i="3"/>
  <c r="I23" i="3"/>
  <c r="E5" i="2"/>
  <c r="E21" i="3" s="1"/>
  <c r="F5" i="2"/>
  <c r="F30" i="3" s="1"/>
  <c r="G5" i="2"/>
  <c r="H5" i="2"/>
  <c r="I5" i="2"/>
  <c r="J5" i="2"/>
  <c r="K5" i="2"/>
  <c r="L5" i="2"/>
  <c r="M5" i="2"/>
  <c r="N5" i="2"/>
  <c r="O5" i="2"/>
  <c r="P5" i="2"/>
  <c r="Q5" i="2"/>
  <c r="R5" i="2"/>
  <c r="D5" i="2"/>
  <c r="D21" i="3" s="1"/>
  <c r="I13" i="2"/>
  <c r="J13" i="2" s="1"/>
  <c r="K13" i="2" s="1"/>
  <c r="L13" i="2" s="1"/>
  <c r="M13" i="2" s="1"/>
  <c r="N13" i="2" s="1"/>
  <c r="O13" i="2" s="1"/>
  <c r="P13" i="2" s="1"/>
  <c r="Q13" i="2" s="1"/>
  <c r="R13" i="2" s="1"/>
  <c r="I11" i="2"/>
  <c r="J11" i="2" s="1"/>
  <c r="K11" i="2" s="1"/>
  <c r="L11" i="2" s="1"/>
  <c r="M11" i="2" s="1"/>
  <c r="N11" i="2" s="1"/>
  <c r="O11" i="2" s="1"/>
  <c r="P11" i="2" s="1"/>
  <c r="Q11" i="2" s="1"/>
  <c r="R11" i="2" s="1"/>
  <c r="H12" i="2"/>
  <c r="I12" i="2" s="1"/>
  <c r="J12" i="2" s="1"/>
  <c r="K12" i="2" s="1"/>
  <c r="L12" i="2" s="1"/>
  <c r="M12" i="2" s="1"/>
  <c r="N12" i="2" s="1"/>
  <c r="O12" i="2" s="1"/>
  <c r="P12" i="2" s="1"/>
  <c r="Q12" i="2" s="1"/>
  <c r="R12" i="2" s="1"/>
  <c r="H9" i="2"/>
  <c r="H67" i="3" s="1"/>
  <c r="T1" i="1"/>
  <c r="S1" i="1"/>
  <c r="R1" i="1"/>
  <c r="Q1" i="1"/>
  <c r="O1" i="1"/>
  <c r="N1" i="1"/>
  <c r="M1" i="1"/>
  <c r="L1" i="1"/>
  <c r="J1" i="1"/>
  <c r="I1" i="1"/>
  <c r="H1" i="1"/>
  <c r="G1" i="1"/>
  <c r="E1" i="1"/>
  <c r="D1" i="1"/>
  <c r="C1" i="1"/>
  <c r="B1" i="1"/>
  <c r="E52" i="3" l="1"/>
  <c r="H92" i="9"/>
  <c r="H183" i="9" s="1"/>
  <c r="H43" i="13"/>
  <c r="R35" i="4"/>
  <c r="R57" i="8" s="1"/>
  <c r="R32" i="4"/>
  <c r="R34" i="4" s="1"/>
  <c r="D4" i="13"/>
  <c r="D23" i="13"/>
  <c r="G18" i="4"/>
  <c r="G44" i="13" s="1"/>
  <c r="I21" i="3"/>
  <c r="I53" i="3"/>
  <c r="I54" i="3"/>
  <c r="D9" i="3"/>
  <c r="D7" i="13" s="1"/>
  <c r="F78" i="2"/>
  <c r="E129" i="2"/>
  <c r="F76" i="2"/>
  <c r="E127" i="2"/>
  <c r="F77" i="2"/>
  <c r="E128" i="2"/>
  <c r="F21" i="4"/>
  <c r="F39" i="8"/>
  <c r="H38" i="9"/>
  <c r="H4" i="9"/>
  <c r="H46" i="8"/>
  <c r="J23" i="3"/>
  <c r="H123" i="2"/>
  <c r="G40" i="2"/>
  <c r="F33" i="6"/>
  <c r="G41" i="2"/>
  <c r="F34" i="6"/>
  <c r="F50" i="2"/>
  <c r="E26" i="6"/>
  <c r="G42" i="2"/>
  <c r="F35" i="6"/>
  <c r="M41" i="2"/>
  <c r="L34" i="6"/>
  <c r="I9" i="2"/>
  <c r="J9" i="2" s="1"/>
  <c r="K9" i="2" s="1"/>
  <c r="L9" i="2" s="1"/>
  <c r="M9" i="2" s="1"/>
  <c r="N9" i="2" s="1"/>
  <c r="O9" i="2" s="1"/>
  <c r="P9" i="2" s="1"/>
  <c r="Q9" i="2" s="1"/>
  <c r="R9" i="2" s="1"/>
  <c r="H66" i="3"/>
  <c r="H65" i="3"/>
  <c r="M42" i="2"/>
  <c r="L35" i="6"/>
  <c r="H125" i="2"/>
  <c r="F63" i="2"/>
  <c r="E35" i="3"/>
  <c r="F61" i="2"/>
  <c r="E33" i="3"/>
  <c r="F62" i="2"/>
  <c r="E34" i="3"/>
  <c r="F59" i="3"/>
  <c r="F17" i="6" s="1"/>
  <c r="D4" i="8"/>
  <c r="D4" i="6"/>
  <c r="D27" i="8" s="1"/>
  <c r="D25" i="8" s="1"/>
  <c r="I17" i="4"/>
  <c r="G56" i="3"/>
  <c r="G59" i="3" s="1"/>
  <c r="G17" i="6" s="1"/>
  <c r="E10" i="4"/>
  <c r="D10" i="4"/>
  <c r="F10" i="4"/>
  <c r="G42" i="3"/>
  <c r="D42" i="3"/>
  <c r="E42" i="3"/>
  <c r="D36" i="3"/>
  <c r="F42" i="3"/>
  <c r="H43" i="3"/>
  <c r="H42" i="3" s="1"/>
  <c r="D59" i="3"/>
  <c r="D17" i="6" s="1"/>
  <c r="E59" i="3"/>
  <c r="E17" i="6" s="1"/>
  <c r="E39" i="3"/>
  <c r="E12" i="3" s="1"/>
  <c r="E38" i="3"/>
  <c r="E11" i="3" s="1"/>
  <c r="H57" i="3"/>
  <c r="E37" i="3"/>
  <c r="H72" i="2"/>
  <c r="H68" i="2"/>
  <c r="H73" i="2"/>
  <c r="H74" i="2"/>
  <c r="H69" i="2"/>
  <c r="H65" i="2"/>
  <c r="H66" i="2"/>
  <c r="H70" i="2"/>
  <c r="H67" i="2"/>
  <c r="G29" i="3"/>
  <c r="F29" i="3"/>
  <c r="F31" i="3"/>
  <c r="G31" i="3"/>
  <c r="G30" i="3"/>
  <c r="I27" i="3"/>
  <c r="H25" i="3"/>
  <c r="H26" i="3"/>
  <c r="F22" i="4" l="1"/>
  <c r="F37" i="13" s="1"/>
  <c r="H154" i="9"/>
  <c r="E29" i="6"/>
  <c r="E33" i="8" s="1"/>
  <c r="E30" i="13"/>
  <c r="I65" i="2"/>
  <c r="J65" i="2" s="1"/>
  <c r="K65" i="2" s="1"/>
  <c r="L65" i="2" s="1"/>
  <c r="M65" i="2" s="1"/>
  <c r="N65" i="2" s="1"/>
  <c r="O65" i="2" s="1"/>
  <c r="P65" i="2" s="1"/>
  <c r="Q65" i="2" s="1"/>
  <c r="R65" i="2" s="1"/>
  <c r="R25" i="6"/>
  <c r="R11" i="13"/>
  <c r="R11" i="8"/>
  <c r="I92" i="9"/>
  <c r="I183" i="9" s="1"/>
  <c r="I43" i="13"/>
  <c r="I67" i="3"/>
  <c r="J67" i="3" s="1"/>
  <c r="K67" i="3" s="1"/>
  <c r="L67" i="3" s="1"/>
  <c r="M67" i="3" s="1"/>
  <c r="N67" i="3" s="1"/>
  <c r="O67" i="3" s="1"/>
  <c r="P67" i="3" s="1"/>
  <c r="Q67" i="3" s="1"/>
  <c r="R67" i="3" s="1"/>
  <c r="D24" i="13"/>
  <c r="F22" i="6"/>
  <c r="F168" i="9"/>
  <c r="F152" i="9"/>
  <c r="D22" i="6"/>
  <c r="D168" i="9"/>
  <c r="D152" i="9"/>
  <c r="E22" i="6"/>
  <c r="E168" i="9"/>
  <c r="E152" i="9"/>
  <c r="G22" i="6"/>
  <c r="G168" i="9"/>
  <c r="G152" i="9"/>
  <c r="J21" i="3"/>
  <c r="J53" i="3"/>
  <c r="J54" i="3"/>
  <c r="K23" i="3"/>
  <c r="G76" i="2"/>
  <c r="F127" i="2"/>
  <c r="G77" i="2"/>
  <c r="F128" i="2"/>
  <c r="G78" i="2"/>
  <c r="F129" i="2"/>
  <c r="L37" i="6"/>
  <c r="L44" i="2" s="1"/>
  <c r="F36" i="6"/>
  <c r="F47" i="6"/>
  <c r="E37" i="9"/>
  <c r="E153" i="9" s="1"/>
  <c r="G37" i="9"/>
  <c r="G153" i="9" s="1"/>
  <c r="D37" i="9"/>
  <c r="D153" i="9" s="1"/>
  <c r="F37" i="9"/>
  <c r="F153" i="9" s="1"/>
  <c r="J17" i="4"/>
  <c r="I38" i="9"/>
  <c r="I4" i="9"/>
  <c r="I46" i="8"/>
  <c r="F38" i="8"/>
  <c r="F5" i="9"/>
  <c r="F40" i="8"/>
  <c r="F11" i="6"/>
  <c r="I69" i="2"/>
  <c r="J69" i="2" s="1"/>
  <c r="K69" i="2" s="1"/>
  <c r="L69" i="2" s="1"/>
  <c r="M69" i="2" s="1"/>
  <c r="N69" i="2" s="1"/>
  <c r="O69" i="2" s="1"/>
  <c r="P69" i="2" s="1"/>
  <c r="Q69" i="2" s="1"/>
  <c r="R69" i="2" s="1"/>
  <c r="I125" i="2"/>
  <c r="J125" i="2" s="1"/>
  <c r="K125" i="2" s="1"/>
  <c r="L125" i="2" s="1"/>
  <c r="M125" i="2" s="1"/>
  <c r="N125" i="2" s="1"/>
  <c r="O125" i="2" s="1"/>
  <c r="P125" i="2" s="1"/>
  <c r="Q125" i="2" s="1"/>
  <c r="R125" i="2" s="1"/>
  <c r="I67" i="2"/>
  <c r="J67" i="2" s="1"/>
  <c r="K67" i="2" s="1"/>
  <c r="L67" i="2" s="1"/>
  <c r="M67" i="2" s="1"/>
  <c r="N67" i="2" s="1"/>
  <c r="O67" i="2" s="1"/>
  <c r="P67" i="2" s="1"/>
  <c r="Q67" i="2" s="1"/>
  <c r="R67" i="2" s="1"/>
  <c r="I70" i="2"/>
  <c r="J70" i="2" s="1"/>
  <c r="K70" i="2" s="1"/>
  <c r="L70" i="2" s="1"/>
  <c r="M70" i="2" s="1"/>
  <c r="N70" i="2" s="1"/>
  <c r="O70" i="2" s="1"/>
  <c r="P70" i="2" s="1"/>
  <c r="Q70" i="2" s="1"/>
  <c r="R70" i="2" s="1"/>
  <c r="I73" i="2"/>
  <c r="J73" i="2" s="1"/>
  <c r="K73" i="2" s="1"/>
  <c r="L73" i="2" s="1"/>
  <c r="M73" i="2" s="1"/>
  <c r="N73" i="2" s="1"/>
  <c r="O73" i="2" s="1"/>
  <c r="P73" i="2" s="1"/>
  <c r="Q73" i="2" s="1"/>
  <c r="R73" i="2" s="1"/>
  <c r="I74" i="2"/>
  <c r="J74" i="2" s="1"/>
  <c r="K74" i="2" s="1"/>
  <c r="L74" i="2" s="1"/>
  <c r="M74" i="2" s="1"/>
  <c r="N74" i="2" s="1"/>
  <c r="O74" i="2" s="1"/>
  <c r="P74" i="2" s="1"/>
  <c r="Q74" i="2" s="1"/>
  <c r="R74" i="2" s="1"/>
  <c r="I68" i="2"/>
  <c r="J68" i="2" s="1"/>
  <c r="K68" i="2" s="1"/>
  <c r="L68" i="2" s="1"/>
  <c r="M68" i="2" s="1"/>
  <c r="N68" i="2" s="1"/>
  <c r="O68" i="2" s="1"/>
  <c r="P68" i="2" s="1"/>
  <c r="Q68" i="2" s="1"/>
  <c r="R68" i="2" s="1"/>
  <c r="I57" i="3"/>
  <c r="J57" i="3" s="1"/>
  <c r="K57" i="3" s="1"/>
  <c r="L57" i="3" s="1"/>
  <c r="M57" i="3" s="1"/>
  <c r="N57" i="3" s="1"/>
  <c r="O57" i="3" s="1"/>
  <c r="P57" i="3" s="1"/>
  <c r="Q57" i="3" s="1"/>
  <c r="R57" i="3" s="1"/>
  <c r="I66" i="2"/>
  <c r="J66" i="2" s="1"/>
  <c r="K66" i="2" s="1"/>
  <c r="L66" i="2" s="1"/>
  <c r="M66" i="2" s="1"/>
  <c r="N66" i="2" s="1"/>
  <c r="O66" i="2" s="1"/>
  <c r="P66" i="2" s="1"/>
  <c r="Q66" i="2" s="1"/>
  <c r="R66" i="2" s="1"/>
  <c r="I72" i="2"/>
  <c r="J72" i="2" s="1"/>
  <c r="K72" i="2" s="1"/>
  <c r="L72" i="2" s="1"/>
  <c r="M72" i="2" s="1"/>
  <c r="N72" i="2" s="1"/>
  <c r="O72" i="2" s="1"/>
  <c r="P72" i="2" s="1"/>
  <c r="Q72" i="2" s="1"/>
  <c r="R72" i="2" s="1"/>
  <c r="G50" i="2"/>
  <c r="F26" i="6"/>
  <c r="F30" i="13" s="1"/>
  <c r="N42" i="2"/>
  <c r="M35" i="6"/>
  <c r="N41" i="2"/>
  <c r="M34" i="6"/>
  <c r="H41" i="2"/>
  <c r="G34" i="6"/>
  <c r="I65" i="3"/>
  <c r="J65" i="3" s="1"/>
  <c r="K65" i="3" s="1"/>
  <c r="L65" i="3" s="1"/>
  <c r="M65" i="3" s="1"/>
  <c r="N65" i="3" s="1"/>
  <c r="O65" i="3" s="1"/>
  <c r="P65" i="3" s="1"/>
  <c r="Q65" i="3" s="1"/>
  <c r="R65" i="3" s="1"/>
  <c r="I66" i="3"/>
  <c r="J66" i="3" s="1"/>
  <c r="K66" i="3" s="1"/>
  <c r="L66" i="3" s="1"/>
  <c r="M66" i="3" s="1"/>
  <c r="N66" i="3" s="1"/>
  <c r="O66" i="3" s="1"/>
  <c r="P66" i="3" s="1"/>
  <c r="Q66" i="3" s="1"/>
  <c r="R66" i="3" s="1"/>
  <c r="H42" i="2"/>
  <c r="G35" i="6"/>
  <c r="H40" i="2"/>
  <c r="G33" i="6"/>
  <c r="I123" i="2"/>
  <c r="J123" i="2" s="1"/>
  <c r="K123" i="2" s="1"/>
  <c r="L123" i="2" s="1"/>
  <c r="M123" i="2" s="1"/>
  <c r="N123" i="2" s="1"/>
  <c r="O123" i="2" s="1"/>
  <c r="P123" i="2" s="1"/>
  <c r="Q123" i="2" s="1"/>
  <c r="R123" i="2" s="1"/>
  <c r="G62" i="2"/>
  <c r="F34" i="3"/>
  <c r="E5" i="3"/>
  <c r="E4" i="3" s="1"/>
  <c r="E26" i="8" s="1"/>
  <c r="G61" i="2"/>
  <c r="F33" i="3"/>
  <c r="G63" i="2"/>
  <c r="F35" i="3"/>
  <c r="D7" i="8"/>
  <c r="D75" i="3"/>
  <c r="D62" i="8" s="1"/>
  <c r="H56" i="3"/>
  <c r="H59" i="3" s="1"/>
  <c r="H17" i="6" s="1"/>
  <c r="H52" i="3"/>
  <c r="E10" i="3"/>
  <c r="E9" i="3" s="1"/>
  <c r="E7" i="13" s="1"/>
  <c r="E36" i="3"/>
  <c r="I43" i="3"/>
  <c r="I42" i="3" s="1"/>
  <c r="F38" i="3"/>
  <c r="F11" i="3" s="1"/>
  <c r="F39" i="3"/>
  <c r="F12" i="3" s="1"/>
  <c r="G38" i="3"/>
  <c r="G11" i="3" s="1"/>
  <c r="G37" i="3"/>
  <c r="F37" i="3"/>
  <c r="H31" i="3"/>
  <c r="H29" i="3"/>
  <c r="H30" i="3"/>
  <c r="I31" i="3"/>
  <c r="I25" i="3"/>
  <c r="I29" i="3" s="1"/>
  <c r="J27" i="3"/>
  <c r="I26" i="3"/>
  <c r="I30" i="3" s="1"/>
  <c r="E35" i="9" l="1"/>
  <c r="E90" i="9" s="1"/>
  <c r="E72" i="3"/>
  <c r="E71" i="3" s="1"/>
  <c r="F66" i="9"/>
  <c r="G60" i="3"/>
  <c r="G36" i="9" s="1"/>
  <c r="E60" i="3"/>
  <c r="E36" i="9" s="1"/>
  <c r="D60" i="3"/>
  <c r="D36" i="9" s="1"/>
  <c r="F151" i="9"/>
  <c r="F181" i="9"/>
  <c r="F10" i="13"/>
  <c r="E151" i="9"/>
  <c r="E181" i="9"/>
  <c r="E10" i="13"/>
  <c r="I154" i="9"/>
  <c r="J92" i="9"/>
  <c r="J183" i="9" s="1"/>
  <c r="J43" i="13"/>
  <c r="F60" i="3"/>
  <c r="F36" i="9" s="1"/>
  <c r="E66" i="9"/>
  <c r="E4" i="13"/>
  <c r="E23" i="13"/>
  <c r="D66" i="9"/>
  <c r="G66" i="9"/>
  <c r="H22" i="6"/>
  <c r="H168" i="9"/>
  <c r="H152" i="9"/>
  <c r="K21" i="3"/>
  <c r="K54" i="3"/>
  <c r="K53" i="3"/>
  <c r="L23" i="3"/>
  <c r="M23" i="3" s="1"/>
  <c r="G39" i="3"/>
  <c r="G12" i="3" s="1"/>
  <c r="E91" i="9"/>
  <c r="E118" i="9"/>
  <c r="G128" i="2"/>
  <c r="H77" i="2"/>
  <c r="H76" i="2"/>
  <c r="G127" i="2"/>
  <c r="F91" i="9"/>
  <c r="F118" i="9"/>
  <c r="E10" i="8"/>
  <c r="E18" i="3"/>
  <c r="D91" i="9"/>
  <c r="D118" i="9"/>
  <c r="G91" i="9"/>
  <c r="G118" i="9"/>
  <c r="H78" i="2"/>
  <c r="G129" i="2"/>
  <c r="G61" i="3"/>
  <c r="F40" i="6"/>
  <c r="F43" i="2"/>
  <c r="F46" i="6"/>
  <c r="G36" i="6"/>
  <c r="G47" i="6"/>
  <c r="M37" i="6"/>
  <c r="M44" i="2" s="1"/>
  <c r="L36" i="6"/>
  <c r="D61" i="3"/>
  <c r="H37" i="9"/>
  <c r="H153" i="9" s="1"/>
  <c r="K17" i="4"/>
  <c r="J38" i="9"/>
  <c r="J4" i="9"/>
  <c r="J46" i="8"/>
  <c r="E4" i="8"/>
  <c r="I56" i="3"/>
  <c r="I59" i="3" s="1"/>
  <c r="I17" i="6" s="1"/>
  <c r="F5" i="3"/>
  <c r="F4" i="3" s="1"/>
  <c r="F26" i="8" s="1"/>
  <c r="I42" i="2"/>
  <c r="H35" i="6"/>
  <c r="O41" i="2"/>
  <c r="N34" i="6"/>
  <c r="O42" i="2"/>
  <c r="N35" i="6"/>
  <c r="E4" i="6"/>
  <c r="E27" i="8" s="1"/>
  <c r="E25" i="8" s="1"/>
  <c r="I40" i="2"/>
  <c r="H33" i="6"/>
  <c r="I41" i="2"/>
  <c r="H34" i="6"/>
  <c r="H50" i="2"/>
  <c r="G26" i="6"/>
  <c r="G30" i="13" s="1"/>
  <c r="G35" i="3"/>
  <c r="H63" i="2"/>
  <c r="G33" i="3"/>
  <c r="H61" i="2"/>
  <c r="G34" i="3"/>
  <c r="H62" i="2"/>
  <c r="I52" i="3"/>
  <c r="F10" i="3"/>
  <c r="F9" i="3" s="1"/>
  <c r="F7" i="13" s="1"/>
  <c r="F36" i="3"/>
  <c r="G10" i="3"/>
  <c r="J43" i="3"/>
  <c r="J42" i="3" s="1"/>
  <c r="H38" i="3"/>
  <c r="H11" i="3" s="1"/>
  <c r="I38" i="3"/>
  <c r="I11" i="3" s="1"/>
  <c r="I37" i="3"/>
  <c r="H37" i="3"/>
  <c r="J31" i="3"/>
  <c r="J25" i="3"/>
  <c r="J29" i="3" s="1"/>
  <c r="J26" i="3"/>
  <c r="J30" i="3" s="1"/>
  <c r="K27" i="3"/>
  <c r="F182" i="9" l="1"/>
  <c r="G182" i="9"/>
  <c r="G117" i="9"/>
  <c r="G116" i="9" s="1"/>
  <c r="D182" i="9"/>
  <c r="E61" i="3"/>
  <c r="E15" i="3" s="1"/>
  <c r="E68" i="3" s="1"/>
  <c r="E64" i="3" s="1"/>
  <c r="E8" i="13" s="1"/>
  <c r="D117" i="9"/>
  <c r="D116" i="9" s="1"/>
  <c r="E117" i="9"/>
  <c r="E116" i="9" s="1"/>
  <c r="E182" i="9"/>
  <c r="F117" i="9"/>
  <c r="F116" i="9" s="1"/>
  <c r="H60" i="3"/>
  <c r="H61" i="3" s="1"/>
  <c r="H6" i="8" s="1"/>
  <c r="H78" i="3" s="1"/>
  <c r="E75" i="3"/>
  <c r="E62" i="8" s="1"/>
  <c r="G151" i="9"/>
  <c r="G10" i="13"/>
  <c r="G181" i="9"/>
  <c r="H39" i="3"/>
  <c r="H12" i="3" s="1"/>
  <c r="J154" i="9"/>
  <c r="F61" i="3"/>
  <c r="F6" i="8" s="1"/>
  <c r="F78" i="3" s="1"/>
  <c r="K92" i="9"/>
  <c r="K183" i="9" s="1"/>
  <c r="K43" i="13"/>
  <c r="E24" i="13"/>
  <c r="H66" i="9"/>
  <c r="E6" i="8"/>
  <c r="E78" i="3" s="1"/>
  <c r="E6" i="13"/>
  <c r="E5" i="13" s="1"/>
  <c r="D6" i="8"/>
  <c r="D78" i="3" s="1"/>
  <c r="D6" i="13"/>
  <c r="I22" i="6"/>
  <c r="I152" i="9"/>
  <c r="I168" i="9"/>
  <c r="G6" i="8"/>
  <c r="G78" i="3" s="1"/>
  <c r="G6" i="13"/>
  <c r="F4" i="8"/>
  <c r="F4" i="13"/>
  <c r="F23" i="13"/>
  <c r="G36" i="3"/>
  <c r="M21" i="3"/>
  <c r="M53" i="3"/>
  <c r="M54" i="3"/>
  <c r="L21" i="3"/>
  <c r="L53" i="3"/>
  <c r="L54" i="3"/>
  <c r="G9" i="3"/>
  <c r="G7" i="13" s="1"/>
  <c r="H36" i="9"/>
  <c r="G15" i="3"/>
  <c r="H91" i="9"/>
  <c r="H118" i="9"/>
  <c r="H127" i="2"/>
  <c r="I76" i="2"/>
  <c r="D120" i="9"/>
  <c r="I77" i="2"/>
  <c r="H128" i="2"/>
  <c r="H129" i="2"/>
  <c r="I78" i="2"/>
  <c r="G40" i="6"/>
  <c r="G43" i="2"/>
  <c r="G46" i="6"/>
  <c r="L40" i="6"/>
  <c r="L43" i="2"/>
  <c r="D15" i="3"/>
  <c r="D68" i="3" s="1"/>
  <c r="D64" i="3" s="1"/>
  <c r="L46" i="6"/>
  <c r="H36" i="6"/>
  <c r="H47" i="6"/>
  <c r="N37" i="6"/>
  <c r="N44" i="2" s="1"/>
  <c r="M36" i="6"/>
  <c r="J56" i="3"/>
  <c r="K56" i="3" s="1"/>
  <c r="I37" i="9"/>
  <c r="I153" i="9" s="1"/>
  <c r="L17" i="4"/>
  <c r="K38" i="9"/>
  <c r="K46" i="8"/>
  <c r="K4" i="9"/>
  <c r="F4" i="6"/>
  <c r="F27" i="8" s="1"/>
  <c r="F25" i="8" s="1"/>
  <c r="I50" i="2"/>
  <c r="H26" i="6"/>
  <c r="H30" i="13" s="1"/>
  <c r="P42" i="2"/>
  <c r="O35" i="6"/>
  <c r="J41" i="2"/>
  <c r="J34" i="6" s="1"/>
  <c r="I34" i="6"/>
  <c r="P41" i="2"/>
  <c r="O34" i="6"/>
  <c r="J40" i="2"/>
  <c r="I33" i="6"/>
  <c r="J42" i="2"/>
  <c r="J35" i="6" s="1"/>
  <c r="I35" i="6"/>
  <c r="I62" i="2"/>
  <c r="H34" i="3"/>
  <c r="I61" i="2"/>
  <c r="H33" i="3"/>
  <c r="G5" i="3"/>
  <c r="G4" i="3" s="1"/>
  <c r="G26" i="8" s="1"/>
  <c r="I63" i="2"/>
  <c r="H35" i="3"/>
  <c r="N23" i="3"/>
  <c r="E16" i="3"/>
  <c r="E5" i="6" s="1"/>
  <c r="E8" i="8"/>
  <c r="E7" i="8"/>
  <c r="H15" i="3"/>
  <c r="J52" i="3"/>
  <c r="I10" i="3"/>
  <c r="H10" i="3"/>
  <c r="K43" i="3"/>
  <c r="K42" i="3" s="1"/>
  <c r="J38" i="3"/>
  <c r="J11" i="3" s="1"/>
  <c r="J37" i="3"/>
  <c r="K31" i="3"/>
  <c r="K25" i="3"/>
  <c r="K29" i="3" s="1"/>
  <c r="L27" i="3"/>
  <c r="K26" i="3"/>
  <c r="K30" i="3" s="1"/>
  <c r="H117" i="9" l="1"/>
  <c r="H116" i="9" s="1"/>
  <c r="H6" i="13"/>
  <c r="H182" i="9"/>
  <c r="I66" i="9"/>
  <c r="F75" i="3"/>
  <c r="F62" i="8" s="1"/>
  <c r="E76" i="3"/>
  <c r="H10" i="13"/>
  <c r="H181" i="9"/>
  <c r="H151" i="9"/>
  <c r="K154" i="9"/>
  <c r="H9" i="3"/>
  <c r="H7" i="13" s="1"/>
  <c r="H36" i="3"/>
  <c r="F15" i="3"/>
  <c r="F68" i="3" s="1"/>
  <c r="F64" i="3" s="1"/>
  <c r="F8" i="8" s="1"/>
  <c r="F6" i="13"/>
  <c r="I60" i="3"/>
  <c r="I36" i="9" s="1"/>
  <c r="L92" i="9"/>
  <c r="L183" i="9" s="1"/>
  <c r="L43" i="13"/>
  <c r="G68" i="3"/>
  <c r="G64" i="3" s="1"/>
  <c r="G8" i="13" s="1"/>
  <c r="G5" i="13" s="1"/>
  <c r="G25" i="13" s="1"/>
  <c r="E25" i="13"/>
  <c r="E12" i="13"/>
  <c r="E27" i="13"/>
  <c r="E11" i="6"/>
  <c r="D16" i="3"/>
  <c r="D5" i="6" s="1"/>
  <c r="D8" i="13"/>
  <c r="D5" i="13" s="1"/>
  <c r="G4" i="13"/>
  <c r="G23" i="13"/>
  <c r="F24" i="13"/>
  <c r="E14" i="3"/>
  <c r="N21" i="3"/>
  <c r="N54" i="3"/>
  <c r="N53" i="3"/>
  <c r="I91" i="9"/>
  <c r="I118" i="9"/>
  <c r="D121" i="9"/>
  <c r="D122" i="9" s="1"/>
  <c r="E120" i="9"/>
  <c r="J78" i="2"/>
  <c r="I129" i="2"/>
  <c r="J76" i="2"/>
  <c r="I127" i="2"/>
  <c r="I39" i="3"/>
  <c r="J59" i="3"/>
  <c r="J17" i="6" s="1"/>
  <c r="J77" i="2"/>
  <c r="I128" i="2"/>
  <c r="D8" i="8"/>
  <c r="M40" i="6"/>
  <c r="M43" i="2"/>
  <c r="H40" i="6"/>
  <c r="H43" i="2"/>
  <c r="H46" i="6"/>
  <c r="J36" i="6"/>
  <c r="N36" i="6"/>
  <c r="N46" i="6" s="1"/>
  <c r="I36" i="6"/>
  <c r="I47" i="6"/>
  <c r="O37" i="6"/>
  <c r="O44" i="2" s="1"/>
  <c r="M46" i="6"/>
  <c r="M17" i="4"/>
  <c r="L38" i="9"/>
  <c r="L4" i="9"/>
  <c r="L46" i="8"/>
  <c r="K40" i="2"/>
  <c r="J33" i="6"/>
  <c r="J47" i="6" s="1"/>
  <c r="Q42" i="2"/>
  <c r="P35" i="6"/>
  <c r="Q41" i="2"/>
  <c r="P34" i="6"/>
  <c r="J50" i="2"/>
  <c r="I26" i="6"/>
  <c r="I30" i="13" s="1"/>
  <c r="H5" i="3"/>
  <c r="H4" i="3" s="1"/>
  <c r="H26" i="8" s="1"/>
  <c r="J63" i="2"/>
  <c r="I35" i="3"/>
  <c r="G4" i="8"/>
  <c r="G4" i="6"/>
  <c r="G27" i="8" s="1"/>
  <c r="G25" i="8" s="1"/>
  <c r="J61" i="2"/>
  <c r="I33" i="3"/>
  <c r="J62" i="2"/>
  <c r="I34" i="3"/>
  <c r="O23" i="3"/>
  <c r="E60" i="8"/>
  <c r="E30" i="8"/>
  <c r="E77" i="3"/>
  <c r="E74" i="8" s="1"/>
  <c r="E5" i="8"/>
  <c r="F7" i="8"/>
  <c r="G7" i="8"/>
  <c r="K59" i="3"/>
  <c r="K17" i="6" s="1"/>
  <c r="K52" i="3"/>
  <c r="J10" i="3"/>
  <c r="L43" i="3"/>
  <c r="L42" i="3" s="1"/>
  <c r="L56" i="3"/>
  <c r="K38" i="3"/>
  <c r="K11" i="3" s="1"/>
  <c r="K37" i="3"/>
  <c r="L31" i="3"/>
  <c r="M27" i="3"/>
  <c r="L26" i="3"/>
  <c r="L30" i="3" s="1"/>
  <c r="L25" i="3"/>
  <c r="L29" i="3" s="1"/>
  <c r="I117" i="9" l="1"/>
  <c r="I116" i="9" s="1"/>
  <c r="I182" i="9"/>
  <c r="G75" i="3"/>
  <c r="G62" i="8" s="1"/>
  <c r="F76" i="3"/>
  <c r="F60" i="8" s="1"/>
  <c r="I10" i="13"/>
  <c r="I151" i="9"/>
  <c r="I181" i="9"/>
  <c r="D77" i="3"/>
  <c r="D74" i="8" s="1"/>
  <c r="D76" i="3"/>
  <c r="D60" i="8" s="1"/>
  <c r="L154" i="9"/>
  <c r="F8" i="13"/>
  <c r="F5" i="13" s="1"/>
  <c r="F25" i="13" s="1"/>
  <c r="F16" i="3"/>
  <c r="F5" i="6" s="1"/>
  <c r="F30" i="8" s="1"/>
  <c r="H68" i="3"/>
  <c r="H64" i="3" s="1"/>
  <c r="H8" i="13" s="1"/>
  <c r="H5" i="13" s="1"/>
  <c r="F77" i="3"/>
  <c r="F74" i="8" s="1"/>
  <c r="I61" i="3"/>
  <c r="I6" i="8" s="1"/>
  <c r="I78" i="3" s="1"/>
  <c r="G16" i="3"/>
  <c r="G5" i="6" s="1"/>
  <c r="G27" i="13" s="1"/>
  <c r="M92" i="9"/>
  <c r="M183" i="9" s="1"/>
  <c r="M43" i="13"/>
  <c r="G8" i="8"/>
  <c r="G77" i="3" s="1"/>
  <c r="G74" i="8" s="1"/>
  <c r="H4" i="6"/>
  <c r="H27" i="8" s="1"/>
  <c r="H25" i="8" s="1"/>
  <c r="H23" i="13"/>
  <c r="H4" i="13"/>
  <c r="G12" i="13"/>
  <c r="G13" i="13" s="1"/>
  <c r="D14" i="3"/>
  <c r="D25" i="13"/>
  <c r="D12" i="13"/>
  <c r="J22" i="6"/>
  <c r="J168" i="9"/>
  <c r="J152" i="9"/>
  <c r="D30" i="8"/>
  <c r="D27" i="13"/>
  <c r="D11" i="6"/>
  <c r="D14" i="6" s="1"/>
  <c r="E13" i="13"/>
  <c r="E14" i="13"/>
  <c r="K22" i="6"/>
  <c r="K168" i="9"/>
  <c r="K152" i="9"/>
  <c r="G24" i="13"/>
  <c r="O21" i="3"/>
  <c r="O54" i="3"/>
  <c r="O53" i="3"/>
  <c r="D5" i="8"/>
  <c r="D12" i="8" s="1"/>
  <c r="K77" i="2"/>
  <c r="J128" i="2"/>
  <c r="K78" i="2"/>
  <c r="J129" i="2"/>
  <c r="K76" i="2"/>
  <c r="J127" i="2"/>
  <c r="J39" i="3"/>
  <c r="J37" i="9"/>
  <c r="J153" i="9" s="1"/>
  <c r="E121" i="9"/>
  <c r="E122" i="9" s="1"/>
  <c r="F120" i="9"/>
  <c r="I12" i="3"/>
  <c r="I9" i="3" s="1"/>
  <c r="I7" i="13" s="1"/>
  <c r="I36" i="3"/>
  <c r="J40" i="6"/>
  <c r="J43" i="2"/>
  <c r="J46" i="6"/>
  <c r="N40" i="6"/>
  <c r="N43" i="2"/>
  <c r="I40" i="6"/>
  <c r="I43" i="2"/>
  <c r="I46" i="6"/>
  <c r="P37" i="6"/>
  <c r="P44" i="2" s="1"/>
  <c r="O36" i="6"/>
  <c r="K37" i="9"/>
  <c r="K153" i="9" s="1"/>
  <c r="N17" i="4"/>
  <c r="M38" i="9"/>
  <c r="M4" i="9"/>
  <c r="M46" i="8"/>
  <c r="R41" i="2"/>
  <c r="R34" i="6" s="1"/>
  <c r="Q34" i="6"/>
  <c r="R42" i="2"/>
  <c r="R35" i="6" s="1"/>
  <c r="Q35" i="6"/>
  <c r="K50" i="2"/>
  <c r="J26" i="6"/>
  <c r="J30" i="13" s="1"/>
  <c r="L40" i="2"/>
  <c r="K33" i="6"/>
  <c r="K47" i="6" s="1"/>
  <c r="H4" i="8"/>
  <c r="K61" i="2"/>
  <c r="J33" i="3"/>
  <c r="K62" i="2"/>
  <c r="J34" i="3"/>
  <c r="I5" i="3"/>
  <c r="I4" i="3" s="1"/>
  <c r="I26" i="8" s="1"/>
  <c r="K63" i="2"/>
  <c r="J35" i="3"/>
  <c r="P23" i="3"/>
  <c r="H7" i="8"/>
  <c r="E79" i="3"/>
  <c r="E28" i="8"/>
  <c r="E12" i="8"/>
  <c r="F5" i="8"/>
  <c r="L59" i="3"/>
  <c r="L17" i="6" s="1"/>
  <c r="L52" i="3"/>
  <c r="K10" i="3"/>
  <c r="M43" i="3"/>
  <c r="M42" i="3" s="1"/>
  <c r="M56" i="3"/>
  <c r="L38" i="3"/>
  <c r="L11" i="3" s="1"/>
  <c r="L37" i="3"/>
  <c r="M31" i="3"/>
  <c r="N27" i="3"/>
  <c r="M25" i="3"/>
  <c r="M29" i="3" s="1"/>
  <c r="M26" i="3"/>
  <c r="M30" i="3" s="1"/>
  <c r="K60" i="3" l="1"/>
  <c r="K36" i="9" s="1"/>
  <c r="J66" i="9"/>
  <c r="H75" i="3"/>
  <c r="H62" i="8" s="1"/>
  <c r="J181" i="9"/>
  <c r="J151" i="9"/>
  <c r="J10" i="13"/>
  <c r="G76" i="3"/>
  <c r="G60" i="8" s="1"/>
  <c r="F8" i="6"/>
  <c r="F29" i="13" s="1"/>
  <c r="F14" i="3"/>
  <c r="H16" i="3"/>
  <c r="H5" i="6" s="1"/>
  <c r="H30" i="8" s="1"/>
  <c r="G14" i="3"/>
  <c r="G8" i="6"/>
  <c r="G29" i="13" s="1"/>
  <c r="I15" i="3"/>
  <c r="I68" i="3" s="1"/>
  <c r="I64" i="3" s="1"/>
  <c r="F27" i="13"/>
  <c r="H8" i="8"/>
  <c r="H77" i="3" s="1"/>
  <c r="H74" i="8" s="1"/>
  <c r="I6" i="13"/>
  <c r="G30" i="8"/>
  <c r="F12" i="13"/>
  <c r="F13" i="13" s="1"/>
  <c r="M154" i="9"/>
  <c r="G5" i="8"/>
  <c r="G28" i="8" s="1"/>
  <c r="N92" i="9"/>
  <c r="N183" i="9" s="1"/>
  <c r="N43" i="13"/>
  <c r="K66" i="9"/>
  <c r="G14" i="13"/>
  <c r="I23" i="13"/>
  <c r="I4" i="13"/>
  <c r="H24" i="13"/>
  <c r="L22" i="6"/>
  <c r="L168" i="9"/>
  <c r="L152" i="9"/>
  <c r="J60" i="3"/>
  <c r="J36" i="9" s="1"/>
  <c r="H25" i="13"/>
  <c r="H12" i="13"/>
  <c r="D61" i="8"/>
  <c r="E13" i="6"/>
  <c r="E18" i="4" s="1"/>
  <c r="E10" i="6"/>
  <c r="D17" i="13"/>
  <c r="D13" i="13"/>
  <c r="D14" i="13"/>
  <c r="P21" i="3"/>
  <c r="P54" i="3"/>
  <c r="P53" i="3"/>
  <c r="D79" i="3"/>
  <c r="D80" i="3" s="1"/>
  <c r="D28" i="8"/>
  <c r="L76" i="2"/>
  <c r="K127" i="2"/>
  <c r="K39" i="3"/>
  <c r="L78" i="2"/>
  <c r="K129" i="2"/>
  <c r="K91" i="9"/>
  <c r="K118" i="9"/>
  <c r="G120" i="9"/>
  <c r="F121" i="9"/>
  <c r="F122" i="9" s="1"/>
  <c r="J91" i="9"/>
  <c r="J118" i="9"/>
  <c r="L77" i="2"/>
  <c r="K128" i="2"/>
  <c r="I7" i="8"/>
  <c r="J12" i="3"/>
  <c r="J9" i="3" s="1"/>
  <c r="J7" i="13" s="1"/>
  <c r="J36" i="3"/>
  <c r="O40" i="6"/>
  <c r="O43" i="2"/>
  <c r="O46" i="6"/>
  <c r="Q37" i="6"/>
  <c r="Q44" i="2" s="1"/>
  <c r="R37" i="6"/>
  <c r="R44" i="2" s="1"/>
  <c r="P36" i="6"/>
  <c r="L37" i="9"/>
  <c r="L153" i="9" s="1"/>
  <c r="O17" i="4"/>
  <c r="N38" i="9"/>
  <c r="N4" i="9"/>
  <c r="N46" i="8"/>
  <c r="L50" i="2"/>
  <c r="K26" i="6"/>
  <c r="K30" i="13" s="1"/>
  <c r="M40" i="2"/>
  <c r="L33" i="6"/>
  <c r="L47" i="6" s="1"/>
  <c r="L63" i="2"/>
  <c r="K35" i="3"/>
  <c r="I4" i="6"/>
  <c r="I27" i="8" s="1"/>
  <c r="I25" i="8" s="1"/>
  <c r="I4" i="8"/>
  <c r="L62" i="2"/>
  <c r="K34" i="3"/>
  <c r="J5" i="3"/>
  <c r="J4" i="3" s="1"/>
  <c r="J26" i="8" s="1"/>
  <c r="L61" i="2"/>
  <c r="K33" i="3"/>
  <c r="Q23" i="3"/>
  <c r="F28" i="8"/>
  <c r="F12" i="8"/>
  <c r="F13" i="8" s="1"/>
  <c r="F79" i="3"/>
  <c r="F80" i="3" s="1"/>
  <c r="D18" i="8"/>
  <c r="D32" i="6" s="1"/>
  <c r="D14" i="8"/>
  <c r="D15" i="8"/>
  <c r="E14" i="8"/>
  <c r="E15" i="8"/>
  <c r="M59" i="3"/>
  <c r="M17" i="6" s="1"/>
  <c r="M52" i="3"/>
  <c r="L10" i="3"/>
  <c r="N43" i="3"/>
  <c r="N42" i="3" s="1"/>
  <c r="N56" i="3"/>
  <c r="M38" i="3"/>
  <c r="M11" i="3" s="1"/>
  <c r="M37" i="3"/>
  <c r="N31" i="3"/>
  <c r="N25" i="3"/>
  <c r="N29" i="3" s="1"/>
  <c r="N26" i="3"/>
  <c r="N30" i="3" s="1"/>
  <c r="O27" i="3"/>
  <c r="L60" i="3" l="1"/>
  <c r="L36" i="9" s="1"/>
  <c r="K117" i="9"/>
  <c r="K116" i="9" s="1"/>
  <c r="K182" i="9"/>
  <c r="J117" i="9"/>
  <c r="J116" i="9" s="1"/>
  <c r="J182" i="9"/>
  <c r="K61" i="3"/>
  <c r="K6" i="13" s="1"/>
  <c r="I75" i="3"/>
  <c r="I62" i="8" s="1"/>
  <c r="N154" i="9"/>
  <c r="K181" i="9"/>
  <c r="K151" i="9"/>
  <c r="K10" i="13"/>
  <c r="H76" i="3"/>
  <c r="H60" i="8" s="1"/>
  <c r="H8" i="6"/>
  <c r="H29" i="13" s="1"/>
  <c r="F14" i="13"/>
  <c r="H14" i="3"/>
  <c r="H27" i="13"/>
  <c r="G33" i="9"/>
  <c r="H5" i="8"/>
  <c r="H28" i="8" s="1"/>
  <c r="G12" i="8"/>
  <c r="G13" i="8" s="1"/>
  <c r="G79" i="3"/>
  <c r="G80" i="3" s="1"/>
  <c r="O92" i="9"/>
  <c r="O183" i="9" s="1"/>
  <c r="O43" i="13"/>
  <c r="L66" i="9"/>
  <c r="E14" i="6"/>
  <c r="F13" i="6" s="1"/>
  <c r="F18" i="4" s="1"/>
  <c r="I24" i="13"/>
  <c r="J23" i="13"/>
  <c r="J4" i="13"/>
  <c r="I16" i="3"/>
  <c r="I5" i="6" s="1"/>
  <c r="I27" i="13" s="1"/>
  <c r="I8" i="13"/>
  <c r="I5" i="13" s="1"/>
  <c r="D18" i="13"/>
  <c r="D180" i="9"/>
  <c r="D167" i="9"/>
  <c r="E44" i="13"/>
  <c r="E47" i="8"/>
  <c r="E6" i="9" s="1"/>
  <c r="M22" i="6"/>
  <c r="M152" i="9"/>
  <c r="M168" i="9"/>
  <c r="K6" i="8"/>
  <c r="K78" i="3" s="1"/>
  <c r="J61" i="3"/>
  <c r="J6" i="13" s="1"/>
  <c r="H13" i="13"/>
  <c r="H14" i="13"/>
  <c r="F36" i="8"/>
  <c r="F33" i="13"/>
  <c r="D36" i="8"/>
  <c r="D33" i="13"/>
  <c r="D43" i="6"/>
  <c r="D34" i="8" s="1"/>
  <c r="G32" i="8"/>
  <c r="E80" i="3"/>
  <c r="Q21" i="3"/>
  <c r="Q53" i="3"/>
  <c r="Q54" i="3"/>
  <c r="K15" i="3"/>
  <c r="J7" i="8"/>
  <c r="I8" i="8"/>
  <c r="L91" i="9"/>
  <c r="L118" i="9"/>
  <c r="M77" i="2"/>
  <c r="L128" i="2"/>
  <c r="M78" i="2"/>
  <c r="L129" i="2"/>
  <c r="K12" i="3"/>
  <c r="K9" i="3" s="1"/>
  <c r="K7" i="13" s="1"/>
  <c r="K36" i="3"/>
  <c r="H120" i="9"/>
  <c r="G121" i="9"/>
  <c r="G122" i="9" s="1"/>
  <c r="M76" i="2"/>
  <c r="L127" i="2"/>
  <c r="L39" i="3"/>
  <c r="L61" i="3"/>
  <c r="P46" i="6"/>
  <c r="P43" i="2"/>
  <c r="R36" i="6"/>
  <c r="Q36" i="6"/>
  <c r="Q43" i="2" s="1"/>
  <c r="M37" i="9"/>
  <c r="M153" i="9" s="1"/>
  <c r="P17" i="4"/>
  <c r="O38" i="9"/>
  <c r="O46" i="8"/>
  <c r="O4" i="9"/>
  <c r="F32" i="8"/>
  <c r="F33" i="9"/>
  <c r="N40" i="2"/>
  <c r="M33" i="6"/>
  <c r="M47" i="6" s="1"/>
  <c r="K5" i="3"/>
  <c r="K4" i="3" s="1"/>
  <c r="K26" i="8" s="1"/>
  <c r="M50" i="2"/>
  <c r="L26" i="6"/>
  <c r="L30" i="13" s="1"/>
  <c r="M62" i="2"/>
  <c r="L34" i="3"/>
  <c r="M61" i="2"/>
  <c r="L33" i="3"/>
  <c r="J4" i="6"/>
  <c r="J27" i="8" s="1"/>
  <c r="J25" i="8" s="1"/>
  <c r="J4" i="8"/>
  <c r="M63" i="2"/>
  <c r="L35" i="3"/>
  <c r="R23" i="3"/>
  <c r="F14" i="8"/>
  <c r="F15" i="8"/>
  <c r="N59" i="3"/>
  <c r="N17" i="6" s="1"/>
  <c r="N52" i="3"/>
  <c r="M10" i="3"/>
  <c r="O43" i="3"/>
  <c r="O42" i="3" s="1"/>
  <c r="O56" i="3"/>
  <c r="N38" i="3"/>
  <c r="N11" i="3" s="1"/>
  <c r="N37" i="3"/>
  <c r="O31" i="3"/>
  <c r="P27" i="3"/>
  <c r="O26" i="3"/>
  <c r="O30" i="3" s="1"/>
  <c r="O25" i="3"/>
  <c r="O29" i="3" s="1"/>
  <c r="M60" i="3" l="1"/>
  <c r="M36" i="9" s="1"/>
  <c r="L117" i="9"/>
  <c r="L116" i="9" s="1"/>
  <c r="L182" i="9"/>
  <c r="D165" i="9"/>
  <c r="D164" i="9" s="1"/>
  <c r="D179" i="9"/>
  <c r="G64" i="9"/>
  <c r="G166" i="9" s="1"/>
  <c r="J75" i="3"/>
  <c r="J62" i="8" s="1"/>
  <c r="L151" i="9"/>
  <c r="L181" i="9"/>
  <c r="L10" i="13"/>
  <c r="I76" i="3"/>
  <c r="I60" i="8" s="1"/>
  <c r="H12" i="8"/>
  <c r="H13" i="8" s="1"/>
  <c r="H33" i="9"/>
  <c r="G14" i="8"/>
  <c r="H32" i="8"/>
  <c r="H79" i="3"/>
  <c r="H80" i="3" s="1"/>
  <c r="G149" i="9"/>
  <c r="G15" i="8"/>
  <c r="O154" i="9"/>
  <c r="F10" i="6"/>
  <c r="F14" i="6" s="1"/>
  <c r="F61" i="8" s="1"/>
  <c r="E61" i="8"/>
  <c r="P92" i="9"/>
  <c r="P183" i="9" s="1"/>
  <c r="P43" i="13"/>
  <c r="J15" i="3"/>
  <c r="J68" i="3" s="1"/>
  <c r="J64" i="3" s="1"/>
  <c r="J8" i="13" s="1"/>
  <c r="J5" i="13" s="1"/>
  <c r="J6" i="8"/>
  <c r="J78" i="3" s="1"/>
  <c r="K4" i="6"/>
  <c r="K27" i="8" s="1"/>
  <c r="K25" i="8" s="1"/>
  <c r="K4" i="13"/>
  <c r="K23" i="13"/>
  <c r="J24" i="13"/>
  <c r="K68" i="3"/>
  <c r="K64" i="3" s="1"/>
  <c r="K8" i="8" s="1"/>
  <c r="I14" i="3"/>
  <c r="F47" i="8"/>
  <c r="F6" i="9" s="1"/>
  <c r="F44" i="13"/>
  <c r="L6" i="8"/>
  <c r="L78" i="3" s="1"/>
  <c r="L6" i="13"/>
  <c r="I8" i="6"/>
  <c r="I29" i="13" s="1"/>
  <c r="N22" i="6"/>
  <c r="N66" i="9" s="1"/>
  <c r="N152" i="9"/>
  <c r="N168" i="9"/>
  <c r="I30" i="8"/>
  <c r="M66" i="9"/>
  <c r="D150" i="9"/>
  <c r="D31" i="13"/>
  <c r="D26" i="13" s="1"/>
  <c r="D22" i="13" s="1"/>
  <c r="I25" i="13"/>
  <c r="I12" i="13"/>
  <c r="G36" i="8"/>
  <c r="G33" i="13"/>
  <c r="E36" i="8"/>
  <c r="E33" i="13"/>
  <c r="F64" i="9"/>
  <c r="F166" i="9" s="1"/>
  <c r="F149" i="9"/>
  <c r="D44" i="6"/>
  <c r="D19" i="13" s="1"/>
  <c r="I77" i="3"/>
  <c r="I74" i="8" s="1"/>
  <c r="R21" i="3"/>
  <c r="R53" i="3"/>
  <c r="R54" i="3"/>
  <c r="L15" i="3"/>
  <c r="K7" i="8"/>
  <c r="I5" i="8"/>
  <c r="N76" i="2"/>
  <c r="M127" i="2"/>
  <c r="M39" i="3"/>
  <c r="N78" i="2"/>
  <c r="M129" i="2"/>
  <c r="H121" i="9"/>
  <c r="H122" i="9" s="1"/>
  <c r="I120" i="9"/>
  <c r="N77" i="2"/>
  <c r="M128" i="2"/>
  <c r="M91" i="9"/>
  <c r="M118" i="9"/>
  <c r="L12" i="3"/>
  <c r="L9" i="3" s="1"/>
  <c r="L7" i="13" s="1"/>
  <c r="L36" i="3"/>
  <c r="M61" i="3"/>
  <c r="Q46" i="6"/>
  <c r="R46" i="6"/>
  <c r="R43" i="2"/>
  <c r="N37" i="9"/>
  <c r="N153" i="9" s="1"/>
  <c r="Q17" i="4"/>
  <c r="P38" i="9"/>
  <c r="P46" i="8"/>
  <c r="P4" i="9"/>
  <c r="K4" i="8"/>
  <c r="N50" i="2"/>
  <c r="M26" i="6"/>
  <c r="M30" i="13" s="1"/>
  <c r="O40" i="2"/>
  <c r="N33" i="6"/>
  <c r="N47" i="6" s="1"/>
  <c r="N61" i="2"/>
  <c r="M33" i="3"/>
  <c r="N63" i="2"/>
  <c r="M35" i="3"/>
  <c r="L5" i="3"/>
  <c r="L4" i="3" s="1"/>
  <c r="L26" i="8" s="1"/>
  <c r="N62" i="2"/>
  <c r="M34" i="3"/>
  <c r="D34" i="9"/>
  <c r="D65" i="9" s="1"/>
  <c r="O59" i="3"/>
  <c r="O17" i="6" s="1"/>
  <c r="O52" i="3"/>
  <c r="N10" i="3"/>
  <c r="P43" i="3"/>
  <c r="P42" i="3" s="1"/>
  <c r="P56" i="3"/>
  <c r="O38" i="3"/>
  <c r="O11" i="3" s="1"/>
  <c r="O37" i="3"/>
  <c r="P31" i="3"/>
  <c r="P26" i="3"/>
  <c r="P30" i="3" s="1"/>
  <c r="P25" i="3"/>
  <c r="P29" i="3" s="1"/>
  <c r="Q27" i="3"/>
  <c r="M117" i="9" l="1"/>
  <c r="M116" i="9" s="1"/>
  <c r="M182" i="9"/>
  <c r="D148" i="9"/>
  <c r="H149" i="9"/>
  <c r="K75" i="3"/>
  <c r="K62" i="8" s="1"/>
  <c r="M151" i="9"/>
  <c r="M10" i="13"/>
  <c r="M181" i="9"/>
  <c r="K76" i="3"/>
  <c r="K60" i="8" s="1"/>
  <c r="H64" i="9"/>
  <c r="H166" i="9" s="1"/>
  <c r="H15" i="8"/>
  <c r="H14" i="8"/>
  <c r="P154" i="9"/>
  <c r="J16" i="3"/>
  <c r="J5" i="6" s="1"/>
  <c r="J8" i="6" s="1"/>
  <c r="J29" i="13" s="1"/>
  <c r="Q92" i="9"/>
  <c r="Q183" i="9" s="1"/>
  <c r="Q43" i="13"/>
  <c r="J8" i="8"/>
  <c r="N60" i="3"/>
  <c r="N61" i="3" s="1"/>
  <c r="N6" i="8" s="1"/>
  <c r="N78" i="3" s="1"/>
  <c r="G10" i="6"/>
  <c r="L4" i="13"/>
  <c r="L23" i="13"/>
  <c r="I32" i="8"/>
  <c r="I33" i="9"/>
  <c r="K24" i="13"/>
  <c r="J25" i="13"/>
  <c r="J12" i="13"/>
  <c r="M6" i="8"/>
  <c r="M78" i="3" s="1"/>
  <c r="M6" i="13"/>
  <c r="I13" i="13"/>
  <c r="I14" i="13"/>
  <c r="K16" i="3"/>
  <c r="K8" i="13"/>
  <c r="K5" i="13" s="1"/>
  <c r="O22" i="6"/>
  <c r="O60" i="3" s="1"/>
  <c r="O36" i="9" s="1"/>
  <c r="O168" i="9"/>
  <c r="O152" i="9"/>
  <c r="H36" i="8"/>
  <c r="H33" i="13"/>
  <c r="K77" i="3"/>
  <c r="K74" i="8" s="1"/>
  <c r="L68" i="3"/>
  <c r="L64" i="3" s="1"/>
  <c r="I79" i="3"/>
  <c r="I80" i="3" s="1"/>
  <c r="M15" i="3"/>
  <c r="K5" i="8"/>
  <c r="K12" i="8" s="1"/>
  <c r="K13" i="8" s="1"/>
  <c r="L7" i="8"/>
  <c r="I28" i="8"/>
  <c r="I12" i="8"/>
  <c r="I13" i="8" s="1"/>
  <c r="N91" i="9"/>
  <c r="N182" i="9" s="1"/>
  <c r="N118" i="9"/>
  <c r="N117" i="9" s="1"/>
  <c r="N116" i="9" s="1"/>
  <c r="O78" i="2"/>
  <c r="N129" i="2"/>
  <c r="M12" i="3"/>
  <c r="M9" i="3" s="1"/>
  <c r="M7" i="13" s="1"/>
  <c r="M36" i="3"/>
  <c r="O77" i="2"/>
  <c r="N128" i="2"/>
  <c r="O76" i="2"/>
  <c r="N127" i="2"/>
  <c r="N39" i="3"/>
  <c r="I121" i="9"/>
  <c r="I122" i="9" s="1"/>
  <c r="J120" i="9"/>
  <c r="D32" i="9"/>
  <c r="D63" i="9"/>
  <c r="D62" i="9" s="1"/>
  <c r="O37" i="9"/>
  <c r="O153" i="9" s="1"/>
  <c r="R17" i="4"/>
  <c r="Q38" i="9"/>
  <c r="Q46" i="8"/>
  <c r="Q4" i="9"/>
  <c r="P40" i="2"/>
  <c r="O33" i="6"/>
  <c r="O47" i="6" s="1"/>
  <c r="O50" i="2"/>
  <c r="N26" i="6"/>
  <c r="N30" i="13" s="1"/>
  <c r="O62" i="2"/>
  <c r="N34" i="3"/>
  <c r="L4" i="8"/>
  <c r="L4" i="6"/>
  <c r="L27" i="8" s="1"/>
  <c r="L25" i="8" s="1"/>
  <c r="O63" i="2"/>
  <c r="N35" i="3"/>
  <c r="M5" i="3"/>
  <c r="M4" i="3" s="1"/>
  <c r="M26" i="8" s="1"/>
  <c r="O61" i="2"/>
  <c r="N33" i="3"/>
  <c r="D19" i="8"/>
  <c r="P59" i="3"/>
  <c r="P17" i="6" s="1"/>
  <c r="P52" i="3"/>
  <c r="O10" i="3"/>
  <c r="Q43" i="3"/>
  <c r="Q42" i="3" s="1"/>
  <c r="Q56" i="3"/>
  <c r="P38" i="3"/>
  <c r="P11" i="3" s="1"/>
  <c r="P37" i="3"/>
  <c r="Q31" i="3"/>
  <c r="Q25" i="3"/>
  <c r="Q29" i="3" s="1"/>
  <c r="Q26" i="3"/>
  <c r="Q30" i="3" s="1"/>
  <c r="R27" i="3"/>
  <c r="I64" i="9" l="1"/>
  <c r="I166" i="9" s="1"/>
  <c r="L75" i="3"/>
  <c r="L62" i="8" s="1"/>
  <c r="Q154" i="9"/>
  <c r="N151" i="9"/>
  <c r="N181" i="9"/>
  <c r="N10" i="13"/>
  <c r="J77" i="3"/>
  <c r="J74" i="8" s="1"/>
  <c r="J76" i="3"/>
  <c r="J60" i="8" s="1"/>
  <c r="J27" i="13"/>
  <c r="J14" i="3"/>
  <c r="N15" i="3"/>
  <c r="N36" i="9"/>
  <c r="N6" i="13"/>
  <c r="R92" i="9"/>
  <c r="R183" i="9" s="1"/>
  <c r="R43" i="13"/>
  <c r="J5" i="8"/>
  <c r="J12" i="8" s="1"/>
  <c r="J13" i="8" s="1"/>
  <c r="L24" i="13"/>
  <c r="I149" i="9"/>
  <c r="M4" i="13"/>
  <c r="M23" i="13"/>
  <c r="J13" i="13"/>
  <c r="J14" i="13"/>
  <c r="P22" i="6"/>
  <c r="P66" i="9" s="1"/>
  <c r="P168" i="9"/>
  <c r="P152" i="9"/>
  <c r="L16" i="3"/>
  <c r="L8" i="13"/>
  <c r="L5" i="13" s="1"/>
  <c r="K12" i="13"/>
  <c r="K25" i="13"/>
  <c r="O66" i="9"/>
  <c r="K5" i="6"/>
  <c r="K14" i="3"/>
  <c r="I36" i="8"/>
  <c r="I33" i="13"/>
  <c r="L8" i="8"/>
  <c r="L77" i="3" s="1"/>
  <c r="L74" i="8" s="1"/>
  <c r="J30" i="8"/>
  <c r="M68" i="3"/>
  <c r="M64" i="3" s="1"/>
  <c r="K79" i="3"/>
  <c r="K28" i="8"/>
  <c r="O61" i="3"/>
  <c r="I15" i="8"/>
  <c r="I14" i="8"/>
  <c r="M7" i="8"/>
  <c r="K120" i="9"/>
  <c r="J121" i="9"/>
  <c r="J122" i="9" s="1"/>
  <c r="O91" i="9"/>
  <c r="O182" i="9" s="1"/>
  <c r="O118" i="9"/>
  <c r="O117" i="9" s="1"/>
  <c r="O116" i="9" s="1"/>
  <c r="N12" i="3"/>
  <c r="N9" i="3" s="1"/>
  <c r="N36" i="3"/>
  <c r="P78" i="2"/>
  <c r="O129" i="2"/>
  <c r="P76" i="2"/>
  <c r="O127" i="2"/>
  <c r="O39" i="3"/>
  <c r="P77" i="2"/>
  <c r="O128" i="2"/>
  <c r="D89" i="9"/>
  <c r="D162" i="9"/>
  <c r="P37" i="9"/>
  <c r="P153" i="9" s="1"/>
  <c r="R38" i="9"/>
  <c r="R4" i="9"/>
  <c r="R46" i="8"/>
  <c r="P50" i="2"/>
  <c r="O26" i="6"/>
  <c r="O30" i="13" s="1"/>
  <c r="Q40" i="2"/>
  <c r="P33" i="6"/>
  <c r="N5" i="3"/>
  <c r="N4" i="3" s="1"/>
  <c r="N26" i="8" s="1"/>
  <c r="P63" i="2"/>
  <c r="O35" i="3"/>
  <c r="P61" i="2"/>
  <c r="O33" i="3"/>
  <c r="M4" i="8"/>
  <c r="M4" i="6"/>
  <c r="M27" i="8" s="1"/>
  <c r="M25" i="8" s="1"/>
  <c r="P62" i="2"/>
  <c r="O34" i="3"/>
  <c r="D29" i="8"/>
  <c r="D24" i="8" s="1"/>
  <c r="D58" i="8"/>
  <c r="K14" i="8"/>
  <c r="K15" i="8"/>
  <c r="Q59" i="3"/>
  <c r="Q17" i="6" s="1"/>
  <c r="R52" i="3"/>
  <c r="Q52" i="3"/>
  <c r="P10" i="3"/>
  <c r="R43" i="3"/>
  <c r="R42" i="3" s="1"/>
  <c r="R56" i="3"/>
  <c r="Q38" i="3"/>
  <c r="Q11" i="3" s="1"/>
  <c r="Q37" i="3"/>
  <c r="R31" i="3"/>
  <c r="R26" i="3"/>
  <c r="R30" i="3" s="1"/>
  <c r="R25" i="3"/>
  <c r="R29" i="3" s="1"/>
  <c r="M75" i="3" l="1"/>
  <c r="M62" i="8" s="1"/>
  <c r="O10" i="13"/>
  <c r="O151" i="9"/>
  <c r="O181" i="9"/>
  <c r="L76" i="3"/>
  <c r="L60" i="8" s="1"/>
  <c r="P60" i="3"/>
  <c r="P36" i="9" s="1"/>
  <c r="J79" i="3"/>
  <c r="J80" i="3" s="1"/>
  <c r="J36" i="8" s="1"/>
  <c r="R154" i="9"/>
  <c r="J28" i="8"/>
  <c r="N68" i="3"/>
  <c r="N64" i="3" s="1"/>
  <c r="N16" i="3" s="1"/>
  <c r="N7" i="13"/>
  <c r="M24" i="13"/>
  <c r="N4" i="8"/>
  <c r="N75" i="3" s="1"/>
  <c r="N62" i="8" s="1"/>
  <c r="N4" i="13"/>
  <c r="N23" i="13"/>
  <c r="O6" i="8"/>
  <c r="O78" i="3" s="1"/>
  <c r="O6" i="13"/>
  <c r="M16" i="3"/>
  <c r="M5" i="6" s="1"/>
  <c r="M27" i="13" s="1"/>
  <c r="M8" i="13"/>
  <c r="M5" i="13" s="1"/>
  <c r="K27" i="13"/>
  <c r="K30" i="8"/>
  <c r="K8" i="6"/>
  <c r="L25" i="13"/>
  <c r="L12" i="13"/>
  <c r="K14" i="13"/>
  <c r="K13" i="13"/>
  <c r="L5" i="6"/>
  <c r="L14" i="3"/>
  <c r="Q22" i="6"/>
  <c r="Q60" i="3" s="1"/>
  <c r="Q61" i="3" s="1"/>
  <c r="Q152" i="9"/>
  <c r="Q168" i="9"/>
  <c r="L5" i="8"/>
  <c r="L28" i="8" s="1"/>
  <c r="J14" i="8"/>
  <c r="J15" i="8"/>
  <c r="J33" i="9"/>
  <c r="J32" i="8"/>
  <c r="M8" i="8"/>
  <c r="O15" i="3"/>
  <c r="Q78" i="2"/>
  <c r="P129" i="2"/>
  <c r="P91" i="9"/>
  <c r="P182" i="9" s="1"/>
  <c r="P118" i="9"/>
  <c r="P117" i="9" s="1"/>
  <c r="P116" i="9" s="1"/>
  <c r="Q77" i="2"/>
  <c r="P128" i="2"/>
  <c r="O12" i="3"/>
  <c r="O9" i="3" s="1"/>
  <c r="O7" i="13" s="1"/>
  <c r="O36" i="3"/>
  <c r="N7" i="8"/>
  <c r="Q76" i="2"/>
  <c r="P127" i="2"/>
  <c r="P39" i="3"/>
  <c r="L120" i="9"/>
  <c r="K121" i="9"/>
  <c r="K122" i="9" s="1"/>
  <c r="D67" i="9"/>
  <c r="D20" i="8"/>
  <c r="P40" i="6"/>
  <c r="P47" i="6"/>
  <c r="Q37" i="9"/>
  <c r="Q153" i="9" s="1"/>
  <c r="N4" i="6"/>
  <c r="N27" i="8" s="1"/>
  <c r="N25" i="8" s="1"/>
  <c r="R40" i="2"/>
  <c r="R33" i="6" s="1"/>
  <c r="Q33" i="6"/>
  <c r="Q50" i="2"/>
  <c r="P26" i="6"/>
  <c r="Q61" i="2"/>
  <c r="P33" i="3"/>
  <c r="Q62" i="2"/>
  <c r="P34" i="3"/>
  <c r="O5" i="3"/>
  <c r="O4" i="3" s="1"/>
  <c r="O26" i="8" s="1"/>
  <c r="Q63" i="2"/>
  <c r="P35" i="3"/>
  <c r="D3" i="9"/>
  <c r="R59" i="3"/>
  <c r="R17" i="6" s="1"/>
  <c r="Q10" i="3"/>
  <c r="R38" i="3"/>
  <c r="R11" i="3" s="1"/>
  <c r="R37" i="3"/>
  <c r="D69" i="8" l="1"/>
  <c r="E68" i="8" s="1"/>
  <c r="P29" i="6"/>
  <c r="P35" i="9" s="1"/>
  <c r="P90" i="9" s="1"/>
  <c r="P30" i="13"/>
  <c r="M76" i="3"/>
  <c r="M60" i="8" s="1"/>
  <c r="P61" i="3"/>
  <c r="P15" i="3" s="1"/>
  <c r="K80" i="3"/>
  <c r="K36" i="8" s="1"/>
  <c r="J33" i="13"/>
  <c r="N8" i="8"/>
  <c r="N5" i="8" s="1"/>
  <c r="N28" i="8" s="1"/>
  <c r="N8" i="13"/>
  <c r="N5" i="13" s="1"/>
  <c r="N12" i="13" s="1"/>
  <c r="N5" i="6"/>
  <c r="N27" i="13" s="1"/>
  <c r="N14" i="3"/>
  <c r="N24" i="13"/>
  <c r="O4" i="13"/>
  <c r="O23" i="13"/>
  <c r="L12" i="8"/>
  <c r="L13" i="8" s="1"/>
  <c r="Q6" i="8"/>
  <c r="Q78" i="3" s="1"/>
  <c r="Q6" i="13"/>
  <c r="M12" i="13"/>
  <c r="M25" i="13"/>
  <c r="M30" i="8"/>
  <c r="M8" i="6"/>
  <c r="M29" i="13" s="1"/>
  <c r="L27" i="13"/>
  <c r="L8" i="6"/>
  <c r="L30" i="8"/>
  <c r="M14" i="3"/>
  <c r="K29" i="13"/>
  <c r="K32" i="8"/>
  <c r="K33" i="9"/>
  <c r="L14" i="13"/>
  <c r="L13" i="13"/>
  <c r="Q66" i="9"/>
  <c r="R22" i="6"/>
  <c r="R60" i="3" s="1"/>
  <c r="R36" i="9" s="1"/>
  <c r="R168" i="9"/>
  <c r="R152" i="9"/>
  <c r="L79" i="3"/>
  <c r="L80" i="3" s="1"/>
  <c r="L33" i="13" s="1"/>
  <c r="J64" i="9"/>
  <c r="J166" i="9" s="1"/>
  <c r="J149" i="9"/>
  <c r="M77" i="3"/>
  <c r="M74" i="8" s="1"/>
  <c r="M5" i="8"/>
  <c r="M28" i="8" s="1"/>
  <c r="O68" i="3"/>
  <c r="O64" i="3" s="1"/>
  <c r="O7" i="8"/>
  <c r="R76" i="2"/>
  <c r="Q127" i="2"/>
  <c r="Q39" i="3"/>
  <c r="R77" i="2"/>
  <c r="R128" i="2" s="1"/>
  <c r="Q128" i="2"/>
  <c r="Q36" i="9"/>
  <c r="Q91" i="9"/>
  <c r="Q182" i="9" s="1"/>
  <c r="Q118" i="9"/>
  <c r="Q117" i="9" s="1"/>
  <c r="Q116" i="9" s="1"/>
  <c r="L121" i="9"/>
  <c r="L122" i="9" s="1"/>
  <c r="M120" i="9"/>
  <c r="P12" i="3"/>
  <c r="P9" i="3" s="1"/>
  <c r="P7" i="13" s="1"/>
  <c r="P36" i="3"/>
  <c r="R78" i="2"/>
  <c r="R129" i="2" s="1"/>
  <c r="Q129" i="2"/>
  <c r="D88" i="9"/>
  <c r="Q40" i="6"/>
  <c r="Q47" i="6"/>
  <c r="R40" i="6"/>
  <c r="R47" i="6"/>
  <c r="R37" i="9"/>
  <c r="R153" i="9" s="1"/>
  <c r="P33" i="8"/>
  <c r="R50" i="2"/>
  <c r="R26" i="6" s="1"/>
  <c r="Q26" i="6"/>
  <c r="R63" i="2"/>
  <c r="R35" i="3" s="1"/>
  <c r="Q35" i="3"/>
  <c r="O4" i="6"/>
  <c r="O27" i="8" s="1"/>
  <c r="O25" i="8" s="1"/>
  <c r="O4" i="8"/>
  <c r="O75" i="3" s="1"/>
  <c r="O62" i="8" s="1"/>
  <c r="R62" i="2"/>
  <c r="R34" i="3" s="1"/>
  <c r="Q34" i="3"/>
  <c r="P5" i="3"/>
  <c r="P4" i="3" s="1"/>
  <c r="P26" i="8" s="1"/>
  <c r="R61" i="2"/>
  <c r="R33" i="3" s="1"/>
  <c r="Q33" i="3"/>
  <c r="Q15" i="3"/>
  <c r="R10" i="3"/>
  <c r="D70" i="8" l="1"/>
  <c r="P72" i="3"/>
  <c r="P71" i="3" s="1"/>
  <c r="P10" i="8" s="1"/>
  <c r="P6" i="8"/>
  <c r="P78" i="3" s="1"/>
  <c r="P6" i="13"/>
  <c r="Q29" i="6"/>
  <c r="Q35" i="9" s="1"/>
  <c r="Q90" i="9" s="1"/>
  <c r="Q30" i="13"/>
  <c r="R29" i="6"/>
  <c r="R35" i="9" s="1"/>
  <c r="R90" i="9" s="1"/>
  <c r="R30" i="13"/>
  <c r="P181" i="9"/>
  <c r="P151" i="9"/>
  <c r="P10" i="13"/>
  <c r="N76" i="3"/>
  <c r="N60" i="8" s="1"/>
  <c r="N77" i="3"/>
  <c r="N74" i="8" s="1"/>
  <c r="K33" i="13"/>
  <c r="N30" i="8"/>
  <c r="N8" i="6"/>
  <c r="N29" i="13" s="1"/>
  <c r="R66" i="9"/>
  <c r="N25" i="13"/>
  <c r="L15" i="8"/>
  <c r="O24" i="13"/>
  <c r="P23" i="13"/>
  <c r="P4" i="13"/>
  <c r="M33" i="9"/>
  <c r="L14" i="8"/>
  <c r="N13" i="13"/>
  <c r="N14" i="13"/>
  <c r="K64" i="9"/>
  <c r="K166" i="9" s="1"/>
  <c r="K149" i="9"/>
  <c r="O8" i="8"/>
  <c r="O8" i="13"/>
  <c r="O5" i="13" s="1"/>
  <c r="M14" i="13"/>
  <c r="M13" i="13"/>
  <c r="L36" i="8"/>
  <c r="M32" i="8"/>
  <c r="L29" i="13"/>
  <c r="L32" i="8"/>
  <c r="L33" i="9"/>
  <c r="M79" i="3"/>
  <c r="M80" i="3" s="1"/>
  <c r="O16" i="3"/>
  <c r="O5" i="6" s="1"/>
  <c r="M12" i="8"/>
  <c r="P68" i="3"/>
  <c r="P64" i="3" s="1"/>
  <c r="N12" i="8"/>
  <c r="P7" i="8"/>
  <c r="M10" i="4"/>
  <c r="R91" i="9"/>
  <c r="R182" i="9" s="1"/>
  <c r="R118" i="9"/>
  <c r="R117" i="9" s="1"/>
  <c r="R116" i="9" s="1"/>
  <c r="Q12" i="3"/>
  <c r="Q9" i="3" s="1"/>
  <c r="Q36" i="3"/>
  <c r="N120" i="9"/>
  <c r="M121" i="9"/>
  <c r="M122" i="9" s="1"/>
  <c r="R21" i="4"/>
  <c r="R22" i="4" s="1"/>
  <c r="R37" i="13" s="1"/>
  <c r="R127" i="2"/>
  <c r="R39" i="3"/>
  <c r="P21" i="4"/>
  <c r="P22" i="4" s="1"/>
  <c r="P37" i="13" s="1"/>
  <c r="R61" i="3"/>
  <c r="Q5" i="3"/>
  <c r="Q4" i="3" s="1"/>
  <c r="Q26" i="8" s="1"/>
  <c r="R5" i="3"/>
  <c r="R4" i="3" s="1"/>
  <c r="R26" i="8" s="1"/>
  <c r="P4" i="8"/>
  <c r="P75" i="3" s="1"/>
  <c r="P62" i="8" s="1"/>
  <c r="P4" i="6"/>
  <c r="P27" i="8" s="1"/>
  <c r="P25" i="8" s="1"/>
  <c r="Q10" i="4"/>
  <c r="L10" i="4"/>
  <c r="I10" i="4"/>
  <c r="O10" i="4"/>
  <c r="H10" i="4"/>
  <c r="K10" i="4"/>
  <c r="P10" i="4"/>
  <c r="G10" i="4"/>
  <c r="N10" i="4"/>
  <c r="J10" i="4"/>
  <c r="R10" i="4"/>
  <c r="M64" i="9" l="1"/>
  <c r="M166" i="9" s="1"/>
  <c r="P18" i="3"/>
  <c r="Q33" i="8"/>
  <c r="Q72" i="3"/>
  <c r="Q71" i="3" s="1"/>
  <c r="Q18" i="3" s="1"/>
  <c r="R72" i="3"/>
  <c r="R71" i="3" s="1"/>
  <c r="R10" i="8" s="1"/>
  <c r="R33" i="8"/>
  <c r="R181" i="9"/>
  <c r="R10" i="13"/>
  <c r="R151" i="9"/>
  <c r="Q10" i="13"/>
  <c r="Q181" i="9"/>
  <c r="Q151" i="9"/>
  <c r="O76" i="3"/>
  <c r="O60" i="8" s="1"/>
  <c r="N79" i="3"/>
  <c r="N80" i="3" s="1"/>
  <c r="N36" i="8" s="1"/>
  <c r="N33" i="9"/>
  <c r="N149" i="9" s="1"/>
  <c r="N32" i="8"/>
  <c r="Q68" i="3"/>
  <c r="Q64" i="3" s="1"/>
  <c r="Q8" i="13" s="1"/>
  <c r="Q7" i="13"/>
  <c r="Q4" i="6"/>
  <c r="Q27" i="8" s="1"/>
  <c r="Q25" i="8" s="1"/>
  <c r="Q23" i="13"/>
  <c r="Q4" i="13"/>
  <c r="P24" i="13"/>
  <c r="R4" i="13"/>
  <c r="R23" i="13"/>
  <c r="M149" i="9"/>
  <c r="O5" i="8"/>
  <c r="O28" i="8" s="1"/>
  <c r="O8" i="6"/>
  <c r="O27" i="13"/>
  <c r="R6" i="8"/>
  <c r="R78" i="3" s="1"/>
  <c r="R6" i="13"/>
  <c r="O77" i="3"/>
  <c r="O74" i="8" s="1"/>
  <c r="O25" i="13"/>
  <c r="O12" i="13"/>
  <c r="L64" i="9"/>
  <c r="L166" i="9" s="1"/>
  <c r="L149" i="9"/>
  <c r="O30" i="8"/>
  <c r="P16" i="3"/>
  <c r="P5" i="6" s="1"/>
  <c r="P30" i="8" s="1"/>
  <c r="P8" i="13"/>
  <c r="P5" i="13" s="1"/>
  <c r="N14" i="8"/>
  <c r="N13" i="8"/>
  <c r="M15" i="8"/>
  <c r="M13" i="8"/>
  <c r="M36" i="8"/>
  <c r="M33" i="13"/>
  <c r="O14" i="3"/>
  <c r="M14" i="8"/>
  <c r="P8" i="8"/>
  <c r="P77" i="3" s="1"/>
  <c r="P74" i="8" s="1"/>
  <c r="N15" i="8"/>
  <c r="R39" i="8"/>
  <c r="R5" i="9" s="1"/>
  <c r="P39" i="8"/>
  <c r="P38" i="8" s="1"/>
  <c r="Q7" i="8"/>
  <c r="R12" i="3"/>
  <c r="R9" i="3" s="1"/>
  <c r="R36" i="3"/>
  <c r="N121" i="9"/>
  <c r="N122" i="9" s="1"/>
  <c r="O120" i="9"/>
  <c r="R15" i="3"/>
  <c r="G21" i="4"/>
  <c r="G39" i="8"/>
  <c r="M21" i="4"/>
  <c r="M39" i="8"/>
  <c r="R40" i="8"/>
  <c r="R11" i="6"/>
  <c r="I21" i="4"/>
  <c r="I39" i="8"/>
  <c r="Q21" i="4"/>
  <c r="Q22" i="4" s="1"/>
  <c r="Q37" i="13" s="1"/>
  <c r="Q39" i="8"/>
  <c r="L21" i="4"/>
  <c r="L39" i="8"/>
  <c r="O21" i="4"/>
  <c r="O22" i="4" s="1"/>
  <c r="O37" i="13" s="1"/>
  <c r="O39" i="8"/>
  <c r="J21" i="4"/>
  <c r="J39" i="8"/>
  <c r="H21" i="4"/>
  <c r="H39" i="8"/>
  <c r="K21" i="4"/>
  <c r="K39" i="8"/>
  <c r="N21" i="4"/>
  <c r="N22" i="4" s="1"/>
  <c r="N37" i="13" s="1"/>
  <c r="N39" i="8"/>
  <c r="P11" i="6"/>
  <c r="P40" i="8"/>
  <c r="Q4" i="8"/>
  <c r="Q75" i="3" s="1"/>
  <c r="Q62" i="8" s="1"/>
  <c r="R4" i="6"/>
  <c r="R27" i="8" s="1"/>
  <c r="R25" i="8" s="1"/>
  <c r="R4" i="8"/>
  <c r="R75" i="3" s="1"/>
  <c r="R62" i="8" s="1"/>
  <c r="H22" i="4" l="1"/>
  <c r="H37" i="13" s="1"/>
  <c r="J22" i="4"/>
  <c r="J37" i="13" s="1"/>
  <c r="I22" i="4"/>
  <c r="I37" i="13" s="1"/>
  <c r="K22" i="4"/>
  <c r="K37" i="13" s="1"/>
  <c r="L22" i="4"/>
  <c r="L37" i="13" s="1"/>
  <c r="M22" i="4"/>
  <c r="M37" i="13" s="1"/>
  <c r="G24" i="4"/>
  <c r="G25" i="4" s="1"/>
  <c r="Q10" i="8"/>
  <c r="R18" i="3"/>
  <c r="P76" i="3"/>
  <c r="P60" i="8" s="1"/>
  <c r="N64" i="9"/>
  <c r="N166" i="9" s="1"/>
  <c r="Q16" i="3"/>
  <c r="Q5" i="6" s="1"/>
  <c r="Q27" i="13" s="1"/>
  <c r="O79" i="3"/>
  <c r="O80" i="3" s="1"/>
  <c r="O36" i="8" s="1"/>
  <c r="Q5" i="13"/>
  <c r="Q12" i="13" s="1"/>
  <c r="R7" i="8"/>
  <c r="R7" i="13"/>
  <c r="Q8" i="8"/>
  <c r="R24" i="13"/>
  <c r="Q24" i="13"/>
  <c r="P14" i="3"/>
  <c r="N33" i="13"/>
  <c r="P8" i="6"/>
  <c r="P29" i="13" s="1"/>
  <c r="P27" i="13"/>
  <c r="O29" i="13"/>
  <c r="O32" i="8"/>
  <c r="O33" i="9"/>
  <c r="O149" i="9" s="1"/>
  <c r="O12" i="8"/>
  <c r="O13" i="8" s="1"/>
  <c r="O14" i="13"/>
  <c r="O13" i="13"/>
  <c r="P25" i="13"/>
  <c r="P12" i="13"/>
  <c r="G22" i="4"/>
  <c r="G37" i="13" s="1"/>
  <c r="P5" i="8"/>
  <c r="P12" i="8" s="1"/>
  <c r="P13" i="8" s="1"/>
  <c r="R38" i="8"/>
  <c r="P5" i="9"/>
  <c r="P120" i="9"/>
  <c r="O121" i="9"/>
  <c r="O122" i="9" s="1"/>
  <c r="R68" i="3"/>
  <c r="R64" i="3" s="1"/>
  <c r="N40" i="8"/>
  <c r="N11" i="6"/>
  <c r="L38" i="8"/>
  <c r="L5" i="9"/>
  <c r="L40" i="8"/>
  <c r="L11" i="6"/>
  <c r="H38" i="8"/>
  <c r="H5" i="9"/>
  <c r="O38" i="8"/>
  <c r="O5" i="9"/>
  <c r="Q40" i="8"/>
  <c r="Q11" i="6"/>
  <c r="M40" i="8"/>
  <c r="M11" i="6"/>
  <c r="K38" i="8"/>
  <c r="K5" i="9"/>
  <c r="Q38" i="8"/>
  <c r="Q5" i="9"/>
  <c r="H11" i="6"/>
  <c r="H40" i="8"/>
  <c r="O40" i="8"/>
  <c r="O11" i="6"/>
  <c r="I38" i="8"/>
  <c r="I5" i="9"/>
  <c r="G38" i="8"/>
  <c r="G5" i="9"/>
  <c r="K40" i="8"/>
  <c r="K11" i="6"/>
  <c r="M38" i="8"/>
  <c r="M5" i="9"/>
  <c r="N38" i="8"/>
  <c r="N5" i="9"/>
  <c r="J38" i="8"/>
  <c r="J5" i="9"/>
  <c r="I11" i="6"/>
  <c r="H24" i="4"/>
  <c r="H56" i="8" s="1"/>
  <c r="G56" i="8"/>
  <c r="I40" i="8" l="1"/>
  <c r="J40" i="8"/>
  <c r="J11" i="6"/>
  <c r="Q5" i="8"/>
  <c r="Q28" i="8" s="1"/>
  <c r="Q76" i="3"/>
  <c r="Q60" i="8" s="1"/>
  <c r="Q8" i="6"/>
  <c r="Q29" i="13" s="1"/>
  <c r="Q30" i="8"/>
  <c r="Q14" i="3"/>
  <c r="O33" i="13"/>
  <c r="Q77" i="3"/>
  <c r="Q74" i="8" s="1"/>
  <c r="Q25" i="13"/>
  <c r="O64" i="9"/>
  <c r="O166" i="9" s="1"/>
  <c r="O14" i="8"/>
  <c r="O15" i="8"/>
  <c r="P33" i="9"/>
  <c r="P64" i="9" s="1"/>
  <c r="P166" i="9" s="1"/>
  <c r="P32" i="8"/>
  <c r="Q13" i="13"/>
  <c r="Q14" i="13"/>
  <c r="R16" i="3"/>
  <c r="R5" i="6" s="1"/>
  <c r="R8" i="13"/>
  <c r="R5" i="13" s="1"/>
  <c r="P14" i="8"/>
  <c r="P15" i="8"/>
  <c r="P14" i="13"/>
  <c r="P13" i="13"/>
  <c r="G11" i="6"/>
  <c r="G40" i="8"/>
  <c r="P28" i="8"/>
  <c r="P79" i="3"/>
  <c r="P80" i="3" s="1"/>
  <c r="R8" i="8"/>
  <c r="R77" i="3" s="1"/>
  <c r="Q120" i="9"/>
  <c r="P121" i="9"/>
  <c r="P122" i="9" s="1"/>
  <c r="H25" i="4"/>
  <c r="I24" i="4"/>
  <c r="I56" i="8" s="1"/>
  <c r="Q12" i="8" l="1"/>
  <c r="Q13" i="8" s="1"/>
  <c r="Q32" i="8"/>
  <c r="R76" i="3"/>
  <c r="Q33" i="9"/>
  <c r="Q64" i="9" s="1"/>
  <c r="Q166" i="9" s="1"/>
  <c r="Q79" i="3"/>
  <c r="Q80" i="3" s="1"/>
  <c r="Q33" i="13" s="1"/>
  <c r="P149" i="9"/>
  <c r="R14" i="3"/>
  <c r="R25" i="13"/>
  <c r="R12" i="13"/>
  <c r="R8" i="6"/>
  <c r="R29" i="13" s="1"/>
  <c r="R27" i="13"/>
  <c r="R30" i="8"/>
  <c r="P36" i="8"/>
  <c r="P33" i="13"/>
  <c r="J24" i="4"/>
  <c r="J56" i="8" s="1"/>
  <c r="I25" i="4"/>
  <c r="Q121" i="9"/>
  <c r="Q122" i="9" s="1"/>
  <c r="R120" i="9"/>
  <c r="R121" i="9" s="1"/>
  <c r="R122" i="9" s="1"/>
  <c r="R5" i="8"/>
  <c r="R74" i="8"/>
  <c r="Q15" i="8" l="1"/>
  <c r="Q14" i="8"/>
  <c r="K24" i="4"/>
  <c r="K56" i="8" s="1"/>
  <c r="Q149" i="9"/>
  <c r="Q36" i="8"/>
  <c r="R13" i="13"/>
  <c r="R14" i="13"/>
  <c r="R32" i="8"/>
  <c r="J25" i="4"/>
  <c r="R33" i="9"/>
  <c r="R28" i="8"/>
  <c r="R12" i="8"/>
  <c r="R13" i="8" s="1"/>
  <c r="C83" i="8" s="1" a="1"/>
  <c r="R60" i="8"/>
  <c r="R79" i="3"/>
  <c r="R80" i="3" s="1"/>
  <c r="L24" i="4"/>
  <c r="L56" i="8" s="1"/>
  <c r="K25" i="4"/>
  <c r="C91" i="8" l="1"/>
  <c r="C85" i="8"/>
  <c r="C89" i="8"/>
  <c r="C87" i="8"/>
  <c r="C90" i="8"/>
  <c r="C97" i="8"/>
  <c r="C95" i="8"/>
  <c r="C83" i="8"/>
  <c r="C93" i="8"/>
  <c r="C94" i="8"/>
  <c r="C86" i="8"/>
  <c r="C92" i="8"/>
  <c r="C84" i="8"/>
  <c r="C96" i="8"/>
  <c r="C88" i="8"/>
  <c r="R36" i="8"/>
  <c r="R33" i="13"/>
  <c r="R64" i="9"/>
  <c r="R166" i="9" s="1"/>
  <c r="R149" i="9"/>
  <c r="R15" i="8"/>
  <c r="R14" i="8"/>
  <c r="M24" i="4"/>
  <c r="M56" i="8" s="1"/>
  <c r="L25" i="4"/>
  <c r="N24" i="4" l="1"/>
  <c r="N56" i="8" s="1"/>
  <c r="M25" i="4"/>
  <c r="O24" i="4" l="1"/>
  <c r="O56" i="8" s="1"/>
  <c r="N25" i="4"/>
  <c r="P24" i="4" l="1"/>
  <c r="P56" i="8" s="1"/>
  <c r="O25" i="4"/>
  <c r="Q24" i="4" l="1"/>
  <c r="Q56" i="8" s="1"/>
  <c r="P25" i="4"/>
  <c r="R24" i="4" l="1"/>
  <c r="Q25" i="4"/>
  <c r="R25" i="4" l="1"/>
  <c r="R56" i="8"/>
  <c r="E40" i="4"/>
  <c r="D44" i="4"/>
  <c r="E58" i="8" l="1"/>
  <c r="F58" i="8" l="1"/>
  <c r="G58" i="8" l="1"/>
  <c r="H58" i="8" l="1"/>
  <c r="I58" i="8" l="1"/>
  <c r="J58" i="8" l="1"/>
  <c r="K58" i="8" l="1"/>
  <c r="L58" i="8" l="1"/>
  <c r="M58" i="8" l="1"/>
  <c r="N58" i="8" l="1"/>
  <c r="O58" i="8" l="1"/>
  <c r="P58" i="8" l="1"/>
  <c r="Q58" i="8" l="1"/>
  <c r="R58" i="8" l="1"/>
  <c r="R13" i="6" l="1"/>
  <c r="R47" i="8"/>
  <c r="Q13" i="6"/>
  <c r="Q47" i="8"/>
  <c r="P13" i="6"/>
  <c r="P47" i="8"/>
  <c r="O13" i="6"/>
  <c r="O47" i="8"/>
  <c r="N13" i="6"/>
  <c r="N47" i="8"/>
  <c r="N6" i="9" s="1"/>
  <c r="M13" i="6"/>
  <c r="M47" i="8"/>
  <c r="L13" i="6"/>
  <c r="L47" i="8"/>
  <c r="L6" i="9" s="1"/>
  <c r="K13" i="6"/>
  <c r="K47" i="8"/>
  <c r="J13" i="6"/>
  <c r="J47" i="8"/>
  <c r="J6" i="9" s="1"/>
  <c r="I13" i="6"/>
  <c r="I47" i="8"/>
  <c r="H13" i="6"/>
  <c r="H47" i="8"/>
  <c r="H6" i="9" s="1"/>
  <c r="G13" i="6"/>
  <c r="G14" i="6" s="1"/>
  <c r="G61" i="8" s="1"/>
  <c r="G47" i="8"/>
  <c r="M6" i="9" l="1"/>
  <c r="G6" i="9"/>
  <c r="P6" i="9"/>
  <c r="K6" i="9"/>
  <c r="O6" i="9"/>
  <c r="H10" i="6"/>
  <c r="H14" i="6" s="1"/>
  <c r="R6" i="9"/>
  <c r="I6" i="9"/>
  <c r="Q6" i="9"/>
  <c r="H61" i="8" l="1"/>
  <c r="I10" i="6"/>
  <c r="I14" i="6" s="1"/>
  <c r="J10" i="6" l="1"/>
  <c r="J14" i="6" s="1"/>
  <c r="I61" i="8"/>
  <c r="J61" i="8" l="1"/>
  <c r="K10" i="6"/>
  <c r="K14" i="6" s="1"/>
  <c r="L10" i="6" l="1"/>
  <c r="L14" i="6" s="1"/>
  <c r="K61" i="8"/>
  <c r="L61" i="8" l="1"/>
  <c r="M10" i="6"/>
  <c r="M14" i="6" s="1"/>
  <c r="N10" i="6" l="1"/>
  <c r="N14" i="6" s="1"/>
  <c r="M61" i="8"/>
  <c r="N61" i="8" l="1"/>
  <c r="O10" i="6"/>
  <c r="O14" i="6" s="1"/>
  <c r="P10" i="6" l="1"/>
  <c r="P14" i="6" s="1"/>
  <c r="O61" i="8"/>
  <c r="P61" i="8" l="1"/>
  <c r="Q10" i="6"/>
  <c r="Q14" i="6" s="1"/>
  <c r="Q61" i="8" l="1"/>
  <c r="R10" i="6"/>
  <c r="R14" i="6" s="1"/>
  <c r="R61" i="8" s="1"/>
  <c r="N33" i="4" l="1"/>
  <c r="N16" i="13" s="1"/>
  <c r="L33" i="4"/>
  <c r="L17" i="8" s="1"/>
  <c r="P33" i="4"/>
  <c r="P17" i="8" s="1"/>
  <c r="H33" i="4"/>
  <c r="H16" i="13" s="1"/>
  <c r="Q33" i="4"/>
  <c r="Q17" i="8" s="1"/>
  <c r="J33" i="4"/>
  <c r="G33" i="4"/>
  <c r="G16" i="13" s="1"/>
  <c r="O33" i="4"/>
  <c r="M33" i="4"/>
  <c r="M16" i="13" s="1"/>
  <c r="R33" i="4"/>
  <c r="R17" i="8" s="1"/>
  <c r="F33" i="4"/>
  <c r="F17" i="8" s="1"/>
  <c r="I33" i="4"/>
  <c r="I17" i="8" s="1"/>
  <c r="K33" i="4"/>
  <c r="K16" i="13" s="1"/>
  <c r="D17" i="4"/>
  <c r="D73" i="8" s="1"/>
  <c r="E73" i="8" s="1"/>
  <c r="R16" i="13" l="1"/>
  <c r="P16" i="13"/>
  <c r="I16" i="13"/>
  <c r="M17" i="8"/>
  <c r="N17" i="8"/>
  <c r="D92" i="9"/>
  <c r="D87" i="9" s="1"/>
  <c r="F16" i="13"/>
  <c r="Q16" i="13"/>
  <c r="L16" i="13"/>
  <c r="G17" i="8"/>
  <c r="H17" i="8"/>
  <c r="D46" i="8"/>
  <c r="D41" i="8" s="1"/>
  <c r="D49" i="8" s="1"/>
  <c r="D51" i="8" s="1"/>
  <c r="D63" i="8" s="1"/>
  <c r="D64" i="8" s="1"/>
  <c r="D65" i="8" s="1"/>
  <c r="K17" i="8"/>
  <c r="D38" i="9"/>
  <c r="D39" i="9" s="1"/>
  <c r="E39" i="9" s="1"/>
  <c r="F39" i="9" s="1"/>
  <c r="G39" i="9" s="1"/>
  <c r="H39" i="9" s="1"/>
  <c r="I39" i="9" s="1"/>
  <c r="J39" i="9" s="1"/>
  <c r="K39" i="9" s="1"/>
  <c r="L39" i="9" s="1"/>
  <c r="M39" i="9" s="1"/>
  <c r="N39" i="9" s="1"/>
  <c r="O39" i="9" s="1"/>
  <c r="P39" i="9" s="1"/>
  <c r="Q39" i="9" s="1"/>
  <c r="R39" i="9" s="1"/>
  <c r="D43" i="13"/>
  <c r="D38" i="13" s="1"/>
  <c r="D46" i="13" s="1"/>
  <c r="D48" i="13" s="1"/>
  <c r="E47" i="13" s="1"/>
  <c r="D75" i="8"/>
  <c r="D76" i="8" s="1"/>
  <c r="F73" i="8"/>
  <c r="J16" i="13"/>
  <c r="J17" i="8"/>
  <c r="O16" i="13"/>
  <c r="O17" i="8"/>
  <c r="D4" i="9"/>
  <c r="D7" i="9" s="1"/>
  <c r="D31" i="9" l="1"/>
  <c r="D145" i="9" s="1"/>
  <c r="D50" i="13"/>
  <c r="D78" i="8"/>
  <c r="D93" i="9"/>
  <c r="E93" i="9" s="1"/>
  <c r="F93" i="9" s="1"/>
  <c r="G93" i="9" s="1"/>
  <c r="H93" i="9" s="1"/>
  <c r="I93" i="9" s="1"/>
  <c r="J93" i="9" s="1"/>
  <c r="K93" i="9" s="1"/>
  <c r="L93" i="9" s="1"/>
  <c r="M93" i="9" s="1"/>
  <c r="N93" i="9" s="1"/>
  <c r="O93" i="9" s="1"/>
  <c r="P93" i="9" s="1"/>
  <c r="Q93" i="9" s="1"/>
  <c r="R93" i="9" s="1"/>
  <c r="D53" i="8"/>
  <c r="D154" i="9"/>
  <c r="D147" i="9" s="1"/>
  <c r="D183" i="9"/>
  <c r="D178" i="9" s="1"/>
  <c r="E50" i="8"/>
  <c r="G73" i="8"/>
  <c r="D9" i="9"/>
  <c r="D176" i="9"/>
  <c r="D94" i="9"/>
  <c r="D40" i="9" l="1"/>
  <c r="D41" i="9" s="1"/>
  <c r="D42" i="9" s="1"/>
  <c r="H73" i="8"/>
  <c r="D95" i="9"/>
  <c r="D96" i="9" s="1"/>
  <c r="D10" i="9"/>
  <c r="D11" i="9" s="1"/>
  <c r="I73" i="8" l="1"/>
  <c r="J73" i="8" l="1"/>
  <c r="K73" i="8" l="1"/>
  <c r="L73" i="8" l="1"/>
  <c r="M73" i="8" l="1"/>
  <c r="N73" i="8" l="1"/>
  <c r="O73" i="8" l="1"/>
  <c r="P73" i="8" l="1"/>
  <c r="Q73" i="8" l="1"/>
  <c r="R73" i="8" l="1"/>
  <c r="B31" i="2"/>
  <c r="B41" i="4"/>
  <c r="N42" i="4" s="1"/>
  <c r="E15" i="4"/>
  <c r="B32" i="2"/>
  <c r="I42" i="4" l="1"/>
  <c r="I44" i="8" s="1"/>
  <c r="N44" i="8"/>
  <c r="N41" i="13"/>
  <c r="E43" i="8"/>
  <c r="E41" i="4"/>
  <c r="E45" i="4" s="1"/>
  <c r="E40" i="13"/>
  <c r="G42" i="4"/>
  <c r="H42" i="4"/>
  <c r="O42" i="4"/>
  <c r="J42" i="4"/>
  <c r="K42" i="4"/>
  <c r="F42" i="4"/>
  <c r="L42" i="4"/>
  <c r="M42" i="4"/>
  <c r="B30" i="2"/>
  <c r="B33" i="2" s="1"/>
  <c r="I41" i="13" l="1"/>
  <c r="B124" i="9"/>
  <c r="B98" i="9"/>
  <c r="B13" i="9"/>
  <c r="J41" i="13"/>
  <c r="J44" i="8"/>
  <c r="O41" i="13"/>
  <c r="O44" i="8"/>
  <c r="E72" i="8"/>
  <c r="E75" i="8" s="1"/>
  <c r="F40" i="4"/>
  <c r="E43" i="4"/>
  <c r="H41" i="13"/>
  <c r="H44" i="8"/>
  <c r="M44" i="8"/>
  <c r="M41" i="13"/>
  <c r="L44" i="8"/>
  <c r="L41" i="13"/>
  <c r="G41" i="13"/>
  <c r="G44" i="8"/>
  <c r="F44" i="8"/>
  <c r="F41" i="13"/>
  <c r="K41" i="13"/>
  <c r="K44" i="8"/>
  <c r="F45" i="4" l="1"/>
  <c r="F43" i="4" s="1"/>
  <c r="E42" i="13"/>
  <c r="E38" i="13" s="1"/>
  <c r="E45" i="8"/>
  <c r="E41" i="8" s="1"/>
  <c r="E44" i="4"/>
  <c r="E15" i="13"/>
  <c r="E17" i="13" s="1"/>
  <c r="E16" i="8"/>
  <c r="E18" i="8" s="1"/>
  <c r="E32" i="6" s="1"/>
  <c r="Q71" i="9"/>
  <c r="O100" i="9"/>
  <c r="F100" i="9"/>
  <c r="F71" i="9"/>
  <c r="P46" i="9"/>
  <c r="N46" i="9"/>
  <c r="O46" i="9"/>
  <c r="M100" i="9"/>
  <c r="G100" i="9"/>
  <c r="B44" i="9"/>
  <c r="Q126" i="9"/>
  <c r="Q128" i="9" s="1"/>
  <c r="R46" i="9"/>
  <c r="I71" i="9"/>
  <c r="M46" i="9"/>
  <c r="M71" i="9"/>
  <c r="J46" i="9"/>
  <c r="H100" i="9"/>
  <c r="N71" i="9"/>
  <c r="I15" i="9"/>
  <c r="K15" i="9"/>
  <c r="I100" i="9"/>
  <c r="J71" i="9"/>
  <c r="H46" i="9"/>
  <c r="H71" i="9"/>
  <c r="L46" i="9"/>
  <c r="L15" i="9"/>
  <c r="M15" i="9"/>
  <c r="K46" i="9"/>
  <c r="R15" i="9"/>
  <c r="H15" i="9"/>
  <c r="R71" i="9"/>
  <c r="M126" i="9"/>
  <c r="M128" i="9" s="1"/>
  <c r="K126" i="9"/>
  <c r="K128" i="9" s="1"/>
  <c r="J15" i="9"/>
  <c r="L100" i="9"/>
  <c r="G71" i="9"/>
  <c r="O15" i="9"/>
  <c r="R100" i="9"/>
  <c r="L71" i="9"/>
  <c r="F15" i="9"/>
  <c r="Q100" i="9"/>
  <c r="Q15" i="9"/>
  <c r="I46" i="9"/>
  <c r="E71" i="9"/>
  <c r="J100" i="9"/>
  <c r="F46" i="9"/>
  <c r="P100" i="9"/>
  <c r="N15" i="9"/>
  <c r="B69" i="9"/>
  <c r="K100" i="9"/>
  <c r="Q46" i="9"/>
  <c r="F126" i="9"/>
  <c r="F128" i="9" s="1"/>
  <c r="R126" i="9"/>
  <c r="R128" i="9" s="1"/>
  <c r="O71" i="9"/>
  <c r="O126" i="9"/>
  <c r="O128" i="9" s="1"/>
  <c r="I126" i="9"/>
  <c r="I128" i="9" s="1"/>
  <c r="P71" i="9"/>
  <c r="E15" i="9"/>
  <c r="E100" i="9"/>
  <c r="P126" i="9"/>
  <c r="P128" i="9" s="1"/>
  <c r="G126" i="9"/>
  <c r="G128" i="9" s="1"/>
  <c r="H126" i="9"/>
  <c r="H128" i="9" s="1"/>
  <c r="J126" i="9"/>
  <c r="J128" i="9" s="1"/>
  <c r="N100" i="9"/>
  <c r="E46" i="9"/>
  <c r="K71" i="9"/>
  <c r="G15" i="9"/>
  <c r="N126" i="9"/>
  <c r="N128" i="9" s="1"/>
  <c r="P15" i="9"/>
  <c r="L126" i="9"/>
  <c r="L128" i="9" s="1"/>
  <c r="E126" i="9"/>
  <c r="E128" i="9" s="1"/>
  <c r="G46" i="9"/>
  <c r="D126" i="9"/>
  <c r="D128" i="9" s="1"/>
  <c r="D46" i="9"/>
  <c r="D71" i="9"/>
  <c r="D100" i="9"/>
  <c r="D15" i="9"/>
  <c r="D48" i="9" l="1"/>
  <c r="D156" i="9"/>
  <c r="D17" i="9"/>
  <c r="D18" i="9"/>
  <c r="E18" i="9" s="1"/>
  <c r="F18" i="9" s="1"/>
  <c r="G18" i="9" s="1"/>
  <c r="H18" i="9" s="1"/>
  <c r="I18" i="9" s="1"/>
  <c r="J18" i="9" s="1"/>
  <c r="K18" i="9" s="1"/>
  <c r="L18" i="9" s="1"/>
  <c r="M18" i="9" s="1"/>
  <c r="N18" i="9" s="1"/>
  <c r="O18" i="9" s="1"/>
  <c r="P18" i="9" s="1"/>
  <c r="Q18" i="9" s="1"/>
  <c r="R18" i="9" s="1"/>
  <c r="F45" i="8"/>
  <c r="F41" i="8" s="1"/>
  <c r="F42" i="13"/>
  <c r="F38" i="13" s="1"/>
  <c r="F44" i="4"/>
  <c r="F16" i="8"/>
  <c r="F18" i="8" s="1"/>
  <c r="F32" i="6" s="1"/>
  <c r="F15" i="13"/>
  <c r="F17" i="13" s="1"/>
  <c r="D185" i="9"/>
  <c r="D102" i="9"/>
  <c r="E43" i="6"/>
  <c r="E44" i="6" s="1"/>
  <c r="F72" i="8"/>
  <c r="F75" i="8" s="1"/>
  <c r="G40" i="4"/>
  <c r="B134" i="9"/>
  <c r="D129" i="9"/>
  <c r="D73" i="9"/>
  <c r="D170" i="9"/>
  <c r="E167" i="9"/>
  <c r="E180" i="9"/>
  <c r="E18" i="13"/>
  <c r="E165" i="9" l="1"/>
  <c r="E164" i="9" s="1"/>
  <c r="E170" i="9" s="1"/>
  <c r="E179" i="9"/>
  <c r="E178" i="9" s="1"/>
  <c r="E185" i="9" s="1"/>
  <c r="E19" i="13"/>
  <c r="E20" i="8"/>
  <c r="D130" i="9"/>
  <c r="D131" i="9" s="1"/>
  <c r="E129" i="9"/>
  <c r="D103" i="9"/>
  <c r="D186" i="9"/>
  <c r="F180" i="9"/>
  <c r="F18" i="13"/>
  <c r="F167" i="9"/>
  <c r="D19" i="9"/>
  <c r="D74" i="9"/>
  <c r="G45" i="4"/>
  <c r="G43" i="4" s="1"/>
  <c r="F43" i="6"/>
  <c r="F44" i="6" s="1"/>
  <c r="D157" i="9"/>
  <c r="E31" i="13"/>
  <c r="E26" i="13" s="1"/>
  <c r="E22" i="13" s="1"/>
  <c r="E46" i="13" s="1"/>
  <c r="E48" i="13" s="1"/>
  <c r="E150" i="9"/>
  <c r="D171" i="9"/>
  <c r="E19" i="8"/>
  <c r="E34" i="8"/>
  <c r="E29" i="8" s="1"/>
  <c r="E24" i="8" s="1"/>
  <c r="E34" i="9"/>
  <c r="D49" i="9"/>
  <c r="E171" i="9" l="1"/>
  <c r="F165" i="9"/>
  <c r="F164" i="9" s="1"/>
  <c r="F170" i="9" s="1"/>
  <c r="E186" i="9"/>
  <c r="F179" i="9"/>
  <c r="F178" i="9" s="1"/>
  <c r="F185" i="9" s="1"/>
  <c r="E148" i="9"/>
  <c r="E147" i="9" s="1"/>
  <c r="E156" i="9" s="1"/>
  <c r="E157" i="9" s="1"/>
  <c r="G44" i="4"/>
  <c r="G42" i="13"/>
  <c r="G38" i="13" s="1"/>
  <c r="G45" i="8"/>
  <c r="G41" i="8" s="1"/>
  <c r="G15" i="13"/>
  <c r="G17" i="13" s="1"/>
  <c r="G16" i="8"/>
  <c r="G18" i="8" s="1"/>
  <c r="G32" i="6" s="1"/>
  <c r="F19" i="13"/>
  <c r="F20" i="8"/>
  <c r="D104" i="9"/>
  <c r="D105" i="9" s="1"/>
  <c r="E50" i="13"/>
  <c r="F47" i="13"/>
  <c r="F150" i="9"/>
  <c r="F31" i="13"/>
  <c r="F26" i="13" s="1"/>
  <c r="F22" i="13" s="1"/>
  <c r="F46" i="13" s="1"/>
  <c r="E130" i="9"/>
  <c r="E131" i="9" s="1"/>
  <c r="F129" i="9"/>
  <c r="D75" i="9"/>
  <c r="D76" i="9" s="1"/>
  <c r="E79" i="8"/>
  <c r="E69" i="8"/>
  <c r="D50" i="9"/>
  <c r="D51" i="9" s="1"/>
  <c r="G72" i="8"/>
  <c r="G75" i="8" s="1"/>
  <c r="H40" i="4"/>
  <c r="E65" i="9"/>
  <c r="E32" i="9"/>
  <c r="E3" i="9"/>
  <c r="E7" i="9" s="1"/>
  <c r="E49" i="8"/>
  <c r="E51" i="8" s="1"/>
  <c r="F34" i="9"/>
  <c r="F19" i="8"/>
  <c r="F34" i="8"/>
  <c r="F29" i="8" s="1"/>
  <c r="F24" i="8" s="1"/>
  <c r="D20" i="9"/>
  <c r="D21" i="9" s="1"/>
  <c r="F171" i="9" l="1"/>
  <c r="F186" i="9"/>
  <c r="E63" i="9"/>
  <c r="E62" i="9" s="1"/>
  <c r="E73" i="9" s="1"/>
  <c r="F148" i="9"/>
  <c r="F147" i="9" s="1"/>
  <c r="F156" i="9" s="1"/>
  <c r="F157" i="9" s="1"/>
  <c r="F49" i="8"/>
  <c r="F3" i="9"/>
  <c r="F7" i="9" s="1"/>
  <c r="F17" i="9" s="1"/>
  <c r="E31" i="9"/>
  <c r="G18" i="13"/>
  <c r="G180" i="9"/>
  <c r="G167" i="9"/>
  <c r="E70" i="8"/>
  <c r="E76" i="8" s="1"/>
  <c r="F68" i="8"/>
  <c r="F130" i="9"/>
  <c r="F131" i="9" s="1"/>
  <c r="G129" i="9"/>
  <c r="G43" i="6"/>
  <c r="G44" i="6" s="1"/>
  <c r="F32" i="9"/>
  <c r="F31" i="9" s="1"/>
  <c r="F65" i="9"/>
  <c r="E89" i="9"/>
  <c r="H45" i="4"/>
  <c r="F69" i="8"/>
  <c r="F21" i="8"/>
  <c r="E17" i="9"/>
  <c r="E9" i="9"/>
  <c r="E53" i="8"/>
  <c r="E63" i="8"/>
  <c r="E64" i="8" s="1"/>
  <c r="E65" i="8" s="1"/>
  <c r="F50" i="8"/>
  <c r="F48" i="13"/>
  <c r="G165" i="9" l="1"/>
  <c r="G164" i="9" s="1"/>
  <c r="G170" i="9" s="1"/>
  <c r="G171" i="9" s="1"/>
  <c r="E67" i="9"/>
  <c r="E88" i="9"/>
  <c r="E87" i="9" s="1"/>
  <c r="E162" i="9"/>
  <c r="G179" i="9"/>
  <c r="G178" i="9" s="1"/>
  <c r="G185" i="9" s="1"/>
  <c r="G186" i="9" s="1"/>
  <c r="F63" i="9"/>
  <c r="F62" i="9" s="1"/>
  <c r="F162" i="9" s="1"/>
  <c r="F51" i="8"/>
  <c r="G50" i="8" s="1"/>
  <c r="E78" i="8"/>
  <c r="H72" i="8"/>
  <c r="H75" i="8" s="1"/>
  <c r="I40" i="4"/>
  <c r="G19" i="13"/>
  <c r="G20" i="8"/>
  <c r="E145" i="9"/>
  <c r="E48" i="9"/>
  <c r="E40" i="9"/>
  <c r="F89" i="9"/>
  <c r="F70" i="8"/>
  <c r="F76" i="8" s="1"/>
  <c r="G68" i="8"/>
  <c r="E74" i="9"/>
  <c r="E19" i="9"/>
  <c r="G130" i="9"/>
  <c r="G131" i="9" s="1"/>
  <c r="H129" i="9"/>
  <c r="F50" i="13"/>
  <c r="G47" i="13"/>
  <c r="F145" i="9"/>
  <c r="F48" i="9"/>
  <c r="F9" i="9"/>
  <c r="E10" i="9"/>
  <c r="E11" i="9" s="1"/>
  <c r="H43" i="4"/>
  <c r="G19" i="8"/>
  <c r="G34" i="9"/>
  <c r="G34" i="8"/>
  <c r="G29" i="8" s="1"/>
  <c r="G24" i="8" s="1"/>
  <c r="G150" i="9"/>
  <c r="G31" i="13"/>
  <c r="G26" i="13" s="1"/>
  <c r="G22" i="13" s="1"/>
  <c r="G46" i="13" s="1"/>
  <c r="F88" i="9" l="1"/>
  <c r="F87" i="9" s="1"/>
  <c r="F176" i="9" s="1"/>
  <c r="F67" i="9"/>
  <c r="F73" i="9"/>
  <c r="F74" i="9" s="1"/>
  <c r="G148" i="9"/>
  <c r="G147" i="9" s="1"/>
  <c r="G156" i="9" s="1"/>
  <c r="G157" i="9" s="1"/>
  <c r="F63" i="8"/>
  <c r="F64" i="8" s="1"/>
  <c r="F65" i="8" s="1"/>
  <c r="F79" i="8" s="1"/>
  <c r="F53" i="8"/>
  <c r="G48" i="13"/>
  <c r="G50" i="13" s="1"/>
  <c r="G3" i="9"/>
  <c r="G7" i="9" s="1"/>
  <c r="G9" i="9" s="1"/>
  <c r="G49" i="8"/>
  <c r="G51" i="8" s="1"/>
  <c r="F10" i="9"/>
  <c r="F11" i="9" s="1"/>
  <c r="E75" i="9"/>
  <c r="E76" i="9" s="1"/>
  <c r="E20" i="9"/>
  <c r="E21" i="9" s="1"/>
  <c r="F19" i="9"/>
  <c r="E176" i="9"/>
  <c r="E102" i="9"/>
  <c r="E94" i="9"/>
  <c r="G69" i="8"/>
  <c r="H68" i="8" s="1"/>
  <c r="G21" i="8"/>
  <c r="H42" i="13"/>
  <c r="H38" i="13" s="1"/>
  <c r="H44" i="4"/>
  <c r="H45" i="8"/>
  <c r="H41" i="8" s="1"/>
  <c r="H15" i="13"/>
  <c r="H17" i="13" s="1"/>
  <c r="H16" i="8"/>
  <c r="H18" i="8" s="1"/>
  <c r="H32" i="6" s="1"/>
  <c r="E41" i="9"/>
  <c r="E42" i="9" s="1"/>
  <c r="F40" i="9"/>
  <c r="I45" i="4"/>
  <c r="G65" i="9"/>
  <c r="G32" i="9"/>
  <c r="H130" i="9"/>
  <c r="H131" i="9" s="1"/>
  <c r="I129" i="9"/>
  <c r="E49" i="9"/>
  <c r="F102" i="9" l="1"/>
  <c r="G63" i="9"/>
  <c r="G62" i="9" s="1"/>
  <c r="G67" i="9" s="1"/>
  <c r="F78" i="8"/>
  <c r="H47" i="13"/>
  <c r="G89" i="9"/>
  <c r="I72" i="8"/>
  <c r="I75" i="8" s="1"/>
  <c r="J40" i="4"/>
  <c r="E50" i="9"/>
  <c r="E51" i="9" s="1"/>
  <c r="F49" i="9"/>
  <c r="E103" i="9"/>
  <c r="I43" i="4"/>
  <c r="E95" i="9"/>
  <c r="E96" i="9" s="1"/>
  <c r="F94" i="9"/>
  <c r="G10" i="9"/>
  <c r="G11" i="9" s="1"/>
  <c r="G70" i="8"/>
  <c r="G76" i="8" s="1"/>
  <c r="I130" i="9"/>
  <c r="I131" i="9" s="1"/>
  <c r="J129" i="9"/>
  <c r="F41" i="9"/>
  <c r="F42" i="9" s="1"/>
  <c r="G31" i="9"/>
  <c r="H43" i="6"/>
  <c r="H18" i="13"/>
  <c r="H180" i="9"/>
  <c r="H167" i="9"/>
  <c r="G53" i="8"/>
  <c r="G63" i="8"/>
  <c r="G64" i="8" s="1"/>
  <c r="G65" i="8" s="1"/>
  <c r="H50" i="8"/>
  <c r="F20" i="9"/>
  <c r="F21" i="9" s="1"/>
  <c r="F75" i="9"/>
  <c r="F76" i="9" s="1"/>
  <c r="G17" i="9"/>
  <c r="G19" i="9" s="1"/>
  <c r="G162" i="9" l="1"/>
  <c r="G73" i="9"/>
  <c r="G74" i="9" s="1"/>
  <c r="H165" i="9"/>
  <c r="H164" i="9" s="1"/>
  <c r="H170" i="9" s="1"/>
  <c r="H171" i="9" s="1"/>
  <c r="G88" i="9"/>
  <c r="G87" i="9" s="1"/>
  <c r="G102" i="9" s="1"/>
  <c r="H179" i="9"/>
  <c r="H178" i="9" s="1"/>
  <c r="H185" i="9" s="1"/>
  <c r="H186" i="9" s="1"/>
  <c r="G75" i="9"/>
  <c r="G76" i="9" s="1"/>
  <c r="H19" i="8"/>
  <c r="H34" i="9"/>
  <c r="H34" i="8"/>
  <c r="H29" i="8" s="1"/>
  <c r="H24" i="8" s="1"/>
  <c r="E104" i="9"/>
  <c r="E105" i="9" s="1"/>
  <c r="F103" i="9"/>
  <c r="H44" i="6"/>
  <c r="I44" i="4"/>
  <c r="I45" i="8"/>
  <c r="I41" i="8" s="1"/>
  <c r="I42" i="13"/>
  <c r="I38" i="13" s="1"/>
  <c r="I16" i="8"/>
  <c r="I18" i="8" s="1"/>
  <c r="I32" i="6" s="1"/>
  <c r="I15" i="13"/>
  <c r="I17" i="13" s="1"/>
  <c r="H150" i="9"/>
  <c r="H31" i="13"/>
  <c r="H26" i="13" s="1"/>
  <c r="H22" i="13" s="1"/>
  <c r="H46" i="13" s="1"/>
  <c r="H48" i="13" s="1"/>
  <c r="J130" i="9"/>
  <c r="J131" i="9" s="1"/>
  <c r="K129" i="9"/>
  <c r="F50" i="9"/>
  <c r="F51" i="9" s="1"/>
  <c r="J45" i="4"/>
  <c r="G20" i="9"/>
  <c r="G21" i="9" s="1"/>
  <c r="G48" i="9"/>
  <c r="G145" i="9"/>
  <c r="G78" i="8"/>
  <c r="G79" i="8"/>
  <c r="G40" i="9"/>
  <c r="F95" i="9"/>
  <c r="F96" i="9" s="1"/>
  <c r="G176" i="9" l="1"/>
  <c r="G94" i="9"/>
  <c r="G95" i="9" s="1"/>
  <c r="G96" i="9" s="1"/>
  <c r="H148" i="9"/>
  <c r="H147" i="9" s="1"/>
  <c r="H156" i="9" s="1"/>
  <c r="H157" i="9" s="1"/>
  <c r="J72" i="8"/>
  <c r="J75" i="8" s="1"/>
  <c r="K40" i="4"/>
  <c r="K130" i="9"/>
  <c r="K131" i="9" s="1"/>
  <c r="L129" i="9"/>
  <c r="H19" i="13"/>
  <c r="H20" i="8"/>
  <c r="G103" i="9"/>
  <c r="F104" i="9"/>
  <c r="F105" i="9" s="1"/>
  <c r="I180" i="9"/>
  <c r="I18" i="13"/>
  <c r="I167" i="9"/>
  <c r="H50" i="13"/>
  <c r="I47" i="13"/>
  <c r="H3" i="9"/>
  <c r="H7" i="9" s="1"/>
  <c r="H49" i="8"/>
  <c r="H51" i="8" s="1"/>
  <c r="J43" i="4"/>
  <c r="G41" i="9"/>
  <c r="G42" i="9" s="1"/>
  <c r="I43" i="6"/>
  <c r="I44" i="6" s="1"/>
  <c r="G49" i="9"/>
  <c r="H32" i="9"/>
  <c r="H65" i="9"/>
  <c r="I165" i="9" l="1"/>
  <c r="I164" i="9" s="1"/>
  <c r="I170" i="9" s="1"/>
  <c r="I171" i="9" s="1"/>
  <c r="I179" i="9"/>
  <c r="I178" i="9" s="1"/>
  <c r="I185" i="9" s="1"/>
  <c r="I186" i="9" s="1"/>
  <c r="H63" i="9"/>
  <c r="H62" i="9" s="1"/>
  <c r="H73" i="9" s="1"/>
  <c r="H17" i="9"/>
  <c r="H9" i="9"/>
  <c r="G104" i="9"/>
  <c r="G105" i="9" s="1"/>
  <c r="L130" i="9"/>
  <c r="L131" i="9" s="1"/>
  <c r="M129" i="9"/>
  <c r="K45" i="4"/>
  <c r="K43" i="4" s="1"/>
  <c r="I19" i="13"/>
  <c r="I20" i="8"/>
  <c r="G50" i="9"/>
  <c r="G51" i="9" s="1"/>
  <c r="H89" i="9"/>
  <c r="J45" i="8"/>
  <c r="J41" i="8" s="1"/>
  <c r="J44" i="4"/>
  <c r="J42" i="13"/>
  <c r="J38" i="13" s="1"/>
  <c r="J15" i="13"/>
  <c r="J17" i="13" s="1"/>
  <c r="J16" i="8"/>
  <c r="J18" i="8" s="1"/>
  <c r="J32" i="6" s="1"/>
  <c r="I31" i="13"/>
  <c r="I26" i="13" s="1"/>
  <c r="I22" i="13" s="1"/>
  <c r="I46" i="13" s="1"/>
  <c r="I48" i="13" s="1"/>
  <c r="I150" i="9"/>
  <c r="H31" i="9"/>
  <c r="I19" i="8"/>
  <c r="I34" i="9"/>
  <c r="I34" i="8"/>
  <c r="I29" i="8" s="1"/>
  <c r="I24" i="8" s="1"/>
  <c r="H53" i="8"/>
  <c r="I50" i="8"/>
  <c r="H63" i="8"/>
  <c r="H64" i="8" s="1"/>
  <c r="H65" i="8" s="1"/>
  <c r="H79" i="8" s="1"/>
  <c r="H69" i="8"/>
  <c r="H21" i="8"/>
  <c r="H162" i="9" l="1"/>
  <c r="H67" i="9"/>
  <c r="H88" i="9"/>
  <c r="H87" i="9" s="1"/>
  <c r="I148" i="9"/>
  <c r="I147" i="9" s="1"/>
  <c r="I156" i="9" s="1"/>
  <c r="I157" i="9" s="1"/>
  <c r="I50" i="13"/>
  <c r="J47" i="13"/>
  <c r="I32" i="9"/>
  <c r="I65" i="9"/>
  <c r="J43" i="6"/>
  <c r="I21" i="8"/>
  <c r="I69" i="8"/>
  <c r="H10" i="9"/>
  <c r="H11" i="9" s="1"/>
  <c r="H145" i="9"/>
  <c r="H48" i="9"/>
  <c r="H40" i="9"/>
  <c r="H19" i="9"/>
  <c r="J167" i="9"/>
  <c r="J180" i="9"/>
  <c r="J18" i="13"/>
  <c r="M130" i="9"/>
  <c r="M131" i="9" s="1"/>
  <c r="N129" i="9"/>
  <c r="K44" i="4"/>
  <c r="K42" i="13"/>
  <c r="K38" i="13" s="1"/>
  <c r="K45" i="8"/>
  <c r="K41" i="8" s="1"/>
  <c r="K15" i="13"/>
  <c r="K17" i="13" s="1"/>
  <c r="K16" i="8"/>
  <c r="K18" i="8" s="1"/>
  <c r="K32" i="6" s="1"/>
  <c r="H74" i="9"/>
  <c r="H70" i="8"/>
  <c r="H76" i="8" s="1"/>
  <c r="H78" i="8" s="1"/>
  <c r="I68" i="8"/>
  <c r="I49" i="8"/>
  <c r="I51" i="8" s="1"/>
  <c r="I3" i="9"/>
  <c r="I7" i="9" s="1"/>
  <c r="K72" i="8"/>
  <c r="K75" i="8" s="1"/>
  <c r="L40" i="4"/>
  <c r="J165" i="9" l="1"/>
  <c r="J164" i="9" s="1"/>
  <c r="J170" i="9" s="1"/>
  <c r="J171" i="9" s="1"/>
  <c r="J179" i="9"/>
  <c r="J178" i="9" s="1"/>
  <c r="J185" i="9" s="1"/>
  <c r="J186" i="9" s="1"/>
  <c r="I63" i="9"/>
  <c r="I62" i="9" s="1"/>
  <c r="I67" i="9" s="1"/>
  <c r="H102" i="9"/>
  <c r="H176" i="9"/>
  <c r="H94" i="9"/>
  <c r="I89" i="9"/>
  <c r="H75" i="9"/>
  <c r="H76" i="9" s="1"/>
  <c r="N130" i="9"/>
  <c r="N131" i="9" s="1"/>
  <c r="O129" i="9"/>
  <c r="H20" i="9"/>
  <c r="H21" i="9" s="1"/>
  <c r="I31" i="9"/>
  <c r="I17" i="9"/>
  <c r="I19" i="9" s="1"/>
  <c r="I53" i="8"/>
  <c r="I63" i="8"/>
  <c r="I64" i="8" s="1"/>
  <c r="I65" i="8" s="1"/>
  <c r="J50" i="8"/>
  <c r="L45" i="4"/>
  <c r="L43" i="4" s="1"/>
  <c r="K18" i="13"/>
  <c r="K167" i="9"/>
  <c r="K180" i="9"/>
  <c r="H41" i="9"/>
  <c r="H42" i="9" s="1"/>
  <c r="I9" i="9"/>
  <c r="J19" i="8"/>
  <c r="J34" i="8"/>
  <c r="J29" i="8" s="1"/>
  <c r="J24" i="8" s="1"/>
  <c r="J34" i="9"/>
  <c r="H49" i="9"/>
  <c r="K43" i="6"/>
  <c r="I70" i="8"/>
  <c r="I76" i="8" s="1"/>
  <c r="J68" i="8"/>
  <c r="J150" i="9"/>
  <c r="J31" i="13"/>
  <c r="J26" i="13" s="1"/>
  <c r="J22" i="13" s="1"/>
  <c r="J46" i="13" s="1"/>
  <c r="J48" i="13" s="1"/>
  <c r="J44" i="6"/>
  <c r="I73" i="9" l="1"/>
  <c r="I74" i="9" s="1"/>
  <c r="I162" i="9"/>
  <c r="K165" i="9"/>
  <c r="K164" i="9" s="1"/>
  <c r="K170" i="9" s="1"/>
  <c r="K171" i="9" s="1"/>
  <c r="I88" i="9"/>
  <c r="I87" i="9" s="1"/>
  <c r="K179" i="9"/>
  <c r="K178" i="9" s="1"/>
  <c r="K185" i="9" s="1"/>
  <c r="K186" i="9" s="1"/>
  <c r="J148" i="9"/>
  <c r="J147" i="9" s="1"/>
  <c r="J156" i="9" s="1"/>
  <c r="J157" i="9" s="1"/>
  <c r="J50" i="13"/>
  <c r="K47" i="13"/>
  <c r="I75" i="9"/>
  <c r="I76" i="9" s="1"/>
  <c r="I78" i="8"/>
  <c r="I79" i="8"/>
  <c r="I145" i="9"/>
  <c r="I48" i="9"/>
  <c r="I49" i="9" s="1"/>
  <c r="J19" i="13"/>
  <c r="J20" i="8"/>
  <c r="K19" i="8"/>
  <c r="K34" i="9"/>
  <c r="K34" i="8"/>
  <c r="K29" i="8" s="1"/>
  <c r="K24" i="8" s="1"/>
  <c r="K150" i="9"/>
  <c r="K31" i="13"/>
  <c r="K26" i="13" s="1"/>
  <c r="K22" i="13" s="1"/>
  <c r="K46" i="13" s="1"/>
  <c r="J49" i="8"/>
  <c r="J51" i="8" s="1"/>
  <c r="J3" i="9"/>
  <c r="J7" i="9" s="1"/>
  <c r="J9" i="9" s="1"/>
  <c r="O130" i="9"/>
  <c r="O131" i="9" s="1"/>
  <c r="P129" i="9"/>
  <c r="H50" i="9"/>
  <c r="H51" i="9" s="1"/>
  <c r="I10" i="9"/>
  <c r="I11" i="9" s="1"/>
  <c r="L44" i="4"/>
  <c r="L45" i="8"/>
  <c r="L41" i="8" s="1"/>
  <c r="L42" i="13"/>
  <c r="L38" i="13" s="1"/>
  <c r="L16" i="8"/>
  <c r="L18" i="8" s="1"/>
  <c r="L32" i="6" s="1"/>
  <c r="L15" i="13"/>
  <c r="L17" i="13" s="1"/>
  <c r="I40" i="9"/>
  <c r="L72" i="8"/>
  <c r="L75" i="8" s="1"/>
  <c r="M40" i="4"/>
  <c r="J65" i="9"/>
  <c r="J32" i="9"/>
  <c r="J31" i="9" s="1"/>
  <c r="I20" i="9"/>
  <c r="I21" i="9" s="1"/>
  <c r="H95" i="9"/>
  <c r="H96" i="9" s="1"/>
  <c r="K44" i="6"/>
  <c r="H103" i="9"/>
  <c r="J63" i="9" l="1"/>
  <c r="J62" i="9" s="1"/>
  <c r="J162" i="9" s="1"/>
  <c r="K148" i="9"/>
  <c r="K147" i="9" s="1"/>
  <c r="K156" i="9" s="1"/>
  <c r="K157" i="9" s="1"/>
  <c r="K48" i="13"/>
  <c r="K50" i="13" s="1"/>
  <c r="I50" i="9"/>
  <c r="I51" i="9" s="1"/>
  <c r="J53" i="8"/>
  <c r="J63" i="8"/>
  <c r="J64" i="8" s="1"/>
  <c r="J65" i="8" s="1"/>
  <c r="K50" i="8"/>
  <c r="I176" i="9"/>
  <c r="I102" i="9"/>
  <c r="I103" i="9" s="1"/>
  <c r="I94" i="9"/>
  <c r="K49" i="8"/>
  <c r="K3" i="9"/>
  <c r="K7" i="9" s="1"/>
  <c r="K17" i="9" s="1"/>
  <c r="K65" i="9"/>
  <c r="K32" i="9"/>
  <c r="K31" i="9" s="1"/>
  <c r="J89" i="9"/>
  <c r="J17" i="9"/>
  <c r="J19" i="9" s="1"/>
  <c r="M45" i="4"/>
  <c r="P130" i="9"/>
  <c r="P131" i="9" s="1"/>
  <c r="Q129" i="9"/>
  <c r="H104" i="9"/>
  <c r="H105" i="9" s="1"/>
  <c r="I41" i="9"/>
  <c r="I42" i="9" s="1"/>
  <c r="J40" i="9"/>
  <c r="L180" i="9"/>
  <c r="L167" i="9"/>
  <c r="L18" i="13"/>
  <c r="J10" i="9"/>
  <c r="J11" i="9" s="1"/>
  <c r="K19" i="13"/>
  <c r="K20" i="8"/>
  <c r="J48" i="9"/>
  <c r="J49" i="9" s="1"/>
  <c r="J145" i="9"/>
  <c r="L43" i="6"/>
  <c r="L44" i="6" s="1"/>
  <c r="J69" i="8"/>
  <c r="J21" i="8"/>
  <c r="J73" i="9" l="1"/>
  <c r="J74" i="9" s="1"/>
  <c r="L165" i="9"/>
  <c r="L164" i="9" s="1"/>
  <c r="L170" i="9" s="1"/>
  <c r="L171" i="9" s="1"/>
  <c r="J88" i="9"/>
  <c r="J87" i="9" s="1"/>
  <c r="L179" i="9"/>
  <c r="L178" i="9" s="1"/>
  <c r="L185" i="9" s="1"/>
  <c r="L186" i="9" s="1"/>
  <c r="J67" i="9"/>
  <c r="K63" i="9"/>
  <c r="K62" i="9" s="1"/>
  <c r="K73" i="9" s="1"/>
  <c r="L47" i="13"/>
  <c r="K51" i="8"/>
  <c r="L50" i="8" s="1"/>
  <c r="J50" i="9"/>
  <c r="J51" i="9" s="1"/>
  <c r="L20" i="8"/>
  <c r="L19" i="13"/>
  <c r="M72" i="8"/>
  <c r="M75" i="8" s="1"/>
  <c r="N40" i="4"/>
  <c r="K145" i="9"/>
  <c r="K48" i="9"/>
  <c r="K49" i="9" s="1"/>
  <c r="J75" i="9"/>
  <c r="J76" i="9" s="1"/>
  <c r="J20" i="9"/>
  <c r="J21" i="9" s="1"/>
  <c r="K19" i="9"/>
  <c r="Q130" i="9"/>
  <c r="Q131" i="9" s="1"/>
  <c r="R129" i="9"/>
  <c r="R130" i="9" s="1"/>
  <c r="R131" i="9" s="1"/>
  <c r="L31" i="13"/>
  <c r="L26" i="13" s="1"/>
  <c r="L22" i="13" s="1"/>
  <c r="L46" i="13" s="1"/>
  <c r="L150" i="9"/>
  <c r="I104" i="9"/>
  <c r="I105" i="9" s="1"/>
  <c r="I95" i="9"/>
  <c r="I96" i="9" s="1"/>
  <c r="K89" i="9"/>
  <c r="J79" i="8"/>
  <c r="K69" i="8"/>
  <c r="K21" i="8"/>
  <c r="J70" i="8"/>
  <c r="J76" i="8" s="1"/>
  <c r="J78" i="8" s="1"/>
  <c r="K68" i="8"/>
  <c r="L19" i="8"/>
  <c r="L34" i="8"/>
  <c r="L29" i="8" s="1"/>
  <c r="L24" i="8" s="1"/>
  <c r="L34" i="9"/>
  <c r="K9" i="9"/>
  <c r="J41" i="9"/>
  <c r="J42" i="9" s="1"/>
  <c r="K40" i="9"/>
  <c r="M43" i="4"/>
  <c r="K74" i="9" l="1"/>
  <c r="K67" i="9"/>
  <c r="K88" i="9"/>
  <c r="K87" i="9" s="1"/>
  <c r="K176" i="9" s="1"/>
  <c r="K162" i="9"/>
  <c r="L148" i="9"/>
  <c r="L147" i="9" s="1"/>
  <c r="L156" i="9" s="1"/>
  <c r="L157" i="9" s="1"/>
  <c r="L48" i="13"/>
  <c r="M47" i="13" s="1"/>
  <c r="K53" i="8"/>
  <c r="K63" i="8"/>
  <c r="K64" i="8" s="1"/>
  <c r="K65" i="8" s="1"/>
  <c r="K79" i="8" s="1"/>
  <c r="K75" i="9"/>
  <c r="K76" i="9" s="1"/>
  <c r="K50" i="9"/>
  <c r="K51" i="9" s="1"/>
  <c r="L49" i="8"/>
  <c r="L51" i="8" s="1"/>
  <c r="L3" i="9"/>
  <c r="L7" i="9" s="1"/>
  <c r="L17" i="9" s="1"/>
  <c r="L19" i="9" s="1"/>
  <c r="N45" i="4"/>
  <c r="N43" i="4" s="1"/>
  <c r="M42" i="13"/>
  <c r="M38" i="13" s="1"/>
  <c r="M45" i="8"/>
  <c r="M41" i="8" s="1"/>
  <c r="M44" i="4"/>
  <c r="M15" i="13"/>
  <c r="M17" i="13" s="1"/>
  <c r="M16" i="8"/>
  <c r="M18" i="8" s="1"/>
  <c r="M32" i="6" s="1"/>
  <c r="K20" i="9"/>
  <c r="K21" i="9" s="1"/>
  <c r="L69" i="8"/>
  <c r="L21" i="8"/>
  <c r="J102" i="9"/>
  <c r="J103" i="9" s="1"/>
  <c r="J176" i="9"/>
  <c r="K41" i="9"/>
  <c r="K42" i="9" s="1"/>
  <c r="K70" i="8"/>
  <c r="K76" i="8" s="1"/>
  <c r="L68" i="8"/>
  <c r="K10" i="9"/>
  <c r="K11" i="9" s="1"/>
  <c r="L32" i="9"/>
  <c r="L31" i="9" s="1"/>
  <c r="L40" i="9" s="1"/>
  <c r="L65" i="9"/>
  <c r="J94" i="9"/>
  <c r="K102" i="9" l="1"/>
  <c r="K103" i="9" s="1"/>
  <c r="L63" i="9"/>
  <c r="L62" i="9" s="1"/>
  <c r="L73" i="9" s="1"/>
  <c r="L74" i="9" s="1"/>
  <c r="L50" i="13"/>
  <c r="K78" i="8"/>
  <c r="L89" i="9"/>
  <c r="M167" i="9"/>
  <c r="M180" i="9"/>
  <c r="M18" i="13"/>
  <c r="L41" i="9"/>
  <c r="L42" i="9" s="1"/>
  <c r="L20" i="9"/>
  <c r="L21" i="9" s="1"/>
  <c r="L53" i="8"/>
  <c r="L63" i="8"/>
  <c r="L64" i="8" s="1"/>
  <c r="L65" i="8" s="1"/>
  <c r="M50" i="8"/>
  <c r="L48" i="9"/>
  <c r="L49" i="9" s="1"/>
  <c r="L145" i="9"/>
  <c r="J95" i="9"/>
  <c r="J96" i="9" s="1"/>
  <c r="K94" i="9"/>
  <c r="N45" i="8"/>
  <c r="N41" i="8" s="1"/>
  <c r="N42" i="13"/>
  <c r="N38" i="13" s="1"/>
  <c r="N44" i="4"/>
  <c r="N15" i="13"/>
  <c r="N17" i="13" s="1"/>
  <c r="N16" i="8"/>
  <c r="N18" i="8" s="1"/>
  <c r="N32" i="6" s="1"/>
  <c r="L9" i="9"/>
  <c r="L70" i="8"/>
  <c r="L76" i="8" s="1"/>
  <c r="M68" i="8"/>
  <c r="J104" i="9"/>
  <c r="J105" i="9" s="1"/>
  <c r="M43" i="6"/>
  <c r="N72" i="8"/>
  <c r="N75" i="8" s="1"/>
  <c r="O40" i="4"/>
  <c r="L67" i="9" l="1"/>
  <c r="L162" i="9"/>
  <c r="M165" i="9"/>
  <c r="M164" i="9" s="1"/>
  <c r="M170" i="9" s="1"/>
  <c r="M171" i="9" s="1"/>
  <c r="L88" i="9"/>
  <c r="L87" i="9" s="1"/>
  <c r="L176" i="9" s="1"/>
  <c r="M179" i="9"/>
  <c r="M178" i="9" s="1"/>
  <c r="M185" i="9" s="1"/>
  <c r="M186" i="9" s="1"/>
  <c r="K104" i="9"/>
  <c r="K105" i="9" s="1"/>
  <c r="N18" i="13"/>
  <c r="N180" i="9"/>
  <c r="N179" i="9" s="1"/>
  <c r="N178" i="9" s="1"/>
  <c r="N185" i="9" s="1"/>
  <c r="N167" i="9"/>
  <c r="N165" i="9" s="1"/>
  <c r="N164" i="9" s="1"/>
  <c r="N170" i="9" s="1"/>
  <c r="L75" i="9"/>
  <c r="L76" i="9" s="1"/>
  <c r="O45" i="4"/>
  <c r="O43" i="4" s="1"/>
  <c r="L50" i="9"/>
  <c r="L51" i="9" s="1"/>
  <c r="N43" i="6"/>
  <c r="N44" i="6" s="1"/>
  <c r="M150" i="9"/>
  <c r="M31" i="13"/>
  <c r="M26" i="13" s="1"/>
  <c r="M22" i="13" s="1"/>
  <c r="M46" i="13" s="1"/>
  <c r="M48" i="13" s="1"/>
  <c r="M19" i="8"/>
  <c r="M34" i="9"/>
  <c r="M34" i="8"/>
  <c r="M29" i="8" s="1"/>
  <c r="M24" i="8" s="1"/>
  <c r="L78" i="8"/>
  <c r="L79" i="8"/>
  <c r="M44" i="6"/>
  <c r="L10" i="9"/>
  <c r="L11" i="9" s="1"/>
  <c r="K95" i="9"/>
  <c r="K96" i="9" s="1"/>
  <c r="N171" i="9" l="1"/>
  <c r="L102" i="9"/>
  <c r="L103" i="9" s="1"/>
  <c r="L104" i="9" s="1"/>
  <c r="L105" i="9" s="1"/>
  <c r="L94" i="9"/>
  <c r="L95" i="9" s="1"/>
  <c r="L96" i="9" s="1"/>
  <c r="N186" i="9"/>
  <c r="M148" i="9"/>
  <c r="M147" i="9" s="1"/>
  <c r="M156" i="9" s="1"/>
  <c r="M157" i="9" s="1"/>
  <c r="O42" i="13"/>
  <c r="O38" i="13" s="1"/>
  <c r="O45" i="8"/>
  <c r="O41" i="8" s="1"/>
  <c r="O44" i="4"/>
  <c r="O16" i="8"/>
  <c r="O18" i="8" s="1"/>
  <c r="O32" i="6" s="1"/>
  <c r="O15" i="13"/>
  <c r="O17" i="13" s="1"/>
  <c r="M49" i="8"/>
  <c r="M51" i="8" s="1"/>
  <c r="M3" i="9"/>
  <c r="M7" i="9" s="1"/>
  <c r="M50" i="13"/>
  <c r="N47" i="13"/>
  <c r="M32" i="9"/>
  <c r="M31" i="9" s="1"/>
  <c r="M65" i="9"/>
  <c r="N19" i="8"/>
  <c r="N34" i="8"/>
  <c r="N29" i="8" s="1"/>
  <c r="N24" i="8" s="1"/>
  <c r="N34" i="9"/>
  <c r="N31" i="13"/>
  <c r="N26" i="13" s="1"/>
  <c r="N22" i="13" s="1"/>
  <c r="N46" i="13" s="1"/>
  <c r="N150" i="9"/>
  <c r="N148" i="9" s="1"/>
  <c r="N147" i="9" s="1"/>
  <c r="N156" i="9" s="1"/>
  <c r="M19" i="13"/>
  <c r="M20" i="8"/>
  <c r="N19" i="13"/>
  <c r="N20" i="8"/>
  <c r="O72" i="8"/>
  <c r="O75" i="8" s="1"/>
  <c r="P40" i="4"/>
  <c r="N157" i="9" l="1"/>
  <c r="M63" i="9"/>
  <c r="M62" i="9" s="1"/>
  <c r="M162" i="9" s="1"/>
  <c r="N48" i="13"/>
  <c r="O47" i="13" s="1"/>
  <c r="M69" i="8"/>
  <c r="M21" i="8"/>
  <c r="N65" i="9"/>
  <c r="N63" i="9" s="1"/>
  <c r="N62" i="9" s="1"/>
  <c r="N32" i="9"/>
  <c r="N31" i="9" s="1"/>
  <c r="O43" i="6"/>
  <c r="O44" i="6" s="1"/>
  <c r="N49" i="8"/>
  <c r="N3" i="9"/>
  <c r="N7" i="9" s="1"/>
  <c r="N17" i="9" s="1"/>
  <c r="P45" i="4"/>
  <c r="P43" i="4" s="1"/>
  <c r="M17" i="9"/>
  <c r="M19" i="9" s="1"/>
  <c r="M9" i="9"/>
  <c r="N69" i="8"/>
  <c r="N21" i="8"/>
  <c r="M145" i="9"/>
  <c r="M48" i="9"/>
  <c r="M49" i="9" s="1"/>
  <c r="M40" i="9"/>
  <c r="M53" i="8"/>
  <c r="M63" i="8"/>
  <c r="M64" i="8" s="1"/>
  <c r="M65" i="8" s="1"/>
  <c r="N50" i="8"/>
  <c r="M89" i="9"/>
  <c r="O167" i="9"/>
  <c r="O165" i="9" s="1"/>
  <c r="O164" i="9" s="1"/>
  <c r="O170" i="9" s="1"/>
  <c r="O171" i="9" s="1"/>
  <c r="O180" i="9"/>
  <c r="O179" i="9" s="1"/>
  <c r="O178" i="9" s="1"/>
  <c r="O185" i="9" s="1"/>
  <c r="O186" i="9" s="1"/>
  <c r="O18" i="13"/>
  <c r="M67" i="9" l="1"/>
  <c r="M73" i="9"/>
  <c r="M74" i="9" s="1"/>
  <c r="M75" i="9" s="1"/>
  <c r="M76" i="9" s="1"/>
  <c r="M88" i="9"/>
  <c r="M87" i="9" s="1"/>
  <c r="M102" i="9" s="1"/>
  <c r="M103" i="9" s="1"/>
  <c r="N50" i="13"/>
  <c r="N51" i="8"/>
  <c r="N53" i="8" s="1"/>
  <c r="N9" i="9"/>
  <c r="M10" i="9"/>
  <c r="M11" i="9" s="1"/>
  <c r="P42" i="13"/>
  <c r="P38" i="13" s="1"/>
  <c r="P45" i="8"/>
  <c r="P41" i="8" s="1"/>
  <c r="P44" i="4"/>
  <c r="P15" i="13"/>
  <c r="P17" i="13" s="1"/>
  <c r="P16" i="8"/>
  <c r="P18" i="8" s="1"/>
  <c r="P32" i="6" s="1"/>
  <c r="N48" i="9"/>
  <c r="N49" i="9" s="1"/>
  <c r="N145" i="9"/>
  <c r="N162" i="9"/>
  <c r="N73" i="9"/>
  <c r="M20" i="9"/>
  <c r="M21" i="9" s="1"/>
  <c r="N19" i="9"/>
  <c r="N67" i="9"/>
  <c r="N89" i="9"/>
  <c r="N88" i="9" s="1"/>
  <c r="N87" i="9" s="1"/>
  <c r="O31" i="13"/>
  <c r="O26" i="13" s="1"/>
  <c r="O22" i="13" s="1"/>
  <c r="O46" i="13" s="1"/>
  <c r="O48" i="13" s="1"/>
  <c r="O150" i="9"/>
  <c r="O148" i="9" s="1"/>
  <c r="O147" i="9" s="1"/>
  <c r="O156" i="9" s="1"/>
  <c r="O157" i="9" s="1"/>
  <c r="O19" i="8"/>
  <c r="O34" i="8"/>
  <c r="O29" i="8" s="1"/>
  <c r="O24" i="8" s="1"/>
  <c r="O34" i="9"/>
  <c r="M79" i="8"/>
  <c r="O19" i="13"/>
  <c r="O20" i="8"/>
  <c r="M41" i="9"/>
  <c r="M42" i="9" s="1"/>
  <c r="N40" i="9"/>
  <c r="M50" i="9"/>
  <c r="M51" i="9" s="1"/>
  <c r="P72" i="8"/>
  <c r="P75" i="8" s="1"/>
  <c r="Q40" i="4"/>
  <c r="M70" i="8"/>
  <c r="M76" i="8" s="1"/>
  <c r="M78" i="8" s="1"/>
  <c r="N68" i="8"/>
  <c r="M94" i="9" l="1"/>
  <c r="M95" i="9" s="1"/>
  <c r="M96" i="9" s="1"/>
  <c r="N74" i="9"/>
  <c r="N75" i="9" s="1"/>
  <c r="N76" i="9" s="1"/>
  <c r="M176" i="9"/>
  <c r="O50" i="8"/>
  <c r="N63" i="8"/>
  <c r="N64" i="8" s="1"/>
  <c r="N65" i="8" s="1"/>
  <c r="N79" i="8" s="1"/>
  <c r="O50" i="13"/>
  <c r="P47" i="13"/>
  <c r="N50" i="9"/>
  <c r="N51" i="9" s="1"/>
  <c r="P43" i="6"/>
  <c r="P44" i="6" s="1"/>
  <c r="P18" i="13"/>
  <c r="P180" i="9"/>
  <c r="P179" i="9" s="1"/>
  <c r="P178" i="9" s="1"/>
  <c r="P185" i="9" s="1"/>
  <c r="P186" i="9" s="1"/>
  <c r="P167" i="9"/>
  <c r="P165" i="9" s="1"/>
  <c r="P164" i="9" s="1"/>
  <c r="P170" i="9" s="1"/>
  <c r="P171" i="9" s="1"/>
  <c r="O49" i="8"/>
  <c r="O3" i="9"/>
  <c r="O7" i="9" s="1"/>
  <c r="O17" i="9" s="1"/>
  <c r="O19" i="9" s="1"/>
  <c r="M104" i="9"/>
  <c r="M105" i="9" s="1"/>
  <c r="Q45" i="4"/>
  <c r="Q43" i="4" s="1"/>
  <c r="O65" i="9"/>
  <c r="O63" i="9" s="1"/>
  <c r="O32" i="9"/>
  <c r="O31" i="9" s="1"/>
  <c r="N10" i="9"/>
  <c r="N11" i="9" s="1"/>
  <c r="O69" i="8"/>
  <c r="O21" i="8"/>
  <c r="N176" i="9"/>
  <c r="N102" i="9"/>
  <c r="N103" i="9" s="1"/>
  <c r="N70" i="8"/>
  <c r="N76" i="8" s="1"/>
  <c r="O68" i="8"/>
  <c r="N20" i="9"/>
  <c r="N21" i="9" s="1"/>
  <c r="N41" i="9"/>
  <c r="N42" i="9" s="1"/>
  <c r="N94" i="9" l="1"/>
  <c r="N95" i="9" s="1"/>
  <c r="N96" i="9" s="1"/>
  <c r="O62" i="9"/>
  <c r="O67" i="9" s="1"/>
  <c r="O51" i="8"/>
  <c r="O63" i="8" s="1"/>
  <c r="O64" i="8" s="1"/>
  <c r="O65" i="8" s="1"/>
  <c r="N78" i="8"/>
  <c r="O89" i="9"/>
  <c r="O88" i="9" s="1"/>
  <c r="O87" i="9" s="1"/>
  <c r="O102" i="9" s="1"/>
  <c r="O103" i="9" s="1"/>
  <c r="O9" i="9"/>
  <c r="O10" i="9" s="1"/>
  <c r="O11" i="9" s="1"/>
  <c r="N104" i="9"/>
  <c r="N105" i="9" s="1"/>
  <c r="P19" i="13"/>
  <c r="P20" i="8"/>
  <c r="O20" i="9"/>
  <c r="O21" i="9" s="1"/>
  <c r="O145" i="9"/>
  <c r="O48" i="9"/>
  <c r="O49" i="9" s="1"/>
  <c r="O70" i="8"/>
  <c r="O76" i="8" s="1"/>
  <c r="P68" i="8"/>
  <c r="Q44" i="4"/>
  <c r="Q45" i="8"/>
  <c r="Q41" i="8" s="1"/>
  <c r="Q42" i="13"/>
  <c r="Q38" i="13" s="1"/>
  <c r="Q15" i="13"/>
  <c r="Q17" i="13" s="1"/>
  <c r="Q16" i="8"/>
  <c r="Q18" i="8" s="1"/>
  <c r="Q32" i="6" s="1"/>
  <c r="Q72" i="8"/>
  <c r="Q75" i="8" s="1"/>
  <c r="R40" i="4"/>
  <c r="P31" i="13"/>
  <c r="P26" i="13" s="1"/>
  <c r="P22" i="13" s="1"/>
  <c r="P46" i="13" s="1"/>
  <c r="P48" i="13" s="1"/>
  <c r="P150" i="9"/>
  <c r="P148" i="9" s="1"/>
  <c r="P147" i="9" s="1"/>
  <c r="P156" i="9" s="1"/>
  <c r="P157" i="9" s="1"/>
  <c r="O40" i="9"/>
  <c r="P19" i="8"/>
  <c r="P34" i="9"/>
  <c r="P34" i="8"/>
  <c r="P29" i="8" s="1"/>
  <c r="P24" i="8" s="1"/>
  <c r="O162" i="9" l="1"/>
  <c r="O73" i="9"/>
  <c r="O74" i="9" s="1"/>
  <c r="O53" i="8"/>
  <c r="P50" i="8"/>
  <c r="O94" i="9"/>
  <c r="O95" i="9" s="1"/>
  <c r="O96" i="9" s="1"/>
  <c r="O176" i="9"/>
  <c r="O104" i="9"/>
  <c r="O105" i="9" s="1"/>
  <c r="Q167" i="9"/>
  <c r="Q165" i="9" s="1"/>
  <c r="Q164" i="9" s="1"/>
  <c r="Q170" i="9" s="1"/>
  <c r="Q171" i="9" s="1"/>
  <c r="Q18" i="13"/>
  <c r="Q180" i="9"/>
  <c r="Q179" i="9" s="1"/>
  <c r="Q178" i="9" s="1"/>
  <c r="Q185" i="9" s="1"/>
  <c r="Q186" i="9" s="1"/>
  <c r="O50" i="9"/>
  <c r="O51" i="9" s="1"/>
  <c r="O75" i="9"/>
  <c r="O76" i="9" s="1"/>
  <c r="O78" i="8"/>
  <c r="O79" i="8"/>
  <c r="R45" i="4"/>
  <c r="R72" i="8" s="1"/>
  <c r="R75" i="8" s="1"/>
  <c r="P50" i="13"/>
  <c r="Q47" i="13"/>
  <c r="P69" i="8"/>
  <c r="P70" i="8" s="1"/>
  <c r="P76" i="8" s="1"/>
  <c r="P21" i="8"/>
  <c r="O41" i="9"/>
  <c r="O42" i="9" s="1"/>
  <c r="P49" i="8"/>
  <c r="P3" i="9"/>
  <c r="P7" i="9" s="1"/>
  <c r="P32" i="9"/>
  <c r="P31" i="9" s="1"/>
  <c r="P40" i="9" s="1"/>
  <c r="P65" i="9"/>
  <c r="P63" i="9" s="1"/>
  <c r="P62" i="9" s="1"/>
  <c r="Q43" i="6"/>
  <c r="P51" i="8" l="1"/>
  <c r="P63" i="8" s="1"/>
  <c r="P64" i="8" s="1"/>
  <c r="P65" i="8" s="1"/>
  <c r="P89" i="9"/>
  <c r="P88" i="9" s="1"/>
  <c r="P87" i="9" s="1"/>
  <c r="P176" i="9" s="1"/>
  <c r="R43" i="4"/>
  <c r="Q31" i="13"/>
  <c r="Q26" i="13" s="1"/>
  <c r="Q22" i="13" s="1"/>
  <c r="Q46" i="13" s="1"/>
  <c r="Q48" i="13" s="1"/>
  <c r="Q150" i="9"/>
  <c r="Q148" i="9" s="1"/>
  <c r="Q147" i="9" s="1"/>
  <c r="Q156" i="9" s="1"/>
  <c r="Q157" i="9" s="1"/>
  <c r="P41" i="9"/>
  <c r="P42" i="9" s="1"/>
  <c r="P48" i="9"/>
  <c r="P49" i="9" s="1"/>
  <c r="P145" i="9"/>
  <c r="P17" i="9"/>
  <c r="P19" i="9" s="1"/>
  <c r="P9" i="9"/>
  <c r="Q68" i="8"/>
  <c r="Q19" i="8"/>
  <c r="Q34" i="8"/>
  <c r="Q29" i="8" s="1"/>
  <c r="Q24" i="8" s="1"/>
  <c r="Q34" i="9"/>
  <c r="Q44" i="6"/>
  <c r="P162" i="9"/>
  <c r="P73" i="9"/>
  <c r="P74" i="9" s="1"/>
  <c r="P67" i="9"/>
  <c r="Q50" i="8" l="1"/>
  <c r="P53" i="8"/>
  <c r="P94" i="9"/>
  <c r="P95" i="9" s="1"/>
  <c r="P96" i="9" s="1"/>
  <c r="P102" i="9"/>
  <c r="P103" i="9" s="1"/>
  <c r="P104" i="9" s="1"/>
  <c r="P105" i="9" s="1"/>
  <c r="Q50" i="13"/>
  <c r="R47" i="13"/>
  <c r="Q32" i="9"/>
  <c r="Q31" i="9" s="1"/>
  <c r="Q65" i="9"/>
  <c r="Q63" i="9" s="1"/>
  <c r="P20" i="9"/>
  <c r="P21" i="9" s="1"/>
  <c r="Q19" i="13"/>
  <c r="Q20" i="8"/>
  <c r="P10" i="9"/>
  <c r="P11" i="9" s="1"/>
  <c r="P50" i="9"/>
  <c r="P51" i="9" s="1"/>
  <c r="P78" i="8"/>
  <c r="P79" i="8"/>
  <c r="Q49" i="8"/>
  <c r="Q3" i="9"/>
  <c r="Q7" i="9" s="1"/>
  <c r="Q17" i="9" s="1"/>
  <c r="Q19" i="9" s="1"/>
  <c r="P75" i="9"/>
  <c r="P76" i="9" s="1"/>
  <c r="R44" i="4"/>
  <c r="R45" i="8"/>
  <c r="R41" i="8" s="1"/>
  <c r="R42" i="13"/>
  <c r="R38" i="13" s="1"/>
  <c r="R15" i="13"/>
  <c r="R17" i="13" s="1"/>
  <c r="R16" i="8"/>
  <c r="R18" i="8" s="1"/>
  <c r="R32" i="6" s="1"/>
  <c r="Q62" i="9" l="1"/>
  <c r="Q67" i="9" s="1"/>
  <c r="Q51" i="8"/>
  <c r="Q53" i="8" s="1"/>
  <c r="Q9" i="9"/>
  <c r="Q10" i="9" s="1"/>
  <c r="Q11" i="9" s="1"/>
  <c r="Q89" i="9"/>
  <c r="Q88" i="9" s="1"/>
  <c r="Q87" i="9" s="1"/>
  <c r="Q94" i="9" s="1"/>
  <c r="Q95" i="9" s="1"/>
  <c r="Q96" i="9" s="1"/>
  <c r="Q69" i="8"/>
  <c r="Q21" i="8"/>
  <c r="R43" i="6"/>
  <c r="R167" i="9"/>
  <c r="R165" i="9" s="1"/>
  <c r="R164" i="9" s="1"/>
  <c r="R170" i="9" s="1"/>
  <c r="R18" i="13"/>
  <c r="R180" i="9"/>
  <c r="R179" i="9" s="1"/>
  <c r="R178" i="9" s="1"/>
  <c r="R185" i="9" s="1"/>
  <c r="Q20" i="9"/>
  <c r="Q21" i="9" s="1"/>
  <c r="Q145" i="9"/>
  <c r="Q48" i="9"/>
  <c r="Q49" i="9" s="1"/>
  <c r="Q40" i="9"/>
  <c r="Q162" i="9" l="1"/>
  <c r="Q73" i="9"/>
  <c r="Q74" i="9" s="1"/>
  <c r="Q75" i="9" s="1"/>
  <c r="Q76" i="9" s="1"/>
  <c r="R50" i="8"/>
  <c r="Q63" i="8"/>
  <c r="Q64" i="8" s="1"/>
  <c r="Q65" i="8" s="1"/>
  <c r="Q79" i="8" s="1"/>
  <c r="Q176" i="9"/>
  <c r="Q102" i="9"/>
  <c r="Q103" i="9" s="1"/>
  <c r="Q104" i="9" s="1"/>
  <c r="Q105" i="9" s="1"/>
  <c r="R31" i="13"/>
  <c r="R26" i="13" s="1"/>
  <c r="R22" i="13" s="1"/>
  <c r="R46" i="13" s="1"/>
  <c r="R48" i="13" s="1"/>
  <c r="R50" i="13" s="1"/>
  <c r="R150" i="9"/>
  <c r="R148" i="9" s="1"/>
  <c r="R147" i="9" s="1"/>
  <c r="R156" i="9" s="1"/>
  <c r="Q41" i="9"/>
  <c r="Q42" i="9" s="1"/>
  <c r="R19" i="8"/>
  <c r="R34" i="9"/>
  <c r="R34" i="8"/>
  <c r="R29" i="8" s="1"/>
  <c r="R24" i="8" s="1"/>
  <c r="R68" i="8"/>
  <c r="Q70" i="8"/>
  <c r="Q76" i="8" s="1"/>
  <c r="B188" i="9"/>
  <c r="R186" i="9"/>
  <c r="B173" i="9"/>
  <c r="R171" i="9"/>
  <c r="Q50" i="9"/>
  <c r="Q51" i="9" s="1"/>
  <c r="R44" i="6"/>
  <c r="Q78" i="8" l="1"/>
  <c r="B159" i="9"/>
  <c r="R157" i="9"/>
  <c r="R19" i="13"/>
  <c r="R20" i="8"/>
  <c r="R49" i="8"/>
  <c r="R51" i="8" s="1"/>
  <c r="R3" i="9"/>
  <c r="R7" i="9" s="1"/>
  <c r="R32" i="9"/>
  <c r="R65" i="9"/>
  <c r="R63" i="9" s="1"/>
  <c r="R62" i="9" s="1"/>
  <c r="R21" i="8" l="1"/>
  <c r="R69" i="8"/>
  <c r="R70" i="8" s="1"/>
  <c r="R76" i="8" s="1"/>
  <c r="R53" i="8"/>
  <c r="R63" i="8"/>
  <c r="R64" i="8" s="1"/>
  <c r="R65" i="8" s="1"/>
  <c r="R73" i="9"/>
  <c r="R162" i="9"/>
  <c r="R67" i="9"/>
  <c r="R89" i="9"/>
  <c r="R88" i="9" s="1"/>
  <c r="R31" i="9"/>
  <c r="B56" i="9"/>
  <c r="R17" i="9"/>
  <c r="B25" i="9"/>
  <c r="B24" i="9"/>
  <c r="R9" i="9"/>
  <c r="R10" i="9" s="1"/>
  <c r="R11" i="9" s="1"/>
  <c r="B27" i="9" s="1"/>
  <c r="R78" i="8" l="1"/>
  <c r="D83" i="8" a="1"/>
  <c r="B23" i="9"/>
  <c r="R19" i="9"/>
  <c r="R20" i="9" s="1"/>
  <c r="R21" i="9" s="1"/>
  <c r="B28" i="9" s="1"/>
  <c r="B78" i="9"/>
  <c r="B174" i="9" s="1"/>
  <c r="R74" i="9"/>
  <c r="R75" i="9" s="1"/>
  <c r="R76" i="9" s="1"/>
  <c r="C11" i="10"/>
  <c r="C29" i="10"/>
  <c r="C23" i="10"/>
  <c r="C17" i="10"/>
  <c r="R79" i="8"/>
  <c r="R48" i="9"/>
  <c r="R145" i="9"/>
  <c r="B55" i="9"/>
  <c r="B54" i="9"/>
  <c r="R40" i="9"/>
  <c r="R41" i="9" s="1"/>
  <c r="R42" i="9" s="1"/>
  <c r="B58" i="9" s="1"/>
  <c r="R87" i="9"/>
  <c r="B110" i="9"/>
  <c r="C28" i="10"/>
  <c r="C10" i="10"/>
  <c r="C22" i="10"/>
  <c r="C16" i="10"/>
  <c r="D84" i="8" l="1"/>
  <c r="D83" i="8"/>
  <c r="D85" i="8"/>
  <c r="D86" i="8"/>
  <c r="D87" i="8"/>
  <c r="D88" i="8"/>
  <c r="D89" i="8"/>
  <c r="D90" i="8"/>
  <c r="D91" i="8"/>
  <c r="D92" i="8"/>
  <c r="D93" i="8"/>
  <c r="D94" i="8"/>
  <c r="D95" i="8"/>
  <c r="D96" i="8"/>
  <c r="B83" i="8" a="1"/>
  <c r="B97" i="8" s="1"/>
  <c r="D97" i="8"/>
  <c r="B53" i="9"/>
  <c r="R49" i="9"/>
  <c r="R50" i="9" s="1"/>
  <c r="R51" i="9" s="1"/>
  <c r="B59" i="9" s="1"/>
  <c r="R176" i="9"/>
  <c r="R102" i="9"/>
  <c r="B109" i="9"/>
  <c r="B108" i="9"/>
  <c r="R94" i="9"/>
  <c r="R95" i="9" s="1"/>
  <c r="R96" i="9" s="1"/>
  <c r="B112" i="9" s="1"/>
  <c r="C9" i="10"/>
  <c r="B26" i="9"/>
  <c r="C15" i="10"/>
  <c r="C21" i="10"/>
  <c r="C27" i="10"/>
  <c r="B160" i="9" l="1"/>
  <c r="B83" i="8"/>
  <c r="B84" i="8"/>
  <c r="B85" i="8"/>
  <c r="B86" i="8"/>
  <c r="B87" i="8"/>
  <c r="B88" i="8"/>
  <c r="B90" i="8"/>
  <c r="B89" i="8"/>
  <c r="B91" i="8"/>
  <c r="B92" i="8"/>
  <c r="B93" i="8"/>
  <c r="B94" i="8"/>
  <c r="B95" i="8"/>
  <c r="B96" i="8"/>
  <c r="B107" i="9"/>
  <c r="B189" i="9" s="1"/>
  <c r="R103" i="9"/>
  <c r="R104" i="9" s="1"/>
  <c r="R105" i="9" s="1"/>
  <c r="B113" i="9" s="1"/>
  <c r="C12" i="10"/>
  <c r="C24" i="10"/>
  <c r="C30" i="10"/>
  <c r="C18" i="10"/>
  <c r="B57" i="9"/>
  <c r="B111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76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user: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Нужны данные по стоимости н</t>
        </r>
      </text>
    </comment>
  </commentList>
</comments>
</file>

<file path=xl/sharedStrings.xml><?xml version="1.0" encoding="utf-8"?>
<sst xmlns="http://schemas.openxmlformats.org/spreadsheetml/2006/main" count="978" uniqueCount="343">
  <si>
    <t>МАКРОЭКОНОМИЧЕСКИЕ ПРЕДПОССЫЛКИ</t>
  </si>
  <si>
    <t>Инфляция</t>
  </si>
  <si>
    <t>МЕРОПРИЯТИЯ</t>
  </si>
  <si>
    <t>ИПЦ</t>
  </si>
  <si>
    <t>Изменение тарифов</t>
  </si>
  <si>
    <t>Электроэнергия</t>
  </si>
  <si>
    <t>Газ</t>
  </si>
  <si>
    <t>%</t>
  </si>
  <si>
    <t>Ед. измерения</t>
  </si>
  <si>
    <t>ОПЕРАЦИОННЫЕ РАСХОДЫ</t>
  </si>
  <si>
    <t>Песок речной кварцевый</t>
  </si>
  <si>
    <t>Цемент М-500</t>
  </si>
  <si>
    <t>Известь</t>
  </si>
  <si>
    <t>Гипс</t>
  </si>
  <si>
    <t>Ал. пудра ПАП-1</t>
  </si>
  <si>
    <t>Вода</t>
  </si>
  <si>
    <t>Смазка форм</t>
  </si>
  <si>
    <t>Цена сырья</t>
  </si>
  <si>
    <t>руб./кг</t>
  </si>
  <si>
    <t>руб./л</t>
  </si>
  <si>
    <t>D-600 В5,0</t>
  </si>
  <si>
    <t>кг</t>
  </si>
  <si>
    <t>л</t>
  </si>
  <si>
    <t>Расход сырья для производства 1 м3 D-400 В2,5</t>
  </si>
  <si>
    <t>Расход сырья для производства 1 м3  D-600 В5,0</t>
  </si>
  <si>
    <t>Цена энергоресурсов</t>
  </si>
  <si>
    <t>м3./л</t>
  </si>
  <si>
    <t>Электричество</t>
  </si>
  <si>
    <t>Расходные материалы</t>
  </si>
  <si>
    <t>Цена расходных материалов</t>
  </si>
  <si>
    <t>Шары стальные</t>
  </si>
  <si>
    <t>Режущая проволка</t>
  </si>
  <si>
    <t>Фреза рез. Компл.</t>
  </si>
  <si>
    <t>компл</t>
  </si>
  <si>
    <t>Цена готовой продукции</t>
  </si>
  <si>
    <t>D-400 В2,5</t>
  </si>
  <si>
    <t>Расход сырья для производства 1 м3  D-500 В3,5</t>
  </si>
  <si>
    <t>D-500 В3,5</t>
  </si>
  <si>
    <t>руб./м3</t>
  </si>
  <si>
    <t>м3</t>
  </si>
  <si>
    <t xml:space="preserve">ПЕРСОНАЛ </t>
  </si>
  <si>
    <t>ОБЩИЕ ПРЕДПОССЫЛКИ</t>
  </si>
  <si>
    <t>Предпоссылки времени</t>
  </si>
  <si>
    <t>Количество дней</t>
  </si>
  <si>
    <t>Начало периода</t>
  </si>
  <si>
    <t>Конец периода</t>
  </si>
  <si>
    <t>дни</t>
  </si>
  <si>
    <t>чел.</t>
  </si>
  <si>
    <t>кВт</t>
  </si>
  <si>
    <t>ПРОИЗВОДСТВО ГАЗОБЕТОНА</t>
  </si>
  <si>
    <t>Выпуск</t>
  </si>
  <si>
    <t>Максимальный суточный выпуск</t>
  </si>
  <si>
    <t>Загрузка мощностей</t>
  </si>
  <si>
    <t>Максимальный годовой выпуск</t>
  </si>
  <si>
    <t>Распределение выпуска</t>
  </si>
  <si>
    <t>ВЫРУЧКА ОТ ПРОДАЖ</t>
  </si>
  <si>
    <t>Газобетон</t>
  </si>
  <si>
    <t>РАСХОД СЫРЬЯ ПРИ ПРОИЗВОДСТВЕ ГАЗОБЕТОНА</t>
  </si>
  <si>
    <t>тыс. руб</t>
  </si>
  <si>
    <t>Металлочерепица</t>
  </si>
  <si>
    <t>тыс. руб.</t>
  </si>
  <si>
    <t>Расходы на сырьё</t>
  </si>
  <si>
    <t>Расходы на энергоресурсы</t>
  </si>
  <si>
    <t>Расходы на расходные материалы</t>
  </si>
  <si>
    <t>НАЛОГИ</t>
  </si>
  <si>
    <t>Расходы на зарплату</t>
  </si>
  <si>
    <t>Налог на прибыль</t>
  </si>
  <si>
    <t>Отчисления во внебюджетные фонды с ФЗП</t>
  </si>
  <si>
    <t>Суммарная ставка социальных взносов</t>
  </si>
  <si>
    <t>Налог на имущество</t>
  </si>
  <si>
    <t>Ставка налога на прибыль</t>
  </si>
  <si>
    <t>Ставка налога на имущество</t>
  </si>
  <si>
    <t>ЦЕНОВЫЕ ПРЕДПОССЫЛКИ ПРОИЗВОДСТВА ГАЗОБЕТОНА</t>
  </si>
  <si>
    <t>Земельный налог</t>
  </si>
  <si>
    <t>Ставка земельного налога</t>
  </si>
  <si>
    <t>НДФЛ</t>
  </si>
  <si>
    <t>Ставка НДФЛ</t>
  </si>
  <si>
    <t>Норматив зачисления в бюджет субъекта РФ</t>
  </si>
  <si>
    <t>Норматив зачисления в местный бюджет</t>
  </si>
  <si>
    <t>Ставка к уплате в федеральный бюджет</t>
  </si>
  <si>
    <t>Ставка к уплате в бюджет субъекта РФ</t>
  </si>
  <si>
    <t>Социальные отчисления</t>
  </si>
  <si>
    <t>Переменные расходы</t>
  </si>
  <si>
    <t>Постоянные расходы</t>
  </si>
  <si>
    <t>Сырье</t>
  </si>
  <si>
    <t>Энергоресурсы</t>
  </si>
  <si>
    <t>Переменные расходы на производство газобетона</t>
  </si>
  <si>
    <t>Общехозяйственные и коммерческие расходы</t>
  </si>
  <si>
    <t>Налоги в себестоимости</t>
  </si>
  <si>
    <t>ПРОИЗВОДСТВО МЕТАЛЛОЧЕРЕПИЦЫ</t>
  </si>
  <si>
    <t>м2./сутки</t>
  </si>
  <si>
    <t>м2</t>
  </si>
  <si>
    <t>Цена за квадратный метр металлочерепицы</t>
  </si>
  <si>
    <t>ОПЕРАЦИОННЫЕ РАСХОДЫ И ПРОДАЖИ</t>
  </si>
  <si>
    <t xml:space="preserve">Цена сырья </t>
  </si>
  <si>
    <t>Сталь рулонная оцинкованная с полимерным покрытием</t>
  </si>
  <si>
    <t>т</t>
  </si>
  <si>
    <t>ЦЕНОВЫЕ ПРЕДПОССЫЛКИ ПРОИЗВОДСТВА МЕТАЛЛОЧЕРЕПИЦЫ</t>
  </si>
  <si>
    <t>КАПИТАЛЬНЫЕ ВЛОЖЕНИЯ</t>
  </si>
  <si>
    <t>Затраты на строительство с НДС</t>
  </si>
  <si>
    <t>Затраты на строительство без НДС</t>
  </si>
  <si>
    <t>Потребность в финансировании</t>
  </si>
  <si>
    <t>Оборудование</t>
  </si>
  <si>
    <t>Здание</t>
  </si>
  <si>
    <t>Предпроектные исследования</t>
  </si>
  <si>
    <t>Комментарий</t>
  </si>
  <si>
    <t>График платежей</t>
  </si>
  <si>
    <t>Взнос в УК</t>
  </si>
  <si>
    <t>Возврат НДС</t>
  </si>
  <si>
    <t>Производственный персонал</t>
  </si>
  <si>
    <t>ИТР</t>
  </si>
  <si>
    <t>Среднесписочная численнось персонала</t>
  </si>
  <si>
    <t>руб/месяц</t>
  </si>
  <si>
    <t>Выручка</t>
  </si>
  <si>
    <t>Переменные расходы на производство металлочерепицы</t>
  </si>
  <si>
    <t>Средняя заработная плата</t>
  </si>
  <si>
    <t>На уточнении</t>
  </si>
  <si>
    <t>Итого расходы на персонал</t>
  </si>
  <si>
    <t>Заработная плата и социальные отчисления</t>
  </si>
  <si>
    <t>Затраты на строительство объекта</t>
  </si>
  <si>
    <t>ОСНОВНЫЕ СРЕДСТВА</t>
  </si>
  <si>
    <t>Капзатраты без НДС</t>
  </si>
  <si>
    <t>НДС по капстроительству</t>
  </si>
  <si>
    <t>Незавершенное строительство</t>
  </si>
  <si>
    <t>Ввод ОС (конец периода)</t>
  </si>
  <si>
    <t>Основные средства</t>
  </si>
  <si>
    <t>Первоначальная балансовая стоимость</t>
  </si>
  <si>
    <t>Срок полезного использования</t>
  </si>
  <si>
    <t>Амортизация за период</t>
  </si>
  <si>
    <t>в т.ч. амортизация субсидий</t>
  </si>
  <si>
    <t>Амортизация накопленная</t>
  </si>
  <si>
    <t>Остаточная балансовая стоимость</t>
  </si>
  <si>
    <t>лет</t>
  </si>
  <si>
    <t>НДС</t>
  </si>
  <si>
    <t>НДС в выручке</t>
  </si>
  <si>
    <t>НДС в затратах</t>
  </si>
  <si>
    <t>НДС выплаченный</t>
  </si>
  <si>
    <t>НДС по капстроительству на начало периода</t>
  </si>
  <si>
    <t>НДС по капстроительству за период</t>
  </si>
  <si>
    <t>НДС по капстроительству на конец периода</t>
  </si>
  <si>
    <t>НАЛОГ НА ИМУЩЕСТВО</t>
  </si>
  <si>
    <t>База для начисления</t>
  </si>
  <si>
    <t>Ставка налога</t>
  </si>
  <si>
    <t>Льготная ставка</t>
  </si>
  <si>
    <t>Применение льготы</t>
  </si>
  <si>
    <t>НИ к уплате</t>
  </si>
  <si>
    <t>НАЛОГ НА ПРИБЫЛЬ</t>
  </si>
  <si>
    <t>федеральный бюджет</t>
  </si>
  <si>
    <t>бюджет субъекта РФ</t>
  </si>
  <si>
    <t>Применимая ставка</t>
  </si>
  <si>
    <t>Налог на прибыль к уплате</t>
  </si>
  <si>
    <t>Чистая прибыль</t>
  </si>
  <si>
    <t>ОБЩЕХОЗЯЙСТВЕННЫЕ И КОММЕРЧЕСКИЕ РАСХОДЫ</t>
  </si>
  <si>
    <t>Рекламно-маркетинговые расходы</t>
  </si>
  <si>
    <t>Прочие накладные расходы</t>
  </si>
  <si>
    <t>Аренда участка</t>
  </si>
  <si>
    <t>Итого общехозяйственные и коммерческие расходы</t>
  </si>
  <si>
    <t>Итого налоги в себестоимоти</t>
  </si>
  <si>
    <t>НАЛОГИ В СЕБЕСТОИМОСТИ</t>
  </si>
  <si>
    <t>ОБОРОТНЫЙ КАПИТАЛ</t>
  </si>
  <si>
    <t>Дебиторская задолженность</t>
  </si>
  <si>
    <t>Запасы</t>
  </si>
  <si>
    <t>Кредиторская задолженость</t>
  </si>
  <si>
    <t>Расчеты с персоналом</t>
  </si>
  <si>
    <t>Оборотный капитал</t>
  </si>
  <si>
    <t>Изменение оборотного капитала</t>
  </si>
  <si>
    <t>РАСХОД СЫРЬЯ ПРИ ПРОИЗВОДСТВЕ МЕТАЛЛОЧЕРЕПИЦЫ</t>
  </si>
  <si>
    <t>БАЛАНС</t>
  </si>
  <si>
    <t>ОТЧЕТ О ПРИБЫЛЯХ И УБЫТКАХ</t>
  </si>
  <si>
    <t>Себестоимость</t>
  </si>
  <si>
    <t>Прибыль от продаж</t>
  </si>
  <si>
    <t>EBITDA</t>
  </si>
  <si>
    <t>EBIT</t>
  </si>
  <si>
    <t>Проценты к уплате</t>
  </si>
  <si>
    <t>Сальдо прочих доходов и расходов</t>
  </si>
  <si>
    <t>Прибыль до налогов</t>
  </si>
  <si>
    <t>Затраты на персонал</t>
  </si>
  <si>
    <t>Производственные расходы</t>
  </si>
  <si>
    <t>Амортизация</t>
  </si>
  <si>
    <t>Бюджетные субсидии на строительство здания и возмещение лизинга</t>
  </si>
  <si>
    <t>Денежные потоки от операционной деятельности</t>
  </si>
  <si>
    <t>Выручка без НДС</t>
  </si>
  <si>
    <t>НДС с выручки (исходящий)</t>
  </si>
  <si>
    <t>Операционные расходы без НДС, за вычетом амортизации и налогов</t>
  </si>
  <si>
    <t>Налоги, в т.ч.:</t>
  </si>
  <si>
    <t>НДС с операционных расходов (входящий)</t>
  </si>
  <si>
    <t>НДС уплачено</t>
  </si>
  <si>
    <t>Изменение рабочего капитала</t>
  </si>
  <si>
    <t>ОТЧЕТ О ДВИЖЕНИИ ДЕНЕЖНЫХ СРЕДСТВ</t>
  </si>
  <si>
    <t>НДС накопленный</t>
  </si>
  <si>
    <t>Выпуск по типам продукции</t>
  </si>
  <si>
    <t>Денежные потоки от инвестиционной деятельности</t>
  </si>
  <si>
    <t>Денежные потоки от финансовой деятельности</t>
  </si>
  <si>
    <t>Суммарный денежный поток за период</t>
  </si>
  <si>
    <t>Денежные средства на начало периода</t>
  </si>
  <si>
    <t>Денежные средства на конец периода</t>
  </si>
  <si>
    <t>Льготная ставка налога на имущество</t>
  </si>
  <si>
    <t>Эксплуатационная стадия</t>
  </si>
  <si>
    <t>Внеоборотные активы</t>
  </si>
  <si>
    <t>НДС по приобретенным ценностям</t>
  </si>
  <si>
    <t>Денежные средства</t>
  </si>
  <si>
    <t>Оборотные активы</t>
  </si>
  <si>
    <t>Уставный капитал</t>
  </si>
  <si>
    <t>Нераспределенная прибыль/убыток прошлых лет</t>
  </si>
  <si>
    <t>Нераспределенная прибыль/убыток отчетного периода</t>
  </si>
  <si>
    <t>Капитал и резервы</t>
  </si>
  <si>
    <t>Долгосрочные кредиты и займы</t>
  </si>
  <si>
    <t>Субсидии</t>
  </si>
  <si>
    <t>Кредиторская задолженность</t>
  </si>
  <si>
    <t>Обзятельства</t>
  </si>
  <si>
    <t>Инвестиционный займ</t>
  </si>
  <si>
    <t>Капитальные инвестиции</t>
  </si>
  <si>
    <t>Проверка</t>
  </si>
  <si>
    <t>ИНВЕСТИЦИОННЫЙ ЗАЙМ</t>
  </si>
  <si>
    <t>Долг на начало</t>
  </si>
  <si>
    <t>Привлечение</t>
  </si>
  <si>
    <t>Погашение</t>
  </si>
  <si>
    <t>Проценты начисленные</t>
  </si>
  <si>
    <t>Проценты уплаченные</t>
  </si>
  <si>
    <t>Долг на конец</t>
  </si>
  <si>
    <t>Возврат инвестиционного займа</t>
  </si>
  <si>
    <t>Операционный денежный поток</t>
  </si>
  <si>
    <t>Бюджетная поддержка</t>
  </si>
  <si>
    <t>Инвестиции</t>
  </si>
  <si>
    <t>Свободный денежный поток компании, FCFF</t>
  </si>
  <si>
    <t>Инвестиции накопленным итогом</t>
  </si>
  <si>
    <t>Денежный поток накопленным итогом</t>
  </si>
  <si>
    <t>Год окупаемости вложений</t>
  </si>
  <si>
    <t>Срок окупаемости</t>
  </si>
  <si>
    <t>Ставка дисконтирования (WACC)</t>
  </si>
  <si>
    <t>Период дисконтирования</t>
  </si>
  <si>
    <t>Фактор дисконтирования</t>
  </si>
  <si>
    <t>Дисконтированный денежный поток</t>
  </si>
  <si>
    <t>Дисконтированные инвестиции накопленным итогом</t>
  </si>
  <si>
    <t>Чистая приведенная стоимость, NPV</t>
  </si>
  <si>
    <t>Внутренняя норма рентабельности, IRR</t>
  </si>
  <si>
    <t>Модифицированная IRR, MIRR</t>
  </si>
  <si>
    <t>Норма доходности дисконтированных затрат (PI)</t>
  </si>
  <si>
    <t>Простой срок окупаемости (PBP)</t>
  </si>
  <si>
    <t>Дисконтированный срок окупаемости (DPBP)</t>
  </si>
  <si>
    <t>м3/год</t>
  </si>
  <si>
    <t>Выручка по типам продукции</t>
  </si>
  <si>
    <t>руб./ м3</t>
  </si>
  <si>
    <t>кВт/руб</t>
  </si>
  <si>
    <t>ЭФФЕКТИВНОСТЬ ПРОЕКТА ДЛЯ ПРОИЗВОДСТВА</t>
  </si>
  <si>
    <t>СТАВКА ДИСКОНТИРОВАНИЯ</t>
  </si>
  <si>
    <t>Ставка для собственного капитала, Re</t>
  </si>
  <si>
    <t>Ключевая ставка (С)</t>
  </si>
  <si>
    <t>Премия за риск (R)</t>
  </si>
  <si>
    <t>Источник: https://pages.stern.nyu.edu/~adamodar/</t>
  </si>
  <si>
    <t xml:space="preserve">Re = С+R </t>
  </si>
  <si>
    <t>Для расчета в номинальных ценах (прогнозных, с инфляцией)</t>
  </si>
  <si>
    <t>Среднегодовая ключевая ставка на долгосрочны период (https://cbr.ru/statistics/ddkp/mo_br/)</t>
  </si>
  <si>
    <t>Ставка для бюджетных средств, Rf</t>
  </si>
  <si>
    <t>Доходность к погашению по облигациям федерального займа со сроком, близким к срокам реализации проекта (C)</t>
  </si>
  <si>
    <t>Корректировка в соответствии с Приказом Минэкономразвития России от 30.11.2015 N 894 «Об утверждении Методики оценки эффективности проекта государственно-частного партнерства, проекта муниципально-частного партнерства и определения их сравнительного преимущества» (R)</t>
  </si>
  <si>
    <t>Rf = C+R</t>
  </si>
  <si>
    <t>Расчет средневзвешенной ставки:</t>
  </si>
  <si>
    <t>Ставка налога на прибыль, T</t>
  </si>
  <si>
    <t>Доля заемного капитала в расчете ставки, Wd</t>
  </si>
  <si>
    <t>Доля бюджетных средств, Wf</t>
  </si>
  <si>
    <t>Доля собственного капитала в расчете ставки, We</t>
  </si>
  <si>
    <t xml:space="preserve">WACC = Re * We + Rf * Wf + Rd * Wd * (1-T) = </t>
  </si>
  <si>
    <t>Проценты по инвестиционному займу</t>
  </si>
  <si>
    <t>Ставка реинвестирования доходов (для расчета MIRR)</t>
  </si>
  <si>
    <t>приравнена к ставке для собственного капитала, Re</t>
  </si>
  <si>
    <t>Ставка для заемных средств, Rd</t>
  </si>
  <si>
    <t xml:space="preserve">Расчет соответствует Методике расчета показателей и применения критериев эффективности региональных инвестиционных проектов, претендующих на получение государственной поддержки за счет бюджетных ассигнований Инвестиционного фонда Российской Федерации, утвержденной Приказом Минрегиона РФ от 30.10.2009 N 493 </t>
  </si>
  <si>
    <t xml:space="preserve">НДС с CAPEX </t>
  </si>
  <si>
    <t>Денежный поток</t>
  </si>
  <si>
    <t>Налоги и страховые взносы</t>
  </si>
  <si>
    <t>Налог на добавленную стоимость</t>
  </si>
  <si>
    <t>Страховые взносы</t>
  </si>
  <si>
    <t>Финансирование проекта</t>
  </si>
  <si>
    <t>Денежный поток нарастающим итогом</t>
  </si>
  <si>
    <t>Дисконтированный поток нарастающим итогом</t>
  </si>
  <si>
    <t>Коэффициент бюджетной эффективности</t>
  </si>
  <si>
    <r>
      <t xml:space="preserve">Рентабельность инвестиций RI
</t>
    </r>
    <r>
      <rPr>
        <sz val="9"/>
        <color theme="1"/>
        <rFont val="Arial Narrow"/>
        <family val="2"/>
        <charset val="204"/>
      </rPr>
      <t>(NPV / сумма инвестиций)</t>
    </r>
  </si>
  <si>
    <t>X</t>
  </si>
  <si>
    <t>Производственная мощность</t>
  </si>
  <si>
    <t>ЭФФЕКТИВНОСТЬ ПРОЕКТА ДЛЯ ФЕДЕРАЛЬНОГО БЮДЖЕТА РФ</t>
  </si>
  <si>
    <t>ЭФФЕКТИВНОСТЬ ПРОЕКТА ДЛЯ КОНСОЛИДИРОВАННОГО БЮДЖЕТА РФ</t>
  </si>
  <si>
    <t>Льготная суммарная ставка социальных взносов</t>
  </si>
  <si>
    <t>Льготная ставка налога на прибыль</t>
  </si>
  <si>
    <t>Льготная ставка к уплате в федеральный бюджет</t>
  </si>
  <si>
    <t>Льготная ставка к уплате в бюджет субъекта РФ</t>
  </si>
  <si>
    <t>СТРАХОВЫЕ ВЗНОСЫ</t>
  </si>
  <si>
    <t>База для расчета страховых взносов</t>
  </si>
  <si>
    <t>Базовая ставка страховых взносов</t>
  </si>
  <si>
    <t>Льготная ставка страховых взносов</t>
  </si>
  <si>
    <t>не применимо</t>
  </si>
  <si>
    <t>ЭФФЕКТИВНОСТЬ ПРОЕКТА ДЛЯ РЕГИОНАЛЬНОГО БЮДЖЕТА РФ</t>
  </si>
  <si>
    <t>Финансирование накопленным итогом</t>
  </si>
  <si>
    <t>Льготный период</t>
  </si>
  <si>
    <t>ЭФФЕКТИВНОСТЬ ПРОЕКТА ДЛЯ МУНИЦИПАЛЬНОГО БЮДЖЕТА</t>
  </si>
  <si>
    <t>год</t>
  </si>
  <si>
    <t>ПРОИЗВОДСТВЕННЫЙ ГРАФИК</t>
  </si>
  <si>
    <t>Производственный график газобетона</t>
  </si>
  <si>
    <t>Производственный график металлочерепицы</t>
  </si>
  <si>
    <t>К ставке дисконтирования</t>
  </si>
  <si>
    <t>Чистая приведенная стоимость (NPV) бюджетной поддержки</t>
  </si>
  <si>
    <t>К инвестиции</t>
  </si>
  <si>
    <t>К бюджетной поддержке</t>
  </si>
  <si>
    <t>Расходы на ремонт</t>
  </si>
  <si>
    <t>Лизинговый платеж</t>
  </si>
  <si>
    <t>НДС с лизингового платежа</t>
  </si>
  <si>
    <t>НДС по лизингу</t>
  </si>
  <si>
    <t>ЛИЗИНГ ОБОРУДОВАНИЯ</t>
  </si>
  <si>
    <t>Лизинг</t>
  </si>
  <si>
    <t>Лизинг оборудования</t>
  </si>
  <si>
    <t>Итого пассивы</t>
  </si>
  <si>
    <t>Итого активы</t>
  </si>
  <si>
    <t>К ценам продажи</t>
  </si>
  <si>
    <t>Анализ влияние льгот Парка на денежные потоки</t>
  </si>
  <si>
    <t>Консолидированный денежный поток без льгот</t>
  </si>
  <si>
    <t>Социальные отчисления с льготами</t>
  </si>
  <si>
    <t>Дисконтированный денежный поток без льгот</t>
  </si>
  <si>
    <t>Федеральный денежный поток без льгот</t>
  </si>
  <si>
    <t>NPV консолидированного бюджета без льгот</t>
  </si>
  <si>
    <t>Денежный поток Федерального бюджета с льготами</t>
  </si>
  <si>
    <t>Денежный поток с Консолидированного бюджета с льготами</t>
  </si>
  <si>
    <t>Денежный поток Регионального бюджета с льготами</t>
  </si>
  <si>
    <t>Региональный денежный поток без льгот</t>
  </si>
  <si>
    <t>Рентабельность активов</t>
  </si>
  <si>
    <t>NPV Федерального бюджета без льгот</t>
  </si>
  <si>
    <t>NPV регионального бюджета без льгот</t>
  </si>
  <si>
    <t>Рентабельность продаж</t>
  </si>
  <si>
    <t>Рентабельность ЧП</t>
  </si>
  <si>
    <t>Финансовые метрики</t>
  </si>
  <si>
    <t>Год с выхода на эксплуатацию</t>
  </si>
  <si>
    <t>К ценам продаж</t>
  </si>
  <si>
    <t>К инфляции</t>
  </si>
  <si>
    <t>График бюджетной поддержки</t>
  </si>
  <si>
    <t>Привлечение лизинга</t>
  </si>
  <si>
    <t>Доля бюджетных средств</t>
  </si>
  <si>
    <t>Доля внебюджетных средств</t>
  </si>
  <si>
    <t>Потеря NPV от налоговых льгот</t>
  </si>
  <si>
    <t>Выручка с НДС</t>
  </si>
  <si>
    <t>Изменение</t>
  </si>
  <si>
    <t>Ставки дисконтирования</t>
  </si>
  <si>
    <t>Инвестиций</t>
  </si>
  <si>
    <t>Бюджетной поддержки</t>
  </si>
  <si>
    <t>Цен продаж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</si>
</sst>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9">
    <numFmt numFmtId="41" formatCode="_-* #,##0_-;\-* #,##0_-;_-* &quot;-&quot;_-;_-@_-"/>
    <numFmt numFmtId="43" formatCode="_-* #,##0.00_-;\-* #,##0.00_-;_-* &quot;-&quot;??_-;_-@_-"/>
    <numFmt numFmtId="164" formatCode="#,##0.00&quot;р.&quot;;\-#,##0.00&quot;р.&quot;"/>
    <numFmt numFmtId="165" formatCode="#,##0.00&quot;р.&quot;;[Red]\-#,##0.00&quot;р.&quot;"/>
    <numFmt numFmtId="166" formatCode="_-* #,##0.00&quot;р.&quot;_-;\-* #,##0.00&quot;р.&quot;_-;_-* &quot;-&quot;??&quot;р.&quot;_-;_-@_-"/>
    <numFmt numFmtId="167" formatCode="0.0%"/>
    <numFmt numFmtId="168" formatCode="0.0000"/>
    <numFmt numFmtId="169" formatCode="0.0"/>
    <numFmt numFmtId="170" formatCode="#,##0.0"/>
    <numFmt numFmtId="171" formatCode="#,##0.000"/>
    <numFmt numFmtId="172" formatCode="0.000"/>
    <numFmt numFmtId="173" formatCode="yyyy"/>
    <numFmt numFmtId="174" formatCode="#,##0_ ;[Red]\-#,##0\ "/>
    <numFmt numFmtId="175" formatCode="_-* #,##0_р_._-;\-* #,##0_р_._-;_-* &quot;-&quot;_р_._-;_-@_-"/>
    <numFmt numFmtId="176" formatCode="_-* #,##0.00_р_._-;\-* #,##0.00_р_._-;_-* &quot;-&quot;??_р_._-;_-@_-"/>
    <numFmt numFmtId="177" formatCode="_(* #,##0.0000_);_(* \(#,##0.0000\);_(* &quot;-&quot;??_);_(@_)"/>
    <numFmt numFmtId="178" formatCode="0.00000000"/>
    <numFmt numFmtId="179" formatCode="0.000000000"/>
    <numFmt numFmtId="180" formatCode="&quot;£&quot;#,##0;[Red]\-&quot;£&quot;#,##0"/>
    <numFmt numFmtId="181" formatCode="_(* #,##0_);_(* \(#,##0\);_(* &quot;-&quot;??_);_(@_)"/>
    <numFmt numFmtId="182" formatCode="&quot;$&quot;#,##0_);[Red]\(&quot;$&quot;#,##0\)"/>
    <numFmt numFmtId="183" formatCode="_-* #,##0\ _d_._-;\-* #,##0\ _d_._-;_-* &quot;-&quot;\ _d_._-;_-@_-"/>
    <numFmt numFmtId="184" formatCode="_-* #,##0.00\ _d_._-;\-* #,##0.00\ _d_._-;_-* &quot;-&quot;??\ _d_._-;_-@_-"/>
    <numFmt numFmtId="185" formatCode="General_)"/>
    <numFmt numFmtId="186" formatCode="_(&quot;$&quot;* #,##0.00_);_(&quot;$&quot;* \(#,##0.00\);_(&quot;$&quot;* &quot;-&quot;??_);_(@_)"/>
    <numFmt numFmtId="187" formatCode="_(&quot;$&quot;* #,##0_);_(&quot;$&quot;* \(#,##0\);_(&quot;$&quot;* &quot;-&quot;_);_(@_)"/>
    <numFmt numFmtId="188" formatCode="&quot;$&quot;#,##0.00_);[Red]\(&quot;$&quot;#,##0.00\)"/>
    <numFmt numFmtId="189" formatCode="0.0_)"/>
    <numFmt numFmtId="190" formatCode="#,##0\т"/>
    <numFmt numFmtId="191" formatCode="#.##0\.00"/>
    <numFmt numFmtId="192" formatCode="#,##0_);\(#,##0\);&quot;- &quot;;&quot;  &quot;@"/>
    <numFmt numFmtId="193" formatCode="&quot;error&quot;;&quot;error&quot;;&quot;OK&quot;;&quot;  &quot;@"/>
    <numFmt numFmtId="194" formatCode=";;&quot;zero&quot;;&quot;  &quot;@"/>
    <numFmt numFmtId="195" formatCode="#,##0.0000_);\(#,##0.0000\);&quot;- &quot;;&quot;  &quot;@"/>
    <numFmt numFmtId="196" formatCode="#,##0;[Red]#,##0"/>
    <numFmt numFmtId="197" formatCode="_([$€-2]* #,##0.00_);_([$€-2]* \(#,##0.00\);_([$€-2]* &quot;-&quot;??_)"/>
    <numFmt numFmtId="198" formatCode="&quot;\&quot;#,##0;[Red]\-&quot;\&quot;#,##0"/>
    <numFmt numFmtId="199" formatCode="_-* #,##0\ &quot;FB&quot;_-;\-* #,##0\ &quot;FB&quot;_-;_-* &quot;-&quot;\ &quot;FB&quot;_-;_-@_-"/>
    <numFmt numFmtId="200" formatCode="_-* #,##0\ _F_B_-;\-* #,##0\ _F_B_-;_-* &quot;-&quot;\ _F_B_-;_-@_-"/>
    <numFmt numFmtId="201" formatCode="_-* #,##0.00\ &quot;FB&quot;_-;\-* #,##0.00\ &quot;FB&quot;_-;_-* &quot;-&quot;??\ &quot;FB&quot;_-;_-@_-"/>
    <numFmt numFmtId="202" formatCode="_-* #,##0.00\ _F_B_-;\-* #,##0.00\ _F_B_-;_-* &quot;-&quot;??\ _F_B_-;_-@_-"/>
    <numFmt numFmtId="203" formatCode="_-* #,##0.00_-;_-* #,##0.00\-;_-* &quot;-&quot;??_-;_-@_-"/>
    <numFmt numFmtId="204" formatCode="_-* #,##0_-;_-* #,##0\-;_-* &quot;-&quot;_-;_-@_-"/>
    <numFmt numFmtId="205" formatCode="_-&quot;F&quot;\ * #,##0_-;_-&quot;F&quot;\ * #,##0\-;_-&quot;F&quot;\ * &quot;-&quot;_-;_-@_-"/>
    <numFmt numFmtId="206" formatCode="_-&quot;F&quot;\ * #,##0.00_-;_-&quot;F&quot;\ * #,##0.00\-;_-&quot;F&quot;\ * &quot;-&quot;??_-;_-@_-"/>
    <numFmt numFmtId="207" formatCode="0.0\x"/>
    <numFmt numFmtId="208" formatCode="&quot;$&quot;#,##0.0_);\(&quot;$&quot;#,##0.0\)"/>
    <numFmt numFmtId="209" formatCode="#,##0.0_);[Red]\(#,##0.0\)"/>
    <numFmt numFmtId="210" formatCode="\¥#,##0_);\(\¥#,##0\)"/>
    <numFmt numFmtId="211" formatCode="\£#,##0_);\(\£#,##0\)"/>
    <numFmt numFmtId="212" formatCode="_(* #,##0.00_);[Red]_(* \(#,##0.00\);_(* &quot;-&quot;??_);_(@_)"/>
    <numFmt numFmtId="213" formatCode="_(* #,##0.000_);[Red]_(* \(#,##0.000\);_(* &quot;-&quot;??_);_(@_)"/>
    <numFmt numFmtId="214" formatCode="0.00\x"/>
    <numFmt numFmtId="215" formatCode="&quot;$&quot;#,##0\ ;\(&quot;$&quot;#,##0\)"/>
    <numFmt numFmtId="216" formatCode="mm/dd/yy"/>
    <numFmt numFmtId="217" formatCode="&quot;$&quot;#,##0_);\(&quot;$&quot;#,##0\)"/>
    <numFmt numFmtId="218" formatCode="_-* #,##0.0_-;\-* #,##0.0_-;_-* &quot;-&quot;??_-;_-@_-"/>
    <numFmt numFmtId="219" formatCode="#,##0.0;[Red]\-#,##0.0"/>
    <numFmt numFmtId="220" formatCode="_-* #,##0.0000_-;\-* #,##0.0000_-;_-* &quot;-&quot;??_-;_-@_-"/>
    <numFmt numFmtId="221" formatCode="_-* #,##0.00000_-;\-* #,##0.00000_-;_-* &quot;-&quot;??_-;_-@_-"/>
    <numFmt numFmtId="222" formatCode="#,##0.0;\(#,##0.0\)"/>
    <numFmt numFmtId="223" formatCode="#,##0.0_);\(#,##0.0\)"/>
    <numFmt numFmtId="224" formatCode="0_)"/>
    <numFmt numFmtId="225" formatCode="#,##0.0\ ;\(#,##0.0\)"/>
    <numFmt numFmtId="226" formatCode="&quot;$&quot;_(#,##0.00_);&quot;$&quot;\(#,##0.00\)"/>
    <numFmt numFmtId="227" formatCode="#,##0.0_)\x;\(#,##0.0\)\x"/>
    <numFmt numFmtId="228" formatCode="#,##0.0_)_x;\(#,##0.0\)_x"/>
    <numFmt numFmtId="229" formatCode="0.0_)\%;\(0.0\)\%"/>
    <numFmt numFmtId="230" formatCode="#,##0.0_)_%;\(#,##0.0\)_%"/>
    <numFmt numFmtId="231" formatCode="#,##0;\(#,##0\)"/>
    <numFmt numFmtId="232" formatCode="#,##0.00;\(#,##0.00\)"/>
    <numFmt numFmtId="233" formatCode="[Blue]#,##0.0\ ;[Red]\(#,##0.0\)"/>
    <numFmt numFmtId="234" formatCode="[Blue]#,##0.0;[Red]\(#,##0.0\)"/>
    <numFmt numFmtId="235" formatCode="0_);\(0\)"/>
    <numFmt numFmtId="236" formatCode="0.0\x#"/>
    <numFmt numFmtId="237" formatCode="_(* #,##0.0_);_(* \(#,##0.0\);_(* &quot;-&quot;?_);_(@_)"/>
    <numFmt numFmtId="238" formatCode="#,##0.00\ &quot;F&quot;;[Red]\-#,##0.00\ &quot;F&quot;"/>
    <numFmt numFmtId="239" formatCode="_-* #,##0\ &quot;F&quot;_-;\-* #,##0\ &quot;F&quot;_-;_-* &quot;-&quot;\ &quot;F&quot;_-;_-@_-"/>
    <numFmt numFmtId="240" formatCode="_-* #,##0\ _F_-;\-* #,##0\ _F_-;_-* &quot;-&quot;\ _F_-;_-@_-"/>
    <numFmt numFmtId="241" formatCode="#,##0.0;\-#,##0.0"/>
    <numFmt numFmtId="242" formatCode="#,##0.000_);[Red]\(#,##0.000\)"/>
    <numFmt numFmtId="243" formatCode="#,##0.0\x_);\(#,##0.0\x\)"/>
    <numFmt numFmtId="244" formatCode="#,##0.0\x\x\);\(#,##0.0\)"/>
    <numFmt numFmtId="245" formatCode="&quot;No&quot;;&quot;Yes&quot;"/>
    <numFmt numFmtId="246" formatCode="#,##0;[Red]\(#,##0\)"/>
    <numFmt numFmtId="247" formatCode="mmm\-yyyy"/>
    <numFmt numFmtId="248" formatCode="_(* #,##0,_);_(* \(#,##0,\);_(* &quot;-&quot;_);_(@_)"/>
    <numFmt numFmtId="249" formatCode="#,##0.0;[Red]\(#,##0.0\)"/>
    <numFmt numFmtId="250" formatCode="&quot;$&quot;#,##0.0000_);[Red]\(&quot;$&quot;#,##0.0000\)"/>
    <numFmt numFmtId="251" formatCode="_(&quot;$&quot;* #,##0.0_);_(&quot;$&quot;* \(#,##0.0\);_(&quot;$&quot;* &quot;-&quot;??_);_(@_)"/>
    <numFmt numFmtId="252" formatCode="&quot;$&quot;#,##0.0;[Red]\(&quot;$&quot;#,##0.0\)"/>
    <numFmt numFmtId="253" formatCode="0.00;0;"/>
    <numFmt numFmtId="254" formatCode="mmm\ dd\,\ yyyy"/>
    <numFmt numFmtId="255" formatCode="m/d/yy\ h:mm"/>
    <numFmt numFmtId="256" formatCode="#,##0_);[Red]\(#,##0\);&quot;-&quot;_);[Blue]&quot;Error-&quot;@"/>
    <numFmt numFmtId="257" formatCode="@&quot; ($)&quot;"/>
    <numFmt numFmtId="258" formatCode="@&quot; (%)&quot;"/>
    <numFmt numFmtId="259" formatCode="@&quot; (£)&quot;"/>
    <numFmt numFmtId="260" formatCode="@&quot; (¥)&quot;"/>
    <numFmt numFmtId="261" formatCode="@&quot; (€)&quot;"/>
    <numFmt numFmtId="262" formatCode="@&quot; (x)&quot;"/>
    <numFmt numFmtId="263" formatCode="#,##0.0_x;\(#,##0.0\)_x;0.0_x;@_x"/>
    <numFmt numFmtId="264" formatCode="#,##0.0_x_x;\(#,##0.0\)_x_x;0.0_x_x;@_x_x"/>
    <numFmt numFmtId="265" formatCode="#,##0.0_x_x_x;\(#,##0.0\)_x_x_x;0.0_x_x_x;@_x_x_x"/>
    <numFmt numFmtId="266" formatCode="#,##0.0_x_x_x_x;\(#,##0.0\)_x_x_x_x;0.0_x_x_x_x;@_x_x_x_x"/>
    <numFmt numFmtId="267" formatCode="#,##0.00_x;\(#,##0.00\)_x;0.00_x;@_x"/>
    <numFmt numFmtId="268" formatCode="#,##0.00_x_x;\(#,##0.00\)_x_x;0_x_x;@_x_x"/>
    <numFmt numFmtId="269" formatCode="#,##0.00_x_x_x;\(#,##0.00\)_x_x_x;0.00_x_x_x;@_x_x_x"/>
    <numFmt numFmtId="270" formatCode="#,##0.00_x_x_x_x;\(#,##0.00\)_x_x_x_x;0.00_x_x_x_x;@_x_x_x_x"/>
    <numFmt numFmtId="271" formatCode="#,##0_x;\(#,##0\)_x;0_x;@_x"/>
    <numFmt numFmtId="272" formatCode="#,##0_x_x;\(#,##0\)_x_x;0_x_x;@_x_x"/>
    <numFmt numFmtId="273" formatCode="#,##0_x_x_x;\(#,##0\)_x_x_x;0_x_x_x;@_x_x_x"/>
    <numFmt numFmtId="274" formatCode="#,##0_x_x_x_x;\(#,##0\)_x_x_x_x;0_x_x_x_x;@_x_x_x_x"/>
    <numFmt numFmtId="275" formatCode="&quot;£&quot;_(#,##0.00_);&quot;£&quot;\(#,##0.00\)"/>
    <numFmt numFmtId="276" formatCode="#,##0.00_x_x_x_x_x_x_x_x_x;\(#,##0.00\)_x_x_x_x_x_x_x_x_x;0.00_x_x_x_x_x_x_x_x_x;@_x_x_x_x_x_x_x_x_x"/>
    <numFmt numFmtId="277" formatCode="#,##0.00_x_x_x_x_x_x_x_x;\(#,##0.00\)_x_x_x_x_x_x_x_x;0.00_x_x_x_x_x_x_x_x;@_x_x_x_x_x_x_x_x"/>
    <numFmt numFmtId="278" formatCode="#,##0_x_x_x_x_x_x_X;\(#,##0\)_x_x_x_x_x_x_x;0_x_x_x_x_x_x_x;@_x_x_x_x_x_x_x"/>
    <numFmt numFmtId="279" formatCode="#,##0_x_x_x_x_x_x;\(#,##0\)_x_x_x_x_x_x;0_x_x_x_x_x_x;@_x_x_x_x_x_x"/>
    <numFmt numFmtId="280" formatCode="#,##0.00_x_x_x_x_x_x_x;\(#,##0.00\)_x_x_x_x_x_x_x;0.00_x_x_x_x_x_x_x;@_x_x_x_x_x_x_x"/>
    <numFmt numFmtId="281" formatCode="#,##0.0_x_x_x_x_x_x_x;\(#,##0.0\)_x_x_x_x_x_x_x;0.0_x_x_x_x_x_x_x;@_x_x_x_x_x_x_x"/>
    <numFmt numFmtId="282" formatCode="#,##0.0_x_x_x_x_x_x_x_x;\(#,##0.0\)_x_x_x_x_x_x_x_x;0.0_x_x_x_x_x_x_x_x;@_x_x_x_x_x_x_x_x"/>
    <numFmt numFmtId="283" formatCode="#,##0.0_x_x_x_x_x_x;\(#,##0.0\)_x_x_x_x_x_x;0.0_x_x_x_x_x_x;@_x_x_x_x_x_x"/>
    <numFmt numFmtId="284" formatCode="#,##0_)\x;\(#,##0\)\x;0_)\x;@_)_x"/>
    <numFmt numFmtId="285" formatCode="#,##0.0_);\(#,##0.0\);#,##0.0_);@_)"/>
    <numFmt numFmtId="286" formatCode="&quot;£&quot;_(#,##0.00_);&quot;£&quot;\(#,##0.00\);&quot;£&quot;_(0.00_);@_)"/>
    <numFmt numFmtId="287" formatCode="#,##0.00_);\(#,##0.00\);0.00_);@_)"/>
    <numFmt numFmtId="288" formatCode="\€_(#,##0.00_);\€\(#,##0.00\);\€_(0.00_);@_)"/>
    <numFmt numFmtId="289" formatCode="0.0_)\%;\(0.0\)\%;0.0_)\%;@_)_%"/>
    <numFmt numFmtId="290" formatCode="#,##0.0_)_%;\(#,##0.0\)_%;0.0_)_%;@_)_%"/>
    <numFmt numFmtId="291" formatCode="#,##0_)_x;\(#,##0\)_x;0_)_x;@_)_x"/>
    <numFmt numFmtId="292" formatCode="&quot;$&quot;#,##0"/>
    <numFmt numFmtId="293" formatCode="&quot;See Note &quot;\ #"/>
    <numFmt numFmtId="294" formatCode="%#.00"/>
    <numFmt numFmtId="295" formatCode="#.00"/>
    <numFmt numFmtId="296" formatCode="&quot;$&quot;#.00"/>
    <numFmt numFmtId="297" formatCode="#."/>
    <numFmt numFmtId="298" formatCode="000000"/>
    <numFmt numFmtId="299" formatCode="0000"/>
    <numFmt numFmtId="300" formatCode="dd\.mm\.yyyy&quot;г.&quot;"/>
    <numFmt numFmtId="301" formatCode="yyyy\ &quot;год&quot;"/>
    <numFmt numFmtId="302" formatCode="&quot;$&quot;#,##0;[Red]\-&quot;$&quot;#,##0"/>
    <numFmt numFmtId="303" formatCode="_ * #,##0.00_)\ _$_ ;_ * \(#,##0.00\)\ _$_ ;_ * &quot;-&quot;??_)\ _$_ ;_ @_ "/>
    <numFmt numFmtId="304" formatCode="_ * #,##0.00_)\ &quot;$&quot;_ ;_ * \(#,##0.00\)\ &quot;$&quot;_ ;_ * &quot;-&quot;??_)\ &quot;$&quot;_ ;_ @_ "/>
    <numFmt numFmtId="305" formatCode="#,##0.0000_ ;[Red]\-#,##0.0000\ "/>
    <numFmt numFmtId="306" formatCode="#\ ##0.0_ ;[Red]\-#\ ##0.0\ "/>
    <numFmt numFmtId="307" formatCode="#,##0.000_ ;[Red]\-#,##0.000\ "/>
    <numFmt numFmtId="308" formatCode="mmmm\ d\,\ yyyy"/>
    <numFmt numFmtId="309" formatCode="&quot;?.&quot;#,##0_);[Red]\(&quot;?.&quot;#,##0\)"/>
    <numFmt numFmtId="310" formatCode="&quot;?.&quot;#,##0.00_);[Red]\(&quot;?.&quot;#,##0.00\)"/>
    <numFmt numFmtId="311" formatCode="_-* #,##0.00\ _F_-;\-* #,##0.00\ _F_-;_-* &quot;-&quot;??\ _F_-;_-@_-"/>
    <numFmt numFmtId="312" formatCode="_-* #,##0.00\ &quot;F&quot;_-;\-* #,##0.00\ &quot;F&quot;_-;_-* &quot;-&quot;??\ &quot;F&quot;_-;_-@_-"/>
    <numFmt numFmtId="313" formatCode="#,##0.00;[Red]\-#,##0.00;&quot;-&quot;"/>
    <numFmt numFmtId="314" formatCode="#,##0;[Red]\-#,##0;&quot;-&quot;"/>
    <numFmt numFmtId="315" formatCode="_-&quot;£&quot;* #,##0_-;\-&quot;£&quot;* #,##0_-;_-&quot;£&quot;* &quot;-&quot;_-;_-@_-"/>
    <numFmt numFmtId="316" formatCode="_-&quot;£&quot;* #,##0.00_-;\-&quot;£&quot;* #,##0.00_-;_-&quot;£&quot;* &quot;-&quot;??_-;_-@_-"/>
    <numFmt numFmtId="317" formatCode="#,###"/>
    <numFmt numFmtId="318" formatCode="_-* #,##0_-;\-* #,##0_-;_-* &quot;-&quot;??_-;_-@_-"/>
    <numFmt numFmtId="319" formatCode="_-* #,##0.00\ _₽_-;\-* #,##0.00\ _₽_-;_-* &quot;-&quot;??\ _₽_-;_-@_-"/>
    <numFmt numFmtId="320" formatCode="#,##0.00_ ;\-#,##0.00\ "/>
  </numFmts>
  <fonts count="30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Arial Narrow"/>
      <family val="2"/>
      <charset val="204"/>
    </font>
    <font>
      <b/>
      <sz val="9"/>
      <color rgb="FFFFFFFF"/>
      <name val="Arial Narrow"/>
      <family val="2"/>
      <charset val="204"/>
    </font>
    <font>
      <b/>
      <sz val="9"/>
      <color theme="1"/>
      <name val="Arial Narrow"/>
      <family val="2"/>
      <charset val="204"/>
    </font>
    <font>
      <sz val="9"/>
      <color theme="0" tint="-0.34998626667073579"/>
      <name val="Arial Narrow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0"/>
      <name val="Helv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0"/>
      <color indexed="12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u/>
      <sz val="10"/>
      <color indexed="36"/>
      <name val="Arial Cyr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 Narrow"/>
      <family val="2"/>
      <charset val="204"/>
    </font>
    <font>
      <sz val="10"/>
      <name val="Arial"/>
      <family val="2"/>
    </font>
    <font>
      <sz val="9"/>
      <name val="Helv"/>
      <family val="2"/>
    </font>
    <font>
      <sz val="10"/>
      <name val="Book Antiqua"/>
      <family val="1"/>
      <charset val="204"/>
    </font>
    <font>
      <sz val="1"/>
      <color indexed="8"/>
      <name val="Courier"/>
      <family val="3"/>
    </font>
    <font>
      <sz val="1"/>
      <color indexed="8"/>
      <name val="Courier"/>
      <family val="1"/>
      <charset val="204"/>
    </font>
    <font>
      <sz val="10"/>
      <name val="Helv"/>
      <charset val="204"/>
    </font>
    <font>
      <sz val="10"/>
      <name val="MS Sans Serif"/>
      <family val="2"/>
    </font>
    <font>
      <sz val="10"/>
      <name val="Arial Cyr"/>
      <family val="2"/>
      <charset val="204"/>
    </font>
    <font>
      <b/>
      <sz val="22"/>
      <color indexed="18"/>
      <name val="Arial"/>
      <family val="2"/>
    </font>
    <font>
      <b/>
      <sz val="22"/>
      <color indexed="18"/>
      <name val="Arial"/>
      <family val="2"/>
      <charset val="204"/>
    </font>
    <font>
      <sz val="10"/>
      <name val="Courier"/>
      <family val="3"/>
    </font>
    <font>
      <b/>
      <sz val="14"/>
      <color indexed="18"/>
      <name val="Arial"/>
      <family val="2"/>
    </font>
    <font>
      <b/>
      <sz val="14"/>
      <color indexed="18"/>
      <name val="Arial"/>
      <family val="2"/>
      <charset val="204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12"/>
      <name val="Times New Roman"/>
      <family val="1"/>
      <charset val="204"/>
    </font>
    <font>
      <b/>
      <sz val="1"/>
      <color indexed="8"/>
      <name val="Courier"/>
      <family val="3"/>
    </font>
    <font>
      <b/>
      <sz val="1"/>
      <color indexed="8"/>
      <name val="Courier"/>
      <family val="1"/>
      <charset val="204"/>
    </font>
    <font>
      <sz val="10"/>
      <name val="Times New Roman"/>
      <family val="1"/>
      <charset val="204"/>
    </font>
    <font>
      <sz val="10"/>
      <name val="MS Sans Serif"/>
      <family val="2"/>
      <charset val="204"/>
    </font>
    <font>
      <sz val="8"/>
      <name val="Tms Rmn"/>
      <family val="1"/>
    </font>
    <font>
      <sz val="10"/>
      <name val="Arial CYR"/>
    </font>
    <font>
      <sz val="9"/>
      <name val="Helv"/>
    </font>
    <font>
      <sz val="8"/>
      <name val="Tms Rmn"/>
    </font>
    <font>
      <sz val="9"/>
      <name val="N Helvetica Narrow"/>
      <family val="2"/>
    </font>
    <font>
      <sz val="9"/>
      <name val="N Helvetica Narrow"/>
    </font>
    <font>
      <sz val="9"/>
      <name val="Courier"/>
      <family val="3"/>
    </font>
    <font>
      <i/>
      <sz val="8"/>
      <name val="Geneva"/>
      <family val="2"/>
    </font>
    <font>
      <i/>
      <sz val="8"/>
      <name val="Geneva"/>
      <family val="2"/>
    </font>
    <font>
      <sz val="10"/>
      <name val="Geneva"/>
      <family val="2"/>
    </font>
    <font>
      <sz val="10"/>
      <name val="Geneva"/>
      <family val="2"/>
    </font>
    <font>
      <sz val="10"/>
      <name val="Times New Roman"/>
      <family val="1"/>
    </font>
    <font>
      <sz val="8"/>
      <name val="Helv"/>
    </font>
    <font>
      <b/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2"/>
      <color indexed="9"/>
      <name val="Arial"/>
      <family val="2"/>
    </font>
    <font>
      <b/>
      <sz val="14"/>
      <color indexed="9"/>
      <name val="Arial"/>
      <family val="2"/>
      <charset val="204"/>
    </font>
    <font>
      <b/>
      <i/>
      <sz val="14"/>
      <name val="Arial"/>
      <family val="2"/>
    </font>
    <font>
      <b/>
      <i/>
      <sz val="20"/>
      <name val="Arial"/>
      <family val="2"/>
    </font>
    <font>
      <b/>
      <sz val="16"/>
      <color indexed="9"/>
      <name val="Arial"/>
      <family val="2"/>
    </font>
    <font>
      <b/>
      <sz val="14"/>
      <name val="Arial"/>
      <family val="2"/>
    </font>
    <font>
      <b/>
      <i/>
      <sz val="22"/>
      <name val="Arial"/>
      <family val="2"/>
    </font>
    <font>
      <sz val="10"/>
      <color indexed="8"/>
      <name val="Arial Cyr"/>
      <family val="2"/>
      <charset val="204"/>
    </font>
    <font>
      <sz val="10"/>
      <color indexed="9"/>
      <name val="Arial Cyr"/>
      <family val="2"/>
      <charset val="204"/>
    </font>
    <font>
      <sz val="9"/>
      <color indexed="11"/>
      <name val="Arial"/>
      <family val="2"/>
      <charset val="204"/>
    </font>
    <font>
      <sz val="12"/>
      <name val="Arial MT"/>
    </font>
    <font>
      <sz val="8"/>
      <name val="Helv"/>
      <charset val="204"/>
    </font>
    <font>
      <b/>
      <sz val="14"/>
      <name val="Times New Roman"/>
      <family val="1"/>
    </font>
    <font>
      <sz val="10"/>
      <name val="Courier New"/>
      <family val="3"/>
      <charset val="204"/>
    </font>
    <font>
      <sz val="9"/>
      <name val="Pragmatica"/>
      <charset val="204"/>
    </font>
    <font>
      <sz val="10"/>
      <name val="NTTimes/Cyrillic"/>
      <charset val="204"/>
    </font>
    <font>
      <b/>
      <sz val="10"/>
      <name val="NTTimes/Cyrillic"/>
      <charset val="204"/>
    </font>
    <font>
      <sz val="12"/>
      <name val="Arial"/>
      <family val="2"/>
    </font>
    <font>
      <sz val="8"/>
      <name val="NTTimes/Cyrillic"/>
      <charset val="204"/>
    </font>
    <font>
      <sz val="9"/>
      <color indexed="8"/>
      <name val="Pragmatica"/>
      <charset val="204"/>
    </font>
    <font>
      <sz val="10"/>
      <color indexed="18"/>
      <name val="Arial"/>
      <family val="2"/>
    </font>
    <font>
      <sz val="9"/>
      <name val="Tahoma"/>
      <family val="2"/>
    </font>
    <font>
      <sz val="9"/>
      <name val="Times New Roman"/>
      <family val="1"/>
    </font>
    <font>
      <sz val="12"/>
      <color indexed="12"/>
      <name val="Arial"/>
      <family val="2"/>
    </font>
    <font>
      <sz val="10"/>
      <color indexed="20"/>
      <name val="Arial Cyr"/>
      <family val="2"/>
      <charset val="204"/>
    </font>
    <font>
      <sz val="10"/>
      <name val="Courier"/>
      <family val="1"/>
      <charset val="204"/>
    </font>
    <font>
      <b/>
      <sz val="10"/>
      <color indexed="8"/>
      <name val="Arial"/>
      <family val="2"/>
    </font>
    <font>
      <sz val="10"/>
      <color indexed="8"/>
      <name val="Tms Rmn"/>
    </font>
    <font>
      <sz val="10"/>
      <color indexed="12"/>
      <name val="Times New Roman"/>
      <family val="1"/>
    </font>
    <font>
      <b/>
      <sz val="10"/>
      <color indexed="9"/>
      <name val="Arial"/>
      <family val="2"/>
    </font>
    <font>
      <sz val="8"/>
      <color indexed="12"/>
      <name val="Tms Rmn"/>
    </font>
    <font>
      <sz val="12"/>
      <name val="Tms Rmn"/>
    </font>
    <font>
      <b/>
      <sz val="12"/>
      <name val="Times New Roman"/>
      <family val="1"/>
    </font>
    <font>
      <sz val="8"/>
      <name val="Times New Roman"/>
      <family val="1"/>
    </font>
    <font>
      <u val="singleAccounting"/>
      <sz val="10"/>
      <name val="Arial"/>
      <family val="2"/>
    </font>
    <font>
      <sz val="12"/>
      <name val="±???A?"/>
      <charset val="129"/>
    </font>
    <font>
      <sz val="9"/>
      <name val="Arial Cyr"/>
      <family val="2"/>
      <charset val="204"/>
    </font>
    <font>
      <sz val="10"/>
      <color indexed="8"/>
      <name val="MS Sans Serif"/>
      <family val="2"/>
      <charset val="204"/>
    </font>
    <font>
      <b/>
      <sz val="10"/>
      <color indexed="52"/>
      <name val="Arial Cyr"/>
      <family val="2"/>
      <charset val="204"/>
    </font>
    <font>
      <sz val="10"/>
      <color indexed="18"/>
      <name val="Times New Roman"/>
      <family val="1"/>
    </font>
    <font>
      <b/>
      <sz val="10"/>
      <color indexed="9"/>
      <name val="Arial Cyr"/>
      <family val="2"/>
      <charset val="204"/>
    </font>
    <font>
      <sz val="8"/>
      <name val="Arial"/>
      <family val="2"/>
    </font>
    <font>
      <b/>
      <i/>
      <sz val="8"/>
      <name val="Arial"/>
      <family val="2"/>
    </font>
    <font>
      <sz val="7"/>
      <name val="Book Antiqua"/>
      <family val="1"/>
    </font>
    <font>
      <b/>
      <sz val="10"/>
      <name val="Arial"/>
      <family val="2"/>
    </font>
    <font>
      <sz val="11"/>
      <name val="Tms Rmn"/>
      <family val="1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color indexed="22"/>
      <name val="Arial"/>
      <family val="2"/>
      <charset val="204"/>
    </font>
    <font>
      <sz val="10"/>
      <name val="BERNHARD"/>
    </font>
    <font>
      <sz val="8"/>
      <name val="Arial Cyr"/>
      <family val="2"/>
      <charset val="204"/>
    </font>
    <font>
      <b/>
      <sz val="11"/>
      <name val="Times New Roman"/>
      <family val="1"/>
      <charset val="204"/>
    </font>
    <font>
      <sz val="10"/>
      <name val="Century Schoolbook"/>
      <family val="1"/>
      <charset val="204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  <family val="2"/>
    </font>
    <font>
      <i/>
      <sz val="12"/>
      <name val="Arial Narrow"/>
      <family val="2"/>
    </font>
    <font>
      <sz val="11"/>
      <color indexed="12"/>
      <name val="Book Antiqua"/>
      <family val="1"/>
    </font>
    <font>
      <sz val="10"/>
      <color indexed="8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12"/>
      <color indexed="24"/>
      <name val="Arial"/>
      <family val="2"/>
      <charset val="204"/>
    </font>
    <font>
      <b/>
      <sz val="11"/>
      <name val="Futuris"/>
      <charset val="204"/>
    </font>
    <font>
      <sz val="12"/>
      <name val="Helv"/>
    </font>
    <font>
      <sz val="11"/>
      <name val="Book Antiqua"/>
      <family val="1"/>
    </font>
    <font>
      <b/>
      <sz val="10"/>
      <name val="Arial Cyr"/>
      <family val="2"/>
      <charset val="204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name val="Arial Narrow"/>
      <family val="2"/>
    </font>
    <font>
      <i/>
      <sz val="10"/>
      <name val="Arial"/>
      <family val="2"/>
      <charset val="204"/>
    </font>
    <font>
      <u val="doubleAccounting"/>
      <sz val="10"/>
      <name val="Arial"/>
      <family val="2"/>
    </font>
    <font>
      <sz val="10"/>
      <name val="Times New Roman CE"/>
    </font>
    <font>
      <i/>
      <sz val="10"/>
      <color indexed="23"/>
      <name val="Arial Cyr"/>
      <family val="2"/>
      <charset val="204"/>
    </font>
    <font>
      <i/>
      <sz val="1"/>
      <color indexed="8"/>
      <name val="Courier"/>
      <family val="1"/>
      <charset val="204"/>
    </font>
    <font>
      <b/>
      <sz val="8"/>
      <name val="Times New Roman"/>
      <family val="1"/>
      <charset val="204"/>
    </font>
    <font>
      <sz val="6"/>
      <color indexed="23"/>
      <name val="Helvetica-Black"/>
      <family val="2"/>
    </font>
    <font>
      <sz val="9.5"/>
      <color indexed="23"/>
      <name val="Helvetica-Black"/>
      <family val="2"/>
    </font>
    <font>
      <sz val="7"/>
      <name val="Palatino"/>
      <family val="1"/>
    </font>
    <font>
      <sz val="7"/>
      <name val="Arial"/>
      <family val="2"/>
    </font>
    <font>
      <sz val="10"/>
      <color indexed="12"/>
      <name val="Arial"/>
      <family val="2"/>
    </font>
    <font>
      <b/>
      <sz val="12"/>
      <name val="Arial Cyr"/>
      <family val="2"/>
      <charset val="204"/>
    </font>
    <font>
      <sz val="10"/>
      <color indexed="17"/>
      <name val="Arial Cyr"/>
      <family val="2"/>
      <charset val="204"/>
    </font>
    <font>
      <sz val="10"/>
      <color indexed="17"/>
      <name val="Times New Roman"/>
      <family val="1"/>
    </font>
    <font>
      <b/>
      <i/>
      <sz val="10"/>
      <name val="Arial Cyr"/>
      <family val="2"/>
      <charset val="204"/>
    </font>
    <font>
      <sz val="24"/>
      <color indexed="8"/>
      <name val="TimesNewRomanPS"/>
    </font>
    <font>
      <sz val="18"/>
      <color indexed="8"/>
      <name val="Times New Roman"/>
      <family val="1"/>
    </font>
    <font>
      <b/>
      <u/>
      <sz val="12"/>
      <name val="MS Sans Serif"/>
      <family val="2"/>
      <charset val="204"/>
    </font>
    <font>
      <b/>
      <sz val="11"/>
      <name val="Pragmatica"/>
      <charset val="204"/>
    </font>
    <font>
      <sz val="6"/>
      <color indexed="16"/>
      <name val="Palatino"/>
      <family val="1"/>
    </font>
    <font>
      <sz val="6"/>
      <name val="Palatino"/>
      <family val="1"/>
    </font>
    <font>
      <b/>
      <sz val="12"/>
      <name val="Arial"/>
      <family val="2"/>
    </font>
    <font>
      <b/>
      <sz val="8"/>
      <name val="Palatino"/>
      <family val="1"/>
    </font>
    <font>
      <sz val="12"/>
      <name val="Arial Black"/>
      <family val="2"/>
    </font>
    <font>
      <sz val="10"/>
      <name val="Helvetica-Black"/>
      <family val="2"/>
    </font>
    <font>
      <sz val="12"/>
      <color indexed="9"/>
      <name val="Arial"/>
      <family val="2"/>
    </font>
    <font>
      <sz val="28"/>
      <name val="Helvetica-Black"/>
      <family val="2"/>
    </font>
    <font>
      <sz val="11"/>
      <name val="Arial Black"/>
      <family val="2"/>
    </font>
    <font>
      <sz val="10"/>
      <name val="Palatino"/>
      <family val="1"/>
    </font>
    <font>
      <sz val="18"/>
      <name val="Helvetica-Black"/>
    </font>
    <font>
      <sz val="18"/>
      <name val="Palatino"/>
      <family val="1"/>
    </font>
    <font>
      <i/>
      <sz val="14"/>
      <name val="Palatino"/>
      <family val="1"/>
    </font>
    <font>
      <b/>
      <sz val="11"/>
      <color indexed="56"/>
      <name val="Arial Cyr"/>
      <family val="2"/>
      <charset val="204"/>
    </font>
    <font>
      <b/>
      <sz val="18"/>
      <name val="Helv"/>
      <family val="2"/>
    </font>
    <font>
      <b/>
      <sz val="12"/>
      <name val="Helv"/>
      <family val="2"/>
    </font>
    <font>
      <b/>
      <sz val="12"/>
      <name val="Geneva"/>
      <family val="2"/>
    </font>
    <font>
      <u/>
      <sz val="12"/>
      <name val="Geneva"/>
      <family val="2"/>
    </font>
    <font>
      <b/>
      <sz val="10"/>
      <name val="Helv"/>
      <family val="2"/>
    </font>
    <font>
      <b/>
      <i/>
      <sz val="22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0"/>
      <color indexed="9"/>
      <name val="Times New Roman"/>
      <family val="1"/>
    </font>
    <font>
      <sz val="8"/>
      <name val="Geneva"/>
      <family val="2"/>
    </font>
    <font>
      <sz val="12"/>
      <name val="Times New Roman Cyr"/>
      <charset val="204"/>
    </font>
    <font>
      <sz val="10"/>
      <color indexed="8"/>
      <name val="Arial"/>
      <family val="2"/>
    </font>
    <font>
      <b/>
      <u/>
      <sz val="16"/>
      <name val="Arial"/>
      <family val="2"/>
      <charset val="204"/>
    </font>
    <font>
      <sz val="18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8"/>
      <color indexed="20"/>
      <name val="Arial"/>
      <family val="2"/>
    </font>
    <font>
      <b/>
      <sz val="14"/>
      <name val="Helv"/>
    </font>
    <font>
      <u/>
      <sz val="8.5"/>
      <color indexed="36"/>
      <name val="Arial"/>
      <family val="2"/>
    </font>
    <font>
      <u/>
      <sz val="8.5"/>
      <color indexed="12"/>
      <name val="Arial"/>
      <family val="2"/>
    </font>
    <font>
      <sz val="10"/>
      <color indexed="52"/>
      <name val="Arial Cyr"/>
      <family val="2"/>
      <charset val="204"/>
    </font>
    <font>
      <sz val="8"/>
      <name val="Courier"/>
      <family val="3"/>
    </font>
    <font>
      <sz val="10"/>
      <name val="Helv"/>
      <family val="2"/>
    </font>
    <font>
      <sz val="12"/>
      <color indexed="14"/>
      <name val="Arial Cyr"/>
      <family val="2"/>
    </font>
    <font>
      <sz val="12"/>
      <name val="Times New Roman"/>
      <family val="1"/>
    </font>
    <font>
      <sz val="10"/>
      <color indexed="60"/>
      <name val="Arial Cyr"/>
      <family val="2"/>
      <charset val="204"/>
    </font>
    <font>
      <sz val="12"/>
      <color indexed="8"/>
      <name val="Times New Roman"/>
      <family val="1"/>
    </font>
    <font>
      <sz val="7"/>
      <name val="Small Fonts"/>
      <family val="2"/>
      <charset val="204"/>
    </font>
    <font>
      <sz val="8"/>
      <name val="Tahoma"/>
      <family val="2"/>
    </font>
    <font>
      <sz val="10"/>
      <name val="Geneva"/>
      <family val="2"/>
    </font>
    <font>
      <sz val="10"/>
      <name val="Times New Roman CE"/>
      <charset val="238"/>
    </font>
    <font>
      <sz val="9"/>
      <name val="Times New Roman Cyr"/>
      <family val="1"/>
      <charset val="204"/>
    </font>
    <font>
      <sz val="12"/>
      <name val="Times New Roman CE"/>
      <charset val="238"/>
    </font>
    <font>
      <sz val="10"/>
      <name val="Arial CE"/>
      <charset val="238"/>
    </font>
    <font>
      <sz val="8"/>
      <name val="Arial CE"/>
    </font>
    <font>
      <sz val="9"/>
      <name val="Arial Narrow"/>
      <family val="2"/>
    </font>
    <font>
      <sz val="12"/>
      <name val="№ЩЕБГј"/>
      <charset val="129"/>
    </font>
    <font>
      <i/>
      <sz val="10"/>
      <name val="Times New Roman"/>
      <family val="1"/>
      <charset val="204"/>
    </font>
    <font>
      <b/>
      <sz val="13.5"/>
      <name val="MS Sans Serif"/>
      <family val="2"/>
      <charset val="204"/>
    </font>
    <font>
      <b/>
      <sz val="10"/>
      <color indexed="63"/>
      <name val="Arial Cyr"/>
      <family val="2"/>
      <charset val="204"/>
    </font>
    <font>
      <b/>
      <i/>
      <sz val="10"/>
      <color indexed="8"/>
      <name val="Arial"/>
      <family val="2"/>
    </font>
    <font>
      <b/>
      <sz val="10"/>
      <color indexed="17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  <charset val="204"/>
    </font>
    <font>
      <b/>
      <sz val="20"/>
      <name val="Times New Roman"/>
      <family val="1"/>
      <charset val="204"/>
    </font>
    <font>
      <b/>
      <sz val="26"/>
      <name val="Times New Roman"/>
      <family val="1"/>
    </font>
    <font>
      <b/>
      <sz val="18"/>
      <name val="Times New Roman"/>
      <family val="1"/>
    </font>
    <font>
      <sz val="10"/>
      <color indexed="16"/>
      <name val="Helvetica-Black"/>
    </font>
    <font>
      <i/>
      <sz val="14"/>
      <name val="Times New Roman"/>
      <family val="1"/>
    </font>
    <font>
      <sz val="10"/>
      <name val="Book Antiqua"/>
      <family val="1"/>
    </font>
    <font>
      <sz val="10"/>
      <color indexed="10"/>
      <name val="Times New Roman"/>
      <family val="1"/>
    </font>
    <font>
      <b/>
      <sz val="10"/>
      <name val="Palatino"/>
      <family val="1"/>
    </font>
    <font>
      <sz val="10"/>
      <color indexed="8"/>
      <name val="Times New Roman"/>
      <family val="1"/>
      <charset val="204"/>
    </font>
    <font>
      <sz val="9.5"/>
      <color indexed="23"/>
      <name val="Helvetica-Black"/>
    </font>
    <font>
      <b/>
      <sz val="10"/>
      <color indexed="39"/>
      <name val="Arial"/>
      <family val="2"/>
    </font>
    <font>
      <b/>
      <sz val="12"/>
      <color indexed="8"/>
      <name val="Arial"/>
      <family val="2"/>
      <charset val="204"/>
    </font>
    <font>
      <sz val="10"/>
      <color indexed="39"/>
      <name val="Arial"/>
      <family val="2"/>
    </font>
    <font>
      <sz val="19"/>
      <color indexed="48"/>
      <name val="Arial"/>
      <family val="2"/>
      <charset val="204"/>
    </font>
    <font>
      <sz val="10"/>
      <color indexed="10"/>
      <name val="Arial"/>
      <family val="2"/>
    </font>
    <font>
      <sz val="10"/>
      <name val="Tms Rmn"/>
    </font>
    <font>
      <sz val="9"/>
      <color indexed="20"/>
      <name val="Arial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9"/>
      <color indexed="20"/>
      <name val="Arial"/>
      <family val="2"/>
    </font>
    <font>
      <i/>
      <sz val="8"/>
      <name val="Times New Roman"/>
      <family val="1"/>
    </font>
    <font>
      <sz val="10"/>
      <name val="NTHelvetica/Cyrillic"/>
      <charset val="204"/>
    </font>
    <font>
      <b/>
      <sz val="10"/>
      <name val="Arial"/>
      <family val="2"/>
      <charset val="204"/>
    </font>
    <font>
      <i/>
      <sz val="12"/>
      <color indexed="12"/>
      <name val="Times New Roman"/>
      <family val="1"/>
      <charset val="204"/>
    </font>
    <font>
      <b/>
      <sz val="8"/>
      <name val="Tms Rmn"/>
      <family val="1"/>
    </font>
    <font>
      <b/>
      <sz val="12"/>
      <name val="Times New Roman"/>
      <family val="1"/>
      <charset val="204"/>
    </font>
    <font>
      <b/>
      <sz val="9"/>
      <name val="Arial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0"/>
      <name val="Times New Roman"/>
      <family val="1"/>
    </font>
    <font>
      <sz val="10"/>
      <name val="Arial Narrow"/>
      <family val="2"/>
    </font>
    <font>
      <sz val="12"/>
      <color indexed="8"/>
      <name val="Palatino"/>
      <family val="1"/>
    </font>
    <font>
      <sz val="12"/>
      <name val="Palatino"/>
      <family val="1"/>
    </font>
    <font>
      <sz val="11"/>
      <color indexed="8"/>
      <name val="Helvetica-Black"/>
    </font>
    <font>
      <sz val="11"/>
      <name val="Helvetica-Black"/>
      <family val="2"/>
    </font>
    <font>
      <sz val="12"/>
      <color indexed="12"/>
      <name val="Arial MT"/>
      <family val="2"/>
    </font>
    <font>
      <sz val="10"/>
      <color indexed="8"/>
      <name val="Palatino"/>
      <family val="1"/>
    </font>
    <font>
      <sz val="10"/>
      <color indexed="8"/>
      <name val="Palatino"/>
      <family val="1"/>
    </font>
    <font>
      <b/>
      <i/>
      <sz val="20"/>
      <name val="Arial"/>
      <family val="2"/>
      <charset val="204"/>
    </font>
    <font>
      <sz val="24"/>
      <color indexed="13"/>
      <name val="Helv"/>
    </font>
    <font>
      <sz val="10"/>
      <name val="Verdana"/>
      <family val="2"/>
    </font>
    <font>
      <sz val="10"/>
      <color indexed="10"/>
      <name val="Arial Cyr"/>
      <family val="2"/>
      <charset val="204"/>
    </font>
    <font>
      <sz val="10"/>
      <name val="Times New Roman CYR"/>
      <charset val="204"/>
    </font>
    <font>
      <b/>
      <i/>
      <sz val="8"/>
      <name val="Helv"/>
    </font>
    <font>
      <b/>
      <sz val="9"/>
      <name val="Arial Cyr"/>
      <family val="2"/>
      <charset val="204"/>
    </font>
    <font>
      <b/>
      <sz val="11"/>
      <name val="Arial"/>
      <family val="2"/>
    </font>
    <font>
      <b/>
      <sz val="8"/>
      <name val="Arial Cyr"/>
      <family val="2"/>
      <charset val="204"/>
    </font>
    <font>
      <sz val="8"/>
      <name val="Arial Cyr"/>
    </font>
    <font>
      <sz val="10"/>
      <color indexed="12"/>
      <name val="Times New Roman CYR"/>
      <family val="1"/>
      <charset val="204"/>
    </font>
    <font>
      <b/>
      <sz val="11"/>
      <name val="FuturisCTT"/>
      <family val="2"/>
      <charset val="204"/>
    </font>
    <font>
      <b/>
      <sz val="14"/>
      <name val="Franklin Gothic Medium"/>
      <family val="2"/>
      <charset val="204"/>
    </font>
    <font>
      <b/>
      <sz val="9"/>
      <name val="Tahoma"/>
      <family val="2"/>
      <charset val="204"/>
    </font>
    <font>
      <b/>
      <sz val="10"/>
      <color indexed="12"/>
      <name val="Arial Cyr"/>
      <family val="2"/>
      <charset val="204"/>
    </font>
    <font>
      <sz val="11"/>
      <name val="µёїт"/>
      <charset val="129"/>
    </font>
    <font>
      <sz val="9"/>
      <name val="Tahoma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8"/>
      <color indexed="25"/>
      <name val="Times New Roman Cyr"/>
      <family val="1"/>
      <charset val="204"/>
    </font>
    <font>
      <sz val="12"/>
      <name val="Arial Cyr"/>
      <family val="2"/>
      <charset val="204"/>
    </font>
    <font>
      <sz val="14"/>
      <name val="Arial Cyr"/>
      <family val="2"/>
      <charset val="204"/>
    </font>
    <font>
      <b/>
      <sz val="10"/>
      <color indexed="12"/>
      <name val="Times New Roman CYR"/>
      <charset val="204"/>
    </font>
    <font>
      <b/>
      <sz val="10"/>
      <name val="Arial Cyr"/>
      <charset val="204"/>
    </font>
    <font>
      <sz val="9"/>
      <name val="Arial Cyr"/>
    </font>
    <font>
      <sz val="10"/>
      <name val="PragmaticaCTT"/>
      <charset val="204"/>
    </font>
    <font>
      <u/>
      <sz val="8.5"/>
      <color indexed="36"/>
      <name val="Arial"/>
      <family val="2"/>
      <charset val="204"/>
    </font>
    <font>
      <u/>
      <sz val="8.5"/>
      <color indexed="12"/>
      <name val="Arial"/>
      <family val="2"/>
      <charset val="204"/>
    </font>
    <font>
      <sz val="8"/>
      <color indexed="8"/>
      <name val="Times New Roman"/>
      <family val="1"/>
    </font>
    <font>
      <sz val="12"/>
      <name val="Times New Roman Cyr"/>
      <family val="1"/>
      <charset val="204"/>
    </font>
    <font>
      <b/>
      <i/>
      <sz val="10"/>
      <name val="Arial"/>
      <family val="2"/>
      <charset val="204"/>
    </font>
    <font>
      <b/>
      <i/>
      <sz val="10"/>
      <color indexed="9"/>
      <name val="Arial"/>
      <family val="2"/>
      <charset val="204"/>
    </font>
    <font>
      <sz val="11"/>
      <name val="Times New Roman CYR"/>
      <family val="1"/>
      <charset val="204"/>
    </font>
    <font>
      <sz val="11"/>
      <color indexed="10"/>
      <name val="Arial Cyr"/>
      <family val="2"/>
      <charset val="204"/>
    </font>
    <font>
      <sz val="10"/>
      <name val="Times New Roman Cyr"/>
      <family val="1"/>
      <charset val="204"/>
    </font>
    <font>
      <b/>
      <sz val="9"/>
      <color theme="0"/>
      <name val="Arial Narrow"/>
      <family val="2"/>
      <charset val="204"/>
    </font>
    <font>
      <sz val="9"/>
      <color theme="0" tint="-0.14999847407452621"/>
      <name val="Arial Narrow"/>
      <family val="2"/>
      <charset val="204"/>
    </font>
    <font>
      <i/>
      <sz val="9"/>
      <color theme="0" tint="-0.34998626667073579"/>
      <name val="Arial Narrow"/>
      <family val="2"/>
      <charset val="204"/>
    </font>
    <font>
      <sz val="11"/>
      <color theme="0" tint="-0.34998626667073579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Arial Narrow"/>
      <family val="2"/>
      <charset val="204"/>
    </font>
    <font>
      <b/>
      <sz val="11"/>
      <color theme="1"/>
      <name val="Calibri"/>
      <family val="2"/>
      <scheme val="minor"/>
    </font>
    <font>
      <b/>
      <sz val="9"/>
      <color rgb="FF000000"/>
      <name val="Arial Narrow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b/>
      <sz val="8"/>
      <color theme="1"/>
      <name val="Arial Narrow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8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EEE6"/>
        <bgColor indexed="64"/>
      </patternFill>
    </fill>
    <fill>
      <patternFill patternType="solid">
        <fgColor indexed="43"/>
      </patternFill>
    </fill>
    <fill>
      <patternFill patternType="lightGray">
        <fgColor indexed="22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11"/>
      </patternFill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</patternFill>
    </fill>
    <fill>
      <patternFill patternType="lightGray">
        <fgColor indexed="15"/>
      </patternFill>
    </fill>
    <fill>
      <patternFill patternType="solid">
        <fgColor indexed="55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33"/>
        <bgColor indexed="33"/>
      </patternFill>
    </fill>
    <fill>
      <patternFill patternType="darkGrid"/>
    </fill>
    <fill>
      <patternFill patternType="solid">
        <fgColor indexed="51"/>
        <bgColor indexed="64"/>
      </patternFill>
    </fill>
    <fill>
      <patternFill patternType="solid">
        <fgColor indexed="14"/>
      </patternFill>
    </fill>
    <fill>
      <patternFill patternType="lightGray"/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2"/>
        <bgColor indexed="64"/>
      </patternFill>
    </fill>
    <fill>
      <patternFill patternType="gray0625">
        <fgColor indexed="22"/>
      </patternFill>
    </fill>
    <fill>
      <patternFill patternType="solid">
        <fgColor indexed="26"/>
      </patternFill>
    </fill>
    <fill>
      <patternFill patternType="solid">
        <fgColor indexed="9"/>
      </patternFill>
    </fill>
    <fill>
      <patternFill patternType="solid">
        <fgColor indexed="17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40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000000"/>
      </patternFill>
    </fill>
  </fills>
  <borders count="8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9"/>
      </left>
      <right style="thick">
        <color indexed="9"/>
      </right>
      <top/>
      <bottom/>
      <diagonal/>
    </border>
    <border>
      <left/>
      <right/>
      <top/>
      <bottom style="thin">
        <color indexed="2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hair">
        <color indexed="64"/>
      </left>
      <right/>
      <top style="hair">
        <color indexed="64"/>
      </top>
      <bottom style="hair">
        <color indexed="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9"/>
      </left>
      <right style="thick">
        <color indexed="23"/>
      </right>
      <top style="thick">
        <color indexed="9"/>
      </top>
      <bottom style="thick">
        <color indexed="2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09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10" fillId="0" borderId="0"/>
    <xf numFmtId="0" fontId="9" fillId="0" borderId="0"/>
    <xf numFmtId="172" fontId="32" fillId="0" borderId="0"/>
    <xf numFmtId="0" fontId="9" fillId="0" borderId="0"/>
    <xf numFmtId="241" fontId="32" fillId="0" borderId="0" applyFont="0" applyFill="0" applyBorder="0" applyAlignment="0" applyProtection="0">
      <alignment horizontal="right"/>
    </xf>
    <xf numFmtId="172" fontId="33" fillId="0" borderId="0"/>
    <xf numFmtId="0" fontId="34" fillId="0" borderId="0" applyFont="0" applyFill="0" applyBorder="0" applyAlignment="0"/>
    <xf numFmtId="294" fontId="35" fillId="0" borderId="0">
      <protection locked="0"/>
    </xf>
    <xf numFmtId="0" fontId="36" fillId="0" borderId="9">
      <protection locked="0"/>
    </xf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57" fontId="9" fillId="0" borderId="0" applyFont="0" applyFill="0" applyBorder="0" applyProtection="0">
      <alignment wrapText="1"/>
    </xf>
    <xf numFmtId="258" fontId="9" fillId="0" borderId="0" applyFont="0" applyFill="0" applyBorder="0" applyProtection="0">
      <alignment horizontal="left" wrapText="1"/>
    </xf>
    <xf numFmtId="259" fontId="9" fillId="0" borderId="0" applyFont="0" applyFill="0" applyBorder="0" applyProtection="0">
      <alignment wrapText="1"/>
    </xf>
    <xf numFmtId="260" fontId="9" fillId="0" borderId="0" applyFont="0" applyFill="0" applyBorder="0" applyProtection="0">
      <alignment wrapText="1"/>
    </xf>
    <xf numFmtId="261" fontId="9" fillId="0" borderId="0" applyFont="0" applyFill="0" applyBorder="0" applyProtection="0">
      <alignment wrapText="1"/>
    </xf>
    <xf numFmtId="262" fontId="9" fillId="0" borderId="0" applyFont="0" applyFill="0" applyBorder="0" applyProtection="0">
      <alignment wrapText="1"/>
    </xf>
    <xf numFmtId="289" fontId="10" fillId="0" borderId="0" applyFont="0" applyFill="0" applyBorder="0" applyAlignment="0" applyProtection="0"/>
    <xf numFmtId="290" fontId="10" fillId="0" borderId="0" applyFont="0" applyFill="0" applyBorder="0" applyAlignment="0" applyProtection="0"/>
    <xf numFmtId="263" fontId="9" fillId="0" borderId="0" applyFont="0" applyFill="0" applyBorder="0" applyProtection="0">
      <alignment horizontal="right"/>
    </xf>
    <xf numFmtId="264" fontId="9" fillId="0" borderId="0" applyFont="0" applyFill="0" applyBorder="0" applyProtection="0">
      <alignment horizontal="right"/>
    </xf>
    <xf numFmtId="265" fontId="9" fillId="0" borderId="0" applyFont="0" applyFill="0" applyBorder="0" applyProtection="0">
      <alignment horizontal="right"/>
    </xf>
    <xf numFmtId="266" fontId="9" fillId="0" borderId="0" applyFont="0" applyFill="0" applyBorder="0" applyProtection="0">
      <alignment horizontal="right"/>
    </xf>
    <xf numFmtId="283" fontId="9" fillId="0" borderId="0" applyFont="0" applyFill="0" applyBorder="0" applyProtection="0">
      <alignment horizontal="right"/>
    </xf>
    <xf numFmtId="281" fontId="9" fillId="0" borderId="0" applyFont="0" applyFill="0" applyBorder="0" applyProtection="0">
      <alignment horizontal="right"/>
    </xf>
    <xf numFmtId="282" fontId="9" fillId="0" borderId="0" applyFont="0" applyFill="0" applyBorder="0" applyProtection="0">
      <alignment horizontal="right"/>
    </xf>
    <xf numFmtId="267" fontId="9" fillId="0" borderId="0" applyFont="0" applyFill="0" applyBorder="0" applyProtection="0">
      <alignment horizontal="right"/>
    </xf>
    <xf numFmtId="268" fontId="9" fillId="0" borderId="0" applyFont="0" applyFill="0" applyBorder="0" applyProtection="0">
      <alignment horizontal="right"/>
    </xf>
    <xf numFmtId="269" fontId="9" fillId="0" borderId="0" applyFont="0" applyFill="0" applyBorder="0" applyProtection="0">
      <alignment horizontal="right"/>
    </xf>
    <xf numFmtId="270" fontId="9" fillId="0" borderId="0" applyFont="0" applyFill="0" applyBorder="0" applyProtection="0">
      <alignment horizontal="right"/>
    </xf>
    <xf numFmtId="280" fontId="9" fillId="0" borderId="0" applyFont="0" applyFill="0" applyBorder="0" applyProtection="0">
      <alignment horizontal="right"/>
    </xf>
    <xf numFmtId="277" fontId="9" fillId="0" borderId="0" applyFont="0" applyFill="0" applyBorder="0" applyProtection="0">
      <alignment horizontal="right"/>
    </xf>
    <xf numFmtId="276" fontId="9" fillId="0" borderId="0" applyFont="0" applyFill="0" applyBorder="0" applyProtection="0">
      <alignment horizontal="right"/>
    </xf>
    <xf numFmtId="271" fontId="32" fillId="0" borderId="0" applyFont="0" applyFill="0" applyBorder="0" applyProtection="0">
      <alignment horizontal="right"/>
    </xf>
    <xf numFmtId="272" fontId="32" fillId="0" borderId="0" applyFont="0" applyFill="0" applyBorder="0" applyProtection="0">
      <alignment horizontal="right"/>
    </xf>
    <xf numFmtId="273" fontId="32" fillId="0" borderId="0" applyFont="0" applyFill="0" applyBorder="0" applyProtection="0">
      <alignment horizontal="right"/>
    </xf>
    <xf numFmtId="274" fontId="32" fillId="0" borderId="0" applyFont="0" applyFill="0" applyBorder="0" applyProtection="0">
      <alignment horizontal="right"/>
    </xf>
    <xf numFmtId="279" fontId="32" fillId="0" borderId="0" applyFont="0" applyFill="0" applyBorder="0" applyProtection="0">
      <alignment horizontal="right"/>
    </xf>
    <xf numFmtId="278" fontId="32" fillId="0" borderId="0" applyFont="0" applyFill="0" applyBorder="0" applyProtection="0">
      <alignment horizontal="right"/>
    </xf>
    <xf numFmtId="0" fontId="9" fillId="0" borderId="0"/>
    <xf numFmtId="0" fontId="9" fillId="0" borderId="0"/>
    <xf numFmtId="0" fontId="37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38" fontId="38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3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223" fontId="9" fillId="0" borderId="0" applyFont="0" applyFill="0" applyBorder="0" applyAlignment="0" applyProtection="0"/>
    <xf numFmtId="285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3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37" fillId="0" borderId="0"/>
    <xf numFmtId="226" fontId="9" fillId="0" borderId="0" applyFont="0" applyFill="0" applyBorder="0" applyAlignment="0" applyProtection="0"/>
    <xf numFmtId="286" fontId="10" fillId="0" borderId="0" applyFont="0" applyFill="0" applyBorder="0" applyAlignment="0" applyProtection="0"/>
    <xf numFmtId="275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87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288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9" fillId="4" borderId="0" applyNumberFormat="0" applyFont="0" applyAlignment="0" applyProtection="0"/>
    <xf numFmtId="0" fontId="9" fillId="0" borderId="0"/>
    <xf numFmtId="0" fontId="37" fillId="0" borderId="0"/>
    <xf numFmtId="0" fontId="11" fillId="0" borderId="0"/>
    <xf numFmtId="0" fontId="42" fillId="0" borderId="0">
      <alignment vertical="center"/>
    </xf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37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/>
    <xf numFmtId="0" fontId="39" fillId="0" borderId="0"/>
    <xf numFmtId="0" fontId="37" fillId="0" borderId="0"/>
    <xf numFmtId="227" fontId="9" fillId="0" borderId="0" applyFont="0" applyFill="0" applyBorder="0" applyAlignment="0" applyProtection="0"/>
    <xf numFmtId="284" fontId="10" fillId="0" borderId="0" applyFont="0" applyFill="0" applyBorder="0" applyAlignment="0" applyProtection="0"/>
    <xf numFmtId="228" fontId="9" fillId="0" borderId="0" applyFont="0" applyFill="0" applyBorder="0" applyAlignment="0" applyProtection="0"/>
    <xf numFmtId="291" fontId="10" fillId="0" borderId="0" applyFont="0" applyFill="0" applyBorder="0" applyProtection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" fillId="0" borderId="0"/>
    <xf numFmtId="0" fontId="37" fillId="0" borderId="0"/>
    <xf numFmtId="0" fontId="3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229" fontId="9" fillId="0" borderId="0" applyFont="0" applyFill="0" applyBorder="0" applyAlignment="0" applyProtection="0"/>
    <xf numFmtId="230" fontId="9" fillId="0" borderId="0" applyFont="0" applyFill="0" applyBorder="0" applyAlignment="0" applyProtection="0"/>
    <xf numFmtId="0" fontId="42" fillId="0" borderId="0">
      <alignment vertical="center"/>
    </xf>
    <xf numFmtId="0" fontId="37" fillId="0" borderId="0"/>
    <xf numFmtId="0" fontId="37" fillId="0" borderId="0"/>
    <xf numFmtId="0" fontId="37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43" fillId="0" borderId="0" applyNumberFormat="0" applyFill="0" applyBorder="0" applyProtection="0">
      <alignment vertical="top"/>
    </xf>
    <xf numFmtId="0" fontId="44" fillId="0" borderId="0" applyNumberFormat="0" applyFill="0" applyBorder="0" applyProtection="0">
      <alignment vertical="top"/>
    </xf>
    <xf numFmtId="0" fontId="9" fillId="0" borderId="0"/>
    <xf numFmtId="0" fontId="9" fillId="0" borderId="0"/>
    <xf numFmtId="0" fontId="9" fillId="0" borderId="0"/>
    <xf numFmtId="0" fontId="45" fillId="0" borderId="10" applyNumberFormat="0" applyFill="0" applyAlignment="0" applyProtection="0"/>
    <xf numFmtId="0" fontId="46" fillId="0" borderId="11" applyNumberFormat="0" applyFill="0" applyProtection="0">
      <alignment horizontal="center"/>
    </xf>
    <xf numFmtId="0" fontId="46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centerContinuous"/>
    </xf>
    <xf numFmtId="0" fontId="47" fillId="0" borderId="0" applyNumberFormat="0" applyFill="0" applyBorder="0" applyProtection="0">
      <alignment horizontal="centerContinuous"/>
    </xf>
    <xf numFmtId="0" fontId="9" fillId="0" borderId="0"/>
    <xf numFmtId="0" fontId="9" fillId="0" borderId="0"/>
    <xf numFmtId="0" fontId="3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11" fillId="0" borderId="0"/>
    <xf numFmtId="0" fontId="39" fillId="0" borderId="0"/>
    <xf numFmtId="0" fontId="39" fillId="0" borderId="0"/>
    <xf numFmtId="0" fontId="37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7" fillId="0" borderId="0"/>
    <xf numFmtId="0" fontId="11" fillId="0" borderId="0"/>
    <xf numFmtId="0" fontId="11" fillId="0" borderId="0"/>
    <xf numFmtId="0" fontId="39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1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1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36" fillId="0" borderId="9">
      <protection locked="0"/>
    </xf>
    <xf numFmtId="38" fontId="36" fillId="0" borderId="0">
      <protection locked="0"/>
    </xf>
    <xf numFmtId="38" fontId="36" fillId="0" borderId="0">
      <protection locked="0"/>
    </xf>
    <xf numFmtId="4" fontId="35" fillId="0" borderId="0">
      <protection locked="0"/>
    </xf>
    <xf numFmtId="295" fontId="35" fillId="0" borderId="0">
      <protection locked="0"/>
    </xf>
    <xf numFmtId="38" fontId="36" fillId="0" borderId="0">
      <protection locked="0"/>
    </xf>
    <xf numFmtId="38" fontId="36" fillId="0" borderId="0">
      <protection locked="0"/>
    </xf>
    <xf numFmtId="166" fontId="36" fillId="0" borderId="0">
      <protection locked="0"/>
    </xf>
    <xf numFmtId="166" fontId="36" fillId="0" borderId="0">
      <protection locked="0"/>
    </xf>
    <xf numFmtId="296" fontId="35" fillId="0" borderId="0">
      <protection locked="0"/>
    </xf>
    <xf numFmtId="166" fontId="36" fillId="0" borderId="0">
      <protection locked="0"/>
    </xf>
    <xf numFmtId="0" fontId="36" fillId="0" borderId="0">
      <protection locked="0"/>
    </xf>
    <xf numFmtId="0" fontId="9" fillId="0" borderId="0"/>
    <xf numFmtId="0" fontId="42" fillId="0" borderId="0">
      <alignment vertical="center"/>
    </xf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297" fontId="49" fillId="0" borderId="0">
      <protection locked="0"/>
    </xf>
    <xf numFmtId="297" fontId="49" fillId="0" borderId="0">
      <protection locked="0"/>
    </xf>
    <xf numFmtId="0" fontId="50" fillId="0" borderId="0">
      <protection locked="0"/>
    </xf>
    <xf numFmtId="0" fontId="50" fillId="0" borderId="0">
      <protection locked="0"/>
    </xf>
    <xf numFmtId="0" fontId="51" fillId="0" borderId="0"/>
    <xf numFmtId="0" fontId="9" fillId="0" borderId="0"/>
    <xf numFmtId="297" fontId="35" fillId="0" borderId="9">
      <protection locked="0"/>
    </xf>
    <xf numFmtId="0" fontId="36" fillId="0" borderId="9">
      <protection locked="0"/>
    </xf>
    <xf numFmtId="224" fontId="52" fillId="0" borderId="0"/>
    <xf numFmtId="9" fontId="9" fillId="0" borderId="0"/>
    <xf numFmtId="169" fontId="53" fillId="0" borderId="0"/>
    <xf numFmtId="2" fontId="33" fillId="0" borderId="0"/>
    <xf numFmtId="253" fontId="54" fillId="0" borderId="0">
      <alignment horizontal="center"/>
    </xf>
    <xf numFmtId="169" fontId="52" fillId="0" borderId="0"/>
    <xf numFmtId="167" fontId="52" fillId="0" borderId="0"/>
    <xf numFmtId="2" fontId="52" fillId="0" borderId="0"/>
    <xf numFmtId="10" fontId="52" fillId="0" borderId="0"/>
    <xf numFmtId="1" fontId="33" fillId="0" borderId="0"/>
    <xf numFmtId="1" fontId="55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6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3" fillId="0" borderId="0"/>
    <xf numFmtId="1" fontId="57" fillId="0" borderId="0"/>
    <xf numFmtId="1" fontId="58" fillId="0" borderId="0"/>
    <xf numFmtId="1" fontId="58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6" fillId="0" borderId="0"/>
    <xf numFmtId="1" fontId="56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60" fillId="0" borderId="0"/>
    <xf numFmtId="1" fontId="61" fillId="0" borderId="0"/>
    <xf numFmtId="1" fontId="61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59" fillId="0" borderId="0"/>
    <xf numFmtId="1" fontId="59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2" fillId="0" borderId="0"/>
    <xf numFmtId="1" fontId="63" fillId="0" borderId="0"/>
    <xf numFmtId="1" fontId="63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2" fillId="0" borderId="0"/>
    <xf numFmtId="1" fontId="63" fillId="0" borderId="0"/>
    <xf numFmtId="1" fontId="63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2" fillId="0" borderId="0"/>
    <xf numFmtId="1" fontId="63" fillId="0" borderId="0"/>
    <xf numFmtId="1" fontId="63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2" fillId="0" borderId="0"/>
    <xf numFmtId="1" fontId="63" fillId="0" borderId="0"/>
    <xf numFmtId="1" fontId="63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62" fillId="0" borderId="0"/>
    <xf numFmtId="1" fontId="63" fillId="0" borderId="0"/>
    <xf numFmtId="1" fontId="63" fillId="0" borderId="0"/>
    <xf numFmtId="1" fontId="55" fillId="0" borderId="0"/>
    <xf numFmtId="1" fontId="62" fillId="0" borderId="0"/>
    <xf numFmtId="1" fontId="63" fillId="0" borderId="0"/>
    <xf numFmtId="1" fontId="63" fillId="0" borderId="0"/>
    <xf numFmtId="1" fontId="62" fillId="0" borderId="0"/>
    <xf numFmtId="1" fontId="63" fillId="0" borderId="0"/>
    <xf numFmtId="1" fontId="63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1" fontId="33" fillId="0" borderId="0"/>
    <xf numFmtId="1" fontId="62" fillId="0" borderId="0"/>
    <xf numFmtId="1" fontId="63" fillId="0" borderId="0"/>
    <xf numFmtId="1" fontId="63" fillId="0" borderId="0"/>
    <xf numFmtId="1" fontId="55" fillId="0" borderId="0"/>
    <xf numFmtId="1" fontId="55" fillId="0" borderId="0"/>
    <xf numFmtId="1" fontId="32" fillId="0" borderId="0"/>
    <xf numFmtId="1" fontId="9" fillId="0" borderId="0"/>
    <xf numFmtId="1" fontId="9" fillId="0" borderId="0"/>
    <xf numFmtId="1" fontId="32" fillId="0" borderId="0"/>
    <xf numFmtId="1" fontId="9" fillId="0" borderId="0"/>
    <xf numFmtId="1" fontId="9" fillId="0" borderId="0"/>
    <xf numFmtId="0" fontId="9" fillId="0" borderId="0"/>
    <xf numFmtId="43" fontId="64" fillId="0" borderId="0" applyFont="0" applyFill="0" applyBorder="0" applyAlignment="0" applyProtection="0"/>
    <xf numFmtId="38" fontId="38" fillId="0" borderId="0" applyFont="0" applyFill="0" applyBorder="0" applyAlignment="0" applyProtection="0"/>
    <xf numFmtId="222" fontId="65" fillId="0" borderId="0" applyFont="0" applyAlignment="0" applyProtection="0">
      <protection locked="0" hidden="1"/>
    </xf>
    <xf numFmtId="0" fontId="52" fillId="5" borderId="0"/>
    <xf numFmtId="0" fontId="66" fillId="6" borderId="12" applyNumberFormat="0" applyFill="0" applyBorder="0" applyAlignment="0">
      <alignment horizontal="left"/>
    </xf>
    <xf numFmtId="0" fontId="67" fillId="6" borderId="0" applyNumberFormat="0" applyFill="0" applyBorder="0" applyAlignment="0"/>
    <xf numFmtId="0" fontId="68" fillId="7" borderId="12" applyNumberFormat="0" applyFill="0" applyBorder="0" applyAlignment="0">
      <alignment horizontal="left"/>
    </xf>
    <xf numFmtId="0" fontId="69" fillId="8" borderId="0" applyNumberFormat="0" applyFill="0" applyBorder="0" applyAlignment="0"/>
    <xf numFmtId="0" fontId="70" fillId="0" borderId="0" applyNumberFormat="0" applyFill="0" applyBorder="0" applyAlignment="0"/>
    <xf numFmtId="0" fontId="71" fillId="0" borderId="13" applyNumberFormat="0" applyFill="0" applyBorder="0" applyAlignment="0">
      <alignment horizontal="left"/>
    </xf>
    <xf numFmtId="0" fontId="72" fillId="9" borderId="14" applyNumberFormat="0" applyFill="0" applyBorder="0" applyAlignment="0">
      <alignment horizontal="centerContinuous"/>
    </xf>
    <xf numFmtId="0" fontId="73" fillId="0" borderId="0" applyNumberFormat="0" applyFill="0" applyBorder="0" applyAlignment="0"/>
    <xf numFmtId="0" fontId="73" fillId="10" borderId="1" applyNumberFormat="0" applyFill="0" applyBorder="0" applyAlignment="0"/>
    <xf numFmtId="0" fontId="74" fillId="0" borderId="13" applyNumberFormat="0" applyFill="0" applyBorder="0" applyAlignment="0"/>
    <xf numFmtId="0" fontId="73" fillId="0" borderId="0" applyNumberFormat="0" applyFill="0" applyBorder="0" applyAlignment="0"/>
    <xf numFmtId="0" fontId="75" fillId="11" borderId="0" applyNumberFormat="0" applyBorder="0" applyAlignment="0" applyProtection="0"/>
    <xf numFmtId="0" fontId="75" fillId="12" borderId="0" applyNumberFormat="0" applyBorder="0" applyAlignment="0" applyProtection="0"/>
    <xf numFmtId="0" fontId="75" fillId="13" borderId="0" applyNumberFormat="0" applyBorder="0" applyAlignment="0" applyProtection="0"/>
    <xf numFmtId="0" fontId="75" fillId="14" borderId="0" applyNumberFormat="0" applyBorder="0" applyAlignment="0" applyProtection="0"/>
    <xf numFmtId="0" fontId="75" fillId="15" borderId="0" applyNumberFormat="0" applyBorder="0" applyAlignment="0" applyProtection="0"/>
    <xf numFmtId="0" fontId="75" fillId="16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232" fontId="65" fillId="0" borderId="0" applyFill="0" applyBorder="0" applyProtection="0">
      <alignment horizontal="right"/>
    </xf>
    <xf numFmtId="0" fontId="75" fillId="17" borderId="0" applyNumberFormat="0" applyBorder="0" applyAlignment="0" applyProtection="0"/>
    <xf numFmtId="0" fontId="75" fillId="18" borderId="0" applyNumberFormat="0" applyBorder="0" applyAlignment="0" applyProtection="0"/>
    <xf numFmtId="0" fontId="75" fillId="19" borderId="0" applyNumberFormat="0" applyBorder="0" applyAlignment="0" applyProtection="0"/>
    <xf numFmtId="0" fontId="75" fillId="14" borderId="0" applyNumberFormat="0" applyBorder="0" applyAlignment="0" applyProtection="0"/>
    <xf numFmtId="0" fontId="75" fillId="17" borderId="0" applyNumberFormat="0" applyBorder="0" applyAlignment="0" applyProtection="0"/>
    <xf numFmtId="0" fontId="75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20" borderId="0" applyNumberFormat="0" applyBorder="0" applyAlignment="0" applyProtection="0"/>
    <xf numFmtId="0" fontId="76" fillId="21" borderId="0" applyNumberFormat="0" applyBorder="0" applyAlignment="0" applyProtection="0"/>
    <xf numFmtId="0" fontId="76" fillId="18" borderId="0" applyNumberFormat="0" applyBorder="0" applyAlignment="0" applyProtection="0"/>
    <xf numFmtId="0" fontId="76" fillId="19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4" borderId="0" applyNumberFormat="0" applyBorder="0" applyAlignment="0" applyProtection="0"/>
    <xf numFmtId="0" fontId="13" fillId="21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4" borderId="0" applyNumberFormat="0" applyBorder="0" applyAlignment="0" applyProtection="0"/>
    <xf numFmtId="298" fontId="77" fillId="0" borderId="0" applyFont="0" applyFill="0" applyBorder="0">
      <alignment horizontal="center"/>
    </xf>
    <xf numFmtId="37" fontId="78" fillId="0" borderId="0">
      <alignment horizontal="center"/>
    </xf>
    <xf numFmtId="0" fontId="79" fillId="0" borderId="0">
      <alignment horizontal="right"/>
    </xf>
    <xf numFmtId="187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0" fontId="76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8" borderId="0" applyNumberFormat="0" applyBorder="0" applyAlignment="0" applyProtection="0"/>
    <xf numFmtId="43" fontId="32" fillId="0" borderId="0" applyFont="0" applyFill="0" applyBorder="0" applyAlignment="0" applyProtection="0">
      <alignment vertical="top"/>
    </xf>
    <xf numFmtId="41" fontId="32" fillId="0" borderId="0" applyFont="0" applyFill="0" applyBorder="0" applyAlignment="0" applyProtection="0"/>
    <xf numFmtId="237" fontId="32" fillId="0" borderId="12" applyFont="0" applyFill="0" applyBorder="0" applyAlignment="0" applyProtection="0"/>
    <xf numFmtId="181" fontId="9" fillId="0" borderId="0" applyFont="0" applyFill="0" applyBorder="0" applyProtection="0"/>
    <xf numFmtId="220" fontId="32" fillId="0" borderId="2"/>
    <xf numFmtId="168" fontId="32" fillId="0" borderId="1"/>
    <xf numFmtId="196" fontId="48" fillId="0" borderId="0" applyFont="0" applyFill="0" applyBorder="0" applyAlignment="0" applyProtection="0"/>
    <xf numFmtId="198" fontId="48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32" fillId="0" borderId="0"/>
    <xf numFmtId="168" fontId="32" fillId="0" borderId="4" applyBorder="0"/>
    <xf numFmtId="37" fontId="80" fillId="0" borderId="0" applyFont="0" applyAlignment="0">
      <alignment horizontal="centerContinuous" vertical="top"/>
    </xf>
    <xf numFmtId="0" fontId="32" fillId="0" borderId="0" applyNumberFormat="0" applyFill="0" applyBorder="0" applyAlignment="0" applyProtection="0"/>
    <xf numFmtId="189" fontId="81" fillId="0" borderId="0">
      <alignment horizontal="left"/>
    </xf>
    <xf numFmtId="167" fontId="82" fillId="0" borderId="0" applyFill="0" applyBorder="0" applyProtection="0">
      <alignment horizontal="right" vertical="top"/>
    </xf>
    <xf numFmtId="0" fontId="83" fillId="0" borderId="0">
      <alignment horizontal="center" vertical="top" wrapText="1"/>
    </xf>
    <xf numFmtId="0" fontId="84" fillId="0" borderId="0">
      <alignment horizontal="left" wrapText="1"/>
    </xf>
    <xf numFmtId="3" fontId="83" fillId="29" borderId="0" applyNumberFormat="0">
      <alignment horizontal="right" vertical="top"/>
    </xf>
    <xf numFmtId="0" fontId="84" fillId="0" borderId="0" applyNumberFormat="0" applyAlignment="0">
      <alignment horizontal="left" vertical="center" wrapText="1"/>
    </xf>
    <xf numFmtId="0" fontId="32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3" fontId="83" fillId="0" borderId="0" applyFill="0" applyBorder="0" applyProtection="0">
      <alignment horizontal="right"/>
      <protection locked="0"/>
    </xf>
    <xf numFmtId="170" fontId="83" fillId="0" borderId="0"/>
    <xf numFmtId="3" fontId="83" fillId="0" borderId="0"/>
    <xf numFmtId="3" fontId="86" fillId="0" borderId="0">
      <alignment vertical="top"/>
    </xf>
    <xf numFmtId="170" fontId="83" fillId="30" borderId="0"/>
    <xf numFmtId="0" fontId="87" fillId="0" borderId="0" applyFill="0" applyBorder="0" applyProtection="0">
      <alignment horizontal="left" vertical="top" wrapText="1"/>
    </xf>
    <xf numFmtId="0" fontId="83" fillId="0" borderId="0">
      <alignment horizontal="left" vertical="top" wrapText="1"/>
    </xf>
    <xf numFmtId="181" fontId="88" fillId="31" borderId="15"/>
    <xf numFmtId="0" fontId="89" fillId="0" borderId="0" applyFont="0" applyFill="0" applyBorder="0" applyAlignment="0" applyProtection="0"/>
    <xf numFmtId="0" fontId="90" fillId="0" borderId="0"/>
    <xf numFmtId="223" fontId="91" fillId="0" borderId="0" applyNumberFormat="0" applyFill="0" applyBorder="0" applyAlignment="0" applyProtection="0"/>
    <xf numFmtId="0" fontId="92" fillId="12" borderId="0" applyNumberFormat="0" applyBorder="0" applyAlignment="0" applyProtection="0"/>
    <xf numFmtId="0" fontId="93" fillId="32" borderId="0"/>
    <xf numFmtId="0" fontId="94" fillId="32" borderId="0"/>
    <xf numFmtId="0" fontId="95" fillId="0" borderId="0" applyNumberFormat="0" applyFill="0" applyBorder="0" applyAlignment="0" applyProtection="0"/>
    <xf numFmtId="38" fontId="96" fillId="0" borderId="0" applyNumberFormat="0" applyFill="0" applyBorder="0" applyAlignment="0" applyProtection="0">
      <alignment horizontal="right"/>
      <protection locked="0"/>
    </xf>
    <xf numFmtId="0" fontId="97" fillId="33" borderId="16">
      <alignment horizontal="center"/>
    </xf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100" fillId="0" borderId="1" applyNumberFormat="0" applyFill="0" applyAlignment="0" applyProtection="0"/>
    <xf numFmtId="180" fontId="32" fillId="0" borderId="0" applyFont="0" applyFill="0" applyBorder="0" applyAlignment="0" applyProtection="0"/>
    <xf numFmtId="0" fontId="101" fillId="0" borderId="13" applyNumberFormat="0" applyFont="0" applyFill="0" applyAlignment="0" applyProtection="0"/>
    <xf numFmtId="185" fontId="32" fillId="0" borderId="17" applyNumberFormat="0" applyFill="0" applyAlignment="0" applyProtection="0"/>
    <xf numFmtId="246" fontId="32" fillId="0" borderId="0" applyFont="0" applyFill="0"/>
    <xf numFmtId="211" fontId="10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103" fillId="0" borderId="0"/>
    <xf numFmtId="3" fontId="9" fillId="34" borderId="18"/>
    <xf numFmtId="256" fontId="104" fillId="0" borderId="0"/>
    <xf numFmtId="0" fontId="105" fillId="0" borderId="0" applyFill="0" applyBorder="0" applyAlignment="0"/>
    <xf numFmtId="0" fontId="106" fillId="35" borderId="19" applyNumberFormat="0" applyAlignment="0" applyProtection="0"/>
    <xf numFmtId="0" fontId="9" fillId="36" borderId="0" applyNumberFormat="0" applyFont="0" applyBorder="0" applyAlignment="0"/>
    <xf numFmtId="0" fontId="100" fillId="0" borderId="1" applyNumberFormat="0" applyFont="0" applyFill="0" applyProtection="0">
      <alignment horizontal="centerContinuous" vertical="center"/>
    </xf>
    <xf numFmtId="178" fontId="32" fillId="0" borderId="0" applyFill="0" applyBorder="0" applyProtection="0">
      <alignment horizontal="right"/>
    </xf>
    <xf numFmtId="1" fontId="107" fillId="0" borderId="0"/>
    <xf numFmtId="193" fontId="32" fillId="0" borderId="0" applyFont="0" applyFill="0" applyBorder="0" applyAlignment="0" applyProtection="0"/>
    <xf numFmtId="0" fontId="108" fillId="37" borderId="20" applyNumberFormat="0" applyAlignment="0" applyProtection="0"/>
    <xf numFmtId="0" fontId="51" fillId="38" borderId="0" applyNumberFormat="0" applyFont="0" applyBorder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299" fontId="9" fillId="0" borderId="21" applyFont="0" applyFill="0" applyBorder="0" applyProtection="0">
      <alignment horizontal="center"/>
      <protection locked="0"/>
    </xf>
    <xf numFmtId="0" fontId="112" fillId="0" borderId="1" applyNumberFormat="0" applyFill="0" applyProtection="0">
      <alignment horizontal="center" wrapText="1"/>
    </xf>
    <xf numFmtId="0" fontId="100" fillId="0" borderId="0" applyNumberFormat="0" applyFill="0" applyBorder="0" applyProtection="0">
      <alignment horizontal="center" vertical="center"/>
    </xf>
    <xf numFmtId="217" fontId="113" fillId="0" borderId="0"/>
    <xf numFmtId="217" fontId="113" fillId="0" borderId="0"/>
    <xf numFmtId="217" fontId="113" fillId="0" borderId="0"/>
    <xf numFmtId="217" fontId="113" fillId="0" borderId="0"/>
    <xf numFmtId="217" fontId="113" fillId="0" borderId="0"/>
    <xf numFmtId="217" fontId="113" fillId="0" borderId="0"/>
    <xf numFmtId="217" fontId="113" fillId="0" borderId="0"/>
    <xf numFmtId="217" fontId="113" fillId="0" borderId="0"/>
    <xf numFmtId="209" fontId="64" fillId="0" borderId="0"/>
    <xf numFmtId="41" fontId="114" fillId="0" borderId="0" applyFont="0" applyBorder="0">
      <alignment horizontal="right"/>
    </xf>
    <xf numFmtId="0" fontId="115" fillId="0" borderId="0" applyFont="0" applyFill="0" applyBorder="0" applyAlignment="0" applyProtection="0"/>
    <xf numFmtId="0" fontId="116" fillId="0" borderId="0" applyFont="0" applyFill="0" applyBorder="0" applyAlignment="0" applyProtection="0">
      <alignment horizontal="right"/>
    </xf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>
      <alignment horizontal="right"/>
    </xf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3" fontId="117" fillId="0" borderId="0" applyFont="0" applyFill="0" applyBorder="0" applyAlignment="0" applyProtection="0"/>
    <xf numFmtId="0" fontId="118" fillId="0" borderId="0"/>
    <xf numFmtId="0" fontId="11" fillId="0" borderId="0"/>
    <xf numFmtId="0" fontId="119" fillId="0" borderId="0" applyAlignment="0">
      <alignment wrapText="1"/>
    </xf>
    <xf numFmtId="0" fontId="118" fillId="0" borderId="0"/>
    <xf numFmtId="0" fontId="11" fillId="0" borderId="0"/>
    <xf numFmtId="185" fontId="120" fillId="0" borderId="0" applyFill="0" applyBorder="0">
      <alignment horizontal="left"/>
    </xf>
    <xf numFmtId="222" fontId="121" fillId="0" borderId="0"/>
    <xf numFmtId="249" fontId="121" fillId="0" borderId="0"/>
    <xf numFmtId="246" fontId="121" fillId="0" borderId="0"/>
    <xf numFmtId="0" fontId="122" fillId="0" borderId="0">
      <alignment horizontal="left"/>
    </xf>
    <xf numFmtId="0" fontId="123" fillId="0" borderId="0"/>
    <xf numFmtId="0" fontId="124" fillId="0" borderId="0">
      <alignment horizontal="left"/>
    </xf>
    <xf numFmtId="0" fontId="125" fillId="0" borderId="7">
      <alignment horizontal="left"/>
    </xf>
    <xf numFmtId="182" fontId="52" fillId="0" borderId="0" applyFont="0" applyFill="0" applyBorder="0" applyAlignment="0" applyProtection="0"/>
    <xf numFmtId="212" fontId="34" fillId="0" borderId="0" applyFont="0" applyFill="0" applyBorder="0" applyAlignment="0" applyProtection="0"/>
    <xf numFmtId="0" fontId="126" fillId="0" borderId="22">
      <protection locked="0"/>
    </xf>
    <xf numFmtId="0" fontId="116" fillId="0" borderId="0" applyFont="0" applyFill="0" applyBorder="0" applyAlignment="0" applyProtection="0">
      <alignment horizontal="right"/>
    </xf>
    <xf numFmtId="0" fontId="116" fillId="0" borderId="0" applyFont="0" applyFill="0" applyBorder="0" applyAlignment="0" applyProtection="0">
      <alignment horizontal="right"/>
    </xf>
    <xf numFmtId="235" fontId="116" fillId="0" borderId="0" applyFont="0" applyFill="0" applyBorder="0" applyAlignment="0" applyProtection="0"/>
    <xf numFmtId="244" fontId="116" fillId="0" borderId="0" applyFont="0" applyFill="0" applyBorder="0" applyAlignment="0" applyProtection="0"/>
    <xf numFmtId="37" fontId="127" fillId="0" borderId="23" applyFont="0" applyFill="0" applyBorder="0"/>
    <xf numFmtId="37" fontId="128" fillId="0" borderId="23" applyFont="0" applyFill="0" applyBorder="0">
      <protection locked="0"/>
    </xf>
    <xf numFmtId="37" fontId="129" fillId="39" borderId="15" applyFill="0" applyBorder="0" applyProtection="0"/>
    <xf numFmtId="37" fontId="128" fillId="0" borderId="23" applyFill="0" applyBorder="0">
      <protection locked="0"/>
    </xf>
    <xf numFmtId="0" fontId="116" fillId="0" borderId="0" applyFont="0" applyFill="0" applyBorder="0" applyAlignment="0" applyProtection="0"/>
    <xf numFmtId="215" fontId="130" fillId="0" borderId="0" applyFont="0" applyFill="0" applyBorder="0" applyAlignment="0" applyProtection="0"/>
    <xf numFmtId="170" fontId="131" fillId="0" borderId="0" applyFont="0" applyFill="0" applyBorder="0" applyAlignment="0" applyProtection="0">
      <alignment horizontal="center"/>
    </xf>
    <xf numFmtId="0" fontId="132" fillId="0" borderId="0"/>
    <xf numFmtId="0" fontId="133" fillId="0" borderId="0"/>
    <xf numFmtId="0" fontId="104" fillId="38" borderId="24" applyNumberFormat="0" applyFont="0" applyBorder="0" applyAlignment="0" applyProtection="0"/>
    <xf numFmtId="0" fontId="48" fillId="0" borderId="0" applyFont="0" applyFill="0" applyBorder="0" applyAlignment="0" applyProtection="0"/>
    <xf numFmtId="0" fontId="93" fillId="40" borderId="0"/>
    <xf numFmtId="0" fontId="132" fillId="0" borderId="25"/>
    <xf numFmtId="0" fontId="93" fillId="40" borderId="0"/>
    <xf numFmtId="0" fontId="94" fillId="41" borderId="0"/>
    <xf numFmtId="0" fontId="117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15" fontId="134" fillId="0" borderId="4" applyFont="0" applyFill="0" applyBorder="0" applyAlignment="0">
      <alignment horizontal="centerContinuous"/>
    </xf>
    <xf numFmtId="300" fontId="134" fillId="0" borderId="4" applyFont="0" applyFill="0" applyBorder="0" applyAlignment="0">
      <alignment horizontal="centerContinuous"/>
    </xf>
    <xf numFmtId="22" fontId="135" fillId="0" borderId="0" applyFill="0" applyBorder="0" applyProtection="0">
      <alignment horizontal="right"/>
    </xf>
    <xf numFmtId="0" fontId="117" fillId="0" borderId="0" applyFont="0" applyFill="0" applyBorder="0" applyAlignment="0" applyProtection="0"/>
    <xf numFmtId="177" fontId="9" fillId="0" borderId="0"/>
    <xf numFmtId="14" fontId="109" fillId="0" borderId="0" applyFont="0" applyFill="0" applyBorder="0" applyAlignment="0" applyProtection="0"/>
    <xf numFmtId="17" fontId="136" fillId="42" borderId="8">
      <alignment horizontal="center"/>
    </xf>
    <xf numFmtId="255" fontId="9" fillId="0" borderId="0" applyFont="0" applyFill="0" applyBorder="0" applyAlignment="0" applyProtection="0">
      <alignment wrapText="1"/>
    </xf>
    <xf numFmtId="0" fontId="137" fillId="43" borderId="0" applyNumberFormat="0" applyFont="0" applyFill="0" applyBorder="0" applyAlignment="0"/>
    <xf numFmtId="38" fontId="51" fillId="0" borderId="0" applyFont="0" applyFill="0" applyBorder="0" applyAlignment="0" applyProtection="0"/>
    <xf numFmtId="192" fontId="112" fillId="44" borderId="0" applyNumberFormat="0" applyBorder="0" applyAlignment="0" applyProtection="0"/>
    <xf numFmtId="0" fontId="35" fillId="0" borderId="0">
      <protection locked="0"/>
    </xf>
    <xf numFmtId="233" fontId="9" fillId="0" borderId="0"/>
    <xf numFmtId="233" fontId="9" fillId="0" borderId="0"/>
    <xf numFmtId="0" fontId="62" fillId="0" borderId="0" applyFont="0" applyFill="0" applyBorder="0" applyAlignment="0" applyProtection="0">
      <alignment horizontal="right"/>
    </xf>
    <xf numFmtId="0" fontId="62" fillId="0" borderId="0" applyFont="0" applyFill="0" applyBorder="0" applyAlignment="0" applyProtection="0">
      <alignment horizontal="right"/>
    </xf>
    <xf numFmtId="252" fontId="56" fillId="0" borderId="0"/>
    <xf numFmtId="207" fontId="34" fillId="0" borderId="0" applyFont="0" applyFill="0" applyBorder="0" applyAlignment="0" applyProtection="0"/>
    <xf numFmtId="185" fontId="138" fillId="0" borderId="0">
      <alignment horizontal="center"/>
    </xf>
    <xf numFmtId="0" fontId="116" fillId="0" borderId="26" applyNumberFormat="0" applyFont="0" applyFill="0" applyAlignment="0" applyProtection="0"/>
    <xf numFmtId="0" fontId="139" fillId="0" borderId="0" applyFill="0" applyBorder="0" applyAlignment="0" applyProtection="0"/>
    <xf numFmtId="38" fontId="52" fillId="0" borderId="0" applyFont="0" applyFill="0" applyBorder="0" applyAlignment="0" applyProtection="0"/>
    <xf numFmtId="0" fontId="140" fillId="0" borderId="0" applyFont="0" applyFill="0" applyBorder="0" applyAlignment="0" applyProtection="0"/>
    <xf numFmtId="0" fontId="49" fillId="0" borderId="0">
      <protection locked="0"/>
    </xf>
    <xf numFmtId="0" fontId="49" fillId="0" borderId="0">
      <protection locked="0"/>
    </xf>
    <xf numFmtId="197" fontId="9" fillId="0" borderId="0" applyFont="0" applyFill="0" applyBorder="0" applyAlignment="0" applyProtection="0"/>
    <xf numFmtId="0" fontId="141" fillId="0" borderId="0" applyNumberFormat="0" applyFill="0" applyBorder="0" applyAlignment="0" applyProtection="0"/>
    <xf numFmtId="200" fontId="9" fillId="0" borderId="0" applyFont="0" applyFill="0" applyBorder="0" applyAlignment="0" applyProtection="0"/>
    <xf numFmtId="202" fontId="9" fillId="0" borderId="0" applyFont="0" applyFill="0" applyBorder="0" applyAlignment="0" applyProtection="0"/>
    <xf numFmtId="38" fontId="36" fillId="0" borderId="0">
      <protection locked="0"/>
    </xf>
    <xf numFmtId="38" fontId="36" fillId="0" borderId="0">
      <protection locked="0"/>
    </xf>
    <xf numFmtId="38" fontId="142" fillId="0" borderId="0">
      <protection locked="0"/>
    </xf>
    <xf numFmtId="38" fontId="36" fillId="0" borderId="0">
      <protection locked="0"/>
    </xf>
    <xf numFmtId="38" fontId="36" fillId="0" borderId="0">
      <protection locked="0"/>
    </xf>
    <xf numFmtId="38" fontId="36" fillId="0" borderId="0">
      <protection locked="0"/>
    </xf>
    <xf numFmtId="38" fontId="142" fillId="0" borderId="0">
      <protection locked="0"/>
    </xf>
    <xf numFmtId="195" fontId="32" fillId="0" borderId="0" applyFont="0" applyFill="0" applyBorder="0" applyAlignment="0" applyProtection="0"/>
    <xf numFmtId="0" fontId="35" fillId="0" borderId="0">
      <protection locked="0"/>
    </xf>
    <xf numFmtId="0" fontId="35" fillId="0" borderId="0">
      <protection locked="0"/>
    </xf>
    <xf numFmtId="2" fontId="130" fillId="0" borderId="0" applyFont="0" applyFill="0" applyBorder="0" applyAlignment="0" applyProtection="0"/>
    <xf numFmtId="0" fontId="143" fillId="0" borderId="0"/>
    <xf numFmtId="0" fontId="42" fillId="0" borderId="0">
      <alignment vertical="center"/>
    </xf>
    <xf numFmtId="15" fontId="9" fillId="0" borderId="0">
      <alignment vertical="center"/>
    </xf>
    <xf numFmtId="0" fontId="144" fillId="0" borderId="0">
      <alignment horizontal="left"/>
    </xf>
    <xf numFmtId="0" fontId="145" fillId="0" borderId="0">
      <alignment horizontal="left"/>
    </xf>
    <xf numFmtId="0" fontId="146" fillId="0" borderId="0" applyFill="0" applyBorder="0" applyProtection="0">
      <alignment horizontal="left"/>
    </xf>
    <xf numFmtId="0" fontId="146" fillId="0" borderId="0" applyNumberFormat="0" applyFill="0" applyBorder="0" applyProtection="0">
      <alignment horizontal="left"/>
    </xf>
    <xf numFmtId="0" fontId="146" fillId="0" borderId="0">
      <alignment horizontal="left"/>
    </xf>
    <xf numFmtId="0" fontId="147" fillId="0" borderId="0" applyNumberFormat="0" applyFill="0" applyBorder="0" applyAlignment="0" applyProtection="0"/>
    <xf numFmtId="220" fontId="32" fillId="0" borderId="0" applyFill="0" applyBorder="0">
      <alignment horizontal="right"/>
    </xf>
    <xf numFmtId="192" fontId="148" fillId="0" borderId="0" applyNumberFormat="0" applyFill="0" applyBorder="0" applyAlignment="0" applyProtection="0"/>
    <xf numFmtId="0" fontId="149" fillId="0" borderId="27" applyNumberFormat="0" applyFill="0" applyAlignment="0" applyProtection="0"/>
    <xf numFmtId="0" fontId="149" fillId="0" borderId="27" applyNumberFormat="0" applyFill="0" applyAlignment="0" applyProtection="0"/>
    <xf numFmtId="0" fontId="150" fillId="13" borderId="0" applyNumberFormat="0" applyBorder="0" applyAlignment="0" applyProtection="0"/>
    <xf numFmtId="43" fontId="151" fillId="0" borderId="0" applyNumberFormat="0" applyFill="0" applyBorder="0" applyAlignment="0" applyProtection="0">
      <alignment horizontal="center"/>
    </xf>
    <xf numFmtId="38" fontId="109" fillId="39" borderId="0" applyNumberFormat="0" applyBorder="0" applyAlignment="0" applyProtection="0"/>
    <xf numFmtId="1" fontId="152" fillId="0" borderId="0" applyNumberFormat="0" applyAlignment="0">
      <alignment vertical="top"/>
    </xf>
    <xf numFmtId="0" fontId="153" fillId="0" borderId="28">
      <alignment horizontal="centerContinuous"/>
    </xf>
    <xf numFmtId="0" fontId="154" fillId="0" borderId="0">
      <alignment horizontal="centerContinuous"/>
    </xf>
    <xf numFmtId="0" fontId="116" fillId="0" borderId="0" applyFont="0" applyFill="0" applyBorder="0" applyAlignment="0" applyProtection="0">
      <alignment horizontal="right"/>
    </xf>
    <xf numFmtId="0" fontId="155" fillId="0" borderId="0">
      <alignment horizontal="left" vertical="center"/>
    </xf>
    <xf numFmtId="0" fontId="156" fillId="0" borderId="0"/>
    <xf numFmtId="0" fontId="157" fillId="0" borderId="0" applyProtection="0">
      <alignment horizontal="right"/>
    </xf>
    <xf numFmtId="0" fontId="158" fillId="0" borderId="0">
      <alignment horizontal="left"/>
    </xf>
    <xf numFmtId="0" fontId="158" fillId="0" borderId="0">
      <alignment horizontal="left"/>
    </xf>
    <xf numFmtId="0" fontId="159" fillId="0" borderId="29" applyNumberFormat="0" applyAlignment="0" applyProtection="0">
      <alignment horizontal="left" vertical="center"/>
    </xf>
    <xf numFmtId="0" fontId="159" fillId="0" borderId="12">
      <alignment horizontal="left" vertical="center"/>
    </xf>
    <xf numFmtId="0" fontId="160" fillId="0" borderId="0">
      <alignment horizontal="center"/>
    </xf>
    <xf numFmtId="38" fontId="161" fillId="0" borderId="0"/>
    <xf numFmtId="0" fontId="162" fillId="0" borderId="0">
      <alignment horizontal="left"/>
    </xf>
    <xf numFmtId="0" fontId="163" fillId="7" borderId="0">
      <alignment vertical="center"/>
    </xf>
    <xf numFmtId="0" fontId="164" fillId="0" borderId="6">
      <alignment horizontal="left" vertical="top"/>
    </xf>
    <xf numFmtId="38" fontId="165" fillId="0" borderId="0">
      <alignment horizontal="left"/>
    </xf>
    <xf numFmtId="0" fontId="166" fillId="0" borderId="0">
      <alignment horizontal="left"/>
    </xf>
    <xf numFmtId="0" fontId="167" fillId="0" borderId="0" applyProtection="0">
      <alignment horizontal="left"/>
    </xf>
    <xf numFmtId="0" fontId="168" fillId="0" borderId="6">
      <alignment horizontal="left" vertical="top"/>
    </xf>
    <xf numFmtId="0" fontId="169" fillId="0" borderId="0" applyProtection="0">
      <alignment horizontal="left"/>
    </xf>
    <xf numFmtId="0" fontId="169" fillId="0" borderId="0">
      <alignment horizontal="left"/>
    </xf>
    <xf numFmtId="0" fontId="170" fillId="0" borderId="0" applyNumberFormat="0" applyFill="0" applyBorder="0" applyAlignment="0" applyProtection="0"/>
    <xf numFmtId="0" fontId="160" fillId="0" borderId="0">
      <alignment horizontal="center"/>
    </xf>
    <xf numFmtId="0" fontId="171" fillId="0" borderId="0"/>
    <xf numFmtId="0" fontId="172" fillId="0" borderId="0"/>
    <xf numFmtId="0" fontId="173" fillId="0" borderId="0"/>
    <xf numFmtId="0" fontId="174" fillId="0" borderId="0"/>
    <xf numFmtId="0" fontId="175" fillId="0" borderId="0"/>
    <xf numFmtId="0" fontId="176" fillId="0" borderId="30" applyNumberFormat="0" applyFill="0" applyBorder="0" applyAlignment="0" applyProtection="0">
      <alignment horizontal="left"/>
    </xf>
    <xf numFmtId="0" fontId="177" fillId="45" borderId="0"/>
    <xf numFmtId="0" fontId="178" fillId="46" borderId="0"/>
    <xf numFmtId="0" fontId="179" fillId="0" borderId="0"/>
    <xf numFmtId="218" fontId="32" fillId="0" borderId="0" applyFont="0" applyFill="0" applyBorder="0" applyAlignment="0"/>
    <xf numFmtId="209" fontId="180" fillId="29" borderId="0" applyNumberFormat="0" applyBorder="0" applyAlignment="0" applyProtection="0">
      <protection locked="0"/>
    </xf>
    <xf numFmtId="0" fontId="181" fillId="0" borderId="0"/>
    <xf numFmtId="0" fontId="182" fillId="0" borderId="0">
      <alignment vertical="center" wrapText="1"/>
    </xf>
    <xf numFmtId="0" fontId="9" fillId="0" borderId="0"/>
    <xf numFmtId="0" fontId="32" fillId="38" borderId="15" applyNumberFormat="0" applyFont="0" applyAlignment="0">
      <protection locked="0"/>
    </xf>
    <xf numFmtId="10" fontId="109" fillId="47" borderId="15" applyNumberFormat="0" applyBorder="0" applyAlignment="0" applyProtection="0"/>
    <xf numFmtId="0" fontId="9" fillId="48" borderId="0" applyNumberFormat="0" applyFont="0" applyBorder="0" applyAlignment="0"/>
    <xf numFmtId="233" fontId="85" fillId="49" borderId="0" applyProtection="0">
      <protection locked="0"/>
    </xf>
    <xf numFmtId="234" fontId="9" fillId="47" borderId="0" applyBorder="0" applyProtection="0">
      <protection locked="0"/>
    </xf>
    <xf numFmtId="233" fontId="183" fillId="49" borderId="0" applyProtection="0"/>
    <xf numFmtId="233" fontId="9" fillId="49" borderId="0" applyNumberFormat="0" applyProtection="0"/>
    <xf numFmtId="49" fontId="9" fillId="0" borderId="0" applyNumberFormat="0" applyProtection="0">
      <alignment horizontal="left"/>
      <protection locked="0"/>
    </xf>
    <xf numFmtId="0" fontId="148" fillId="0" borderId="0" applyNumberFormat="0" applyFill="0" applyBorder="0" applyAlignment="0">
      <protection locked="0"/>
    </xf>
    <xf numFmtId="0" fontId="91" fillId="0" borderId="0" applyNumberFormat="0" applyFill="0" applyBorder="0" applyAlignment="0"/>
    <xf numFmtId="37" fontId="148" fillId="0" borderId="0" applyNumberFormat="0" applyFill="0" applyBorder="0" applyAlignment="0" applyProtection="0"/>
    <xf numFmtId="3" fontId="65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184" fillId="0" borderId="0">
      <alignment vertical="center"/>
    </xf>
    <xf numFmtId="222" fontId="32" fillId="0" borderId="0"/>
    <xf numFmtId="216" fontId="32" fillId="0" borderId="0"/>
    <xf numFmtId="0" fontId="62" fillId="0" borderId="0"/>
    <xf numFmtId="0" fontId="181" fillId="0" borderId="0"/>
    <xf numFmtId="248" fontId="9" fillId="0" borderId="0" applyFont="0" applyFill="0" applyBorder="0" applyAlignment="0" applyProtection="0"/>
    <xf numFmtId="0" fontId="181" fillId="0" borderId="0"/>
    <xf numFmtId="204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8" fontId="185" fillId="0" borderId="0"/>
    <xf numFmtId="38" fontId="186" fillId="0" borderId="0"/>
    <xf numFmtId="38" fontId="187" fillId="0" borderId="0"/>
    <xf numFmtId="38" fontId="188" fillId="0" borderId="0"/>
    <xf numFmtId="0" fontId="189" fillId="0" borderId="0"/>
    <xf numFmtId="0" fontId="189" fillId="0" borderId="0"/>
    <xf numFmtId="237" fontId="32" fillId="0" borderId="0" applyFont="0" applyFill="0" applyBorder="0" applyAlignment="0" applyProtection="0">
      <alignment horizontal="right"/>
    </xf>
    <xf numFmtId="0" fontId="190" fillId="0" borderId="0">
      <alignment horizontal="center"/>
    </xf>
    <xf numFmtId="0" fontId="191" fillId="48" borderId="25"/>
    <xf numFmtId="0" fontId="192" fillId="0" borderId="0" applyNumberFormat="0" applyFill="0" applyBorder="0" applyAlignment="0" applyProtection="0">
      <alignment vertical="top"/>
      <protection locked="0"/>
    </xf>
    <xf numFmtId="0" fontId="193" fillId="0" borderId="0" applyNumberFormat="0" applyFill="0" applyBorder="0" applyAlignment="0" applyProtection="0">
      <alignment vertical="top"/>
      <protection locked="0"/>
    </xf>
    <xf numFmtId="0" fontId="194" fillId="0" borderId="31" applyNumberFormat="0" applyFill="0" applyAlignment="0" applyProtection="0"/>
    <xf numFmtId="1" fontId="195" fillId="50" borderId="0"/>
    <xf numFmtId="0" fontId="11" fillId="0" borderId="0"/>
    <xf numFmtId="171" fontId="64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40" fontId="32" fillId="0" borderId="0" applyFont="0" applyFill="0" applyBorder="0" applyAlignment="0" applyProtection="0"/>
    <xf numFmtId="4" fontId="196" fillId="0" borderId="0" applyFont="0" applyFill="0" applyBorder="0" applyAlignment="0" applyProtection="0"/>
    <xf numFmtId="2" fontId="65" fillId="0" borderId="32" applyFont="0" applyFill="0" applyBorder="0" applyAlignment="0"/>
    <xf numFmtId="223" fontId="197" fillId="0" borderId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239" fontId="32" fillId="0" borderId="0" applyFont="0" applyFill="0" applyBorder="0" applyAlignment="0" applyProtection="0"/>
    <xf numFmtId="238" fontId="196" fillId="0" borderId="0" applyFont="0" applyFill="0" applyBorder="0" applyAlignment="0" applyProtection="0"/>
    <xf numFmtId="179" fontId="32" fillId="0" borderId="0" applyFill="0" applyBorder="0" applyProtection="0">
      <alignment horizontal="center"/>
    </xf>
    <xf numFmtId="0" fontId="148" fillId="0" borderId="0"/>
    <xf numFmtId="213" fontId="34" fillId="0" borderId="0" applyFont="0" applyFill="0" applyBorder="0" applyAlignment="0" applyProtection="0"/>
    <xf numFmtId="208" fontId="34" fillId="0" borderId="0" applyFont="0" applyFill="0" applyBorder="0" applyAlignment="0" applyProtection="0"/>
    <xf numFmtId="214" fontId="34" fillId="0" borderId="0" applyFont="0" applyFill="0" applyBorder="0" applyAlignment="0" applyProtection="0"/>
    <xf numFmtId="207" fontId="198" fillId="0" borderId="0" applyFont="0" applyFill="0" applyBorder="0" applyAlignment="0" applyProtection="0"/>
    <xf numFmtId="0" fontId="116" fillId="0" borderId="0" applyFont="0" applyFill="0" applyBorder="0" applyAlignment="0" applyProtection="0">
      <alignment horizontal="right"/>
    </xf>
    <xf numFmtId="243" fontId="32" fillId="0" borderId="0" applyFont="0" applyFill="0" applyBorder="0" applyAlignment="0" applyProtection="0"/>
    <xf numFmtId="0" fontId="199" fillId="4" borderId="0" applyNumberFormat="0" applyBorder="0" applyAlignment="0" applyProtection="0"/>
    <xf numFmtId="242" fontId="32" fillId="0" borderId="0"/>
    <xf numFmtId="0" fontId="200" fillId="0" borderId="0">
      <alignment horizontal="left"/>
    </xf>
    <xf numFmtId="37" fontId="201" fillId="0" borderId="0"/>
    <xf numFmtId="0" fontId="52" fillId="0" borderId="0"/>
    <xf numFmtId="0" fontId="52" fillId="0" borderId="18"/>
    <xf numFmtId="0" fontId="9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0" fontId="132" fillId="0" borderId="0"/>
    <xf numFmtId="37" fontId="202" fillId="29" borderId="12" applyBorder="0">
      <alignment horizontal="left" vertical="center" indent="2"/>
    </xf>
    <xf numFmtId="0" fontId="203" fillId="0" borderId="0"/>
    <xf numFmtId="0" fontId="204" fillId="0" borderId="0"/>
    <xf numFmtId="0" fontId="205" fillId="29" borderId="15">
      <alignment vertical="top" wrapText="1"/>
    </xf>
    <xf numFmtId="0" fontId="206" fillId="0" borderId="0"/>
    <xf numFmtId="0" fontId="79" fillId="0" borderId="0"/>
    <xf numFmtId="0" fontId="38" fillId="0" borderId="0"/>
    <xf numFmtId="0" fontId="166" fillId="0" borderId="0"/>
    <xf numFmtId="0" fontId="207" fillId="0" borderId="0"/>
    <xf numFmtId="0" fontId="208" fillId="0" borderId="0"/>
    <xf numFmtId="0" fontId="11" fillId="0" borderId="0"/>
    <xf numFmtId="0" fontId="10" fillId="51" borderId="33" applyNumberFormat="0" applyFont="0" applyAlignment="0" applyProtection="0"/>
    <xf numFmtId="231" fontId="209" fillId="0" borderId="0"/>
    <xf numFmtId="37" fontId="32" fillId="0" borderId="0" applyFont="0" applyFill="0" applyBorder="0" applyAlignment="0" applyProtection="0"/>
    <xf numFmtId="0" fontId="32" fillId="0" borderId="0" applyNumberFormat="0" applyFill="0" applyBorder="0" applyAlignment="0" applyProtection="0"/>
    <xf numFmtId="245" fontId="11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37" fontId="9" fillId="0" borderId="0" applyFont="0" applyFill="0" applyBorder="0" applyAlignment="0" applyProtection="0"/>
    <xf numFmtId="9" fontId="210" fillId="0" borderId="0" applyFont="0" applyFill="0" applyBorder="0" applyAlignment="0" applyProtection="0"/>
    <xf numFmtId="183" fontId="10" fillId="0" borderId="0" applyFont="0" applyFill="0" applyBorder="0" applyAlignment="0" applyProtection="0"/>
    <xf numFmtId="184" fontId="10" fillId="0" borderId="0" applyFont="0" applyFill="0" applyBorder="0" applyAlignment="0" applyProtection="0"/>
    <xf numFmtId="43" fontId="51" fillId="0" borderId="0" applyFont="0" applyFill="0" applyBorder="0" applyAlignment="0" applyProtection="0"/>
    <xf numFmtId="41" fontId="51" fillId="0" borderId="0" applyFont="0" applyFill="0" applyBorder="0" applyAlignment="0" applyProtection="0"/>
    <xf numFmtId="0" fontId="9" fillId="0" borderId="0"/>
    <xf numFmtId="3" fontId="211" fillId="0" borderId="0">
      <alignment vertical="top"/>
    </xf>
    <xf numFmtId="0" fontId="212" fillId="0" borderId="0">
      <alignment horizontal="left"/>
    </xf>
    <xf numFmtId="0" fontId="213" fillId="35" borderId="34" applyNumberFormat="0" applyAlignment="0" applyProtection="0"/>
    <xf numFmtId="40" fontId="183" fillId="52" borderId="0">
      <alignment horizontal="right"/>
    </xf>
    <xf numFmtId="0" fontId="214" fillId="48" borderId="0">
      <alignment horizontal="center"/>
    </xf>
    <xf numFmtId="0" fontId="97" fillId="53" borderId="0"/>
    <xf numFmtId="0" fontId="215" fillId="52" borderId="0" applyBorder="0">
      <alignment horizontal="centerContinuous"/>
    </xf>
    <xf numFmtId="0" fontId="216" fillId="53" borderId="0" applyBorder="0">
      <alignment horizontal="centerContinuous"/>
    </xf>
    <xf numFmtId="2" fontId="32" fillId="0" borderId="0"/>
    <xf numFmtId="0" fontId="159" fillId="0" borderId="0" applyNumberFormat="0" applyFill="0" applyBorder="0" applyAlignment="0" applyProtection="0"/>
    <xf numFmtId="0" fontId="217" fillId="0" borderId="0" applyFill="0" applyBorder="0" applyProtection="0">
      <alignment horizontal="center"/>
    </xf>
    <xf numFmtId="0" fontId="218" fillId="0" borderId="0"/>
    <xf numFmtId="0" fontId="219" fillId="0" borderId="0" applyFill="0" applyBorder="0" applyProtection="0">
      <alignment horizontal="left"/>
    </xf>
    <xf numFmtId="0" fontId="220" fillId="0" borderId="0" applyFill="0" applyBorder="0" applyProtection="0">
      <alignment horizontal="left"/>
    </xf>
    <xf numFmtId="1" fontId="221" fillId="0" borderId="0" applyProtection="0">
      <alignment horizontal="right" vertical="center"/>
    </xf>
    <xf numFmtId="0" fontId="222" fillId="0" borderId="0">
      <alignment vertical="center"/>
    </xf>
    <xf numFmtId="199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9" fontId="48" fillId="0" borderId="0" applyFont="0" applyFill="0" applyBorder="0" applyAlignment="0" applyProtection="0"/>
    <xf numFmtId="167" fontId="48" fillId="0" borderId="0" applyFont="0" applyFill="0" applyBorder="0" applyAlignment="0" applyProtection="0"/>
    <xf numFmtId="10" fontId="9" fillId="0" borderId="0" applyFont="0" applyFill="0" applyBorder="0" applyAlignment="0" applyProtection="0"/>
    <xf numFmtId="15" fontId="32" fillId="0" borderId="0" applyFont="0" applyFill="0" applyBorder="0" applyProtection="0">
      <alignment horizontal="right"/>
    </xf>
    <xf numFmtId="0" fontId="116" fillId="0" borderId="0" applyFont="0" applyFill="0" applyBorder="0" applyAlignment="0" applyProtection="0"/>
    <xf numFmtId="0" fontId="223" fillId="0" borderId="0"/>
    <xf numFmtId="178" fontId="32" fillId="0" borderId="0"/>
    <xf numFmtId="0" fontId="209" fillId="0" borderId="0" applyNumberFormat="0" applyAlignment="0">
      <alignment vertical="center"/>
    </xf>
    <xf numFmtId="0" fontId="32" fillId="0" borderId="0" applyFont="0" applyFill="0" applyBorder="0" applyAlignment="0" applyProtection="0"/>
    <xf numFmtId="3" fontId="119" fillId="0" borderId="18" applyNumberFormat="0" applyAlignment="0">
      <alignment vertical="top"/>
    </xf>
    <xf numFmtId="0" fontId="80" fillId="0" borderId="0"/>
    <xf numFmtId="0" fontId="80" fillId="0" borderId="30">
      <alignment horizontal="right"/>
    </xf>
    <xf numFmtId="0" fontId="178" fillId="0" borderId="0"/>
    <xf numFmtId="0" fontId="218" fillId="0" borderId="0"/>
    <xf numFmtId="0" fontId="64" fillId="0" borderId="0">
      <alignment vertical="top"/>
    </xf>
    <xf numFmtId="0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0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0" fontId="64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64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64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0" fontId="64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223" fontId="51" fillId="0" borderId="0">
      <alignment vertical="top"/>
    </xf>
    <xf numFmtId="0" fontId="64" fillId="0" borderId="0">
      <alignment vertical="top"/>
    </xf>
    <xf numFmtId="0" fontId="51" fillId="0" borderId="0">
      <alignment vertical="top"/>
    </xf>
    <xf numFmtId="0" fontId="51" fillId="0" borderId="0">
      <alignment vertical="top"/>
    </xf>
    <xf numFmtId="223" fontId="64" fillId="0" borderId="0">
      <alignment vertical="top"/>
    </xf>
    <xf numFmtId="223" fontId="51" fillId="0" borderId="0">
      <alignment vertical="top"/>
    </xf>
    <xf numFmtId="223" fontId="51" fillId="0" borderId="0">
      <alignment vertical="top"/>
    </xf>
    <xf numFmtId="0" fontId="224" fillId="0" borderId="0" applyNumberFormat="0" applyFill="0" applyBorder="0" applyAlignment="0" applyProtection="0">
      <alignment horizontal="left"/>
      <protection locked="0"/>
    </xf>
    <xf numFmtId="246" fontId="32" fillId="0" borderId="0"/>
    <xf numFmtId="0" fontId="132" fillId="0" borderId="0"/>
    <xf numFmtId="223" fontId="225" fillId="0" borderId="29" applyNumberFormat="0" applyAlignment="0" applyProtection="0">
      <alignment horizontal="right" vertical="center"/>
    </xf>
    <xf numFmtId="0" fontId="226" fillId="0" borderId="35">
      <alignment horizontal="centerContinuous"/>
    </xf>
    <xf numFmtId="0" fontId="226" fillId="0" borderId="35">
      <alignment horizontal="centerContinuous"/>
    </xf>
    <xf numFmtId="0" fontId="183" fillId="52" borderId="0">
      <alignment horizontal="left" vertical="top"/>
    </xf>
    <xf numFmtId="0" fontId="183" fillId="52" borderId="0">
      <alignment horizontal="right" vertical="top"/>
    </xf>
    <xf numFmtId="0" fontId="227" fillId="0" borderId="36">
      <alignment vertical="center"/>
    </xf>
    <xf numFmtId="4" fontId="94" fillId="4" borderId="37" applyNumberFormat="0" applyProtection="0">
      <alignment vertical="center"/>
    </xf>
    <xf numFmtId="4" fontId="228" fillId="38" borderId="37" applyNumberFormat="0" applyProtection="0">
      <alignment vertical="center"/>
    </xf>
    <xf numFmtId="4" fontId="94" fillId="38" borderId="37" applyNumberFormat="0" applyProtection="0">
      <alignment horizontal="left" vertical="center" indent="1"/>
    </xf>
    <xf numFmtId="0" fontId="94" fillId="38" borderId="37" applyNumberFormat="0" applyProtection="0">
      <alignment horizontal="left" vertical="top" indent="1"/>
    </xf>
    <xf numFmtId="4" fontId="94" fillId="54" borderId="0" applyNumberFormat="0" applyProtection="0">
      <alignment horizontal="left" vertical="center" indent="1"/>
    </xf>
    <xf numFmtId="4" fontId="183" fillId="12" borderId="37" applyNumberFormat="0" applyProtection="0">
      <alignment horizontal="right" vertical="center"/>
    </xf>
    <xf numFmtId="4" fontId="183" fillId="18" borderId="37" applyNumberFormat="0" applyProtection="0">
      <alignment horizontal="right" vertical="center"/>
    </xf>
    <xf numFmtId="4" fontId="183" fillId="26" borderId="37" applyNumberFormat="0" applyProtection="0">
      <alignment horizontal="right" vertical="center"/>
    </xf>
    <xf numFmtId="4" fontId="183" fillId="20" borderId="37" applyNumberFormat="0" applyProtection="0">
      <alignment horizontal="right" vertical="center"/>
    </xf>
    <xf numFmtId="4" fontId="183" fillId="24" borderId="37" applyNumberFormat="0" applyProtection="0">
      <alignment horizontal="right" vertical="center"/>
    </xf>
    <xf numFmtId="4" fontId="183" fillId="28" borderId="37" applyNumberFormat="0" applyProtection="0">
      <alignment horizontal="right" vertical="center"/>
    </xf>
    <xf numFmtId="4" fontId="183" fillId="27" borderId="37" applyNumberFormat="0" applyProtection="0">
      <alignment horizontal="right" vertical="center"/>
    </xf>
    <xf numFmtId="4" fontId="183" fillId="55" borderId="37" applyNumberFormat="0" applyProtection="0">
      <alignment horizontal="right" vertical="center"/>
    </xf>
    <xf numFmtId="4" fontId="183" fillId="19" borderId="37" applyNumberFormat="0" applyProtection="0">
      <alignment horizontal="right" vertical="center"/>
    </xf>
    <xf numFmtId="4" fontId="94" fillId="56" borderId="38" applyNumberFormat="0" applyProtection="0">
      <alignment horizontal="left" vertical="center" indent="1"/>
    </xf>
    <xf numFmtId="4" fontId="183" fillId="57" borderId="0" applyNumberFormat="0" applyProtection="0">
      <alignment horizontal="left" vertical="center" indent="1"/>
    </xf>
    <xf numFmtId="4" fontId="229" fillId="8" borderId="0" applyNumberFormat="0" applyProtection="0">
      <alignment horizontal="left" vertical="center" indent="1"/>
    </xf>
    <xf numFmtId="4" fontId="183" fillId="58" borderId="37" applyNumberFormat="0" applyProtection="0">
      <alignment horizontal="right" vertical="center"/>
    </xf>
    <xf numFmtId="4" fontId="127" fillId="57" borderId="0" applyNumberFormat="0" applyProtection="0">
      <alignment horizontal="left" vertical="center" indent="1"/>
    </xf>
    <xf numFmtId="4" fontId="127" fillId="54" borderId="0" applyNumberFormat="0" applyProtection="0">
      <alignment horizontal="left" vertical="center" indent="1"/>
    </xf>
    <xf numFmtId="0" fontId="9" fillId="8" borderId="37" applyNumberFormat="0" applyProtection="0">
      <alignment horizontal="left" vertical="center" indent="1"/>
    </xf>
    <xf numFmtId="0" fontId="9" fillId="8" borderId="37" applyNumberFormat="0" applyProtection="0">
      <alignment horizontal="left" vertical="top" indent="1"/>
    </xf>
    <xf numFmtId="0" fontId="9" fillId="54" borderId="37" applyNumberFormat="0" applyProtection="0">
      <alignment horizontal="left" vertical="center" indent="1"/>
    </xf>
    <xf numFmtId="0" fontId="9" fillId="54" borderId="37" applyNumberFormat="0" applyProtection="0">
      <alignment horizontal="left" vertical="top" indent="1"/>
    </xf>
    <xf numFmtId="0" fontId="9" fillId="59" borderId="37" applyNumberFormat="0" applyProtection="0">
      <alignment horizontal="left" vertical="center" indent="1"/>
    </xf>
    <xf numFmtId="0" fontId="9" fillId="59" borderId="37" applyNumberFormat="0" applyProtection="0">
      <alignment horizontal="left" vertical="top" indent="1"/>
    </xf>
    <xf numFmtId="0" fontId="9" fillId="60" borderId="37" applyNumberFormat="0" applyProtection="0">
      <alignment horizontal="left" vertical="center" indent="1"/>
    </xf>
    <xf numFmtId="0" fontId="9" fillId="60" borderId="37" applyNumberFormat="0" applyProtection="0">
      <alignment horizontal="left" vertical="top" indent="1"/>
    </xf>
    <xf numFmtId="4" fontId="183" fillId="47" borderId="37" applyNumberFormat="0" applyProtection="0">
      <alignment vertical="center"/>
    </xf>
    <xf numFmtId="4" fontId="230" fillId="47" borderId="37" applyNumberFormat="0" applyProtection="0">
      <alignment vertical="center"/>
    </xf>
    <xf numFmtId="4" fontId="183" fillId="47" borderId="37" applyNumberFormat="0" applyProtection="0">
      <alignment horizontal="left" vertical="center" indent="1"/>
    </xf>
    <xf numFmtId="0" fontId="183" fillId="47" borderId="37" applyNumberFormat="0" applyProtection="0">
      <alignment horizontal="left" vertical="top" indent="1"/>
    </xf>
    <xf numFmtId="4" fontId="183" fillId="57" borderId="37" applyNumberFormat="0" applyProtection="0">
      <alignment horizontal="right" vertical="center"/>
    </xf>
    <xf numFmtId="4" fontId="230" fillId="57" borderId="37" applyNumberFormat="0" applyProtection="0">
      <alignment horizontal="right" vertical="center"/>
    </xf>
    <xf numFmtId="4" fontId="229" fillId="59" borderId="37" applyNumberFormat="0" applyProtection="0">
      <alignment horizontal="left" vertical="center" indent="1"/>
    </xf>
    <xf numFmtId="0" fontId="183" fillId="54" borderId="37" applyNumberFormat="0" applyProtection="0">
      <alignment horizontal="left" vertical="top" indent="1"/>
    </xf>
    <xf numFmtId="4" fontId="231" fillId="61" borderId="0" applyNumberFormat="0" applyProtection="0">
      <alignment horizontal="left" vertical="center" indent="1"/>
    </xf>
    <xf numFmtId="4" fontId="232" fillId="57" borderId="37" applyNumberFormat="0" applyProtection="0">
      <alignment horizontal="right" vertical="center"/>
    </xf>
    <xf numFmtId="0" fontId="233" fillId="0" borderId="39"/>
    <xf numFmtId="0" fontId="234" fillId="62" borderId="0"/>
    <xf numFmtId="0" fontId="235" fillId="62" borderId="0"/>
    <xf numFmtId="0" fontId="236" fillId="62" borderId="40"/>
    <xf numFmtId="0" fontId="236" fillId="62" borderId="0"/>
    <xf numFmtId="0" fontId="234" fillId="29" borderId="40">
      <protection locked="0"/>
    </xf>
    <xf numFmtId="0" fontId="234" fillId="62" borderId="0"/>
    <xf numFmtId="0" fontId="237" fillId="63" borderId="0"/>
    <xf numFmtId="0" fontId="237" fillId="64" borderId="0"/>
    <xf numFmtId="0" fontId="237" fillId="43" borderId="0"/>
    <xf numFmtId="0" fontId="64" fillId="6" borderId="0" applyNumberFormat="0" applyFont="0" applyBorder="0" applyAlignment="0" applyProtection="0"/>
    <xf numFmtId="172" fontId="64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65" borderId="0" applyNumberFormat="0" applyBorder="0" applyAlignment="0" applyProtection="0">
      <alignment horizontal="center" wrapText="1"/>
    </xf>
    <xf numFmtId="0" fontId="112" fillId="0" borderId="0" applyNumberFormat="0" applyFill="0" applyBorder="0" applyAlignment="0" applyProtection="0"/>
    <xf numFmtId="0" fontId="32" fillId="65" borderId="0" applyNumberFormat="0" applyBorder="0" applyAlignment="0" applyProtection="0"/>
    <xf numFmtId="0" fontId="135" fillId="0" borderId="0" applyNumberFormat="0" applyFill="0" applyBorder="0" applyAlignment="0" applyProtection="0"/>
    <xf numFmtId="0" fontId="102" fillId="0" borderId="0" applyFill="0" applyBorder="0" applyAlignment="0" applyProtection="0"/>
    <xf numFmtId="0" fontId="79" fillId="0" borderId="0" applyNumberFormat="0" applyFill="0" applyBorder="0" applyAlignment="0" applyProtection="0">
      <alignment horizontal="center"/>
    </xf>
    <xf numFmtId="0" fontId="135" fillId="0" borderId="0" applyProtection="0"/>
    <xf numFmtId="0" fontId="238" fillId="0" borderId="35"/>
    <xf numFmtId="292" fontId="239" fillId="0" borderId="15">
      <alignment horizontal="left" vertical="center"/>
      <protection locked="0"/>
    </xf>
    <xf numFmtId="0" fontId="93" fillId="0" borderId="0" applyFont="0" applyFill="0" applyBorder="0" applyAlignment="0" applyProtection="0">
      <alignment vertical="center"/>
    </xf>
    <xf numFmtId="0" fontId="52" fillId="0" borderId="0" applyNumberFormat="0" applyFont="0" applyFill="0" applyBorder="0" applyAlignment="0" applyProtection="0">
      <alignment vertical="top"/>
    </xf>
    <xf numFmtId="0" fontId="240" fillId="66" borderId="41" applyNumberFormat="0" applyProtection="0">
      <alignment horizontal="center" wrapText="1"/>
    </xf>
    <xf numFmtId="0" fontId="240" fillId="66" borderId="42" applyNumberFormat="0" applyAlignment="0" applyProtection="0">
      <alignment wrapText="1"/>
    </xf>
    <xf numFmtId="0" fontId="9" fillId="67" borderId="0" applyNumberFormat="0" applyBorder="0">
      <alignment horizontal="center" wrapText="1"/>
    </xf>
    <xf numFmtId="0" fontId="9" fillId="67" borderId="0" applyNumberFormat="0" applyBorder="0">
      <alignment wrapText="1"/>
    </xf>
    <xf numFmtId="0" fontId="9" fillId="0" borderId="0" applyNumberFormat="0" applyFill="0" applyBorder="0" applyProtection="0">
      <alignment horizontal="right" wrapText="1"/>
    </xf>
    <xf numFmtId="254" fontId="9" fillId="0" borderId="0" applyFill="0" applyBorder="0" applyAlignment="0" applyProtection="0">
      <alignment wrapText="1"/>
    </xf>
    <xf numFmtId="247" fontId="9" fillId="0" borderId="0" applyFill="0" applyBorder="0" applyAlignment="0" applyProtection="0">
      <alignment wrapText="1"/>
    </xf>
    <xf numFmtId="173" fontId="9" fillId="0" borderId="0" applyFill="0" applyBorder="0" applyAlignment="0" applyProtection="0">
      <alignment wrapText="1"/>
    </xf>
    <xf numFmtId="0" fontId="9" fillId="0" borderId="0" applyNumberFormat="0" applyFill="0" applyBorder="0" applyProtection="0">
      <alignment horizontal="right" wrapText="1"/>
    </xf>
    <xf numFmtId="0" fontId="52" fillId="0" borderId="0" applyNumberFormat="0" applyFont="0" applyFill="0" applyBorder="0" applyAlignment="0" applyProtection="0">
      <alignment vertical="top"/>
    </xf>
    <xf numFmtId="0" fontId="9" fillId="0" borderId="0" applyNumberFormat="0" applyFill="0" applyBorder="0">
      <alignment horizontal="right" wrapText="1"/>
    </xf>
    <xf numFmtId="17" fontId="9" fillId="0" borderId="0" applyFill="0" applyBorder="0">
      <alignment horizontal="right" wrapText="1"/>
    </xf>
    <xf numFmtId="165" fontId="9" fillId="0" borderId="0" applyFill="0" applyBorder="0" applyAlignment="0" applyProtection="0">
      <alignment wrapText="1"/>
    </xf>
    <xf numFmtId="0" fontId="67" fillId="0" borderId="0" applyNumberFormat="0" applyFill="0" applyBorder="0">
      <alignment horizontal="left" wrapText="1"/>
    </xf>
    <xf numFmtId="0" fontId="240" fillId="0" borderId="0" applyNumberFormat="0" applyFill="0" applyBorder="0">
      <alignment horizontal="center" wrapText="1"/>
    </xf>
    <xf numFmtId="0" fontId="240" fillId="0" borderId="0" applyNumberFormat="0" applyFill="0" applyBorder="0">
      <alignment horizontal="center" wrapText="1"/>
    </xf>
    <xf numFmtId="0" fontId="52" fillId="0" borderId="0" applyNumberFormat="0" applyFont="0" applyFill="0" applyBorder="0" applyAlignment="0" applyProtection="0">
      <alignment vertical="top"/>
    </xf>
    <xf numFmtId="0" fontId="10" fillId="0" borderId="0"/>
    <xf numFmtId="0" fontId="93" fillId="0" borderId="0"/>
    <xf numFmtId="0" fontId="177" fillId="0" borderId="0"/>
    <xf numFmtId="223" fontId="223" fillId="0" borderId="0">
      <alignment horizontal="centerContinuous"/>
    </xf>
    <xf numFmtId="0" fontId="241" fillId="0" borderId="0"/>
    <xf numFmtId="37" fontId="32" fillId="0" borderId="3" applyNumberFormat="0" applyFont="0" applyFill="0" applyAlignment="0" applyProtection="0"/>
    <xf numFmtId="0" fontId="242" fillId="0" borderId="6"/>
    <xf numFmtId="0" fontId="243" fillId="0" borderId="1">
      <alignment horizontal="center"/>
    </xf>
    <xf numFmtId="0" fontId="243" fillId="0" borderId="1">
      <alignment horizontal="centerContinuous"/>
    </xf>
    <xf numFmtId="0" fontId="243" fillId="0" borderId="35">
      <alignment horizontal="centerContinuous"/>
    </xf>
    <xf numFmtId="0" fontId="132" fillId="0" borderId="25"/>
    <xf numFmtId="0" fontId="244" fillId="0" borderId="0" applyFill="0" applyBorder="0" applyProtection="0">
      <alignment horizontal="center" vertical="center"/>
    </xf>
    <xf numFmtId="0" fontId="245" fillId="0" borderId="0" applyBorder="0" applyProtection="0">
      <alignment vertical="center"/>
    </xf>
    <xf numFmtId="0" fontId="245" fillId="0" borderId="1" applyBorder="0" applyProtection="0">
      <alignment horizontal="right" vertical="center"/>
    </xf>
    <xf numFmtId="0" fontId="246" fillId="68" borderId="0" applyBorder="0" applyProtection="0">
      <alignment horizontal="centerContinuous" vertical="center"/>
    </xf>
    <xf numFmtId="0" fontId="246" fillId="69" borderId="1" applyBorder="0" applyProtection="0">
      <alignment horizontal="centerContinuous" vertical="center"/>
    </xf>
    <xf numFmtId="0" fontId="225" fillId="0" borderId="0" applyNumberFormat="0" applyFill="0" applyBorder="0" applyProtection="0">
      <alignment horizontal="left"/>
    </xf>
    <xf numFmtId="0" fontId="146" fillId="0" borderId="0" applyNumberFormat="0" applyFill="0" applyBorder="0" applyProtection="0">
      <alignment horizontal="left"/>
    </xf>
    <xf numFmtId="0" fontId="244" fillId="0" borderId="0" applyFill="0" applyBorder="0" applyProtection="0"/>
    <xf numFmtId="0" fontId="166" fillId="0" borderId="0"/>
    <xf numFmtId="0" fontId="247" fillId="0" borderId="0" applyFill="0" applyBorder="0" applyProtection="0">
      <alignment horizontal="left"/>
    </xf>
    <xf numFmtId="0" fontId="146" fillId="0" borderId="6" applyFill="0" applyBorder="0" applyProtection="0">
      <alignment horizontal="left" vertical="top"/>
    </xf>
    <xf numFmtId="0" fontId="248" fillId="0" borderId="0">
      <alignment horizontal="centerContinuous"/>
    </xf>
    <xf numFmtId="0" fontId="249" fillId="0" borderId="43"/>
    <xf numFmtId="0" fontId="250" fillId="0" borderId="0"/>
    <xf numFmtId="0" fontId="251" fillId="0" borderId="0" applyNumberFormat="0" applyFill="0" applyBorder="0" applyProtection="0"/>
    <xf numFmtId="0" fontId="252" fillId="0" borderId="0"/>
    <xf numFmtId="0" fontId="253" fillId="0" borderId="0" applyNumberFormat="0" applyFill="0" applyBorder="0" applyProtection="0"/>
    <xf numFmtId="0" fontId="251" fillId="0" borderId="0" applyNumberFormat="0" applyFill="0" applyBorder="0" applyProtection="0"/>
    <xf numFmtId="0" fontId="251" fillId="0" borderId="0"/>
    <xf numFmtId="223" fontId="254" fillId="0" borderId="0"/>
    <xf numFmtId="207" fontId="255" fillId="0" borderId="0">
      <alignment horizontal="right" vertical="center"/>
    </xf>
    <xf numFmtId="0" fontId="64" fillId="0" borderId="0" applyNumberFormat="0" applyFill="0" applyBorder="0" applyAlignment="0" applyProtection="0"/>
    <xf numFmtId="0" fontId="198" fillId="0" borderId="0" applyNumberFormat="0" applyFill="0" applyBorder="0" applyAlignment="0" applyProtection="0"/>
    <xf numFmtId="207" fontId="256" fillId="0" borderId="0">
      <alignment horizontal="right" vertical="center"/>
    </xf>
    <xf numFmtId="0" fontId="257" fillId="0" borderId="0"/>
    <xf numFmtId="0" fontId="258" fillId="7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19" fontId="9" fillId="0" borderId="29">
      <alignment horizontal="center" vertical="center" wrapText="1"/>
    </xf>
    <xf numFmtId="0" fontId="32" fillId="0" borderId="0" applyNumberFormat="0" applyFill="0" applyBorder="0" applyAlignment="0" applyProtection="0"/>
    <xf numFmtId="0" fontId="244" fillId="0" borderId="0" applyNumberFormat="0" applyFill="0" applyBorder="0" applyAlignment="0" applyProtection="0"/>
    <xf numFmtId="0" fontId="232" fillId="0" borderId="0" applyNumberFormat="0" applyFill="0" applyBorder="0" applyAlignment="0" applyProtection="0"/>
    <xf numFmtId="0" fontId="253" fillId="0" borderId="0"/>
    <xf numFmtId="0" fontId="251" fillId="0" borderId="0"/>
    <xf numFmtId="236" fontId="32" fillId="1" borderId="44">
      <alignment horizontal="right"/>
    </xf>
    <xf numFmtId="0" fontId="130" fillId="0" borderId="45" applyNumberFormat="0" applyFont="0" applyFill="0" applyAlignment="0" applyProtection="0"/>
    <xf numFmtId="0" fontId="191" fillId="0" borderId="46"/>
    <xf numFmtId="0" fontId="191" fillId="0" borderId="25"/>
    <xf numFmtId="0" fontId="243" fillId="0" borderId="0">
      <alignment horizontal="centerContinuous"/>
    </xf>
    <xf numFmtId="0" fontId="259" fillId="29" borderId="0"/>
    <xf numFmtId="236" fontId="32" fillId="0" borderId="0" applyFill="0" applyBorder="0">
      <alignment horizontal="left"/>
    </xf>
    <xf numFmtId="293" fontId="79" fillId="0" borderId="0">
      <alignment horizontal="left"/>
    </xf>
    <xf numFmtId="225" fontId="9" fillId="0" borderId="0" applyNumberFormat="0"/>
    <xf numFmtId="0" fontId="178" fillId="0" borderId="0"/>
    <xf numFmtId="205" fontId="9" fillId="0" borderId="0" applyFont="0" applyFill="0" applyBorder="0" applyAlignment="0" applyProtection="0"/>
    <xf numFmtId="206" fontId="9" fillId="0" borderId="0" applyFont="0" applyFill="0" applyBorder="0" applyAlignment="0" applyProtection="0"/>
    <xf numFmtId="0" fontId="178" fillId="0" borderId="0"/>
    <xf numFmtId="182" fontId="52" fillId="0" borderId="0" applyFont="0" applyFill="0" applyBorder="0" applyAlignment="0" applyProtection="0"/>
    <xf numFmtId="188" fontId="52" fillId="0" borderId="0" applyFont="0" applyFill="0" applyBorder="0" applyAlignment="0" applyProtection="0"/>
    <xf numFmtId="0" fontId="260" fillId="0" borderId="0" applyNumberFormat="0" applyFill="0" applyBorder="0" applyAlignment="0" applyProtection="0"/>
    <xf numFmtId="221" fontId="32" fillId="0" borderId="0" applyFill="0" applyBorder="0">
      <alignment horizontal="right"/>
    </xf>
    <xf numFmtId="0" fontId="32" fillId="19" borderId="0" applyNumberFormat="0" applyBorder="0" applyAlignment="0" applyProtection="0"/>
    <xf numFmtId="1" fontId="187" fillId="0" borderId="0">
      <alignment horizontal="right"/>
    </xf>
    <xf numFmtId="250" fontId="261" fillId="0" borderId="0" applyFont="0" applyFill="0" applyBorder="0" applyAlignment="0" applyProtection="0"/>
    <xf numFmtId="251" fontId="261" fillId="0" borderId="0" applyFont="0" applyFill="0" applyBorder="0" applyAlignment="0" applyProtection="0"/>
    <xf numFmtId="172" fontId="32" fillId="0" borderId="0"/>
    <xf numFmtId="0" fontId="262" fillId="0" borderId="1" applyBorder="0" applyProtection="0">
      <alignment horizontal="right"/>
    </xf>
    <xf numFmtId="173" fontId="134" fillId="0" borderId="4" applyFont="0" applyFill="0" applyBorder="0" applyAlignment="0">
      <alignment horizontal="centerContinuous"/>
    </xf>
    <xf numFmtId="301" fontId="263" fillId="0" borderId="4" applyFont="0" applyFill="0" applyBorder="0" applyAlignment="0">
      <alignment horizontal="centerContinuous"/>
    </xf>
    <xf numFmtId="185" fontId="101" fillId="0" borderId="0" applyFont="0" applyFill="0" applyBorder="0" applyProtection="0">
      <alignment horizontal="right"/>
    </xf>
    <xf numFmtId="1" fontId="264" fillId="0" borderId="8" applyFill="0" applyProtection="0">
      <alignment horizontal="center"/>
    </xf>
    <xf numFmtId="210" fontId="102" fillId="0" borderId="0" applyFont="0" applyFill="0" applyBorder="0" applyAlignment="0" applyProtection="0"/>
    <xf numFmtId="194" fontId="32" fillId="0" borderId="0" applyFont="0" applyFill="0" applyBorder="0" applyAlignment="0" applyProtection="0"/>
    <xf numFmtId="0" fontId="13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8" borderId="0" applyNumberFormat="0" applyBorder="0" applyAlignment="0" applyProtection="0"/>
    <xf numFmtId="185" fontId="39" fillId="0" borderId="47">
      <protection locked="0"/>
    </xf>
    <xf numFmtId="0" fontId="14" fillId="16" borderId="19" applyNumberFormat="0" applyAlignment="0" applyProtection="0"/>
    <xf numFmtId="3" fontId="265" fillId="0" borderId="0">
      <alignment horizontal="center" vertical="center" textRotation="90" wrapText="1"/>
    </xf>
    <xf numFmtId="0" fontId="15" fillId="35" borderId="34" applyNumberFormat="0" applyAlignment="0" applyProtection="0"/>
    <xf numFmtId="0" fontId="16" fillId="35" borderId="19" applyNumberFormat="0" applyAlignment="0" applyProtection="0"/>
    <xf numFmtId="175" fontId="51" fillId="0" borderId="15" applyAlignment="0">
      <alignment horizontal="left" vertical="center"/>
    </xf>
    <xf numFmtId="14" fontId="266" fillId="0" borderId="0"/>
    <xf numFmtId="302" fontId="267" fillId="39" borderId="0" applyFont="0" applyFill="0" applyBorder="0" applyAlignment="0" applyProtection="0">
      <alignment horizontal="right"/>
    </xf>
    <xf numFmtId="190" fontId="9" fillId="0" borderId="0" applyFont="0" applyFill="0" applyBorder="0" applyAlignment="0" applyProtection="0"/>
    <xf numFmtId="303" fontId="9" fillId="0" borderId="0" applyFont="0" applyFill="0" applyBorder="0" applyAlignment="0" applyProtection="0"/>
    <xf numFmtId="172" fontId="9" fillId="0" borderId="0" applyFont="0" applyFill="0" applyBorder="0" applyAlignment="0" applyProtection="0"/>
    <xf numFmtId="304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4" fontId="268" fillId="0" borderId="15" applyNumberFormat="0" applyBorder="0" applyAlignment="0">
      <alignment horizontal="centerContinuous" vertical="center" wrapText="1"/>
    </xf>
    <xf numFmtId="0" fontId="269" fillId="0" borderId="0" applyBorder="0">
      <alignment horizontal="center" vertical="center" wrapText="1"/>
    </xf>
    <xf numFmtId="0" fontId="18" fillId="0" borderId="48" applyNumberFormat="0" applyFill="0" applyAlignment="0" applyProtection="0"/>
    <xf numFmtId="0" fontId="19" fillId="0" borderId="49" applyNumberFormat="0" applyFill="0" applyAlignment="0" applyProtection="0"/>
    <xf numFmtId="0" fontId="20" fillId="0" borderId="50" applyNumberFormat="0" applyFill="0" applyAlignment="0" applyProtection="0"/>
    <xf numFmtId="0" fontId="20" fillId="0" borderId="0" applyNumberFormat="0" applyFill="0" applyBorder="0" applyAlignment="0" applyProtection="0"/>
    <xf numFmtId="0" fontId="270" fillId="0" borderId="51" applyBorder="0">
      <alignment horizontal="center" vertical="center" wrapText="1"/>
    </xf>
    <xf numFmtId="185" fontId="271" fillId="31" borderId="47"/>
    <xf numFmtId="0" fontId="272" fillId="0" borderId="0"/>
    <xf numFmtId="4" fontId="273" fillId="38" borderId="15" applyBorder="0">
      <alignment horizontal="right"/>
    </xf>
    <xf numFmtId="0" fontId="21" fillId="0" borderId="52" applyNumberFormat="0" applyFill="0" applyAlignment="0" applyProtection="0"/>
    <xf numFmtId="3" fontId="134" fillId="49" borderId="53" applyFill="0">
      <alignment vertical="center"/>
    </xf>
    <xf numFmtId="0" fontId="22" fillId="37" borderId="20" applyNumberFormat="0" applyAlignment="0" applyProtection="0"/>
    <xf numFmtId="0" fontId="274" fillId="49" borderId="0" applyFill="0">
      <alignment wrapText="1"/>
    </xf>
    <xf numFmtId="0" fontId="67" fillId="0" borderId="0">
      <alignment horizontal="center" vertical="top" wrapText="1"/>
    </xf>
    <xf numFmtId="0" fontId="275" fillId="0" borderId="0">
      <alignment horizontal="center" vertical="center" wrapText="1"/>
    </xf>
    <xf numFmtId="0" fontId="23" fillId="0" borderId="0" applyNumberFormat="0" applyFill="0" applyBorder="0" applyAlignment="0" applyProtection="0"/>
    <xf numFmtId="164" fontId="76" fillId="0" borderId="0"/>
    <xf numFmtId="0" fontId="149" fillId="29" borderId="0" applyFill="0"/>
    <xf numFmtId="0" fontId="24" fillId="4" borderId="0" applyNumberFormat="0" applyBorder="0" applyAlignment="0" applyProtection="0"/>
    <xf numFmtId="0" fontId="9" fillId="0" borderId="0"/>
    <xf numFmtId="0" fontId="182" fillId="0" borderId="0">
      <alignment vertical="center" wrapText="1"/>
    </xf>
    <xf numFmtId="0" fontId="39" fillId="0" borderId="18" applyNumberFormat="0">
      <alignment vertical="center" wrapText="1"/>
    </xf>
    <xf numFmtId="0" fontId="26" fillId="12" borderId="0" applyNumberFormat="0" applyBorder="0" applyAlignment="0" applyProtection="0"/>
    <xf numFmtId="3" fontId="152" fillId="49" borderId="54" applyFill="0">
      <alignment wrapText="1"/>
    </xf>
    <xf numFmtId="0" fontId="27" fillId="0" borderId="0" applyNumberFormat="0" applyFill="0" applyBorder="0" applyAlignment="0" applyProtection="0"/>
    <xf numFmtId="0" fontId="10" fillId="51" borderId="33" applyNumberFormat="0" applyFont="0" applyAlignment="0" applyProtection="0"/>
    <xf numFmtId="305" fontId="276" fillId="38" borderId="0" applyFont="0" applyFill="0" applyBorder="0" applyAlignment="0" applyProtection="0">
      <alignment horizontal="right"/>
    </xf>
    <xf numFmtId="9" fontId="10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31" applyNumberFormat="0" applyFill="0" applyAlignment="0" applyProtection="0"/>
    <xf numFmtId="0" fontId="152" fillId="49" borderId="53" applyNumberFormat="0" applyFill="0">
      <alignment horizontal="center" vertical="center" wrapText="1"/>
    </xf>
    <xf numFmtId="0" fontId="51" fillId="0" borderId="0" applyBorder="0"/>
    <xf numFmtId="0" fontId="1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 applyNumberFormat="0" applyFont="0" applyFill="0" applyBorder="0" applyAlignment="0" applyProtection="0">
      <alignment vertical="top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 applyNumberFormat="0" applyFont="0" applyFill="0" applyBorder="0" applyAlignment="0" applyProtection="0">
      <alignment vertical="top"/>
    </xf>
    <xf numFmtId="0" fontId="9" fillId="0" borderId="0"/>
    <xf numFmtId="0" fontId="52" fillId="0" borderId="0" applyNumberFormat="0" applyFont="0" applyFill="0" applyBorder="0" applyAlignment="0" applyProtection="0">
      <alignment vertical="top"/>
    </xf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49" fontId="277" fillId="0" borderId="0"/>
    <xf numFmtId="49" fontId="278" fillId="0" borderId="0">
      <alignment vertical="top"/>
    </xf>
    <xf numFmtId="0" fontId="29" fillId="0" borderId="0" applyNumberFormat="0" applyFill="0" applyBorder="0" applyAlignment="0" applyProtection="0"/>
    <xf numFmtId="49" fontId="274" fillId="0" borderId="0">
      <alignment horizontal="center"/>
    </xf>
    <xf numFmtId="190" fontId="31" fillId="0" borderId="0"/>
    <xf numFmtId="306" fontId="279" fillId="39" borderId="15" applyFont="0" applyFill="0" applyBorder="0" applyAlignment="0" applyProtection="0"/>
    <xf numFmtId="174" fontId="280" fillId="0" borderId="55" applyFont="0" applyFill="0" applyBorder="0" applyAlignment="0" applyProtection="0">
      <alignment horizontal="center"/>
    </xf>
    <xf numFmtId="307" fontId="134" fillId="0" borderId="15" applyFont="0" applyFill="0" applyBorder="0" applyAlignment="0" applyProtection="0">
      <alignment wrapText="1"/>
    </xf>
    <xf numFmtId="175" fontId="10" fillId="0" borderId="0" applyFont="0" applyFill="0" applyBorder="0" applyAlignment="0" applyProtection="0"/>
    <xf numFmtId="3" fontId="281" fillId="0" borderId="56" applyFont="0" applyBorder="0">
      <alignment horizontal="right"/>
      <protection locked="0"/>
    </xf>
    <xf numFmtId="174" fontId="279" fillId="39" borderId="15" applyFont="0" applyFill="0" applyBorder="0" applyAlignment="0" applyProtection="0"/>
    <xf numFmtId="191" fontId="9" fillId="0" borderId="0" applyFont="0" applyFill="0" applyBorder="0" applyAlignment="0" applyProtection="0"/>
    <xf numFmtId="176" fontId="10" fillId="0" borderId="0" applyFont="0" applyFill="0" applyBorder="0" applyAlignment="0" applyProtection="0"/>
    <xf numFmtId="4" fontId="273" fillId="49" borderId="0" applyBorder="0">
      <alignment horizontal="right"/>
    </xf>
    <xf numFmtId="4" fontId="273" fillId="71" borderId="57" applyBorder="0">
      <alignment horizontal="right"/>
    </xf>
    <xf numFmtId="4" fontId="273" fillId="49" borderId="15" applyFont="0" applyBorder="0">
      <alignment horizontal="right"/>
    </xf>
    <xf numFmtId="0" fontId="30" fillId="13" borderId="0" applyNumberFormat="0" applyBorder="0" applyAlignment="0" applyProtection="0"/>
    <xf numFmtId="166" fontId="36" fillId="0" borderId="0">
      <protection locked="0"/>
    </xf>
    <xf numFmtId="49" fontId="119" fillId="0" borderId="15" applyNumberFormat="0" applyFill="0" applyAlignment="0" applyProtection="0"/>
    <xf numFmtId="0" fontId="32" fillId="0" borderId="0"/>
    <xf numFmtId="0" fontId="10" fillId="0" borderId="0"/>
    <xf numFmtId="0" fontId="1" fillId="0" borderId="0"/>
    <xf numFmtId="0" fontId="37" fillId="0" borderId="0"/>
    <xf numFmtId="0" fontId="37" fillId="0" borderId="0"/>
    <xf numFmtId="0" fontId="11" fillId="0" borderId="0"/>
    <xf numFmtId="0" fontId="9" fillId="0" borderId="0"/>
    <xf numFmtId="0" fontId="11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11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308" fontId="67" fillId="30" borderId="58">
      <alignment horizontal="center" vertical="center"/>
      <protection locked="0"/>
    </xf>
    <xf numFmtId="4" fontId="282" fillId="0" borderId="15">
      <alignment horizontal="right" vertical="top"/>
    </xf>
    <xf numFmtId="4" fontId="282" fillId="0" borderId="15">
      <alignment horizontal="right" vertical="top"/>
    </xf>
    <xf numFmtId="309" fontId="52" fillId="0" borderId="0" applyFont="0" applyFill="0" applyBorder="0" applyAlignment="0" applyProtection="0"/>
    <xf numFmtId="310" fontId="52" fillId="0" borderId="0" applyFont="0" applyFill="0" applyBorder="0" applyAlignment="0" applyProtection="0"/>
    <xf numFmtId="240" fontId="10" fillId="0" borderId="0" applyFont="0" applyFill="0" applyBorder="0" applyAlignment="0" applyProtection="0"/>
    <xf numFmtId="311" fontId="10" fillId="0" borderId="0" applyFont="0" applyFill="0" applyBorder="0" applyAlignment="0" applyProtection="0"/>
    <xf numFmtId="312" fontId="10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1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83" fillId="0" borderId="0" applyNumberFormat="0" applyFill="0" applyBorder="0" applyAlignment="0" applyProtection="0">
      <alignment vertical="top"/>
      <protection locked="0"/>
    </xf>
    <xf numFmtId="0" fontId="284" fillId="0" borderId="0" applyNumberFormat="0" applyFill="0" applyBorder="0" applyAlignment="0" applyProtection="0">
      <alignment vertical="top"/>
      <protection locked="0"/>
    </xf>
    <xf numFmtId="0" fontId="52" fillId="0" borderId="0"/>
    <xf numFmtId="0" fontId="285" fillId="72" borderId="18">
      <alignment horizontal="left" vertical="center" wrapText="1"/>
    </xf>
    <xf numFmtId="174" fontId="286" fillId="0" borderId="15">
      <alignment horizontal="right" vertical="center" wrapText="1"/>
    </xf>
    <xf numFmtId="0" fontId="248" fillId="39" borderId="0"/>
    <xf numFmtId="181" fontId="9" fillId="73" borderId="15">
      <alignment vertical="center"/>
    </xf>
    <xf numFmtId="187" fontId="9" fillId="0" borderId="0" applyFont="0" applyFill="0" applyBorder="0" applyAlignment="0" applyProtection="0"/>
    <xf numFmtId="186" fontId="9" fillId="0" borderId="0" applyFont="0" applyFill="0" applyBorder="0" applyAlignment="0" applyProtection="0"/>
    <xf numFmtId="0" fontId="37" fillId="0" borderId="0"/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40" fontId="52" fillId="0" borderId="0" applyFont="0" applyFill="0" applyBorder="0" applyAlignment="0" applyProtection="0"/>
    <xf numFmtId="0" fontId="9" fillId="39" borderId="5" applyNumberFormat="0" applyFont="0" applyFill="0" applyBorder="0" applyAlignment="0" applyProtection="0"/>
    <xf numFmtId="181" fontId="287" fillId="73" borderId="15">
      <alignment horizontal="center" vertical="center" wrapText="1"/>
      <protection locked="0"/>
    </xf>
    <xf numFmtId="0" fontId="9" fillId="0" borderId="0">
      <alignment vertical="center"/>
    </xf>
    <xf numFmtId="0" fontId="9" fillId="74" borderId="0"/>
    <xf numFmtId="0" fontId="9" fillId="39" borderId="0">
      <alignment horizontal="center" vertical="center"/>
    </xf>
    <xf numFmtId="41" fontId="217" fillId="59" borderId="18" applyFont="0" applyAlignment="0" applyProtection="0"/>
    <xf numFmtId="0" fontId="64" fillId="72" borderId="18">
      <alignment horizontal="left" vertical="center" wrapText="1"/>
    </xf>
    <xf numFmtId="313" fontId="109" fillId="0" borderId="18">
      <alignment horizontal="center" vertical="center" wrapText="1"/>
    </xf>
    <xf numFmtId="314" fontId="109" fillId="59" borderId="18">
      <alignment horizontal="center" vertical="center" wrapText="1"/>
      <protection locked="0"/>
    </xf>
    <xf numFmtId="0" fontId="9" fillId="39" borderId="0"/>
    <xf numFmtId="181" fontId="288" fillId="75" borderId="8">
      <alignment horizontal="center" vertical="center"/>
    </xf>
    <xf numFmtId="315" fontId="9" fillId="0" borderId="0" applyFont="0" applyFill="0" applyBorder="0" applyAlignment="0" applyProtection="0"/>
    <xf numFmtId="316" fontId="9" fillId="0" borderId="0" applyFont="0" applyFill="0" applyBorder="0" applyAlignment="0" applyProtection="0"/>
    <xf numFmtId="181" fontId="9" fillId="67" borderId="15" applyNumberFormat="0" applyFill="0" applyBorder="0" applyProtection="0">
      <alignment vertical="center"/>
      <protection locked="0"/>
    </xf>
    <xf numFmtId="0" fontId="9" fillId="0" borderId="0"/>
    <xf numFmtId="0" fontId="9" fillId="0" borderId="0"/>
    <xf numFmtId="0" fontId="12" fillId="0" borderId="0"/>
    <xf numFmtId="0" fontId="1" fillId="0" borderId="0"/>
    <xf numFmtId="0" fontId="10" fillId="0" borderId="0"/>
    <xf numFmtId="0" fontId="39" fillId="0" borderId="0"/>
    <xf numFmtId="169" fontId="289" fillId="38" borderId="2" applyNumberFormat="0" applyBorder="0" applyAlignment="0">
      <alignment vertical="center"/>
      <protection locked="0"/>
    </xf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76" fontId="10" fillId="0" borderId="0" applyFont="0" applyFill="0" applyBorder="0" applyAlignment="0" applyProtection="0"/>
    <xf numFmtId="317" fontId="290" fillId="76" borderId="59">
      <alignment vertical="center"/>
    </xf>
    <xf numFmtId="0" fontId="291" fillId="0" borderId="0"/>
    <xf numFmtId="0" fontId="291" fillId="0" borderId="0"/>
    <xf numFmtId="0" fontId="29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76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1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9">
    <xf numFmtId="0" fontId="0" fillId="0" borderId="0" xfId="0"/>
    <xf numFmtId="0" fontId="0" fillId="2" borderId="0" xfId="0" applyFill="1"/>
    <xf numFmtId="0" fontId="0" fillId="2" borderId="60" xfId="0" applyFill="1" applyBorder="1"/>
    <xf numFmtId="0" fontId="6" fillId="77" borderId="18" xfId="2" applyFont="1" applyFill="1" applyBorder="1" applyAlignment="1">
      <alignment horizontal="center" vertical="center"/>
    </xf>
    <xf numFmtId="43" fontId="5" fillId="3" borderId="18" xfId="1" applyFont="1" applyFill="1" applyBorder="1" applyAlignment="1" applyProtection="1">
      <alignment horizontal="right"/>
      <protection locked="0"/>
    </xf>
    <xf numFmtId="0" fontId="0" fillId="2" borderId="61" xfId="0" applyFill="1" applyBorder="1"/>
    <xf numFmtId="3" fontId="5" fillId="2" borderId="0" xfId="2" applyNumberFormat="1" applyFont="1" applyFill="1" applyAlignment="1" applyProtection="1">
      <alignment horizontal="center" vertical="center"/>
      <protection locked="0"/>
    </xf>
    <xf numFmtId="0" fontId="5" fillId="2" borderId="0" xfId="2" applyFont="1" applyFill="1" applyAlignment="1">
      <alignment horizontal="left" indent="1"/>
    </xf>
    <xf numFmtId="43" fontId="5" fillId="2" borderId="18" xfId="1" applyFont="1" applyFill="1" applyBorder="1" applyAlignment="1">
      <alignment horizontal="right"/>
    </xf>
    <xf numFmtId="0" fontId="7" fillId="78" borderId="62" xfId="2" applyFont="1" applyFill="1" applyBorder="1" applyAlignment="1">
      <alignment horizontal="left" vertical="center" indent="1"/>
    </xf>
    <xf numFmtId="43" fontId="7" fillId="78" borderId="18" xfId="1" applyFont="1" applyFill="1" applyBorder="1" applyAlignment="1">
      <alignment horizontal="center" vertical="center"/>
    </xf>
    <xf numFmtId="43" fontId="5" fillId="2" borderId="63" xfId="1" applyFont="1" applyFill="1" applyBorder="1" applyAlignment="1">
      <alignment horizontal="center" vertical="center"/>
    </xf>
    <xf numFmtId="43" fontId="5" fillId="3" borderId="18" xfId="1" applyFont="1" applyFill="1" applyBorder="1" applyAlignment="1" applyProtection="1">
      <alignment horizontal="center"/>
      <protection locked="0"/>
    </xf>
    <xf numFmtId="318" fontId="8" fillId="2" borderId="0" xfId="1" applyNumberFormat="1" applyFont="1" applyFill="1" applyAlignment="1">
      <alignment horizontal="center"/>
    </xf>
    <xf numFmtId="43" fontId="0" fillId="2" borderId="0" xfId="1" applyFont="1" applyFill="1"/>
    <xf numFmtId="0" fontId="5" fillId="2" borderId="0" xfId="2" applyFont="1" applyFill="1" applyAlignment="1">
      <alignment horizontal="left" indent="2"/>
    </xf>
    <xf numFmtId="167" fontId="5" fillId="3" borderId="18" xfId="2" applyNumberFormat="1" applyFont="1" applyFill="1" applyBorder="1" applyProtection="1">
      <protection locked="0"/>
    </xf>
    <xf numFmtId="0" fontId="7" fillId="78" borderId="59" xfId="2" applyFont="1" applyFill="1" applyBorder="1" applyAlignment="1">
      <alignment horizontal="left" vertical="center" indent="1"/>
    </xf>
    <xf numFmtId="43" fontId="5" fillId="2" borderId="18" xfId="1" applyFont="1" applyFill="1" applyBorder="1" applyAlignment="1">
      <alignment horizontal="center" vertical="center"/>
    </xf>
    <xf numFmtId="1" fontId="5" fillId="2" borderId="0" xfId="0" applyNumberFormat="1" applyFont="1" applyFill="1" applyAlignment="1">
      <alignment horizontal="right" indent="2"/>
    </xf>
    <xf numFmtId="1" fontId="5" fillId="2" borderId="0" xfId="0" applyNumberFormat="1" applyFont="1" applyFill="1" applyAlignment="1">
      <alignment horizontal="right"/>
    </xf>
    <xf numFmtId="2" fontId="5" fillId="2" borderId="18" xfId="0" applyNumberFormat="1" applyFont="1" applyFill="1" applyBorder="1" applyAlignment="1">
      <alignment horizontal="right"/>
    </xf>
    <xf numFmtId="2" fontId="5" fillId="2" borderId="18" xfId="0" applyNumberFormat="1" applyFont="1" applyFill="1" applyBorder="1" applyAlignment="1">
      <alignment horizontal="right" vertical="center"/>
    </xf>
    <xf numFmtId="1" fontId="5" fillId="2" borderId="18" xfId="0" applyNumberFormat="1" applyFont="1" applyFill="1" applyBorder="1"/>
    <xf numFmtId="0" fontId="5" fillId="2" borderId="0" xfId="0" applyFont="1" applyFill="1"/>
    <xf numFmtId="14" fontId="5" fillId="2" borderId="18" xfId="0" applyNumberFormat="1" applyFont="1" applyFill="1" applyBorder="1"/>
    <xf numFmtId="10" fontId="5" fillId="2" borderId="18" xfId="0" applyNumberFormat="1" applyFont="1" applyFill="1" applyBorder="1" applyAlignment="1">
      <alignment horizontal="right"/>
    </xf>
    <xf numFmtId="2" fontId="5" fillId="3" borderId="18" xfId="2" applyNumberFormat="1" applyFont="1" applyFill="1" applyBorder="1" applyProtection="1">
      <protection locked="0"/>
    </xf>
    <xf numFmtId="167" fontId="5" fillId="2" borderId="18" xfId="0" applyNumberFormat="1" applyFont="1" applyFill="1" applyBorder="1"/>
    <xf numFmtId="0" fontId="7" fillId="2" borderId="0" xfId="2" applyFont="1" applyFill="1" applyAlignment="1">
      <alignment horizontal="left" vertical="center" indent="1"/>
    </xf>
    <xf numFmtId="2" fontId="5" fillId="2" borderId="18" xfId="0" applyNumberFormat="1" applyFont="1" applyFill="1" applyBorder="1" applyAlignment="1">
      <alignment horizontal="center" vertical="center"/>
    </xf>
    <xf numFmtId="2" fontId="5" fillId="3" borderId="18" xfId="2" applyNumberFormat="1" applyFont="1" applyFill="1" applyBorder="1" applyAlignment="1" applyProtection="1">
      <alignment horizontal="center"/>
      <protection locked="0"/>
    </xf>
    <xf numFmtId="0" fontId="5" fillId="0" borderId="0" xfId="2" applyFont="1" applyAlignment="1">
      <alignment horizontal="left" indent="2"/>
    </xf>
    <xf numFmtId="43" fontId="5" fillId="3" borderId="18" xfId="1" applyFont="1" applyFill="1" applyBorder="1" applyProtection="1">
      <protection locked="0"/>
    </xf>
    <xf numFmtId="3" fontId="7" fillId="78" borderId="59" xfId="2" applyNumberFormat="1" applyFont="1" applyFill="1" applyBorder="1" applyAlignment="1" applyProtection="1">
      <alignment horizontal="center" vertical="center"/>
      <protection locked="0"/>
    </xf>
    <xf numFmtId="43" fontId="5" fillId="3" borderId="18" xfId="1" applyFont="1" applyFill="1" applyBorder="1" applyAlignment="1" applyProtection="1">
      <alignment horizontal="left" indent="1"/>
      <protection locked="0"/>
    </xf>
    <xf numFmtId="0" fontId="6" fillId="79" borderId="18" xfId="2" applyFont="1" applyFill="1" applyBorder="1" applyAlignment="1">
      <alignment horizontal="left" vertical="center" wrapText="1" indent="3"/>
    </xf>
    <xf numFmtId="0" fontId="6" fillId="79" borderId="15" xfId="2" applyFont="1" applyFill="1" applyBorder="1" applyAlignment="1">
      <alignment horizontal="left" vertical="center" wrapText="1" indent="3"/>
    </xf>
    <xf numFmtId="0" fontId="6" fillId="79" borderId="15" xfId="2" applyFont="1" applyFill="1" applyBorder="1" applyAlignment="1">
      <alignment horizontal="center" vertical="center" wrapText="1"/>
    </xf>
    <xf numFmtId="0" fontId="6" fillId="79" borderId="15" xfId="2" applyFont="1" applyFill="1" applyBorder="1" applyAlignment="1">
      <alignment horizontal="center" vertical="center"/>
    </xf>
    <xf numFmtId="0" fontId="7" fillId="78" borderId="64" xfId="2" applyFont="1" applyFill="1" applyBorder="1" applyAlignment="1">
      <alignment horizontal="left" vertical="center" indent="1"/>
    </xf>
    <xf numFmtId="3" fontId="7" fillId="78" borderId="65" xfId="2" applyNumberFormat="1" applyFont="1" applyFill="1" applyBorder="1" applyAlignment="1" applyProtection="1">
      <alignment horizontal="center" vertical="center"/>
      <protection locked="0"/>
    </xf>
    <xf numFmtId="43" fontId="7" fillId="78" borderId="66" xfId="1" applyFont="1" applyFill="1" applyBorder="1" applyAlignment="1">
      <alignment horizontal="center" vertical="center"/>
    </xf>
    <xf numFmtId="0" fontId="6" fillId="79" borderId="55" xfId="2" applyFont="1" applyFill="1" applyBorder="1" applyAlignment="1">
      <alignment horizontal="left" vertical="center" wrapText="1" indent="3"/>
    </xf>
    <xf numFmtId="3" fontId="5" fillId="79" borderId="12" xfId="2" applyNumberFormat="1" applyFont="1" applyFill="1" applyBorder="1" applyAlignment="1" applyProtection="1">
      <alignment horizontal="center" vertical="center"/>
      <protection locked="0"/>
    </xf>
    <xf numFmtId="0" fontId="0" fillId="79" borderId="12" xfId="0" applyFill="1" applyBorder="1"/>
    <xf numFmtId="0" fontId="0" fillId="79" borderId="67" xfId="0" applyFill="1" applyBorder="1"/>
    <xf numFmtId="0" fontId="7" fillId="79" borderId="12" xfId="2" applyFont="1" applyFill="1" applyBorder="1" applyAlignment="1">
      <alignment horizontal="left"/>
    </xf>
    <xf numFmtId="0" fontId="6" fillId="79" borderId="18" xfId="2" applyFont="1" applyFill="1" applyBorder="1" applyAlignment="1">
      <alignment horizontal="center" vertical="center"/>
    </xf>
    <xf numFmtId="0" fontId="292" fillId="79" borderId="12" xfId="2" applyFont="1" applyFill="1" applyBorder="1" applyAlignment="1">
      <alignment horizontal="center"/>
    </xf>
    <xf numFmtId="0" fontId="5" fillId="2" borderId="0" xfId="2" applyFont="1" applyFill="1" applyAlignment="1">
      <alignment horizontal="left" vertical="center" indent="1"/>
    </xf>
    <xf numFmtId="318" fontId="8" fillId="2" borderId="0" xfId="1" applyNumberFormat="1" applyFont="1" applyFill="1" applyAlignment="1">
      <alignment horizontal="center" vertical="center" wrapText="1"/>
    </xf>
    <xf numFmtId="0" fontId="7" fillId="2" borderId="0" xfId="2" applyFont="1" applyFill="1" applyAlignment="1">
      <alignment horizontal="left" indent="1"/>
    </xf>
    <xf numFmtId="3" fontId="7" fillId="2" borderId="0" xfId="2" applyNumberFormat="1" applyFont="1" applyFill="1" applyAlignment="1" applyProtection="1">
      <alignment horizontal="center" vertical="center"/>
      <protection locked="0"/>
    </xf>
    <xf numFmtId="43" fontId="7" fillId="3" borderId="18" xfId="1" applyFont="1" applyFill="1" applyBorder="1" applyAlignment="1" applyProtection="1">
      <alignment horizontal="left" indent="1"/>
      <protection locked="0"/>
    </xf>
    <xf numFmtId="43" fontId="7" fillId="2" borderId="18" xfId="1" applyFont="1" applyFill="1" applyBorder="1" applyAlignment="1">
      <alignment horizontal="center" vertical="center"/>
    </xf>
    <xf numFmtId="9" fontId="8" fillId="2" borderId="0" xfId="2093" applyFont="1" applyFill="1" applyAlignment="1">
      <alignment horizontal="right"/>
    </xf>
    <xf numFmtId="318" fontId="8" fillId="2" borderId="18" xfId="1" applyNumberFormat="1" applyFont="1" applyFill="1" applyBorder="1" applyAlignment="1">
      <alignment horizontal="center"/>
    </xf>
    <xf numFmtId="0" fontId="5" fillId="2" borderId="70" xfId="2" applyFont="1" applyFill="1" applyBorder="1" applyAlignment="1">
      <alignment horizontal="left" indent="1"/>
    </xf>
    <xf numFmtId="0" fontId="0" fillId="2" borderId="70" xfId="0" applyFill="1" applyBorder="1"/>
    <xf numFmtId="0" fontId="5" fillId="2" borderId="65" xfId="2" applyFont="1" applyFill="1" applyBorder="1" applyAlignment="1">
      <alignment horizontal="left" indent="1"/>
    </xf>
    <xf numFmtId="0" fontId="0" fillId="2" borderId="65" xfId="0" applyFill="1" applyBorder="1"/>
    <xf numFmtId="0" fontId="5" fillId="2" borderId="69" xfId="0" applyFont="1" applyFill="1" applyBorder="1" applyAlignment="1">
      <alignment horizontal="center"/>
    </xf>
    <xf numFmtId="0" fontId="5" fillId="2" borderId="68" xfId="0" applyFont="1" applyFill="1" applyBorder="1" applyAlignment="1">
      <alignment horizontal="center"/>
    </xf>
    <xf numFmtId="0" fontId="5" fillId="2" borderId="61" xfId="0" applyFont="1" applyFill="1" applyBorder="1" applyAlignment="1">
      <alignment horizontal="center"/>
    </xf>
    <xf numFmtId="0" fontId="293" fillId="2" borderId="0" xfId="0" applyFont="1" applyFill="1" applyAlignment="1">
      <alignment horizontal="center"/>
    </xf>
    <xf numFmtId="0" fontId="294" fillId="2" borderId="0" xfId="2" applyFont="1" applyFill="1" applyAlignment="1">
      <alignment horizontal="left" indent="2"/>
    </xf>
    <xf numFmtId="0" fontId="295" fillId="2" borderId="0" xfId="0" applyFont="1" applyFill="1"/>
    <xf numFmtId="3" fontId="8" fillId="2" borderId="0" xfId="2" applyNumberFormat="1" applyFont="1" applyFill="1" applyAlignment="1" applyProtection="1">
      <alignment horizontal="center" vertical="center"/>
      <protection locked="0"/>
    </xf>
    <xf numFmtId="0" fontId="5" fillId="2" borderId="6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43" fontId="5" fillId="2" borderId="0" xfId="1" applyFont="1" applyFill="1" applyBorder="1" applyAlignment="1">
      <alignment horizontal="center" vertical="center"/>
    </xf>
    <xf numFmtId="43" fontId="7" fillId="81" borderId="18" xfId="1" applyFont="1" applyFill="1" applyBorder="1" applyAlignment="1">
      <alignment horizontal="center" vertical="center"/>
    </xf>
    <xf numFmtId="0" fontId="9" fillId="0" borderId="0" xfId="0" applyFont="1"/>
    <xf numFmtId="0" fontId="7" fillId="2" borderId="0" xfId="2" applyFont="1" applyFill="1" applyAlignment="1">
      <alignment horizontal="left"/>
    </xf>
    <xf numFmtId="0" fontId="5" fillId="2" borderId="0" xfId="2" applyFont="1" applyFill="1" applyAlignment="1">
      <alignment horizontal="left" wrapText="1" indent="1"/>
    </xf>
    <xf numFmtId="0" fontId="5" fillId="2" borderId="0" xfId="2" applyFont="1" applyFill="1" applyAlignment="1">
      <alignment horizontal="left" wrapText="1" indent="2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 wrapText="1"/>
    </xf>
    <xf numFmtId="218" fontId="5" fillId="2" borderId="18" xfId="1" applyNumberFormat="1" applyFont="1" applyFill="1" applyBorder="1" applyAlignment="1">
      <alignment horizontal="center" vertical="center"/>
    </xf>
    <xf numFmtId="318" fontId="5" fillId="2" borderId="18" xfId="1" applyNumberFormat="1" applyFont="1" applyFill="1" applyBorder="1" applyAlignment="1">
      <alignment horizontal="center" vertical="center"/>
    </xf>
    <xf numFmtId="167" fontId="5" fillId="2" borderId="0" xfId="0" applyNumberFormat="1" applyFont="1" applyFill="1"/>
    <xf numFmtId="0" fontId="5" fillId="0" borderId="0" xfId="0" applyFont="1" applyAlignment="1">
      <alignment horizontal="left"/>
    </xf>
    <xf numFmtId="0" fontId="7" fillId="2" borderId="0" xfId="2" applyFont="1" applyFill="1" applyAlignment="1">
      <alignment horizontal="left" wrapText="1"/>
    </xf>
    <xf numFmtId="0" fontId="292" fillId="80" borderId="12" xfId="2" applyFont="1" applyFill="1" applyBorder="1" applyAlignment="1">
      <alignment horizontal="center"/>
    </xf>
    <xf numFmtId="318" fontId="7" fillId="78" borderId="18" xfId="1" applyNumberFormat="1" applyFont="1" applyFill="1" applyBorder="1" applyAlignment="1">
      <alignment horizontal="center" vertical="center"/>
    </xf>
    <xf numFmtId="318" fontId="5" fillId="3" borderId="18" xfId="1" applyNumberFormat="1" applyFont="1" applyFill="1" applyBorder="1" applyAlignment="1" applyProtection="1">
      <alignment horizontal="center"/>
      <protection locked="0"/>
    </xf>
    <xf numFmtId="167" fontId="5" fillId="2" borderId="63" xfId="0" applyNumberFormat="1" applyFont="1" applyFill="1" applyBorder="1"/>
    <xf numFmtId="43" fontId="5" fillId="2" borderId="66" xfId="1" applyFont="1" applyFill="1" applyBorder="1" applyAlignment="1">
      <alignment horizontal="center" vertical="center"/>
    </xf>
    <xf numFmtId="167" fontId="5" fillId="2" borderId="18" xfId="0" applyNumberFormat="1" applyFont="1" applyFill="1" applyBorder="1" applyAlignment="1">
      <alignment horizontal="center"/>
    </xf>
    <xf numFmtId="43" fontId="5" fillId="2" borderId="0" xfId="1" applyFont="1" applyFill="1" applyBorder="1" applyAlignment="1">
      <alignment horizontal="right"/>
    </xf>
    <xf numFmtId="9" fontId="5" fillId="3" borderId="18" xfId="2093" applyFont="1" applyFill="1" applyBorder="1" applyAlignment="1" applyProtection="1">
      <alignment horizontal="center"/>
      <protection locked="0"/>
    </xf>
    <xf numFmtId="9" fontId="5" fillId="2" borderId="18" xfId="2093" applyFont="1" applyFill="1" applyBorder="1" applyAlignment="1">
      <alignment horizontal="center" vertical="center"/>
    </xf>
    <xf numFmtId="0" fontId="5" fillId="2" borderId="68" xfId="2" applyFont="1" applyFill="1" applyBorder="1" applyAlignment="1">
      <alignment horizontal="left" indent="2"/>
    </xf>
    <xf numFmtId="0" fontId="5" fillId="2" borderId="69" xfId="2" applyFont="1" applyFill="1" applyBorder="1" applyAlignment="1">
      <alignment horizontal="left" wrapText="1" indent="2"/>
    </xf>
    <xf numFmtId="2" fontId="5" fillId="2" borderId="0" xfId="0" applyNumberFormat="1" applyFont="1" applyFill="1"/>
    <xf numFmtId="0" fontId="296" fillId="0" borderId="15" xfId="0" applyFont="1" applyBorder="1" applyAlignment="1">
      <alignment wrapText="1"/>
    </xf>
    <xf numFmtId="3" fontId="299" fillId="82" borderId="0" xfId="0" applyNumberFormat="1" applyFont="1" applyFill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3" fontId="301" fillId="82" borderId="0" xfId="0" applyNumberFormat="1" applyFont="1" applyFill="1" applyAlignment="1" applyProtection="1">
      <alignment horizontal="center" vertical="center"/>
      <protection locked="0"/>
    </xf>
    <xf numFmtId="319" fontId="0" fillId="2" borderId="0" xfId="0" applyNumberFormat="1" applyFill="1"/>
    <xf numFmtId="318" fontId="0" fillId="2" borderId="0" xfId="0" applyNumberFormat="1" applyFill="1"/>
    <xf numFmtId="9" fontId="0" fillId="2" borderId="0" xfId="0" applyNumberFormat="1" applyFill="1"/>
    <xf numFmtId="318" fontId="7" fillId="2" borderId="18" xfId="1" applyNumberFormat="1" applyFont="1" applyFill="1" applyBorder="1" applyAlignment="1">
      <alignment horizontal="center" vertical="center"/>
    </xf>
    <xf numFmtId="0" fontId="300" fillId="2" borderId="0" xfId="0" applyFont="1" applyFill="1"/>
    <xf numFmtId="43" fontId="302" fillId="2" borderId="18" xfId="1" applyFont="1" applyFill="1" applyBorder="1" applyAlignment="1">
      <alignment horizontal="center" vertical="center"/>
    </xf>
    <xf numFmtId="318" fontId="303" fillId="78" borderId="18" xfId="1" applyNumberFormat="1" applyFont="1" applyFill="1" applyBorder="1" applyAlignment="1">
      <alignment horizontal="center" vertical="center"/>
    </xf>
    <xf numFmtId="9" fontId="303" fillId="78" borderId="18" xfId="2093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 wrapText="1"/>
    </xf>
    <xf numFmtId="9" fontId="0" fillId="2" borderId="0" xfId="2093" applyFont="1" applyFill="1"/>
    <xf numFmtId="0" fontId="304" fillId="0" borderId="32" xfId="0" applyFont="1" applyBorder="1" applyAlignment="1">
      <alignment wrapText="1"/>
    </xf>
    <xf numFmtId="0" fontId="0" fillId="2" borderId="27" xfId="0" applyFill="1" applyBorder="1"/>
    <xf numFmtId="0" fontId="5" fillId="2" borderId="14" xfId="2" applyFont="1" applyFill="1" applyBorder="1" applyAlignment="1">
      <alignment horizontal="left" wrapText="1" indent="1"/>
    </xf>
    <xf numFmtId="43" fontId="5" fillId="2" borderId="72" xfId="1" applyFont="1" applyFill="1" applyBorder="1" applyAlignment="1">
      <alignment horizontal="center" vertical="center"/>
    </xf>
    <xf numFmtId="9" fontId="5" fillId="2" borderId="72" xfId="2093" applyFont="1" applyFill="1" applyBorder="1" applyAlignment="1">
      <alignment horizontal="center" vertical="center"/>
    </xf>
    <xf numFmtId="0" fontId="5" fillId="2" borderId="73" xfId="2" applyFont="1" applyFill="1" applyBorder="1" applyAlignment="1">
      <alignment horizontal="left" wrapText="1" indent="1"/>
    </xf>
    <xf numFmtId="3" fontId="5" fillId="2" borderId="13" xfId="2" applyNumberFormat="1" applyFont="1" applyFill="1" applyBorder="1" applyAlignment="1" applyProtection="1">
      <alignment horizontal="center" vertical="center"/>
      <protection locked="0"/>
    </xf>
    <xf numFmtId="43" fontId="5" fillId="2" borderId="74" xfId="1" applyFont="1" applyFill="1" applyBorder="1" applyAlignment="1">
      <alignment horizontal="center" vertical="center"/>
    </xf>
    <xf numFmtId="9" fontId="304" fillId="2" borderId="27" xfId="0" applyNumberFormat="1" applyFont="1" applyFill="1" applyBorder="1" applyAlignment="1">
      <alignment horizontal="right" vertical="center"/>
    </xf>
    <xf numFmtId="9" fontId="304" fillId="2" borderId="71" xfId="0" applyNumberFormat="1" applyFont="1" applyFill="1" applyBorder="1" applyAlignment="1">
      <alignment horizontal="right" vertical="center"/>
    </xf>
    <xf numFmtId="9" fontId="0" fillId="2" borderId="71" xfId="0" applyNumberFormat="1" applyFill="1" applyBorder="1"/>
    <xf numFmtId="43" fontId="5" fillId="2" borderId="75" xfId="1" applyFont="1" applyFill="1" applyBorder="1" applyAlignment="1">
      <alignment horizontal="center" vertical="center"/>
    </xf>
    <xf numFmtId="9" fontId="5" fillId="2" borderId="75" xfId="2093" applyFont="1" applyFill="1" applyBorder="1" applyAlignment="1">
      <alignment horizontal="center" vertical="center"/>
    </xf>
    <xf numFmtId="320" fontId="5" fillId="2" borderId="75" xfId="1" applyNumberFormat="1" applyFont="1" applyFill="1" applyBorder="1" applyAlignment="1">
      <alignment horizontal="center" vertical="center"/>
    </xf>
    <xf numFmtId="320" fontId="5" fillId="2" borderId="18" xfId="1" applyNumberFormat="1" applyFont="1" applyFill="1" applyBorder="1" applyAlignment="1">
      <alignment horizontal="center" vertical="center"/>
    </xf>
    <xf numFmtId="320" fontId="5" fillId="2" borderId="72" xfId="1" applyNumberFormat="1" applyFont="1" applyFill="1" applyBorder="1" applyAlignment="1">
      <alignment horizontal="center" vertical="center"/>
    </xf>
    <xf numFmtId="320" fontId="5" fillId="2" borderId="76" xfId="1" applyNumberFormat="1" applyFont="1" applyFill="1" applyBorder="1" applyAlignment="1">
      <alignment horizontal="center" vertical="center"/>
    </xf>
    <xf numFmtId="320" fontId="5" fillId="2" borderId="77" xfId="1" applyNumberFormat="1" applyFont="1" applyFill="1" applyBorder="1" applyAlignment="1">
      <alignment horizontal="center" vertical="center"/>
    </xf>
    <xf numFmtId="320" fontId="5" fillId="2" borderId="74" xfId="1" applyNumberFormat="1" applyFont="1" applyFill="1" applyBorder="1" applyAlignment="1">
      <alignment horizontal="center" vertical="center"/>
    </xf>
    <xf numFmtId="4" fontId="0" fillId="2" borderId="0" xfId="0" applyNumberFormat="1" applyFill="1"/>
    <xf numFmtId="320" fontId="5" fillId="2" borderId="60" xfId="1" applyNumberFormat="1" applyFont="1" applyFill="1" applyBorder="1" applyAlignment="1">
      <alignment horizontal="center" vertical="center"/>
    </xf>
    <xf numFmtId="0" fontId="304" fillId="0" borderId="15" xfId="0" applyFont="1" applyBorder="1" applyAlignment="1">
      <alignment wrapText="1"/>
    </xf>
    <xf numFmtId="320" fontId="5" fillId="2" borderId="61" xfId="1" applyNumberFormat="1" applyFont="1" applyFill="1" applyBorder="1" applyAlignment="1">
      <alignment horizontal="center" vertical="center"/>
    </xf>
    <xf numFmtId="320" fontId="5" fillId="2" borderId="66" xfId="1" applyNumberFormat="1" applyFont="1" applyFill="1" applyBorder="1" applyAlignment="1">
      <alignment horizontal="center" vertical="center"/>
    </xf>
    <xf numFmtId="9" fontId="304" fillId="2" borderId="78" xfId="0" applyNumberFormat="1" applyFont="1" applyFill="1" applyBorder="1" applyAlignment="1">
      <alignment horizontal="center" vertical="center"/>
    </xf>
    <xf numFmtId="9" fontId="304" fillId="2" borderId="29" xfId="0" applyNumberFormat="1" applyFont="1" applyFill="1" applyBorder="1" applyAlignment="1">
      <alignment horizontal="center" vertical="center"/>
    </xf>
    <xf numFmtId="9" fontId="304" fillId="2" borderId="79" xfId="0" applyNumberFormat="1" applyFont="1" applyFill="1" applyBorder="1" applyAlignment="1">
      <alignment horizontal="center" vertical="center"/>
    </xf>
    <xf numFmtId="0" fontId="305" fillId="2" borderId="55" xfId="0" applyFont="1" applyFill="1" applyBorder="1"/>
    <xf numFmtId="0" fontId="5" fillId="2" borderId="60" xfId="0" applyFont="1" applyFill="1" applyBorder="1" applyAlignment="1">
      <alignment horizontal="center"/>
    </xf>
  </cellXfs>
  <cellStyles count="2095">
    <cellStyle name="_x000a_bidires=100_x000d_" xfId="7" xr:uid="{00000000-0005-0000-0000-000000000000}"/>
    <cellStyle name="_ heading%" xfId="18" xr:uid="{00000000-0005-0000-0000-00000B000000}"/>
    <cellStyle name="_ heading$" xfId="17" xr:uid="{00000000-0005-0000-0000-00000A000000}"/>
    <cellStyle name="_ heading£" xfId="19" xr:uid="{00000000-0005-0000-0000-00000C000000}"/>
    <cellStyle name="_ heading¥" xfId="20" xr:uid="{00000000-0005-0000-0000-00000D000000}"/>
    <cellStyle name="_ heading€" xfId="21" xr:uid="{00000000-0005-0000-0000-00000E000000}"/>
    <cellStyle name="_ headingx" xfId="22" xr:uid="{00000000-0005-0000-0000-00000F000000}"/>
    <cellStyle name="_%(SignOnly)" xfId="23" xr:uid="{00000000-0005-0000-0000-000010000000}"/>
    <cellStyle name="_%(SignSpaceOnly)" xfId="24" xr:uid="{00000000-0005-0000-0000-000011000000}"/>
    <cellStyle name="_~6099726" xfId="1993" xr:uid="{00000000-0005-0000-0000-000012000000}"/>
    <cellStyle name="_0.0[1space]" xfId="25" xr:uid="{00000000-0005-0000-0000-000013000000}"/>
    <cellStyle name="_0.0[2space]" xfId="26" xr:uid="{00000000-0005-0000-0000-000014000000}"/>
    <cellStyle name="_0.0[3space]" xfId="27" xr:uid="{00000000-0005-0000-0000-000015000000}"/>
    <cellStyle name="_0.0[4space]" xfId="28" xr:uid="{00000000-0005-0000-0000-000016000000}"/>
    <cellStyle name="_0.0[6space]" xfId="29" xr:uid="{00000000-0005-0000-0000-000017000000}"/>
    <cellStyle name="_0.0[7space]" xfId="30" xr:uid="{00000000-0005-0000-0000-000018000000}"/>
    <cellStyle name="_0.0[8space]" xfId="31" xr:uid="{00000000-0005-0000-0000-000019000000}"/>
    <cellStyle name="_0.00[1space]" xfId="32" xr:uid="{00000000-0005-0000-0000-00001A000000}"/>
    <cellStyle name="_0.00[2space]" xfId="33" xr:uid="{00000000-0005-0000-0000-00001B000000}"/>
    <cellStyle name="_0.00[3space]" xfId="34" xr:uid="{00000000-0005-0000-0000-00001C000000}"/>
    <cellStyle name="_0.00[4space]" xfId="35" xr:uid="{00000000-0005-0000-0000-00001D000000}"/>
    <cellStyle name="_0.00[7space]" xfId="36" xr:uid="{00000000-0005-0000-0000-00001E000000}"/>
    <cellStyle name="_0.00[8space]" xfId="37" xr:uid="{00000000-0005-0000-0000-00001F000000}"/>
    <cellStyle name="_0.00[9space]" xfId="38" xr:uid="{00000000-0005-0000-0000-000020000000}"/>
    <cellStyle name="_0[1space]" xfId="39" xr:uid="{00000000-0005-0000-0000-000021000000}"/>
    <cellStyle name="_0[2space]" xfId="40" xr:uid="{00000000-0005-0000-0000-000022000000}"/>
    <cellStyle name="_0[3space]" xfId="41" xr:uid="{00000000-0005-0000-0000-000023000000}"/>
    <cellStyle name="_0[4space]" xfId="42" xr:uid="{00000000-0005-0000-0000-000024000000}"/>
    <cellStyle name="_0[6space]" xfId="43" xr:uid="{00000000-0005-0000-0000-000025000000}"/>
    <cellStyle name="_0[7space]" xfId="44" xr:uid="{00000000-0005-0000-0000-000026000000}"/>
    <cellStyle name="_0102SCSFEB a better one!!!" xfId="45" xr:uid="{00000000-0005-0000-0000-000027000000}"/>
    <cellStyle name="_0102SCSNOV no numbers" xfId="46" xr:uid="{00000000-0005-0000-0000-000028000000}"/>
    <cellStyle name="_19,20,21" xfId="47" xr:uid="{00000000-0005-0000-0000-000029000000}"/>
    <cellStyle name="_2.5. Кредиты и займы" xfId="48" xr:uid="{00000000-0005-0000-0000-00002A000000}"/>
    <cellStyle name="_21С-2003г" xfId="49" xr:uid="{00000000-0005-0000-0000-00002B000000}"/>
    <cellStyle name="_21С-уточ" xfId="50" xr:uid="{00000000-0005-0000-0000-00002C000000}"/>
    <cellStyle name="_3 ТЭП_2002_2003_2004_1пол2005" xfId="52" xr:uid="{00000000-0005-0000-0000-00002E000000}"/>
    <cellStyle name="_3 last versions of INPUT DATA" xfId="51" xr:uid="{00000000-0005-0000-0000-00002D000000}"/>
    <cellStyle name="_АГ" xfId="1996" xr:uid="{00000000-0005-0000-0000-000060010000}"/>
    <cellStyle name="_АСУ сравнить" xfId="356" xr:uid="{00000000-0005-0000-0000-000061010000}"/>
    <cellStyle name="_Б.план 2003 г.изм.6, 26.09.02" xfId="357" xr:uid="{00000000-0005-0000-0000-000062010000}"/>
    <cellStyle name="_ББК  5.08.02" xfId="358" xr:uid="{00000000-0005-0000-0000-000063010000}"/>
    <cellStyle name="_БДР04м05" xfId="1997" xr:uid="{00000000-0005-0000-0000-000064010000}"/>
    <cellStyle name="_БИЗНЕС   2003" xfId="359" xr:uid="{00000000-0005-0000-0000-000065010000}"/>
    <cellStyle name="_БП_Атлантис(кредит) with questions" xfId="360" xr:uid="{00000000-0005-0000-0000-000066010000}"/>
    <cellStyle name="_Бюджет продаж факт 02" xfId="361" xr:uid="{00000000-0005-0000-0000-000067010000}"/>
    <cellStyle name="_Вариант 1 24.05.02 электр.наш" xfId="362" xr:uid="{00000000-0005-0000-0000-000068010000}"/>
    <cellStyle name="_Вопросы 14 07" xfId="363" xr:uid="{00000000-0005-0000-0000-000069010000}"/>
    <cellStyle name="_годовой отчет  2001" xfId="364" xr:uid="{00000000-0005-0000-0000-00006A010000}"/>
    <cellStyle name="_График реализации проектовa_3" xfId="1998" xr:uid="{00000000-0005-0000-0000-00006B010000}"/>
    <cellStyle name="_Дозакл 5 мес.2000" xfId="1999" xr:uid="{00000000-0005-0000-0000-00006C010000}"/>
    <cellStyle name="_Доп вопросы" xfId="365" xr:uid="{00000000-0005-0000-0000-00006D010000}"/>
    <cellStyle name="_Доп вопросы 01 07" xfId="366" xr:uid="{00000000-0005-0000-0000-00006E010000}"/>
    <cellStyle name="_Доп вопросы 08 07" xfId="367" xr:uid="{00000000-0005-0000-0000-00006F010000}"/>
    <cellStyle name="_Доп вопросы 27 06" xfId="368" xr:uid="{00000000-0005-0000-0000-000070010000}"/>
    <cellStyle name="_Доходный ТЦ и РМЦ_01.05 (итог)" xfId="369" xr:uid="{00000000-0005-0000-0000-000071010000}"/>
    <cellStyle name="_Ежедекадная справка о векселях в обращении" xfId="2000" xr:uid="{00000000-0005-0000-0000-000072010000}"/>
    <cellStyle name="_Ежедекадная справка о движении заемных средств" xfId="2001" xr:uid="{00000000-0005-0000-0000-000073010000}"/>
    <cellStyle name="_Ежедекадная справка о движении заемных средств (2)" xfId="2002" xr:uid="{00000000-0005-0000-0000-000074010000}"/>
    <cellStyle name="_Затратный_.." xfId="370" xr:uid="{00000000-0005-0000-0000-000075010000}"/>
    <cellStyle name="_Затратный_А-Связь_01.10.05_2" xfId="371" xr:uid="{00000000-0005-0000-0000-000076010000}"/>
    <cellStyle name="_Затратный_КО_итоги" xfId="372" xr:uid="{00000000-0005-0000-0000-000077010000}"/>
    <cellStyle name="_Затратный_МЗ_Сводный" xfId="373" xr:uid="{00000000-0005-0000-0000-000078010000}"/>
    <cellStyle name="_Затратный_Олкон_итоги" xfId="374" xr:uid="{00000000-0005-0000-0000-000079010000}"/>
    <cellStyle name="_Затратный_СУЭК" xfId="375" xr:uid="{00000000-0005-0000-0000-00007A010000}"/>
    <cellStyle name="_Инвестпрограмма на 2007 г." xfId="376" xr:uid="{00000000-0005-0000-0000-00007B010000}"/>
    <cellStyle name="_Капы с расшифровками" xfId="377" xr:uid="{00000000-0005-0000-0000-00007C010000}"/>
    <cellStyle name="_Книга2" xfId="378" xr:uid="{00000000-0005-0000-0000-00007D010000}"/>
    <cellStyle name="_Книга3" xfId="379" xr:uid="{00000000-0005-0000-0000-00007E010000}"/>
    <cellStyle name="_Книга3_17_0" xfId="380" xr:uid="{00000000-0005-0000-0000-00007F010000}"/>
    <cellStyle name="_Книга3_17_0_1" xfId="381" xr:uid="{00000000-0005-0000-0000-000080010000}"/>
    <cellStyle name="_Книга3_БКЭ" xfId="423" xr:uid="{00000000-0005-0000-0000-0000AA010000}"/>
    <cellStyle name="_Книга3_для вставки в пакет за 2001" xfId="424" xr:uid="{00000000-0005-0000-0000-0000AB010000}"/>
    <cellStyle name="_Книга3_дляГалиныВ" xfId="425" xr:uid="{00000000-0005-0000-0000-0000AC010000}"/>
    <cellStyle name="_Книга3_Книга7" xfId="426" xr:uid="{00000000-0005-0000-0000-0000AD010000}"/>
    <cellStyle name="_Книга3_Лист1" xfId="427" xr:uid="{00000000-0005-0000-0000-0000AE010000}"/>
    <cellStyle name="_Книга3_ОСН. ДЕЯТ." xfId="428" xr:uid="{00000000-0005-0000-0000-0000AF010000}"/>
    <cellStyle name="_Книга3_Перечень названий форм" xfId="429" xr:uid="{00000000-0005-0000-0000-0000B0010000}"/>
    <cellStyle name="_Книга3_Подразделения" xfId="430" xr:uid="{00000000-0005-0000-0000-0000B1010000}"/>
    <cellStyle name="_Книга3_Список тиражирования" xfId="431" xr:uid="{00000000-0005-0000-0000-0000B2010000}"/>
    <cellStyle name="_Книга3_Форма 12 last" xfId="432" xr:uid="{00000000-0005-0000-0000-0000B3010000}"/>
    <cellStyle name="_Книга3_Capex-new" xfId="382" xr:uid="{00000000-0005-0000-0000-000081010000}"/>
    <cellStyle name="_Книга3_Financial Plan - final_2" xfId="383" xr:uid="{00000000-0005-0000-0000-000082010000}"/>
    <cellStyle name="_Книга3_Form 01(MB)" xfId="384" xr:uid="{00000000-0005-0000-0000-000083010000}"/>
    <cellStyle name="_Книга3_Links_NK" xfId="385" xr:uid="{00000000-0005-0000-0000-000084010000}"/>
    <cellStyle name="_Книга3_N20_5" xfId="386" xr:uid="{00000000-0005-0000-0000-000085010000}"/>
    <cellStyle name="_Книга3_N20_6" xfId="387" xr:uid="{00000000-0005-0000-0000-000086010000}"/>
    <cellStyle name="_Книга3_New Form10_2" xfId="388" xr:uid="{00000000-0005-0000-0000-000087010000}"/>
    <cellStyle name="_Книга3_Nsi" xfId="389" xr:uid="{00000000-0005-0000-0000-000088010000}"/>
    <cellStyle name="_Книга3_Nsi - last version" xfId="390" xr:uid="{00000000-0005-0000-0000-000089010000}"/>
    <cellStyle name="_Книга3_Nsi - last version for programming" xfId="391" xr:uid="{00000000-0005-0000-0000-00008A010000}"/>
    <cellStyle name="_Книга3_Nsi - next_last version" xfId="392" xr:uid="{00000000-0005-0000-0000-00008B010000}"/>
    <cellStyle name="_Книга3_Nsi - plan - final" xfId="393" xr:uid="{00000000-0005-0000-0000-00008C010000}"/>
    <cellStyle name="_Книга3_Nsi -super_ last version" xfId="394" xr:uid="{00000000-0005-0000-0000-00008D010000}"/>
    <cellStyle name="_Книга3_Nsi_1" xfId="396" xr:uid="{00000000-0005-0000-0000-00008F010000}"/>
    <cellStyle name="_Книга3_Nsi_139" xfId="397" xr:uid="{00000000-0005-0000-0000-000090010000}"/>
    <cellStyle name="_Книга3_Nsi_140" xfId="398" xr:uid="{00000000-0005-0000-0000-000091010000}"/>
    <cellStyle name="_Книга3_Nsi_140_mod" xfId="400" xr:uid="{00000000-0005-0000-0000-000093010000}"/>
    <cellStyle name="_Книга3_Nsi_140(Зах)" xfId="399" xr:uid="{00000000-0005-0000-0000-000092010000}"/>
    <cellStyle name="_Книга3_Nsi_158" xfId="401" xr:uid="{00000000-0005-0000-0000-000094010000}"/>
    <cellStyle name="_Книга3_Nsi_Express" xfId="402" xr:uid="{00000000-0005-0000-0000-000095010000}"/>
    <cellStyle name="_Книга3_Nsi_Jan1" xfId="403" xr:uid="{00000000-0005-0000-0000-000096010000}"/>
    <cellStyle name="_Книга3_Nsi_test" xfId="404" xr:uid="{00000000-0005-0000-0000-000097010000}"/>
    <cellStyle name="_Книга3_Nsi-Services" xfId="406" xr:uid="{00000000-0005-0000-0000-000099010000}"/>
    <cellStyle name="_Книга3_Nsi(2)" xfId="395" xr:uid="{00000000-0005-0000-0000-00008E010000}"/>
    <cellStyle name="_Книга3_Nsi2" xfId="405" xr:uid="{00000000-0005-0000-0000-000098010000}"/>
    <cellStyle name="_Книга3_P&amp;L" xfId="407" xr:uid="{00000000-0005-0000-0000-00009A010000}"/>
    <cellStyle name="_Книга3_S0400" xfId="408" xr:uid="{00000000-0005-0000-0000-00009B010000}"/>
    <cellStyle name="_Книга3_S13001" xfId="409" xr:uid="{00000000-0005-0000-0000-00009C010000}"/>
    <cellStyle name="_Книга3_Sheet1" xfId="410" xr:uid="{00000000-0005-0000-0000-00009D010000}"/>
    <cellStyle name="_Книга3_sofi - plan_AP270202ii" xfId="411" xr:uid="{00000000-0005-0000-0000-00009E010000}"/>
    <cellStyle name="_Книга3_sofi - plan_AP270202iii" xfId="412" xr:uid="{00000000-0005-0000-0000-00009F010000}"/>
    <cellStyle name="_Книга3_sofi - plan_AP270202iv" xfId="413" xr:uid="{00000000-0005-0000-0000-0000A0010000}"/>
    <cellStyle name="_Книга3_Sofi vs Sobi" xfId="414" xr:uid="{00000000-0005-0000-0000-0000A1010000}"/>
    <cellStyle name="_Книга3_Sofi_PBD 27-11-01" xfId="415" xr:uid="{00000000-0005-0000-0000-0000A2010000}"/>
    <cellStyle name="_Книга3_SOFI_TEPs_AOK_130902" xfId="416" xr:uid="{00000000-0005-0000-0000-0000A3010000}"/>
    <cellStyle name="_Книга3_Sofi145a" xfId="417" xr:uid="{00000000-0005-0000-0000-0000A4010000}"/>
    <cellStyle name="_Книга3_Sofi153" xfId="418" xr:uid="{00000000-0005-0000-0000-0000A5010000}"/>
    <cellStyle name="_Книга3_Summary" xfId="419" xr:uid="{00000000-0005-0000-0000-0000A6010000}"/>
    <cellStyle name="_Книга3_SXXXX_Express_c Links" xfId="420" xr:uid="{00000000-0005-0000-0000-0000A7010000}"/>
    <cellStyle name="_Книга3_Tax_form_1кв_3" xfId="421" xr:uid="{00000000-0005-0000-0000-0000A8010000}"/>
    <cellStyle name="_Книга3_test_11" xfId="422" xr:uid="{00000000-0005-0000-0000-0000A9010000}"/>
    <cellStyle name="_Книга7" xfId="433" xr:uid="{00000000-0005-0000-0000-0000B4010000}"/>
    <cellStyle name="_Книга7_17_0" xfId="434" xr:uid="{00000000-0005-0000-0000-0000B5010000}"/>
    <cellStyle name="_Книга7_17_0_1" xfId="435" xr:uid="{00000000-0005-0000-0000-0000B6010000}"/>
    <cellStyle name="_Книга7_БКЭ" xfId="477" xr:uid="{00000000-0005-0000-0000-0000E0010000}"/>
    <cellStyle name="_Книга7_для вставки в пакет за 2001" xfId="478" xr:uid="{00000000-0005-0000-0000-0000E1010000}"/>
    <cellStyle name="_Книга7_дляГалиныВ" xfId="479" xr:uid="{00000000-0005-0000-0000-0000E2010000}"/>
    <cellStyle name="_Книга7_Книга7" xfId="480" xr:uid="{00000000-0005-0000-0000-0000E3010000}"/>
    <cellStyle name="_Книга7_Лист1" xfId="481" xr:uid="{00000000-0005-0000-0000-0000E4010000}"/>
    <cellStyle name="_Книга7_ОСН. ДЕЯТ." xfId="482" xr:uid="{00000000-0005-0000-0000-0000E5010000}"/>
    <cellStyle name="_Книга7_Перечень названий форм" xfId="483" xr:uid="{00000000-0005-0000-0000-0000E6010000}"/>
    <cellStyle name="_Книга7_Подразделения" xfId="484" xr:uid="{00000000-0005-0000-0000-0000E7010000}"/>
    <cellStyle name="_Книга7_Список тиражирования" xfId="485" xr:uid="{00000000-0005-0000-0000-0000E8010000}"/>
    <cellStyle name="_Книга7_Форма 12 last" xfId="486" xr:uid="{00000000-0005-0000-0000-0000E9010000}"/>
    <cellStyle name="_Книга7_Capex-new" xfId="436" xr:uid="{00000000-0005-0000-0000-0000B7010000}"/>
    <cellStyle name="_Книга7_Financial Plan - final_2" xfId="437" xr:uid="{00000000-0005-0000-0000-0000B8010000}"/>
    <cellStyle name="_Книга7_Form 01(MB)" xfId="438" xr:uid="{00000000-0005-0000-0000-0000B9010000}"/>
    <cellStyle name="_Книга7_Links_NK" xfId="439" xr:uid="{00000000-0005-0000-0000-0000BA010000}"/>
    <cellStyle name="_Книга7_N20_5" xfId="440" xr:uid="{00000000-0005-0000-0000-0000BB010000}"/>
    <cellStyle name="_Книга7_N20_6" xfId="441" xr:uid="{00000000-0005-0000-0000-0000BC010000}"/>
    <cellStyle name="_Книга7_New Form10_2" xfId="442" xr:uid="{00000000-0005-0000-0000-0000BD010000}"/>
    <cellStyle name="_Книга7_Nsi" xfId="443" xr:uid="{00000000-0005-0000-0000-0000BE010000}"/>
    <cellStyle name="_Книга7_Nsi - last version" xfId="444" xr:uid="{00000000-0005-0000-0000-0000BF010000}"/>
    <cellStyle name="_Книга7_Nsi - last version for programming" xfId="445" xr:uid="{00000000-0005-0000-0000-0000C0010000}"/>
    <cellStyle name="_Книга7_Nsi - next_last version" xfId="446" xr:uid="{00000000-0005-0000-0000-0000C1010000}"/>
    <cellStyle name="_Книга7_Nsi - plan - final" xfId="447" xr:uid="{00000000-0005-0000-0000-0000C2010000}"/>
    <cellStyle name="_Книга7_Nsi -super_ last version" xfId="448" xr:uid="{00000000-0005-0000-0000-0000C3010000}"/>
    <cellStyle name="_Книга7_Nsi_1" xfId="450" xr:uid="{00000000-0005-0000-0000-0000C5010000}"/>
    <cellStyle name="_Книга7_Nsi_139" xfId="451" xr:uid="{00000000-0005-0000-0000-0000C6010000}"/>
    <cellStyle name="_Книга7_Nsi_140" xfId="452" xr:uid="{00000000-0005-0000-0000-0000C7010000}"/>
    <cellStyle name="_Книга7_Nsi_140_mod" xfId="454" xr:uid="{00000000-0005-0000-0000-0000C9010000}"/>
    <cellStyle name="_Книга7_Nsi_140(Зах)" xfId="453" xr:uid="{00000000-0005-0000-0000-0000C8010000}"/>
    <cellStyle name="_Книга7_Nsi_158" xfId="455" xr:uid="{00000000-0005-0000-0000-0000CA010000}"/>
    <cellStyle name="_Книга7_Nsi_Express" xfId="456" xr:uid="{00000000-0005-0000-0000-0000CB010000}"/>
    <cellStyle name="_Книга7_Nsi_Jan1" xfId="457" xr:uid="{00000000-0005-0000-0000-0000CC010000}"/>
    <cellStyle name="_Книга7_Nsi_test" xfId="458" xr:uid="{00000000-0005-0000-0000-0000CD010000}"/>
    <cellStyle name="_Книга7_Nsi-Services" xfId="460" xr:uid="{00000000-0005-0000-0000-0000CF010000}"/>
    <cellStyle name="_Книга7_Nsi(2)" xfId="449" xr:uid="{00000000-0005-0000-0000-0000C4010000}"/>
    <cellStyle name="_Книга7_Nsi2" xfId="459" xr:uid="{00000000-0005-0000-0000-0000CE010000}"/>
    <cellStyle name="_Книга7_P&amp;L" xfId="461" xr:uid="{00000000-0005-0000-0000-0000D0010000}"/>
    <cellStyle name="_Книга7_S0400" xfId="462" xr:uid="{00000000-0005-0000-0000-0000D1010000}"/>
    <cellStyle name="_Книга7_S13001" xfId="463" xr:uid="{00000000-0005-0000-0000-0000D2010000}"/>
    <cellStyle name="_Книга7_Sheet1" xfId="464" xr:uid="{00000000-0005-0000-0000-0000D3010000}"/>
    <cellStyle name="_Книга7_sofi - plan_AP270202ii" xfId="465" xr:uid="{00000000-0005-0000-0000-0000D4010000}"/>
    <cellStyle name="_Книга7_sofi - plan_AP270202iii" xfId="466" xr:uid="{00000000-0005-0000-0000-0000D5010000}"/>
    <cellStyle name="_Книга7_sofi - plan_AP270202iv" xfId="467" xr:uid="{00000000-0005-0000-0000-0000D6010000}"/>
    <cellStyle name="_Книга7_Sofi vs Sobi" xfId="468" xr:uid="{00000000-0005-0000-0000-0000D7010000}"/>
    <cellStyle name="_Книга7_Sofi_PBD 27-11-01" xfId="469" xr:uid="{00000000-0005-0000-0000-0000D8010000}"/>
    <cellStyle name="_Книга7_SOFI_TEPs_AOK_130902" xfId="470" xr:uid="{00000000-0005-0000-0000-0000D9010000}"/>
    <cellStyle name="_Книга7_Sofi145a" xfId="471" xr:uid="{00000000-0005-0000-0000-0000DA010000}"/>
    <cellStyle name="_Книга7_Sofi153" xfId="472" xr:uid="{00000000-0005-0000-0000-0000DB010000}"/>
    <cellStyle name="_Книга7_Summary" xfId="473" xr:uid="{00000000-0005-0000-0000-0000DC010000}"/>
    <cellStyle name="_Книга7_SXXXX_Express_c Links" xfId="474" xr:uid="{00000000-0005-0000-0000-0000DD010000}"/>
    <cellStyle name="_Книга7_Tax_form_1кв_3" xfId="475" xr:uid="{00000000-0005-0000-0000-0000DE010000}"/>
    <cellStyle name="_Книга7_test_11" xfId="476" xr:uid="{00000000-0005-0000-0000-0000DF010000}"/>
    <cellStyle name="_Копия тех.-экон. и фин. показатели" xfId="487" xr:uid="{00000000-0005-0000-0000-0000EA010000}"/>
    <cellStyle name="_Куликова ОПП" xfId="2003" xr:uid="{00000000-0005-0000-0000-0000EB010000}"/>
    <cellStyle name="_Лист1" xfId="2004" xr:uid="{00000000-0005-0000-0000-0000EC010000}"/>
    <cellStyle name="_НГДО-2002-2кв-11" xfId="488" xr:uid="{00000000-0005-0000-0000-0000ED010000}"/>
    <cellStyle name="_НГДО-2002-2кв-12" xfId="489" xr:uid="{00000000-0005-0000-0000-0000EE010000}"/>
    <cellStyle name="_НЗС_ОП. ДАННЫЕ_ПЭО_Ф17(01.01.02г)" xfId="490" xr:uid="{00000000-0005-0000-0000-0000EF010000}"/>
    <cellStyle name="_НЗС_СВОД_По видам реал" xfId="491" xr:uid="{00000000-0005-0000-0000-0000F0010000}"/>
    <cellStyle name="_НЭК_DCF_выход_29" xfId="492" xr:uid="{00000000-0005-0000-0000-0000F1010000}"/>
    <cellStyle name="_НЭК_DCF_топливо" xfId="493" xr:uid="{00000000-0005-0000-0000-0000F2010000}"/>
    <cellStyle name="_ОС" xfId="494" xr:uid="{00000000-0005-0000-0000-0000F3010000}"/>
    <cellStyle name="_ОТ и Э Тула 2003 г." xfId="495" xr:uid="{00000000-0005-0000-0000-0000F4010000}"/>
    <cellStyle name="_охрана труда цел. прогр." xfId="496" xr:uid="{00000000-0005-0000-0000-0000F5010000}"/>
    <cellStyle name="_оценка за баррель v1" xfId="497" xr:uid="{00000000-0005-0000-0000-0000F6010000}"/>
    <cellStyle name="_план ПП" xfId="2005" xr:uid="{00000000-0005-0000-0000-0000F7010000}"/>
    <cellStyle name="_Подг и разв персонала 2003" xfId="498" xr:uid="{00000000-0005-0000-0000-0000F8010000}"/>
    <cellStyle name="_ПП план-факт" xfId="2006" xr:uid="{00000000-0005-0000-0000-0000F9010000}"/>
    <cellStyle name="_Прик РКС-265-п от 21.11.2005г. прил 1 к Регламенту" xfId="2007" xr:uid="{00000000-0005-0000-0000-0000FA010000}"/>
    <cellStyle name="_ПРИЛ. 2003_ЧТЭ" xfId="2008" xr:uid="{00000000-0005-0000-0000-0000FB010000}"/>
    <cellStyle name="_Приложение откр." xfId="2010" xr:uid="{00000000-0005-0000-0000-0000FD010000}"/>
    <cellStyle name="_Приложение № 1 к регламенту по формированию Инвестиционной программы" xfId="2009" xr:uid="{00000000-0005-0000-0000-0000FC010000}"/>
    <cellStyle name="_Приложение_1_2_план_ДАО" xfId="499" xr:uid="{00000000-0005-0000-0000-0000FE010000}"/>
    <cellStyle name="_Прогноз освоения'05 ЗСМК (2005.11.02)ЕХ" xfId="500" xr:uid="{00000000-0005-0000-0000-0000FF010000}"/>
    <cellStyle name="_Программы по  экологии на 2003 г." xfId="501" xr:uid="{00000000-0005-0000-0000-000000020000}"/>
    <cellStyle name="_проект_инвест_программы_2" xfId="2011" xr:uid="{00000000-0005-0000-0000-000001020000}"/>
    <cellStyle name="_ПФ14" xfId="2012" xr:uid="{00000000-0005-0000-0000-000002020000}"/>
    <cellStyle name="_РасПадДоб КРС,ПНП,ПРС-2002год" xfId="502" xr:uid="{00000000-0005-0000-0000-000003020000}"/>
    <cellStyle name="_Расходы будущих периодов" xfId="503" xr:uid="{00000000-0005-0000-0000-000004020000}"/>
    <cellStyle name="_Расчет" xfId="504" xr:uid="{00000000-0005-0000-0000-000005020000}"/>
    <cellStyle name="_Расчет соц.прогр.2002_2003" xfId="505" xr:uid="{00000000-0005-0000-0000-000006020000}"/>
    <cellStyle name="_Расчет соц.прогр.от 15.08.02" xfId="506" xr:uid="{00000000-0005-0000-0000-000007020000}"/>
    <cellStyle name="_Расчет соц.прогр.от 5.08.02" xfId="507" xr:uid="{00000000-0005-0000-0000-000008020000}"/>
    <cellStyle name="_Расчет соц.прогр.от 9.08.02" xfId="508" xr:uid="{00000000-0005-0000-0000-000009020000}"/>
    <cellStyle name="_Расчет_25.11.05." xfId="2013" xr:uid="{00000000-0005-0000-0000-00000A020000}"/>
    <cellStyle name="_РасчетЗС15.10.2001гxls" xfId="509" xr:uid="{00000000-0005-0000-0000-00000B020000}"/>
    <cellStyle name="_Расчетный формат" xfId="2014" xr:uid="{00000000-0005-0000-0000-00000C020000}"/>
    <cellStyle name="_расшифровка активов_27.06.05" xfId="510" xr:uid="{00000000-0005-0000-0000-00000D020000}"/>
    <cellStyle name="_Расшифровки_1кв_2002" xfId="2015" xr:uid="{00000000-0005-0000-0000-00000E020000}"/>
    <cellStyle name="_Свод" xfId="511" xr:uid="{00000000-0005-0000-0000-00000F020000}"/>
    <cellStyle name="_Свод 2003  " xfId="512" xr:uid="{00000000-0005-0000-0000-000010020000}"/>
    <cellStyle name="_Свод КГК и КЭ" xfId="513" xr:uid="{00000000-0005-0000-0000-000011020000}"/>
    <cellStyle name="_слайд КВ 2006" xfId="514" xr:uid="{00000000-0005-0000-0000-000012020000}"/>
    <cellStyle name="_Сравнительный_Мотовилиха" xfId="515" xr:uid="{00000000-0005-0000-0000-000013020000}"/>
    <cellStyle name="_ФЗП 2003 свод" xfId="516" xr:uid="{00000000-0005-0000-0000-000014020000}"/>
    <cellStyle name="_ФОРМА" xfId="517" xr:uid="{00000000-0005-0000-0000-000015020000}"/>
    <cellStyle name="_форма 18 20" xfId="518" xr:uid="{00000000-0005-0000-0000-000016020000}"/>
    <cellStyle name="_форма 21 18К1 для доч пп Пермнефть" xfId="519" xr:uid="{00000000-0005-0000-0000-000017020000}"/>
    <cellStyle name="_Формат КВ БП НПЗ свод_new" xfId="520" xr:uid="{00000000-0005-0000-0000-000018020000}"/>
    <cellStyle name="_Формат КВ БП РНПК" xfId="521" xr:uid="{00000000-0005-0000-0000-000019020000}"/>
    <cellStyle name="_Формат целевых программ на 2003 год оконат" xfId="522" xr:uid="{00000000-0005-0000-0000-00001A020000}"/>
    <cellStyle name="_Формат целевых программ на 2003 год окончат1" xfId="523" xr:uid="{00000000-0005-0000-0000-00001B020000}"/>
    <cellStyle name="_Формы" xfId="2016" xr:uid="{00000000-0005-0000-0000-00001C020000}"/>
    <cellStyle name="_Формы 2 уровня ЗСМК баз.15.11 от Паньшина." xfId="524" xr:uid="{00000000-0005-0000-0000-00001D020000}"/>
    <cellStyle name="_Формы 2 уровня(баз)" xfId="525" xr:uid="{00000000-0005-0000-0000-00001E020000}"/>
    <cellStyle name="_Формы АСУ для БП на 2003год" xfId="526" xr:uid="{00000000-0005-0000-0000-00001F020000}"/>
    <cellStyle name="_Формы АСУ для БП на 2003год_ егор в кис " xfId="527" xr:uid="{00000000-0005-0000-0000-000020020000}"/>
    <cellStyle name="_Формы2003" xfId="528" xr:uid="{00000000-0005-0000-0000-000021020000}"/>
    <cellStyle name="_цел.программы 26.09" xfId="529" xr:uid="{00000000-0005-0000-0000-000022020000}"/>
    <cellStyle name="_Цел.формы 2003г" xfId="530" xr:uid="{00000000-0005-0000-0000-000023020000}"/>
    <cellStyle name="_Целевые 20.09.02" xfId="531" xr:uid="{00000000-0005-0000-0000-000024020000}"/>
    <cellStyle name="_Целевые программы - свод" xfId="532" xr:uid="{00000000-0005-0000-0000-000025020000}"/>
    <cellStyle name="_Шаяхметов" xfId="533" xr:uid="{00000000-0005-0000-0000-000026020000}"/>
    <cellStyle name="_Apol 162" xfId="53" xr:uid="{00000000-0005-0000-0000-00002F000000}"/>
    <cellStyle name="_Apol160" xfId="54" xr:uid="{00000000-0005-0000-0000-000030000000}"/>
    <cellStyle name="_Apol161" xfId="55" xr:uid="{00000000-0005-0000-0000-000031000000}"/>
    <cellStyle name="_Apol163BSMRLR" xfId="56" xr:uid="{00000000-0005-0000-0000-000032000000}"/>
    <cellStyle name="_Apol164" xfId="57" xr:uid="{00000000-0005-0000-0000-000033000000}"/>
    <cellStyle name="_Apol165" xfId="58" xr:uid="{00000000-0005-0000-0000-000034000000}"/>
    <cellStyle name="_Atlas_Exhibits" xfId="59" xr:uid="{00000000-0005-0000-0000-000035000000}"/>
    <cellStyle name="_Bid Forms V1" xfId="60" xr:uid="{00000000-0005-0000-0000-000036000000}"/>
    <cellStyle name="_Biffa Model 10.10.06 FINAL v 6" xfId="61" xr:uid="{00000000-0005-0000-0000-000037000000}"/>
    <cellStyle name="_Book3" xfId="62" xr:uid="{00000000-0005-0000-0000-000038000000}"/>
    <cellStyle name="_Budget P&amp;L Detailed Breakdown" xfId="63" xr:uid="{00000000-0005-0000-0000-000039000000}"/>
    <cellStyle name="_BUDGET_ПН2002(2)" xfId="64" xr:uid="{00000000-0005-0000-0000-00003A000000}"/>
    <cellStyle name="_C1VFA" xfId="65" xr:uid="{00000000-0005-0000-0000-00003B000000}"/>
    <cellStyle name="_C1VFA (2)" xfId="66" xr:uid="{00000000-0005-0000-0000-00003C000000}"/>
    <cellStyle name="_C1VFA ii" xfId="67" xr:uid="{00000000-0005-0000-0000-00003D000000}"/>
    <cellStyle name="_C1VFA iii" xfId="68" xr:uid="{00000000-0005-0000-0000-00003E000000}"/>
    <cellStyle name="_C2VFA" xfId="69" xr:uid="{00000000-0005-0000-0000-00003F000000}"/>
    <cellStyle name="_C2VFA (2)" xfId="70" xr:uid="{00000000-0005-0000-0000-000040000000}"/>
    <cellStyle name="_C3VFA" xfId="71" xr:uid="{00000000-0005-0000-0000-000041000000}"/>
    <cellStyle name="_C3VFA (2)" xfId="72" xr:uid="{00000000-0005-0000-0000-000042000000}"/>
    <cellStyle name="_C6VFA (2)" xfId="73" xr:uid="{00000000-0005-0000-0000-000043000000}"/>
    <cellStyle name="_CAPEX+OPEX+Production" xfId="74" xr:uid="{00000000-0005-0000-0000-000044000000}"/>
    <cellStyle name="_Comma" xfId="75" xr:uid="{00000000-0005-0000-0000-000045000000}"/>
    <cellStyle name="_Comma_Copy of Uralkali Summary Business Plan 14 Apr 04 (sent)1250404 input for Union DCF" xfId="76" xr:uid="{00000000-0005-0000-0000-000046000000}"/>
    <cellStyle name="_CON1s" xfId="77" xr:uid="{00000000-0005-0000-0000-000047000000}"/>
    <cellStyle name="_CONs" xfId="78" xr:uid="{00000000-0005-0000-0000-000048000000}"/>
    <cellStyle name="_Contribution Input" xfId="79" xr:uid="{00000000-0005-0000-0000-000049000000}"/>
    <cellStyle name="_Contribution Report" xfId="80" xr:uid="{00000000-0005-0000-0000-00004A000000}"/>
    <cellStyle name="_Convention_ID" xfId="81" xr:uid="{00000000-0005-0000-0000-00004B000000}"/>
    <cellStyle name="_Convention_ID_AWG_Numbers for Pres_16Jun2005 MB" xfId="82" xr:uid="{00000000-0005-0000-0000-00004C000000}"/>
    <cellStyle name="_Convention_ID_RWE 250805 1900" xfId="83" xr:uid="{00000000-0005-0000-0000-00004D000000}"/>
    <cellStyle name="_Copy of Uralkali Summary Business Plan 14 Apr 04 (sent)1250404 input for Union DCF" xfId="84" xr:uid="{00000000-0005-0000-0000-00004E000000}"/>
    <cellStyle name="_Cost forms - presentation2" xfId="85" xr:uid="{00000000-0005-0000-0000-00004F000000}"/>
    <cellStyle name="_Currency" xfId="86" xr:uid="{00000000-0005-0000-0000-000050000000}"/>
    <cellStyle name="_Currency_Copy of Uralkali Summary Business Plan 14 Apr 04 (sent)1250404 input for Union DCF" xfId="87" xr:uid="{00000000-0005-0000-0000-000051000000}"/>
    <cellStyle name="_Currency_Michelangelo Macro (v5)" xfId="88" xr:uid="{00000000-0005-0000-0000-000052000000}"/>
    <cellStyle name="_CurrencySpace" xfId="89" xr:uid="{00000000-0005-0000-0000-000053000000}"/>
    <cellStyle name="_CurrencySpace_Copy of Uralkali Summary Business Plan 14 Apr 04 (sent)1250404 input for Union DCF" xfId="90" xr:uid="{00000000-0005-0000-0000-000054000000}"/>
    <cellStyle name="_CVFA1.1" xfId="91" xr:uid="{00000000-0005-0000-0000-000055000000}"/>
    <cellStyle name="_CVFA2.1" xfId="92" xr:uid="{00000000-0005-0000-0000-000056000000}"/>
    <cellStyle name="_CVFA9.1" xfId="93" xr:uid="{00000000-0005-0000-0000-000057000000}"/>
    <cellStyle name="_DCF" xfId="94" xr:uid="{00000000-0005-0000-0000-000058000000}"/>
    <cellStyle name="_DCF VIP 26.11.2004" xfId="95" xr:uid="{00000000-0005-0000-0000-000059000000}"/>
    <cellStyle name="_DCF_БайТекс" xfId="98" xr:uid="{00000000-0005-0000-0000-00005C000000}"/>
    <cellStyle name="_DCF_ВКУ" xfId="99" xr:uid="{00000000-0005-0000-0000-00005D000000}"/>
    <cellStyle name="_DCF_ВКУ 26%" xfId="100" xr:uid="{00000000-0005-0000-0000-00005E000000}"/>
    <cellStyle name="_DCF_СНГ_01.10.2006" xfId="101" xr:uid="{00000000-0005-0000-0000-00005F000000}"/>
    <cellStyle name="_DCF_NNG_D&amp;M" xfId="96" xr:uid="{00000000-0005-0000-0000-00005A000000}"/>
    <cellStyle name="_DCF_SNPZ_1.1.2007" xfId="97" xr:uid="{00000000-0005-0000-0000-00005B000000}"/>
    <cellStyle name="_E1VFA" xfId="102" xr:uid="{00000000-0005-0000-0000-000060000000}"/>
    <cellStyle name="_E1VFA (2)" xfId="103" xr:uid="{00000000-0005-0000-0000-000061000000}"/>
    <cellStyle name="_East Recovery Plan" xfId="104" xr:uid="{00000000-0005-0000-0000-000062000000}"/>
    <cellStyle name="_Euro" xfId="105" xr:uid="{00000000-0005-0000-0000-000063000000}"/>
    <cellStyle name="_EVFA1.1" xfId="106" xr:uid="{00000000-0005-0000-0000-000064000000}"/>
    <cellStyle name="_EVFA1.2" xfId="107" xr:uid="{00000000-0005-0000-0000-000065000000}"/>
    <cellStyle name="_EVFA2.1" xfId="108" xr:uid="{00000000-0005-0000-0000-000066000000}"/>
    <cellStyle name="_Exc Sum" xfId="109" xr:uid="{00000000-0005-0000-0000-000067000000}"/>
    <cellStyle name="_Exc Sum (2)" xfId="110" xr:uid="{00000000-0005-0000-0000-000068000000}"/>
    <cellStyle name="_FA Input " xfId="111" xr:uid="{00000000-0005-0000-0000-000069000000}"/>
    <cellStyle name="_FFF" xfId="112" xr:uid="{00000000-0005-0000-0000-00006A000000}"/>
    <cellStyle name="_FFF_17_0" xfId="113" xr:uid="{00000000-0005-0000-0000-00006B000000}"/>
    <cellStyle name="_FFF_17_0_1" xfId="114" xr:uid="{00000000-0005-0000-0000-00006C000000}"/>
    <cellStyle name="_FFF_БКЭ" xfId="156" xr:uid="{00000000-0005-0000-0000-000096000000}"/>
    <cellStyle name="_FFF_для вставки в пакет за 2001" xfId="157" xr:uid="{00000000-0005-0000-0000-000097000000}"/>
    <cellStyle name="_FFF_дляГалиныВ" xfId="158" xr:uid="{00000000-0005-0000-0000-000098000000}"/>
    <cellStyle name="_FFF_Книга7" xfId="159" xr:uid="{00000000-0005-0000-0000-000099000000}"/>
    <cellStyle name="_FFF_Лист1" xfId="160" xr:uid="{00000000-0005-0000-0000-00009A000000}"/>
    <cellStyle name="_FFF_ОСН. ДЕЯТ." xfId="161" xr:uid="{00000000-0005-0000-0000-00009B000000}"/>
    <cellStyle name="_FFF_Перечень названий форм" xfId="162" xr:uid="{00000000-0005-0000-0000-00009C000000}"/>
    <cellStyle name="_FFF_Подразделения" xfId="163" xr:uid="{00000000-0005-0000-0000-00009D000000}"/>
    <cellStyle name="_FFF_Список тиражирования" xfId="164" xr:uid="{00000000-0005-0000-0000-00009E000000}"/>
    <cellStyle name="_FFF_Форма 12 last" xfId="165" xr:uid="{00000000-0005-0000-0000-00009F000000}"/>
    <cellStyle name="_FFF_Capex-new" xfId="115" xr:uid="{00000000-0005-0000-0000-00006D000000}"/>
    <cellStyle name="_FFF_Financial Plan - final_2" xfId="116" xr:uid="{00000000-0005-0000-0000-00006E000000}"/>
    <cellStyle name="_FFF_Form 01(MB)" xfId="117" xr:uid="{00000000-0005-0000-0000-00006F000000}"/>
    <cellStyle name="_FFF_Links_NK" xfId="118" xr:uid="{00000000-0005-0000-0000-000070000000}"/>
    <cellStyle name="_FFF_N20_5" xfId="119" xr:uid="{00000000-0005-0000-0000-000071000000}"/>
    <cellStyle name="_FFF_N20_6" xfId="120" xr:uid="{00000000-0005-0000-0000-000072000000}"/>
    <cellStyle name="_FFF_New Form10_2" xfId="121" xr:uid="{00000000-0005-0000-0000-000073000000}"/>
    <cellStyle name="_FFF_Nsi" xfId="122" xr:uid="{00000000-0005-0000-0000-000074000000}"/>
    <cellStyle name="_FFF_Nsi - last version" xfId="123" xr:uid="{00000000-0005-0000-0000-000075000000}"/>
    <cellStyle name="_FFF_Nsi - last version for programming" xfId="124" xr:uid="{00000000-0005-0000-0000-000076000000}"/>
    <cellStyle name="_FFF_Nsi - next_last version" xfId="125" xr:uid="{00000000-0005-0000-0000-000077000000}"/>
    <cellStyle name="_FFF_Nsi - plan - final" xfId="126" xr:uid="{00000000-0005-0000-0000-000078000000}"/>
    <cellStyle name="_FFF_Nsi -super_ last version" xfId="127" xr:uid="{00000000-0005-0000-0000-000079000000}"/>
    <cellStyle name="_FFF_Nsi_1" xfId="129" xr:uid="{00000000-0005-0000-0000-00007B000000}"/>
    <cellStyle name="_FFF_Nsi_139" xfId="130" xr:uid="{00000000-0005-0000-0000-00007C000000}"/>
    <cellStyle name="_FFF_Nsi_140" xfId="131" xr:uid="{00000000-0005-0000-0000-00007D000000}"/>
    <cellStyle name="_FFF_Nsi_140_mod" xfId="133" xr:uid="{00000000-0005-0000-0000-00007F000000}"/>
    <cellStyle name="_FFF_Nsi_140(Зах)" xfId="132" xr:uid="{00000000-0005-0000-0000-00007E000000}"/>
    <cellStyle name="_FFF_Nsi_158" xfId="134" xr:uid="{00000000-0005-0000-0000-000080000000}"/>
    <cellStyle name="_FFF_Nsi_Express" xfId="135" xr:uid="{00000000-0005-0000-0000-000081000000}"/>
    <cellStyle name="_FFF_Nsi_Jan1" xfId="136" xr:uid="{00000000-0005-0000-0000-000082000000}"/>
    <cellStyle name="_FFF_Nsi_test" xfId="137" xr:uid="{00000000-0005-0000-0000-000083000000}"/>
    <cellStyle name="_FFF_Nsi-Services" xfId="139" xr:uid="{00000000-0005-0000-0000-000085000000}"/>
    <cellStyle name="_FFF_Nsi(2)" xfId="128" xr:uid="{00000000-0005-0000-0000-00007A000000}"/>
    <cellStyle name="_FFF_Nsi2" xfId="138" xr:uid="{00000000-0005-0000-0000-000084000000}"/>
    <cellStyle name="_FFF_P&amp;L" xfId="140" xr:uid="{00000000-0005-0000-0000-000086000000}"/>
    <cellStyle name="_FFF_S0400" xfId="141" xr:uid="{00000000-0005-0000-0000-000087000000}"/>
    <cellStyle name="_FFF_S13001" xfId="142" xr:uid="{00000000-0005-0000-0000-000088000000}"/>
    <cellStyle name="_FFF_Sheet1" xfId="143" xr:uid="{00000000-0005-0000-0000-000089000000}"/>
    <cellStyle name="_FFF_sofi - plan_AP270202ii" xfId="144" xr:uid="{00000000-0005-0000-0000-00008A000000}"/>
    <cellStyle name="_FFF_sofi - plan_AP270202iii" xfId="145" xr:uid="{00000000-0005-0000-0000-00008B000000}"/>
    <cellStyle name="_FFF_sofi - plan_AP270202iv" xfId="146" xr:uid="{00000000-0005-0000-0000-00008C000000}"/>
    <cellStyle name="_FFF_Sofi vs Sobi" xfId="147" xr:uid="{00000000-0005-0000-0000-00008D000000}"/>
    <cellStyle name="_FFF_Sofi_PBD 27-11-01" xfId="148" xr:uid="{00000000-0005-0000-0000-00008E000000}"/>
    <cellStyle name="_FFF_SOFI_TEPs_AOK_130902" xfId="149" xr:uid="{00000000-0005-0000-0000-00008F000000}"/>
    <cellStyle name="_FFF_Sofi145a" xfId="150" xr:uid="{00000000-0005-0000-0000-000090000000}"/>
    <cellStyle name="_FFF_Sofi153" xfId="151" xr:uid="{00000000-0005-0000-0000-000091000000}"/>
    <cellStyle name="_FFF_Summary" xfId="152" xr:uid="{00000000-0005-0000-0000-000092000000}"/>
    <cellStyle name="_FFF_SXXXX_Express_c Links" xfId="153" xr:uid="{00000000-0005-0000-0000-000093000000}"/>
    <cellStyle name="_FFF_Tax_form_1кв_3" xfId="154" xr:uid="{00000000-0005-0000-0000-000094000000}"/>
    <cellStyle name="_FFF_test_11" xfId="155" xr:uid="{00000000-0005-0000-0000-000095000000}"/>
    <cellStyle name="_Final_Book_010301" xfId="166" xr:uid="{00000000-0005-0000-0000-0000A0000000}"/>
    <cellStyle name="_Final_Book_010301_17_0" xfId="167" xr:uid="{00000000-0005-0000-0000-0000A1000000}"/>
    <cellStyle name="_Final_Book_010301_17_0_1" xfId="168" xr:uid="{00000000-0005-0000-0000-0000A2000000}"/>
    <cellStyle name="_Final_Book_010301_БКЭ" xfId="210" xr:uid="{00000000-0005-0000-0000-0000CC000000}"/>
    <cellStyle name="_Final_Book_010301_для вставки в пакет за 2001" xfId="211" xr:uid="{00000000-0005-0000-0000-0000CD000000}"/>
    <cellStyle name="_Final_Book_010301_дляГалиныВ" xfId="212" xr:uid="{00000000-0005-0000-0000-0000CE000000}"/>
    <cellStyle name="_Final_Book_010301_Книга7" xfId="213" xr:uid="{00000000-0005-0000-0000-0000CF000000}"/>
    <cellStyle name="_Final_Book_010301_Лист1" xfId="214" xr:uid="{00000000-0005-0000-0000-0000D0000000}"/>
    <cellStyle name="_Final_Book_010301_ОСН. ДЕЯТ." xfId="215" xr:uid="{00000000-0005-0000-0000-0000D1000000}"/>
    <cellStyle name="_Final_Book_010301_Перечень названий форм" xfId="216" xr:uid="{00000000-0005-0000-0000-0000D2000000}"/>
    <cellStyle name="_Final_Book_010301_Подразделения" xfId="217" xr:uid="{00000000-0005-0000-0000-0000D3000000}"/>
    <cellStyle name="_Final_Book_010301_Список тиражирования" xfId="218" xr:uid="{00000000-0005-0000-0000-0000D4000000}"/>
    <cellStyle name="_Final_Book_010301_Форма 12 last" xfId="219" xr:uid="{00000000-0005-0000-0000-0000D5000000}"/>
    <cellStyle name="_Final_Book_010301_Capex-new" xfId="169" xr:uid="{00000000-0005-0000-0000-0000A3000000}"/>
    <cellStyle name="_Final_Book_010301_Financial Plan - final_2" xfId="170" xr:uid="{00000000-0005-0000-0000-0000A4000000}"/>
    <cellStyle name="_Final_Book_010301_Form 01(MB)" xfId="171" xr:uid="{00000000-0005-0000-0000-0000A5000000}"/>
    <cellStyle name="_Final_Book_010301_Links_NK" xfId="172" xr:uid="{00000000-0005-0000-0000-0000A6000000}"/>
    <cellStyle name="_Final_Book_010301_N20_5" xfId="173" xr:uid="{00000000-0005-0000-0000-0000A7000000}"/>
    <cellStyle name="_Final_Book_010301_N20_6" xfId="174" xr:uid="{00000000-0005-0000-0000-0000A8000000}"/>
    <cellStyle name="_Final_Book_010301_New Form10_2" xfId="175" xr:uid="{00000000-0005-0000-0000-0000A9000000}"/>
    <cellStyle name="_Final_Book_010301_Nsi" xfId="176" xr:uid="{00000000-0005-0000-0000-0000AA000000}"/>
    <cellStyle name="_Final_Book_010301_Nsi - last version" xfId="177" xr:uid="{00000000-0005-0000-0000-0000AB000000}"/>
    <cellStyle name="_Final_Book_010301_Nsi - last version for programming" xfId="178" xr:uid="{00000000-0005-0000-0000-0000AC000000}"/>
    <cellStyle name="_Final_Book_010301_Nsi - next_last version" xfId="179" xr:uid="{00000000-0005-0000-0000-0000AD000000}"/>
    <cellStyle name="_Final_Book_010301_Nsi - plan - final" xfId="180" xr:uid="{00000000-0005-0000-0000-0000AE000000}"/>
    <cellStyle name="_Final_Book_010301_Nsi -super_ last version" xfId="181" xr:uid="{00000000-0005-0000-0000-0000AF000000}"/>
    <cellStyle name="_Final_Book_010301_Nsi_1" xfId="183" xr:uid="{00000000-0005-0000-0000-0000B1000000}"/>
    <cellStyle name="_Final_Book_010301_Nsi_139" xfId="184" xr:uid="{00000000-0005-0000-0000-0000B2000000}"/>
    <cellStyle name="_Final_Book_010301_Nsi_140" xfId="185" xr:uid="{00000000-0005-0000-0000-0000B3000000}"/>
    <cellStyle name="_Final_Book_010301_Nsi_140_mod" xfId="187" xr:uid="{00000000-0005-0000-0000-0000B5000000}"/>
    <cellStyle name="_Final_Book_010301_Nsi_140(Зах)" xfId="186" xr:uid="{00000000-0005-0000-0000-0000B4000000}"/>
    <cellStyle name="_Final_Book_010301_Nsi_158" xfId="188" xr:uid="{00000000-0005-0000-0000-0000B6000000}"/>
    <cellStyle name="_Final_Book_010301_Nsi_Express" xfId="189" xr:uid="{00000000-0005-0000-0000-0000B7000000}"/>
    <cellStyle name="_Final_Book_010301_Nsi_Jan1" xfId="190" xr:uid="{00000000-0005-0000-0000-0000B8000000}"/>
    <cellStyle name="_Final_Book_010301_Nsi_test" xfId="191" xr:uid="{00000000-0005-0000-0000-0000B9000000}"/>
    <cellStyle name="_Final_Book_010301_Nsi-Services" xfId="193" xr:uid="{00000000-0005-0000-0000-0000BB000000}"/>
    <cellStyle name="_Final_Book_010301_Nsi(2)" xfId="182" xr:uid="{00000000-0005-0000-0000-0000B0000000}"/>
    <cellStyle name="_Final_Book_010301_Nsi2" xfId="192" xr:uid="{00000000-0005-0000-0000-0000BA000000}"/>
    <cellStyle name="_Final_Book_010301_P&amp;L" xfId="194" xr:uid="{00000000-0005-0000-0000-0000BC000000}"/>
    <cellStyle name="_Final_Book_010301_S0400" xfId="195" xr:uid="{00000000-0005-0000-0000-0000BD000000}"/>
    <cellStyle name="_Final_Book_010301_S13001" xfId="196" xr:uid="{00000000-0005-0000-0000-0000BE000000}"/>
    <cellStyle name="_Final_Book_010301_Sheet1" xfId="197" xr:uid="{00000000-0005-0000-0000-0000BF000000}"/>
    <cellStyle name="_Final_Book_010301_sofi - plan_AP270202ii" xfId="198" xr:uid="{00000000-0005-0000-0000-0000C0000000}"/>
    <cellStyle name="_Final_Book_010301_sofi - plan_AP270202iii" xfId="199" xr:uid="{00000000-0005-0000-0000-0000C1000000}"/>
    <cellStyle name="_Final_Book_010301_sofi - plan_AP270202iv" xfId="200" xr:uid="{00000000-0005-0000-0000-0000C2000000}"/>
    <cellStyle name="_Final_Book_010301_Sofi vs Sobi" xfId="201" xr:uid="{00000000-0005-0000-0000-0000C3000000}"/>
    <cellStyle name="_Final_Book_010301_Sofi_PBD 27-11-01" xfId="202" xr:uid="{00000000-0005-0000-0000-0000C4000000}"/>
    <cellStyle name="_Final_Book_010301_SOFI_TEPs_AOK_130902" xfId="203" xr:uid="{00000000-0005-0000-0000-0000C5000000}"/>
    <cellStyle name="_Final_Book_010301_Sofi145a" xfId="204" xr:uid="{00000000-0005-0000-0000-0000C6000000}"/>
    <cellStyle name="_Final_Book_010301_Sofi153" xfId="205" xr:uid="{00000000-0005-0000-0000-0000C7000000}"/>
    <cellStyle name="_Final_Book_010301_Summary" xfId="206" xr:uid="{00000000-0005-0000-0000-0000C8000000}"/>
    <cellStyle name="_Final_Book_010301_SXXXX_Express_c Links" xfId="207" xr:uid="{00000000-0005-0000-0000-0000C9000000}"/>
    <cellStyle name="_Final_Book_010301_Tax_form_1кв_3" xfId="208" xr:uid="{00000000-0005-0000-0000-0000CA000000}"/>
    <cellStyle name="_Final_Book_010301_test_11" xfId="209" xr:uid="{00000000-0005-0000-0000-0000CB000000}"/>
    <cellStyle name="_Generation Model_1" xfId="220" xr:uid="{00000000-0005-0000-0000-0000D6000000}"/>
    <cellStyle name="_Heading" xfId="221" xr:uid="{00000000-0005-0000-0000-0000D7000000}"/>
    <cellStyle name="_Heading_prestemp" xfId="222" xr:uid="{00000000-0005-0000-0000-0000D8000000}"/>
    <cellStyle name="_Highlight" xfId="223" xr:uid="{00000000-0005-0000-0000-0000D9000000}"/>
    <cellStyle name="_HOL" xfId="224" xr:uid="{00000000-0005-0000-0000-0000DA000000}"/>
    <cellStyle name="_IFRS table PNGG 9m2005" xfId="225" xr:uid="{00000000-0005-0000-0000-0000DB000000}"/>
    <cellStyle name="_Income_Zagorsk_exit_07_04_почасовая" xfId="226" xr:uid="{00000000-0005-0000-0000-0000DC000000}"/>
    <cellStyle name="_Komi_Valuation_Draft_1_12-09-03" xfId="227" xr:uid="{00000000-0005-0000-0000-0000DD000000}"/>
    <cellStyle name="_KPI-5" xfId="228" xr:uid="{00000000-0005-0000-0000-0000DE000000}"/>
    <cellStyle name="_KPI-5_баланс  " xfId="244" xr:uid="{00000000-0005-0000-0000-0000EE000000}"/>
    <cellStyle name="_KPI-5_для вставки в пакет за 2001" xfId="245" xr:uid="{00000000-0005-0000-0000-0000EF000000}"/>
    <cellStyle name="_KPI-5_дляГалиныВ" xfId="246" xr:uid="{00000000-0005-0000-0000-0000F0000000}"/>
    <cellStyle name="_KPI-5_Лист1" xfId="247" xr:uid="{00000000-0005-0000-0000-0000F1000000}"/>
    <cellStyle name="_KPI-5_Подразделения" xfId="248" xr:uid="{00000000-0005-0000-0000-0000F2000000}"/>
    <cellStyle name="_KPI-5_Список тиражирования" xfId="249" xr:uid="{00000000-0005-0000-0000-0000F3000000}"/>
    <cellStyle name="_KPI-5_Форма 12 last" xfId="250" xr:uid="{00000000-0005-0000-0000-0000F4000000}"/>
    <cellStyle name="_KPI-5_Формы на 2004_1 (бюджетн) " xfId="251" xr:uid="{00000000-0005-0000-0000-0000F5000000}"/>
    <cellStyle name="_KPI-5_Form 01(MB)" xfId="229" xr:uid="{00000000-0005-0000-0000-0000DF000000}"/>
    <cellStyle name="_KPI-5_Links_NK" xfId="230" xr:uid="{00000000-0005-0000-0000-0000E0000000}"/>
    <cellStyle name="_KPI-5_Nsi" xfId="231" xr:uid="{00000000-0005-0000-0000-0000E1000000}"/>
    <cellStyle name="_KPI-5_Nsi_158" xfId="233" xr:uid="{00000000-0005-0000-0000-0000E3000000}"/>
    <cellStyle name="_KPI-5_Nsi_Express" xfId="234" xr:uid="{00000000-0005-0000-0000-0000E4000000}"/>
    <cellStyle name="_KPI-5_Nsi_test" xfId="235" xr:uid="{00000000-0005-0000-0000-0000E5000000}"/>
    <cellStyle name="_KPI-5_Nsi-Services" xfId="236" xr:uid="{00000000-0005-0000-0000-0000E6000000}"/>
    <cellStyle name="_KPI-5_Nsi(2)" xfId="232" xr:uid="{00000000-0005-0000-0000-0000E2000000}"/>
    <cellStyle name="_KPI-5_S0400" xfId="237" xr:uid="{00000000-0005-0000-0000-0000E7000000}"/>
    <cellStyle name="_KPI-5_S13001" xfId="238" xr:uid="{00000000-0005-0000-0000-0000E8000000}"/>
    <cellStyle name="_KPI-5_SOFI_TEPs_AOK_130902" xfId="239" xr:uid="{00000000-0005-0000-0000-0000E9000000}"/>
    <cellStyle name="_KPI-5_Sofi145a" xfId="240" xr:uid="{00000000-0005-0000-0000-0000EA000000}"/>
    <cellStyle name="_KPI-5_Sofi153" xfId="241" xr:uid="{00000000-0005-0000-0000-0000EB000000}"/>
    <cellStyle name="_KPI-5_SXXXX_Express_c Links" xfId="242" xr:uid="{00000000-0005-0000-0000-0000EC000000}"/>
    <cellStyle name="_KPI-5_test_11" xfId="243" xr:uid="{00000000-0005-0000-0000-0000ED000000}"/>
    <cellStyle name="_License Final_20.01.2006 1" xfId="252" xr:uid="{00000000-0005-0000-0000-0000F6000000}"/>
    <cellStyle name="_Liquidationswert_Vorschlag_new" xfId="253" xr:uid="{00000000-0005-0000-0000-0000F7000000}"/>
    <cellStyle name="_MB2006_sample2006_баз" xfId="254" xr:uid="{00000000-0005-0000-0000-0000F8000000}"/>
    <cellStyle name="_Merger DCF Prices Revised 20051230_2" xfId="255" xr:uid="{00000000-0005-0000-0000-0000F9000000}"/>
    <cellStyle name="_Michelangelo Macro (v5)" xfId="256" xr:uid="{00000000-0005-0000-0000-0000FA000000}"/>
    <cellStyle name="_model" xfId="1994" xr:uid="{00000000-0005-0000-0000-0000FB000000}"/>
    <cellStyle name="_Model_NNG_1" xfId="257" xr:uid="{00000000-0005-0000-0000-0000FC000000}"/>
    <cellStyle name="_MODEL_OS_v october17" xfId="258" xr:uid="{00000000-0005-0000-0000-0000FD000000}"/>
    <cellStyle name="_Multiple" xfId="259" xr:uid="{00000000-0005-0000-0000-0000FE000000}"/>
    <cellStyle name="_Multiple_Copy of Uralkali Summary Business Plan 14 Apr 04 (sent)1250404 input for Union DCF" xfId="260" xr:uid="{00000000-0005-0000-0000-0000FF000000}"/>
    <cellStyle name="_MultipleSpace" xfId="261" xr:uid="{00000000-0005-0000-0000-000000010000}"/>
    <cellStyle name="_MultipleSpace_Copy of Uralkali Summary Business Plan 14 Apr 04 (sent)1250404 input for Union DCF" xfId="262" xr:uid="{00000000-0005-0000-0000-000001010000}"/>
    <cellStyle name="_New_Sofi" xfId="263" xr:uid="{00000000-0005-0000-0000-000002010000}"/>
    <cellStyle name="_New_Sofi_17_0" xfId="264" xr:uid="{00000000-0005-0000-0000-000003010000}"/>
    <cellStyle name="_New_Sofi_17_0_1" xfId="265" xr:uid="{00000000-0005-0000-0000-000004010000}"/>
    <cellStyle name="_New_Sofi_БКЭ" xfId="308" xr:uid="{00000000-0005-0000-0000-00002F010000}"/>
    <cellStyle name="_New_Sofi_для вставки в пакет за 2001" xfId="309" xr:uid="{00000000-0005-0000-0000-000030010000}"/>
    <cellStyle name="_New_Sofi_дляГалиныВ" xfId="310" xr:uid="{00000000-0005-0000-0000-000031010000}"/>
    <cellStyle name="_New_Sofi_Книга7" xfId="311" xr:uid="{00000000-0005-0000-0000-000032010000}"/>
    <cellStyle name="_New_Sofi_Лист1" xfId="312" xr:uid="{00000000-0005-0000-0000-000033010000}"/>
    <cellStyle name="_New_Sofi_ОСН. ДЕЯТ." xfId="313" xr:uid="{00000000-0005-0000-0000-000034010000}"/>
    <cellStyle name="_New_Sofi_Перечень названий форм" xfId="314" xr:uid="{00000000-0005-0000-0000-000035010000}"/>
    <cellStyle name="_New_Sofi_Подразделения" xfId="315" xr:uid="{00000000-0005-0000-0000-000036010000}"/>
    <cellStyle name="_New_Sofi_Список тиражирования" xfId="316" xr:uid="{00000000-0005-0000-0000-000037010000}"/>
    <cellStyle name="_New_Sofi_Форма 12 last" xfId="317" xr:uid="{00000000-0005-0000-0000-000038010000}"/>
    <cellStyle name="_New_Sofi_Capex-new" xfId="266" xr:uid="{00000000-0005-0000-0000-000005010000}"/>
    <cellStyle name="_New_Sofi_FFF" xfId="267" xr:uid="{00000000-0005-0000-0000-000006010000}"/>
    <cellStyle name="_New_Sofi_Financial Plan - final_2" xfId="268" xr:uid="{00000000-0005-0000-0000-000007010000}"/>
    <cellStyle name="_New_Sofi_Form 01(MB)" xfId="269" xr:uid="{00000000-0005-0000-0000-000008010000}"/>
    <cellStyle name="_New_Sofi_Links_NK" xfId="270" xr:uid="{00000000-0005-0000-0000-000009010000}"/>
    <cellStyle name="_New_Sofi_N20_5" xfId="271" xr:uid="{00000000-0005-0000-0000-00000A010000}"/>
    <cellStyle name="_New_Sofi_N20_6" xfId="272" xr:uid="{00000000-0005-0000-0000-00000B010000}"/>
    <cellStyle name="_New_Sofi_New Form10_2" xfId="273" xr:uid="{00000000-0005-0000-0000-00000C010000}"/>
    <cellStyle name="_New_Sofi_Nsi" xfId="274" xr:uid="{00000000-0005-0000-0000-00000D010000}"/>
    <cellStyle name="_New_Sofi_Nsi - last version" xfId="275" xr:uid="{00000000-0005-0000-0000-00000E010000}"/>
    <cellStyle name="_New_Sofi_Nsi - last version for programming" xfId="276" xr:uid="{00000000-0005-0000-0000-00000F010000}"/>
    <cellStyle name="_New_Sofi_Nsi - next_last version" xfId="277" xr:uid="{00000000-0005-0000-0000-000010010000}"/>
    <cellStyle name="_New_Sofi_Nsi - plan - final" xfId="278" xr:uid="{00000000-0005-0000-0000-000011010000}"/>
    <cellStyle name="_New_Sofi_Nsi -super_ last version" xfId="279" xr:uid="{00000000-0005-0000-0000-000012010000}"/>
    <cellStyle name="_New_Sofi_Nsi_1" xfId="281" xr:uid="{00000000-0005-0000-0000-000014010000}"/>
    <cellStyle name="_New_Sofi_Nsi_139" xfId="282" xr:uid="{00000000-0005-0000-0000-000015010000}"/>
    <cellStyle name="_New_Sofi_Nsi_140" xfId="283" xr:uid="{00000000-0005-0000-0000-000016010000}"/>
    <cellStyle name="_New_Sofi_Nsi_140_mod" xfId="285" xr:uid="{00000000-0005-0000-0000-000018010000}"/>
    <cellStyle name="_New_Sofi_Nsi_140(Зах)" xfId="284" xr:uid="{00000000-0005-0000-0000-000017010000}"/>
    <cellStyle name="_New_Sofi_Nsi_158" xfId="286" xr:uid="{00000000-0005-0000-0000-000019010000}"/>
    <cellStyle name="_New_Sofi_Nsi_Express" xfId="287" xr:uid="{00000000-0005-0000-0000-00001A010000}"/>
    <cellStyle name="_New_Sofi_Nsi_Jan1" xfId="288" xr:uid="{00000000-0005-0000-0000-00001B010000}"/>
    <cellStyle name="_New_Sofi_Nsi_test" xfId="289" xr:uid="{00000000-0005-0000-0000-00001C010000}"/>
    <cellStyle name="_New_Sofi_Nsi-Services" xfId="291" xr:uid="{00000000-0005-0000-0000-00001E010000}"/>
    <cellStyle name="_New_Sofi_Nsi(2)" xfId="280" xr:uid="{00000000-0005-0000-0000-000013010000}"/>
    <cellStyle name="_New_Sofi_Nsi2" xfId="290" xr:uid="{00000000-0005-0000-0000-00001D010000}"/>
    <cellStyle name="_New_Sofi_P&amp;L" xfId="292" xr:uid="{00000000-0005-0000-0000-00001F010000}"/>
    <cellStyle name="_New_Sofi_S0400" xfId="293" xr:uid="{00000000-0005-0000-0000-000020010000}"/>
    <cellStyle name="_New_Sofi_S13001" xfId="294" xr:uid="{00000000-0005-0000-0000-000021010000}"/>
    <cellStyle name="_New_Sofi_Sheet1" xfId="295" xr:uid="{00000000-0005-0000-0000-000022010000}"/>
    <cellStyle name="_New_Sofi_sofi - plan_AP270202ii" xfId="296" xr:uid="{00000000-0005-0000-0000-000023010000}"/>
    <cellStyle name="_New_Sofi_sofi - plan_AP270202iii" xfId="297" xr:uid="{00000000-0005-0000-0000-000024010000}"/>
    <cellStyle name="_New_Sofi_sofi - plan_AP270202iv" xfId="298" xr:uid="{00000000-0005-0000-0000-000025010000}"/>
    <cellStyle name="_New_Sofi_Sofi vs Sobi" xfId="299" xr:uid="{00000000-0005-0000-0000-000026010000}"/>
    <cellStyle name="_New_Sofi_Sofi_PBD 27-11-01" xfId="300" xr:uid="{00000000-0005-0000-0000-000027010000}"/>
    <cellStyle name="_New_Sofi_SOFI_TEPs_AOK_130902" xfId="301" xr:uid="{00000000-0005-0000-0000-000028010000}"/>
    <cellStyle name="_New_Sofi_Sofi145a" xfId="302" xr:uid="{00000000-0005-0000-0000-000029010000}"/>
    <cellStyle name="_New_Sofi_Sofi153" xfId="303" xr:uid="{00000000-0005-0000-0000-00002A010000}"/>
    <cellStyle name="_New_Sofi_Summary" xfId="304" xr:uid="{00000000-0005-0000-0000-00002B010000}"/>
    <cellStyle name="_New_Sofi_SXXXX_Express_c Links" xfId="305" xr:uid="{00000000-0005-0000-0000-00002C010000}"/>
    <cellStyle name="_New_Sofi_Tax_form_1кв_3" xfId="306" xr:uid="{00000000-0005-0000-0000-00002D010000}"/>
    <cellStyle name="_New_Sofi_test_11" xfId="307" xr:uid="{00000000-0005-0000-0000-00002E010000}"/>
    <cellStyle name="_North Ter" xfId="318" xr:uid="{00000000-0005-0000-0000-000039010000}"/>
    <cellStyle name="_Nsi" xfId="319" xr:uid="{00000000-0005-0000-0000-00003A010000}"/>
    <cellStyle name="_Oценка затратный подход" xfId="320" xr:uid="{00000000-0005-0000-0000-00003B010000}"/>
    <cellStyle name="_P&amp;L" xfId="321" xr:uid="{00000000-0005-0000-0000-00003C010000}"/>
    <cellStyle name="_P&amp;L Input (2)" xfId="322" xr:uid="{00000000-0005-0000-0000-00003D010000}"/>
    <cellStyle name="_P&amp;L Var" xfId="323" xr:uid="{00000000-0005-0000-0000-00003E010000}"/>
    <cellStyle name="_P&amp;L Variance Analysis Input" xfId="324" xr:uid="{00000000-0005-0000-0000-00003F010000}"/>
    <cellStyle name="_PAICoCBT" xfId="325" xr:uid="{00000000-0005-0000-0000-000040010000}"/>
    <cellStyle name="_Percent" xfId="326" xr:uid="{00000000-0005-0000-0000-000041010000}"/>
    <cellStyle name="_PercentSpace" xfId="327" xr:uid="{00000000-0005-0000-0000-000042010000}"/>
    <cellStyle name="_Russian auto market" xfId="328" xr:uid="{00000000-0005-0000-0000-000043010000}"/>
    <cellStyle name="_S0110" xfId="329" xr:uid="{00000000-0005-0000-0000-000044010000}"/>
    <cellStyle name="_S0279" xfId="330" xr:uid="{00000000-0005-0000-0000-000045010000}"/>
    <cellStyle name="_S11401+++" xfId="331" xr:uid="{00000000-0005-0000-0000-000046010000}"/>
    <cellStyle name="_S1VFA" xfId="332" xr:uid="{00000000-0005-0000-0000-000047010000}"/>
    <cellStyle name="_S1VFA (2)" xfId="333" xr:uid="{00000000-0005-0000-0000-000048010000}"/>
    <cellStyle name="_S2VFA" xfId="334" xr:uid="{00000000-0005-0000-0000-000049010000}"/>
    <cellStyle name="_S2VFA (2)" xfId="335" xr:uid="{00000000-0005-0000-0000-00004A010000}"/>
    <cellStyle name="_S2VFA ii" xfId="336" xr:uid="{00000000-0005-0000-0000-00004B010000}"/>
    <cellStyle name="_S3VFA" xfId="337" xr:uid="{00000000-0005-0000-0000-00004C010000}"/>
    <cellStyle name="_S3VFA (2)" xfId="338" xr:uid="{00000000-0005-0000-0000-00004D010000}"/>
    <cellStyle name="_SIP-09-2001" xfId="339" xr:uid="{00000000-0005-0000-0000-00004E010000}"/>
    <cellStyle name="_SMC" xfId="340" xr:uid="{00000000-0005-0000-0000-00004F010000}"/>
    <cellStyle name="_sobi_020807_blank_ds" xfId="341" xr:uid="{00000000-0005-0000-0000-000050010000}"/>
    <cellStyle name="_sobi_rf_020715_blank" xfId="342" xr:uid="{00000000-0005-0000-0000-000051010000}"/>
    <cellStyle name="_SOFI_TEPs_AOK_130902" xfId="343" xr:uid="{00000000-0005-0000-0000-000052010000}"/>
    <cellStyle name="_SubHeading" xfId="344" xr:uid="{00000000-0005-0000-0000-000053010000}"/>
    <cellStyle name="_SubHeading_prestemp" xfId="345" xr:uid="{00000000-0005-0000-0000-000054010000}"/>
    <cellStyle name="_SVFA1.1" xfId="346" xr:uid="{00000000-0005-0000-0000-000055010000}"/>
    <cellStyle name="_SVFA1.2" xfId="347" xr:uid="{00000000-0005-0000-0000-000056010000}"/>
    <cellStyle name="_SVFA1.4" xfId="348" xr:uid="{00000000-0005-0000-0000-000057010000}"/>
    <cellStyle name="_Table" xfId="349" xr:uid="{00000000-0005-0000-0000-000058010000}"/>
    <cellStyle name="_TableHead" xfId="350" xr:uid="{00000000-0005-0000-0000-000059010000}"/>
    <cellStyle name="_TableRowHead" xfId="351" xr:uid="{00000000-0005-0000-0000-00005A010000}"/>
    <cellStyle name="_TableSuperHead" xfId="352" xr:uid="{00000000-0005-0000-0000-00005B010000}"/>
    <cellStyle name="_TableSuperHead_Water, IntGas and Other" xfId="353" xr:uid="{00000000-0005-0000-0000-00005C010000}"/>
    <cellStyle name="_tipogr_end" xfId="1995" xr:uid="{00000000-0005-0000-0000-00005D010000}"/>
    <cellStyle name="_VL 1" xfId="354" xr:uid="{00000000-0005-0000-0000-00005E010000}"/>
    <cellStyle name="_West Ter" xfId="355" xr:uid="{00000000-0005-0000-0000-00005F010000}"/>
    <cellStyle name=",000" xfId="11" xr:uid="{00000000-0005-0000-0000-000004000000}"/>
    <cellStyle name=";;;" xfId="12" xr:uid="{00000000-0005-0000-0000-000005000000}"/>
    <cellStyle name="???–…?’?›‰" xfId="13" xr:uid="{00000000-0005-0000-0000-000006000000}"/>
    <cellStyle name="?…‹?ђO‚e [0.00]_laroux" xfId="15" xr:uid="{00000000-0005-0000-0000-000008000000}"/>
    <cellStyle name="?…‹?ђO‚e_laroux" xfId="16" xr:uid="{00000000-0005-0000-0000-000009000000}"/>
    <cellStyle name="?’ћѓћ‚›‰" xfId="14" xr:uid="{00000000-0005-0000-0000-000007000000}"/>
    <cellStyle name="’ћѓћ‚›‰" xfId="536" xr:uid="{00000000-0005-0000-0000-000040020000}"/>
    <cellStyle name="’E‰Y [0.00]_laroux" xfId="534" xr:uid="{00000000-0005-0000-0000-000027020000}"/>
    <cellStyle name="’E‰Y_laroux" xfId="535" xr:uid="{00000000-0005-0000-0000-000028020000}"/>
    <cellStyle name="”?ќђќ‘ћ‚›‰" xfId="537" xr:uid="{00000000-0005-0000-0000-000029020000}"/>
    <cellStyle name="”?љ‘?ђћ‚ђќќ›‰" xfId="538" xr:uid="{00000000-0005-0000-0000-00002A020000}"/>
    <cellStyle name="„…?…†?›‰" xfId="545" xr:uid="{00000000-0005-0000-0000-000031020000}"/>
    <cellStyle name="„…ќ…†ќ›‰" xfId="546" xr:uid="{00000000-0005-0000-0000-000032020000}"/>
    <cellStyle name="”€???‘?‚›‰" xfId="539" xr:uid="{00000000-0005-0000-0000-00002B020000}"/>
    <cellStyle name="”€?‘€??‚???›‰" xfId="540" xr:uid="{00000000-0005-0000-0000-00002C020000}"/>
    <cellStyle name="”€ќђќ‘ћ‚›‰" xfId="541" xr:uid="{00000000-0005-0000-0000-00002D020000}"/>
    <cellStyle name="”€љ‘€ђћ‚ђќќ›‰" xfId="542" xr:uid="{00000000-0005-0000-0000-00002E020000}"/>
    <cellStyle name="„ђ’ђ" xfId="547" xr:uid="{00000000-0005-0000-0000-000033020000}"/>
    <cellStyle name="”ќђќ‘ћ‚›‰" xfId="543" xr:uid="{00000000-0005-0000-0000-00002F020000}"/>
    <cellStyle name="”љ‘ђћ‚ђќќ›‰" xfId="544" xr:uid="{00000000-0005-0000-0000-000030020000}"/>
    <cellStyle name="&quot;X&quot; MEN" xfId="8" xr:uid="{00000000-0005-0000-0000-000001000000}"/>
    <cellStyle name="%" xfId="9" xr:uid="{00000000-0005-0000-0000-000002000000}"/>
    <cellStyle name="% [1]" xfId="10" xr:uid="{00000000-0005-0000-0000-000003000000}"/>
    <cellStyle name="‡???‹?‚??1" xfId="552" xr:uid="{00000000-0005-0000-0000-00003A020000}"/>
    <cellStyle name="‡???‹?‚??2" xfId="553" xr:uid="{00000000-0005-0000-0000-00003B020000}"/>
    <cellStyle name="‡ђѓћ‹ћ‚ћљ1" xfId="554" xr:uid="{00000000-0005-0000-0000-00003C020000}"/>
    <cellStyle name="‡ђѓћ‹ћ‚ћљ2" xfId="555" xr:uid="{00000000-0005-0000-0000-00003D020000}"/>
    <cellStyle name="•W€_GE 3 MINIMUM" xfId="556" xr:uid="{00000000-0005-0000-0000-00003E020000}"/>
    <cellStyle name="•WЏЂ_laroux" xfId="557" xr:uid="{00000000-0005-0000-0000-00003F020000}"/>
    <cellStyle name="=C:\WINNT35\SYSTEM32\COMMAND.COM" xfId="548" xr:uid="{00000000-0005-0000-0000-000038020000}"/>
    <cellStyle name="=D:\WINNT\SYSTEM32\COMMAND.COM" xfId="549" xr:uid="{00000000-0005-0000-0000-000039020000}"/>
    <cellStyle name="£ BP" xfId="550" xr:uid="{00000000-0005-0000-0000-000034020000}"/>
    <cellStyle name="¥ JY" xfId="551" xr:uid="{00000000-0005-0000-0000-000035020000}"/>
    <cellStyle name="€’???‚›‰" xfId="558" xr:uid="{00000000-0005-0000-0000-000036020000}"/>
    <cellStyle name="€’ћѓћ‚›‰" xfId="559" xr:uid="{00000000-0005-0000-0000-000037020000}"/>
    <cellStyle name="0" xfId="560" xr:uid="{00000000-0005-0000-0000-000041020000}"/>
    <cellStyle name="0_Atlas_Exhibits" xfId="569" xr:uid="{00000000-0005-0000-0000-00004A020000}"/>
    <cellStyle name="0_AWG_Numbers for Pres_16Jun2005 MB" xfId="570" xr:uid="{00000000-0005-0000-0000-00004B020000}"/>
    <cellStyle name="0_Balance sheet" xfId="571" xr:uid="{00000000-0005-0000-0000-00004C020000}"/>
    <cellStyle name="0_Balance sheet_AWG_Numbers for Pres_16Jun2005 MB" xfId="572" xr:uid="{00000000-0005-0000-0000-00004D020000}"/>
    <cellStyle name="0_Balance sheet_RWE 250805 1900" xfId="573" xr:uid="{00000000-0005-0000-0000-00004E020000}"/>
    <cellStyle name="0_Balance sheet_South model Version 280403 1005" xfId="574" xr:uid="{00000000-0005-0000-0000-00004F020000}"/>
    <cellStyle name="0_Balance sheet_South model Version 280403 1005_AWG_Numbers for Pres_16Jun2005 MB" xfId="575" xr:uid="{00000000-0005-0000-0000-000050020000}"/>
    <cellStyle name="0_Balance sheet_South model Version 280403 1005_RWE 250805 1900" xfId="576" xr:uid="{00000000-0005-0000-0000-000051020000}"/>
    <cellStyle name="0_Balance sheet_South model Version control 4a S&amp;P" xfId="577" xr:uid="{00000000-0005-0000-0000-000052020000}"/>
    <cellStyle name="0_Balance sheet_South model Version control 4a S&amp;P_AWG_Numbers for Pres_16Jun2005 MB" xfId="578" xr:uid="{00000000-0005-0000-0000-000053020000}"/>
    <cellStyle name="0_Balance sheet_South model Version control 4a S&amp;P_RWE 250805 1900" xfId="579" xr:uid="{00000000-0005-0000-0000-000054020000}"/>
    <cellStyle name="0_BP2" xfId="580" xr:uid="{00000000-0005-0000-0000-000055020000}"/>
    <cellStyle name="0_BP2_AWG_Numbers for Pres_16Jun2005 MB" xfId="581" xr:uid="{00000000-0005-0000-0000-000056020000}"/>
    <cellStyle name="0_BP2_Balance sheet" xfId="582" xr:uid="{00000000-0005-0000-0000-000057020000}"/>
    <cellStyle name="0_BP2_Balance sheet_AWG_Numbers for Pres_16Jun2005 MB" xfId="583" xr:uid="{00000000-0005-0000-0000-000058020000}"/>
    <cellStyle name="0_BP2_Balance sheet_RWE 250805 1900" xfId="584" xr:uid="{00000000-0005-0000-0000-000059020000}"/>
    <cellStyle name="0_BP2_Balance sheet_South model Version 280403 1005" xfId="585" xr:uid="{00000000-0005-0000-0000-00005A020000}"/>
    <cellStyle name="0_BP2_Balance sheet_South model Version 280403 1005_AWG_Numbers for Pres_16Jun2005 MB" xfId="586" xr:uid="{00000000-0005-0000-0000-00005B020000}"/>
    <cellStyle name="0_BP2_Balance sheet_South model Version 280403 1005_RWE 250805 1900" xfId="587" xr:uid="{00000000-0005-0000-0000-00005C020000}"/>
    <cellStyle name="0_BP2_Balance sheet_South model Version control 4a S&amp;P" xfId="588" xr:uid="{00000000-0005-0000-0000-00005D020000}"/>
    <cellStyle name="0_BP2_Balance sheet_South model Version control 4a S&amp;P_AWG_Numbers for Pres_16Jun2005 MB" xfId="589" xr:uid="{00000000-0005-0000-0000-00005E020000}"/>
    <cellStyle name="0_BP2_Balance sheet_South model Version control 4a S&amp;P_RWE 250805 1900" xfId="590" xr:uid="{00000000-0005-0000-0000-00005F020000}"/>
    <cellStyle name="0_BP2_CAPEX - OPEX SUMMARY" xfId="591" xr:uid="{00000000-0005-0000-0000-000060020000}"/>
    <cellStyle name="0_BP2_CAPEX - OPEX SUMMARY_AWG_Numbers for Pres_16Jun2005 MB" xfId="592" xr:uid="{00000000-0005-0000-0000-000061020000}"/>
    <cellStyle name="0_BP2_CAPEX - OPEX SUMMARY_RWE 250805 1900" xfId="593" xr:uid="{00000000-0005-0000-0000-000062020000}"/>
    <cellStyle name="0_BP2_CAPEX - OPEX SUMMARY_South model Version 280403 1005" xfId="594" xr:uid="{00000000-0005-0000-0000-000063020000}"/>
    <cellStyle name="0_BP2_CAPEX - OPEX SUMMARY_South model Version 280403 1005_AWG_Numbers for Pres_16Jun2005 MB" xfId="595" xr:uid="{00000000-0005-0000-0000-000064020000}"/>
    <cellStyle name="0_BP2_CAPEX - OPEX SUMMARY_South model Version 280403 1005_RWE 250805 1900" xfId="596" xr:uid="{00000000-0005-0000-0000-000065020000}"/>
    <cellStyle name="0_BP2_CAPEX - OPEX SUMMARY_South model Version control 4a S&amp;P" xfId="597" xr:uid="{00000000-0005-0000-0000-000066020000}"/>
    <cellStyle name="0_BP2_CAPEX - OPEX SUMMARY_South model Version control 4a S&amp;P_AWG_Numbers for Pres_16Jun2005 MB" xfId="598" xr:uid="{00000000-0005-0000-0000-000067020000}"/>
    <cellStyle name="0_BP2_CAPEX - OPEX SUMMARY_South model Version control 4a S&amp;P_RWE 250805 1900" xfId="599" xr:uid="{00000000-0005-0000-0000-000068020000}"/>
    <cellStyle name="0_BP2_Cash Flow" xfId="600" xr:uid="{00000000-0005-0000-0000-000069020000}"/>
    <cellStyle name="0_BP2_Cash Flow_AWG_Numbers for Pres_16Jun2005 MB" xfId="601" xr:uid="{00000000-0005-0000-0000-00006A020000}"/>
    <cellStyle name="0_BP2_Cash Flow_RWE 250805 1900" xfId="602" xr:uid="{00000000-0005-0000-0000-00006B020000}"/>
    <cellStyle name="0_BP2_Cash Flow_South model Version 280403 1005" xfId="603" xr:uid="{00000000-0005-0000-0000-00006C020000}"/>
    <cellStyle name="0_BP2_Cash Flow_South model Version 280403 1005_AWG_Numbers for Pres_16Jun2005 MB" xfId="604" xr:uid="{00000000-0005-0000-0000-00006D020000}"/>
    <cellStyle name="0_BP2_Cash Flow_South model Version 280403 1005_RWE 250805 1900" xfId="605" xr:uid="{00000000-0005-0000-0000-00006E020000}"/>
    <cellStyle name="0_BP2_Cash Flow_South model Version control 4a S&amp;P" xfId="606" xr:uid="{00000000-0005-0000-0000-00006F020000}"/>
    <cellStyle name="0_BP2_Cash Flow_South model Version control 4a S&amp;P_AWG_Numbers for Pres_16Jun2005 MB" xfId="607" xr:uid="{00000000-0005-0000-0000-000070020000}"/>
    <cellStyle name="0_BP2_Cash Flow_South model Version control 4a S&amp;P_RWE 250805 1900" xfId="608" xr:uid="{00000000-0005-0000-0000-000071020000}"/>
    <cellStyle name="0_BP2_Contens" xfId="609" xr:uid="{00000000-0005-0000-0000-000072020000}"/>
    <cellStyle name="0_BP2_Contens_AWG_Numbers for Pres_16Jun2005 MB" xfId="610" xr:uid="{00000000-0005-0000-0000-000073020000}"/>
    <cellStyle name="0_BP2_Contens_RWE 250805 1900" xfId="611" xr:uid="{00000000-0005-0000-0000-000074020000}"/>
    <cellStyle name="0_BP2_Contens_South model Version 280403 1005" xfId="612" xr:uid="{00000000-0005-0000-0000-000075020000}"/>
    <cellStyle name="0_BP2_Contens_South model Version 280403 1005_AWG_Numbers for Pres_16Jun2005 MB" xfId="613" xr:uid="{00000000-0005-0000-0000-000076020000}"/>
    <cellStyle name="0_BP2_Contens_South model Version 280403 1005_RWE 250805 1900" xfId="614" xr:uid="{00000000-0005-0000-0000-000077020000}"/>
    <cellStyle name="0_BP2_Contens_South model Version control 4a S&amp;P" xfId="615" xr:uid="{00000000-0005-0000-0000-000078020000}"/>
    <cellStyle name="0_BP2_Contens_South model Version control 4a S&amp;P_AWG_Numbers for Pres_16Jun2005 MB" xfId="616" xr:uid="{00000000-0005-0000-0000-000079020000}"/>
    <cellStyle name="0_BP2_Contens_South model Version control 4a S&amp;P_RWE 250805 1900" xfId="617" xr:uid="{00000000-0005-0000-0000-00007A020000}"/>
    <cellStyle name="0_BP2_Deferred Tax Calculations" xfId="618" xr:uid="{00000000-0005-0000-0000-00007B020000}"/>
    <cellStyle name="0_BP2_Deferred Tax Calculations_AWG_Numbers for Pres_16Jun2005 MB" xfId="619" xr:uid="{00000000-0005-0000-0000-00007C020000}"/>
    <cellStyle name="0_BP2_Deferred Tax Calculations_RWE 250805 1900" xfId="620" xr:uid="{00000000-0005-0000-0000-00007D020000}"/>
    <cellStyle name="0_BP2_Deferred Tax Calculations_South model Version 280403 1005" xfId="621" xr:uid="{00000000-0005-0000-0000-00007E020000}"/>
    <cellStyle name="0_BP2_Deferred Tax Calculations_South model Version 280403 1005_AWG_Numbers for Pres_16Jun2005 MB" xfId="622" xr:uid="{00000000-0005-0000-0000-00007F020000}"/>
    <cellStyle name="0_BP2_Deferred Tax Calculations_South model Version 280403 1005_RWE 250805 1900" xfId="623" xr:uid="{00000000-0005-0000-0000-000080020000}"/>
    <cellStyle name="0_BP2_Deferred Tax Calculations_South model Version control 4a S&amp;P" xfId="624" xr:uid="{00000000-0005-0000-0000-000081020000}"/>
    <cellStyle name="0_BP2_Deferred Tax Calculations_South model Version control 4a S&amp;P_AWG_Numbers for Pres_16Jun2005 MB" xfId="625" xr:uid="{00000000-0005-0000-0000-000082020000}"/>
    <cellStyle name="0_BP2_Deferred Tax Calculations_South model Version control 4a S&amp;P_RWE 250805 1900" xfId="626" xr:uid="{00000000-0005-0000-0000-000083020000}"/>
    <cellStyle name="0_BP2_Economic Depreciation" xfId="627" xr:uid="{00000000-0005-0000-0000-000084020000}"/>
    <cellStyle name="0_BP2_Economic Depreciation_AWG_Numbers for Pres_16Jun2005 MB" xfId="628" xr:uid="{00000000-0005-0000-0000-000085020000}"/>
    <cellStyle name="0_BP2_Economic Depreciation_RWE 250805 1900" xfId="629" xr:uid="{00000000-0005-0000-0000-000086020000}"/>
    <cellStyle name="0_BP2_Economic Depreciation_South model Version 280403 1005" xfId="630" xr:uid="{00000000-0005-0000-0000-000087020000}"/>
    <cellStyle name="0_BP2_Economic Depreciation_South model Version 280403 1005_AWG_Numbers for Pres_16Jun2005 MB" xfId="631" xr:uid="{00000000-0005-0000-0000-000088020000}"/>
    <cellStyle name="0_BP2_Economic Depreciation_South model Version 280403 1005_RWE 250805 1900" xfId="632" xr:uid="{00000000-0005-0000-0000-000089020000}"/>
    <cellStyle name="0_BP2_Economic Depreciation_South model Version control 4a S&amp;P" xfId="633" xr:uid="{00000000-0005-0000-0000-00008A020000}"/>
    <cellStyle name="0_BP2_Economic Depreciation_South model Version control 4a S&amp;P_AWG_Numbers for Pres_16Jun2005 MB" xfId="634" xr:uid="{00000000-0005-0000-0000-00008B020000}"/>
    <cellStyle name="0_BP2_Economic Depreciation_South model Version control 4a S&amp;P_RWE 250805 1900" xfId="635" xr:uid="{00000000-0005-0000-0000-00008C020000}"/>
    <cellStyle name="0_BP2_Financing" xfId="636" xr:uid="{00000000-0005-0000-0000-00008D020000}"/>
    <cellStyle name="0_BP2_Financing_AWG_Numbers for Pres_16Jun2005 MB" xfId="637" xr:uid="{00000000-0005-0000-0000-00008E020000}"/>
    <cellStyle name="0_BP2_Financing_RWE 250805 1900" xfId="638" xr:uid="{00000000-0005-0000-0000-00008F020000}"/>
    <cellStyle name="0_BP2_Financing_South model Version 280403 1005" xfId="639" xr:uid="{00000000-0005-0000-0000-000090020000}"/>
    <cellStyle name="0_BP2_Financing_South model Version 280403 1005_AWG_Numbers for Pres_16Jun2005 MB" xfId="640" xr:uid="{00000000-0005-0000-0000-000091020000}"/>
    <cellStyle name="0_BP2_Financing_South model Version 280403 1005_RWE 250805 1900" xfId="641" xr:uid="{00000000-0005-0000-0000-000092020000}"/>
    <cellStyle name="0_BP2_Financing_South model Version control 4a S&amp;P" xfId="642" xr:uid="{00000000-0005-0000-0000-000093020000}"/>
    <cellStyle name="0_BP2_Financing_South model Version control 4a S&amp;P_AWG_Numbers for Pres_16Jun2005 MB" xfId="643" xr:uid="{00000000-0005-0000-0000-000094020000}"/>
    <cellStyle name="0_BP2_Financing_South model Version control 4a S&amp;P_RWE 250805 1900" xfId="644" xr:uid="{00000000-0005-0000-0000-000095020000}"/>
    <cellStyle name="0_BP2_Frontpage" xfId="645" xr:uid="{00000000-0005-0000-0000-000096020000}"/>
    <cellStyle name="0_BP2_Frontpage_AWG_Numbers for Pres_16Jun2005 MB" xfId="646" xr:uid="{00000000-0005-0000-0000-000097020000}"/>
    <cellStyle name="0_BP2_Frontpage_RWE 250805 1900" xfId="647" xr:uid="{00000000-0005-0000-0000-000098020000}"/>
    <cellStyle name="0_BP2_Frontpage_South model Version 280403 1005" xfId="648" xr:uid="{00000000-0005-0000-0000-000099020000}"/>
    <cellStyle name="0_BP2_Frontpage_South model Version 280403 1005_AWG_Numbers for Pres_16Jun2005 MB" xfId="649" xr:uid="{00000000-0005-0000-0000-00009A020000}"/>
    <cellStyle name="0_BP2_Frontpage_South model Version 280403 1005_RWE 250805 1900" xfId="650" xr:uid="{00000000-0005-0000-0000-00009B020000}"/>
    <cellStyle name="0_BP2_Frontpage_South model Version control 4a S&amp;P" xfId="651" xr:uid="{00000000-0005-0000-0000-00009C020000}"/>
    <cellStyle name="0_BP2_Frontpage_South model Version control 4a S&amp;P_AWG_Numbers for Pres_16Jun2005 MB" xfId="652" xr:uid="{00000000-0005-0000-0000-00009D020000}"/>
    <cellStyle name="0_BP2_Frontpage_South model Version control 4a S&amp;P_RWE 250805 1900" xfId="653" xr:uid="{00000000-0005-0000-0000-00009E020000}"/>
    <cellStyle name="0_BP2_Indstilling" xfId="654" xr:uid="{00000000-0005-0000-0000-00009F020000}"/>
    <cellStyle name="0_BP2_Indstilling_AWG_Numbers for Pres_16Jun2005 MB" xfId="655" xr:uid="{00000000-0005-0000-0000-0000A0020000}"/>
    <cellStyle name="0_BP2_Indstilling_RWE 250805 1900" xfId="656" xr:uid="{00000000-0005-0000-0000-0000A1020000}"/>
    <cellStyle name="0_BP2_Indstilling_South model Version 280403 1005" xfId="657" xr:uid="{00000000-0005-0000-0000-0000A2020000}"/>
    <cellStyle name="0_BP2_Indstilling_South model Version 280403 1005_AWG_Numbers for Pres_16Jun2005 MB" xfId="658" xr:uid="{00000000-0005-0000-0000-0000A3020000}"/>
    <cellStyle name="0_BP2_Indstilling_South model Version 280403 1005_RWE 250805 1900" xfId="659" xr:uid="{00000000-0005-0000-0000-0000A4020000}"/>
    <cellStyle name="0_BP2_Indstilling_South model Version control 4a S&amp;P" xfId="660" xr:uid="{00000000-0005-0000-0000-0000A5020000}"/>
    <cellStyle name="0_BP2_Indstilling_South model Version control 4a S&amp;P_AWG_Numbers for Pres_16Jun2005 MB" xfId="661" xr:uid="{00000000-0005-0000-0000-0000A6020000}"/>
    <cellStyle name="0_BP2_Indstilling_South model Version control 4a S&amp;P_RWE 250805 1900" xfId="662" xr:uid="{00000000-0005-0000-0000-0000A7020000}"/>
    <cellStyle name="0_BP2_Inflation &amp; Currency" xfId="663" xr:uid="{00000000-0005-0000-0000-0000A8020000}"/>
    <cellStyle name="0_BP2_Inflation &amp; Currency_AWG_Numbers for Pres_16Jun2005 MB" xfId="664" xr:uid="{00000000-0005-0000-0000-0000A9020000}"/>
    <cellStyle name="0_BP2_Inflation &amp; Currency_RWE 250805 1900" xfId="665" xr:uid="{00000000-0005-0000-0000-0000AA020000}"/>
    <cellStyle name="0_BP2_Inflation &amp; Currency_South model Version 280403 1005" xfId="666" xr:uid="{00000000-0005-0000-0000-0000AB020000}"/>
    <cellStyle name="0_BP2_Inflation &amp; Currency_South model Version 280403 1005_AWG_Numbers for Pres_16Jun2005 MB" xfId="667" xr:uid="{00000000-0005-0000-0000-0000AC020000}"/>
    <cellStyle name="0_BP2_Inflation &amp; Currency_South model Version 280403 1005_RWE 250805 1900" xfId="668" xr:uid="{00000000-0005-0000-0000-0000AD020000}"/>
    <cellStyle name="0_BP2_Inflation &amp; Currency_South model Version control 4a S&amp;P" xfId="669" xr:uid="{00000000-0005-0000-0000-0000AE020000}"/>
    <cellStyle name="0_BP2_Inflation &amp; Currency_South model Version control 4a S&amp;P_AWG_Numbers for Pres_16Jun2005 MB" xfId="670" xr:uid="{00000000-0005-0000-0000-0000AF020000}"/>
    <cellStyle name="0_BP2_Inflation &amp; Currency_South model Version control 4a S&amp;P_RWE 250805 1900" xfId="671" xr:uid="{00000000-0005-0000-0000-0000B0020000}"/>
    <cellStyle name="0_BP2_Information" xfId="672" xr:uid="{00000000-0005-0000-0000-0000B1020000}"/>
    <cellStyle name="0_BP2_Information_AWG_Numbers for Pres_16Jun2005 MB" xfId="673" xr:uid="{00000000-0005-0000-0000-0000B2020000}"/>
    <cellStyle name="0_BP2_Information_RWE 250805 1900" xfId="674" xr:uid="{00000000-0005-0000-0000-0000B3020000}"/>
    <cellStyle name="0_BP2_Information_South model Version 280403 1005" xfId="675" xr:uid="{00000000-0005-0000-0000-0000B4020000}"/>
    <cellStyle name="0_BP2_Information_South model Version 280403 1005_AWG_Numbers for Pres_16Jun2005 MB" xfId="676" xr:uid="{00000000-0005-0000-0000-0000B5020000}"/>
    <cellStyle name="0_BP2_Information_South model Version 280403 1005_RWE 250805 1900" xfId="677" xr:uid="{00000000-0005-0000-0000-0000B6020000}"/>
    <cellStyle name="0_BP2_Information_South model Version control 4a S&amp;P" xfId="678" xr:uid="{00000000-0005-0000-0000-0000B7020000}"/>
    <cellStyle name="0_BP2_Information_South model Version control 4a S&amp;P_AWG_Numbers for Pres_16Jun2005 MB" xfId="679" xr:uid="{00000000-0005-0000-0000-0000B8020000}"/>
    <cellStyle name="0_BP2_Information_South model Version control 4a S&amp;P_RWE 250805 1900" xfId="680" xr:uid="{00000000-0005-0000-0000-0000B9020000}"/>
    <cellStyle name="0_BP2_Input area" xfId="681" xr:uid="{00000000-0005-0000-0000-0000BA020000}"/>
    <cellStyle name="0_BP2_Input area_AWG_Numbers for Pres_16Jun2005 MB" xfId="682" xr:uid="{00000000-0005-0000-0000-0000BB020000}"/>
    <cellStyle name="0_BP2_Input area_RWE 250805 1900" xfId="683" xr:uid="{00000000-0005-0000-0000-0000BC020000}"/>
    <cellStyle name="0_BP2_Input area_South model Version 280403 1005" xfId="684" xr:uid="{00000000-0005-0000-0000-0000BD020000}"/>
    <cellStyle name="0_BP2_Input area_South model Version 280403 1005_AWG_Numbers for Pres_16Jun2005 MB" xfId="685" xr:uid="{00000000-0005-0000-0000-0000BE020000}"/>
    <cellStyle name="0_BP2_Input area_South model Version 280403 1005_RWE 250805 1900" xfId="686" xr:uid="{00000000-0005-0000-0000-0000BF020000}"/>
    <cellStyle name="0_BP2_Input area_South model Version control 4a S&amp;P" xfId="687" xr:uid="{00000000-0005-0000-0000-0000C0020000}"/>
    <cellStyle name="0_BP2_Input area_South model Version control 4a S&amp;P_AWG_Numbers for Pres_16Jun2005 MB" xfId="688" xr:uid="{00000000-0005-0000-0000-0000C1020000}"/>
    <cellStyle name="0_BP2_Input area_South model Version control 4a S&amp;P_RWE 250805 1900" xfId="689" xr:uid="{00000000-0005-0000-0000-0000C2020000}"/>
    <cellStyle name="0_BP2_INPUT-AREA" xfId="690" xr:uid="{00000000-0005-0000-0000-0000C3020000}"/>
    <cellStyle name="0_BP2_INPUT-AREA_AWG_Numbers for Pres_16Jun2005 MB" xfId="691" xr:uid="{00000000-0005-0000-0000-0000C4020000}"/>
    <cellStyle name="0_BP2_INPUT-AREA_RWE 250805 1900" xfId="692" xr:uid="{00000000-0005-0000-0000-0000C5020000}"/>
    <cellStyle name="0_BP2_INPUT-AREA_South model Version 280403 1005" xfId="693" xr:uid="{00000000-0005-0000-0000-0000C6020000}"/>
    <cellStyle name="0_BP2_INPUT-AREA_South model Version 280403 1005_AWG_Numbers for Pres_16Jun2005 MB" xfId="694" xr:uid="{00000000-0005-0000-0000-0000C7020000}"/>
    <cellStyle name="0_BP2_INPUT-AREA_South model Version 280403 1005_RWE 250805 1900" xfId="695" xr:uid="{00000000-0005-0000-0000-0000C8020000}"/>
    <cellStyle name="0_BP2_INPUT-AREA_South model Version control 4a S&amp;P" xfId="696" xr:uid="{00000000-0005-0000-0000-0000C9020000}"/>
    <cellStyle name="0_BP2_INPUT-AREA_South model Version control 4a S&amp;P_AWG_Numbers for Pres_16Jun2005 MB" xfId="697" xr:uid="{00000000-0005-0000-0000-0000CA020000}"/>
    <cellStyle name="0_BP2_INPUT-AREA_South model Version control 4a S&amp;P_RWE 250805 1900" xfId="698" xr:uid="{00000000-0005-0000-0000-0000CB020000}"/>
    <cellStyle name="0_BP2_Interconnect" xfId="699" xr:uid="{00000000-0005-0000-0000-0000CC020000}"/>
    <cellStyle name="0_BP2_Interconnect_AWG_Numbers for Pres_16Jun2005 MB" xfId="700" xr:uid="{00000000-0005-0000-0000-0000CD020000}"/>
    <cellStyle name="0_BP2_Interconnect_RWE 250805 1900" xfId="701" xr:uid="{00000000-0005-0000-0000-0000CE020000}"/>
    <cellStyle name="0_BP2_Interconnect_South model Version 280403 1005" xfId="702" xr:uid="{00000000-0005-0000-0000-0000CF020000}"/>
    <cellStyle name="0_BP2_Interconnect_South model Version 280403 1005_AWG_Numbers for Pres_16Jun2005 MB" xfId="703" xr:uid="{00000000-0005-0000-0000-0000D0020000}"/>
    <cellStyle name="0_BP2_Interconnect_South model Version 280403 1005_RWE 250805 1900" xfId="704" xr:uid="{00000000-0005-0000-0000-0000D1020000}"/>
    <cellStyle name="0_BP2_Interconnect_South model Version control 4a S&amp;P" xfId="705" xr:uid="{00000000-0005-0000-0000-0000D2020000}"/>
    <cellStyle name="0_BP2_Interconnect_South model Version control 4a S&amp;P_AWG_Numbers for Pres_16Jun2005 MB" xfId="706" xr:uid="{00000000-0005-0000-0000-0000D3020000}"/>
    <cellStyle name="0_BP2_Interconnect_South model Version control 4a S&amp;P_RWE 250805 1900" xfId="707" xr:uid="{00000000-0005-0000-0000-0000D4020000}"/>
    <cellStyle name="0_BP2_Key Figures" xfId="708" xr:uid="{00000000-0005-0000-0000-0000D5020000}"/>
    <cellStyle name="0_BP2_Key Figures_AWG_Numbers for Pres_16Jun2005 MB" xfId="709" xr:uid="{00000000-0005-0000-0000-0000D6020000}"/>
    <cellStyle name="0_BP2_Key Figures_RWE 250805 1900" xfId="710" xr:uid="{00000000-0005-0000-0000-0000D7020000}"/>
    <cellStyle name="0_BP2_Key Figures_South model Version 280403 1005" xfId="711" xr:uid="{00000000-0005-0000-0000-0000D8020000}"/>
    <cellStyle name="0_BP2_Key Figures_South model Version 280403 1005_AWG_Numbers for Pres_16Jun2005 MB" xfId="712" xr:uid="{00000000-0005-0000-0000-0000D9020000}"/>
    <cellStyle name="0_BP2_Key Figures_South model Version 280403 1005_RWE 250805 1900" xfId="713" xr:uid="{00000000-0005-0000-0000-0000DA020000}"/>
    <cellStyle name="0_BP2_Key Figures_South model Version control 4a S&amp;P" xfId="714" xr:uid="{00000000-0005-0000-0000-0000DB020000}"/>
    <cellStyle name="0_BP2_Key Figures_South model Version control 4a S&amp;P_AWG_Numbers for Pres_16Jun2005 MB" xfId="715" xr:uid="{00000000-0005-0000-0000-0000DC020000}"/>
    <cellStyle name="0_BP2_Key Figures_South model Version control 4a S&amp;P_RWE 250805 1900" xfId="716" xr:uid="{00000000-0005-0000-0000-0000DD020000}"/>
    <cellStyle name="0_BP2_Marketing" xfId="717" xr:uid="{00000000-0005-0000-0000-0000DE020000}"/>
    <cellStyle name="0_BP2_Marketing_AWG_Numbers for Pres_16Jun2005 MB" xfId="718" xr:uid="{00000000-0005-0000-0000-0000DF020000}"/>
    <cellStyle name="0_BP2_Marketing_RWE 250805 1900" xfId="719" xr:uid="{00000000-0005-0000-0000-0000E0020000}"/>
    <cellStyle name="0_BP2_Marketing_South model Version 280403 1005" xfId="720" xr:uid="{00000000-0005-0000-0000-0000E1020000}"/>
    <cellStyle name="0_BP2_Marketing_South model Version 280403 1005_AWG_Numbers for Pres_16Jun2005 MB" xfId="721" xr:uid="{00000000-0005-0000-0000-0000E2020000}"/>
    <cellStyle name="0_BP2_Marketing_South model Version 280403 1005_RWE 250805 1900" xfId="722" xr:uid="{00000000-0005-0000-0000-0000E3020000}"/>
    <cellStyle name="0_BP2_Marketing_South model Version control 4a S&amp;P" xfId="723" xr:uid="{00000000-0005-0000-0000-0000E4020000}"/>
    <cellStyle name="0_BP2_Marketing_South model Version control 4a S&amp;P_AWG_Numbers for Pres_16Jun2005 MB" xfId="724" xr:uid="{00000000-0005-0000-0000-0000E5020000}"/>
    <cellStyle name="0_BP2_Marketing_South model Version control 4a S&amp;P_RWE 250805 1900" xfId="725" xr:uid="{00000000-0005-0000-0000-0000E6020000}"/>
    <cellStyle name="0_BP2_Organization" xfId="726" xr:uid="{00000000-0005-0000-0000-0000E7020000}"/>
    <cellStyle name="0_BP2_Organization_AWG_Numbers for Pres_16Jun2005 MB" xfId="727" xr:uid="{00000000-0005-0000-0000-0000E8020000}"/>
    <cellStyle name="0_BP2_Organization_RWE 250805 1900" xfId="728" xr:uid="{00000000-0005-0000-0000-0000E9020000}"/>
    <cellStyle name="0_BP2_Organization_South model Version 280403 1005" xfId="729" xr:uid="{00000000-0005-0000-0000-0000EA020000}"/>
    <cellStyle name="0_BP2_Organization_South model Version 280403 1005_AWG_Numbers for Pres_16Jun2005 MB" xfId="730" xr:uid="{00000000-0005-0000-0000-0000EB020000}"/>
    <cellStyle name="0_BP2_Organization_South model Version 280403 1005_RWE 250805 1900" xfId="731" xr:uid="{00000000-0005-0000-0000-0000EC020000}"/>
    <cellStyle name="0_BP2_Organization_South model Version control 4a S&amp;P" xfId="732" xr:uid="{00000000-0005-0000-0000-0000ED020000}"/>
    <cellStyle name="0_BP2_Organization_South model Version control 4a S&amp;P_AWG_Numbers for Pres_16Jun2005 MB" xfId="733" xr:uid="{00000000-0005-0000-0000-0000EE020000}"/>
    <cellStyle name="0_BP2_Organization_South model Version control 4a S&amp;P_RWE 250805 1900" xfId="734" xr:uid="{00000000-0005-0000-0000-0000EF020000}"/>
    <cellStyle name="0_BP2_Output" xfId="735" xr:uid="{00000000-0005-0000-0000-0000F0020000}"/>
    <cellStyle name="0_BP2_Output_AWG_Numbers for Pres_16Jun2005 MB" xfId="736" xr:uid="{00000000-0005-0000-0000-0000F1020000}"/>
    <cellStyle name="0_BP2_Output_RWE 250805 1900" xfId="737" xr:uid="{00000000-0005-0000-0000-0000F2020000}"/>
    <cellStyle name="0_BP2_Output_South model Version 280403 1005" xfId="738" xr:uid="{00000000-0005-0000-0000-0000F3020000}"/>
    <cellStyle name="0_BP2_Output_South model Version 280403 1005_AWG_Numbers for Pres_16Jun2005 MB" xfId="739" xr:uid="{00000000-0005-0000-0000-0000F4020000}"/>
    <cellStyle name="0_BP2_Output_South model Version 280403 1005_RWE 250805 1900" xfId="740" xr:uid="{00000000-0005-0000-0000-0000F5020000}"/>
    <cellStyle name="0_BP2_Output_South model Version control 4a S&amp;P" xfId="741" xr:uid="{00000000-0005-0000-0000-0000F6020000}"/>
    <cellStyle name="0_BP2_Output_South model Version control 4a S&amp;P_AWG_Numbers for Pres_16Jun2005 MB" xfId="742" xr:uid="{00000000-0005-0000-0000-0000F7020000}"/>
    <cellStyle name="0_BP2_Output_South model Version control 4a S&amp;P_RWE 250805 1900" xfId="743" xr:uid="{00000000-0005-0000-0000-0000F8020000}"/>
    <cellStyle name="0_BP2_Profit &amp; Loss" xfId="744" xr:uid="{00000000-0005-0000-0000-0000F9020000}"/>
    <cellStyle name="0_BP2_Profit &amp; Loss_AWG_Numbers for Pres_16Jun2005 MB" xfId="745" xr:uid="{00000000-0005-0000-0000-0000FA020000}"/>
    <cellStyle name="0_BP2_Profit &amp; Loss_RWE 250805 1900" xfId="746" xr:uid="{00000000-0005-0000-0000-0000FB020000}"/>
    <cellStyle name="0_BP2_Profit &amp; Loss_South model Version 280403 1005" xfId="747" xr:uid="{00000000-0005-0000-0000-0000FC020000}"/>
    <cellStyle name="0_BP2_Profit &amp; Loss_South model Version 280403 1005_AWG_Numbers for Pres_16Jun2005 MB" xfId="748" xr:uid="{00000000-0005-0000-0000-0000FD020000}"/>
    <cellStyle name="0_BP2_Profit &amp; Loss_South model Version 280403 1005_RWE 250805 1900" xfId="749" xr:uid="{00000000-0005-0000-0000-0000FE020000}"/>
    <cellStyle name="0_BP2_Profit &amp; Loss_South model Version control 4a S&amp;P" xfId="750" xr:uid="{00000000-0005-0000-0000-0000FF020000}"/>
    <cellStyle name="0_BP2_Profit &amp; Loss_South model Version control 4a S&amp;P_AWG_Numbers for Pres_16Jun2005 MB" xfId="751" xr:uid="{00000000-0005-0000-0000-000000030000}"/>
    <cellStyle name="0_BP2_Profit &amp; Loss_South model Version control 4a S&amp;P_RWE 250805 1900" xfId="752" xr:uid="{00000000-0005-0000-0000-000001030000}"/>
    <cellStyle name="0_BP2_Revenue Summary" xfId="753" xr:uid="{00000000-0005-0000-0000-000002030000}"/>
    <cellStyle name="0_BP2_Revenue Summary_AWG_Numbers for Pres_16Jun2005 MB" xfId="754" xr:uid="{00000000-0005-0000-0000-000003030000}"/>
    <cellStyle name="0_BP2_Revenue Summary_RWE 250805 1900" xfId="755" xr:uid="{00000000-0005-0000-0000-000004030000}"/>
    <cellStyle name="0_BP2_Revenue Summary_South model Version 280403 1005" xfId="756" xr:uid="{00000000-0005-0000-0000-000005030000}"/>
    <cellStyle name="0_BP2_Revenue Summary_South model Version 280403 1005_AWG_Numbers for Pres_16Jun2005 MB" xfId="757" xr:uid="{00000000-0005-0000-0000-000006030000}"/>
    <cellStyle name="0_BP2_Revenue Summary_South model Version 280403 1005_RWE 250805 1900" xfId="758" xr:uid="{00000000-0005-0000-0000-000007030000}"/>
    <cellStyle name="0_BP2_Revenue Summary_South model Version control 4a S&amp;P" xfId="759" xr:uid="{00000000-0005-0000-0000-000008030000}"/>
    <cellStyle name="0_BP2_Revenue Summary_South model Version control 4a S&amp;P_AWG_Numbers for Pres_16Jun2005 MB" xfId="760" xr:uid="{00000000-0005-0000-0000-000009030000}"/>
    <cellStyle name="0_BP2_Revenue Summary_South model Version control 4a S&amp;P_RWE 250805 1900" xfId="761" xr:uid="{00000000-0005-0000-0000-00000A030000}"/>
    <cellStyle name="0_BP2_Roaming" xfId="762" xr:uid="{00000000-0005-0000-0000-00000B030000}"/>
    <cellStyle name="0_BP2_Roaming_AWG_Numbers for Pres_16Jun2005 MB" xfId="763" xr:uid="{00000000-0005-0000-0000-00000C030000}"/>
    <cellStyle name="0_BP2_Roaming_RWE 250805 1900" xfId="764" xr:uid="{00000000-0005-0000-0000-00000D030000}"/>
    <cellStyle name="0_BP2_Roaming_South model Version 280403 1005" xfId="765" xr:uid="{00000000-0005-0000-0000-00000E030000}"/>
    <cellStyle name="0_BP2_Roaming_South model Version 280403 1005_AWG_Numbers for Pres_16Jun2005 MB" xfId="766" xr:uid="{00000000-0005-0000-0000-00000F030000}"/>
    <cellStyle name="0_BP2_Roaming_South model Version 280403 1005_RWE 250805 1900" xfId="767" xr:uid="{00000000-0005-0000-0000-000010030000}"/>
    <cellStyle name="0_BP2_Roaming_South model Version control 4a S&amp;P" xfId="768" xr:uid="{00000000-0005-0000-0000-000011030000}"/>
    <cellStyle name="0_BP2_Roaming_South model Version control 4a S&amp;P_AWG_Numbers for Pres_16Jun2005 MB" xfId="769" xr:uid="{00000000-0005-0000-0000-000012030000}"/>
    <cellStyle name="0_BP2_Roaming_South model Version control 4a S&amp;P_RWE 250805 1900" xfId="770" xr:uid="{00000000-0005-0000-0000-000013030000}"/>
    <cellStyle name="0_BP2_RWE 250805 1900" xfId="771" xr:uid="{00000000-0005-0000-0000-000014030000}"/>
    <cellStyle name="0_BP2_Sales - Channels" xfId="772" xr:uid="{00000000-0005-0000-0000-000015030000}"/>
    <cellStyle name="0_BP2_Sales - Channels_AWG_Numbers for Pres_16Jun2005 MB" xfId="773" xr:uid="{00000000-0005-0000-0000-000016030000}"/>
    <cellStyle name="0_BP2_Sales - Channels_RWE 250805 1900" xfId="774" xr:uid="{00000000-0005-0000-0000-000017030000}"/>
    <cellStyle name="0_BP2_Sales - Channels_South model Version 280403 1005" xfId="775" xr:uid="{00000000-0005-0000-0000-000018030000}"/>
    <cellStyle name="0_BP2_Sales - Channels_South model Version 280403 1005_AWG_Numbers for Pres_16Jun2005 MB" xfId="776" xr:uid="{00000000-0005-0000-0000-000019030000}"/>
    <cellStyle name="0_BP2_Sales - Channels_South model Version 280403 1005_RWE 250805 1900" xfId="777" xr:uid="{00000000-0005-0000-0000-00001A030000}"/>
    <cellStyle name="0_BP2_Sales - Channels_South model Version control 4a S&amp;P" xfId="778" xr:uid="{00000000-0005-0000-0000-00001B030000}"/>
    <cellStyle name="0_BP2_Sales - Channels_South model Version control 4a S&amp;P_AWG_Numbers for Pres_16Jun2005 MB" xfId="779" xr:uid="{00000000-0005-0000-0000-00001C030000}"/>
    <cellStyle name="0_BP2_Sales - Channels_South model Version control 4a S&amp;P_RWE 250805 1900" xfId="780" xr:uid="{00000000-0005-0000-0000-00001D030000}"/>
    <cellStyle name="0_BP2_Sales - Segments" xfId="781" xr:uid="{00000000-0005-0000-0000-00001E030000}"/>
    <cellStyle name="0_BP2_Sales - Segments_AWG_Numbers for Pres_16Jun2005 MB" xfId="782" xr:uid="{00000000-0005-0000-0000-00001F030000}"/>
    <cellStyle name="0_BP2_Sales - Segments_RWE 250805 1900" xfId="783" xr:uid="{00000000-0005-0000-0000-000020030000}"/>
    <cellStyle name="0_BP2_Sales - Segments_South model Version 280403 1005" xfId="784" xr:uid="{00000000-0005-0000-0000-000021030000}"/>
    <cellStyle name="0_BP2_Sales - Segments_South model Version 280403 1005_AWG_Numbers for Pres_16Jun2005 MB" xfId="785" xr:uid="{00000000-0005-0000-0000-000022030000}"/>
    <cellStyle name="0_BP2_Sales - Segments_South model Version 280403 1005_RWE 250805 1900" xfId="786" xr:uid="{00000000-0005-0000-0000-000023030000}"/>
    <cellStyle name="0_BP2_Sales - Segments_South model Version control 4a S&amp;P" xfId="787" xr:uid="{00000000-0005-0000-0000-000024030000}"/>
    <cellStyle name="0_BP2_Sales - Segments_South model Version control 4a S&amp;P_AWG_Numbers for Pres_16Jun2005 MB" xfId="788" xr:uid="{00000000-0005-0000-0000-000025030000}"/>
    <cellStyle name="0_BP2_Sales - Segments_South model Version control 4a S&amp;P_RWE 250805 1900" xfId="789" xr:uid="{00000000-0005-0000-0000-000026030000}"/>
    <cellStyle name="0_BP2_South model Version 280403 1005" xfId="790" xr:uid="{00000000-0005-0000-0000-000027030000}"/>
    <cellStyle name="0_BP2_South model Version 280403 1005_AWG_Numbers for Pres_16Jun2005 MB" xfId="791" xr:uid="{00000000-0005-0000-0000-000028030000}"/>
    <cellStyle name="0_BP2_South model Version 280403 1005_RWE 250805 1900" xfId="792" xr:uid="{00000000-0005-0000-0000-000029030000}"/>
    <cellStyle name="0_BP2_South model Version control 4a S&amp;P" xfId="793" xr:uid="{00000000-0005-0000-0000-00002A030000}"/>
    <cellStyle name="0_BP2_South model Version control 4a S&amp;P_AWG_Numbers for Pres_16Jun2005 MB" xfId="794" xr:uid="{00000000-0005-0000-0000-00002B030000}"/>
    <cellStyle name="0_BP2_South model Version control 4a S&amp;P_RWE 250805 1900" xfId="795" xr:uid="{00000000-0005-0000-0000-00002C030000}"/>
    <cellStyle name="0_BP2_Tax Depreciation " xfId="796" xr:uid="{00000000-0005-0000-0000-00002D030000}"/>
    <cellStyle name="0_BP2_Tax Depreciation _AWG_Numbers for Pres_16Jun2005 MB" xfId="797" xr:uid="{00000000-0005-0000-0000-00002E030000}"/>
    <cellStyle name="0_BP2_Tax Depreciation _RWE 250805 1900" xfId="798" xr:uid="{00000000-0005-0000-0000-00002F030000}"/>
    <cellStyle name="0_BP2_Tax Depreciation _South model Version 280403 1005" xfId="799" xr:uid="{00000000-0005-0000-0000-000030030000}"/>
    <cellStyle name="0_BP2_Tax Depreciation _South model Version 280403 1005_AWG_Numbers for Pres_16Jun2005 MB" xfId="800" xr:uid="{00000000-0005-0000-0000-000031030000}"/>
    <cellStyle name="0_BP2_Tax Depreciation _South model Version 280403 1005_RWE 250805 1900" xfId="801" xr:uid="{00000000-0005-0000-0000-000032030000}"/>
    <cellStyle name="0_BP2_Tax Depreciation _South model Version control 4a S&amp;P" xfId="802" xr:uid="{00000000-0005-0000-0000-000033030000}"/>
    <cellStyle name="0_BP2_Tax Depreciation _South model Version control 4a S&amp;P_AWG_Numbers for Pres_16Jun2005 MB" xfId="803" xr:uid="{00000000-0005-0000-0000-000034030000}"/>
    <cellStyle name="0_BP2_Tax Depreciation _South model Version control 4a S&amp;P_RWE 250805 1900" xfId="804" xr:uid="{00000000-0005-0000-0000-000035030000}"/>
    <cellStyle name="0_BP2_Tele Danmark Accounts" xfId="805" xr:uid="{00000000-0005-0000-0000-000036030000}"/>
    <cellStyle name="0_BP2_Tele Danmark Accounts_AWG_Numbers for Pres_16Jun2005 MB" xfId="806" xr:uid="{00000000-0005-0000-0000-000037030000}"/>
    <cellStyle name="0_BP2_Tele Danmark Accounts_RWE 250805 1900" xfId="807" xr:uid="{00000000-0005-0000-0000-000038030000}"/>
    <cellStyle name="0_BP2_Tele Danmark Accounts_South model Version 280403 1005" xfId="808" xr:uid="{00000000-0005-0000-0000-000039030000}"/>
    <cellStyle name="0_BP2_Tele Danmark Accounts_South model Version 280403 1005_AWG_Numbers for Pres_16Jun2005 MB" xfId="809" xr:uid="{00000000-0005-0000-0000-00003A030000}"/>
    <cellStyle name="0_BP2_Tele Danmark Accounts_South model Version 280403 1005_RWE 250805 1900" xfId="810" xr:uid="{00000000-0005-0000-0000-00003B030000}"/>
    <cellStyle name="0_BP2_Tele Danmark Accounts_South model Version control 4a S&amp;P" xfId="811" xr:uid="{00000000-0005-0000-0000-00003C030000}"/>
    <cellStyle name="0_BP2_Tele Danmark Accounts_South model Version control 4a S&amp;P_AWG_Numbers for Pres_16Jun2005 MB" xfId="812" xr:uid="{00000000-0005-0000-0000-00003D030000}"/>
    <cellStyle name="0_BP2_Tele Danmark Accounts_South model Version control 4a S&amp;P_RWE 250805 1900" xfId="813" xr:uid="{00000000-0005-0000-0000-00003E030000}"/>
    <cellStyle name="0_BP2_VARIABLES" xfId="814" xr:uid="{00000000-0005-0000-0000-00003F030000}"/>
    <cellStyle name="0_BP2_Variables (2)" xfId="815" xr:uid="{00000000-0005-0000-0000-000040030000}"/>
    <cellStyle name="0_BP2_Variables (2)_AWG_Numbers for Pres_16Jun2005 MB" xfId="816" xr:uid="{00000000-0005-0000-0000-000041030000}"/>
    <cellStyle name="0_BP2_Variables (2)_RWE 250805 1900" xfId="817" xr:uid="{00000000-0005-0000-0000-000042030000}"/>
    <cellStyle name="0_BP2_Variables (2)_South model Version 280403 1005" xfId="818" xr:uid="{00000000-0005-0000-0000-000043030000}"/>
    <cellStyle name="0_BP2_Variables (2)_South model Version 280403 1005_AWG_Numbers for Pres_16Jun2005 MB" xfId="819" xr:uid="{00000000-0005-0000-0000-000044030000}"/>
    <cellStyle name="0_BP2_Variables (2)_South model Version 280403 1005_RWE 250805 1900" xfId="820" xr:uid="{00000000-0005-0000-0000-000045030000}"/>
    <cellStyle name="0_BP2_Variables (2)_South model Version control 4a S&amp;P" xfId="821" xr:uid="{00000000-0005-0000-0000-000046030000}"/>
    <cellStyle name="0_BP2_Variables (2)_South model Version control 4a S&amp;P_AWG_Numbers for Pres_16Jun2005 MB" xfId="822" xr:uid="{00000000-0005-0000-0000-000047030000}"/>
    <cellStyle name="0_BP2_Variables (2)_South model Version control 4a S&amp;P_RWE 250805 1900" xfId="823" xr:uid="{00000000-0005-0000-0000-000048030000}"/>
    <cellStyle name="0_BP2_VARIABLES_AWG_Numbers for Pres_16Jun2005 MB" xfId="824" xr:uid="{00000000-0005-0000-0000-000049030000}"/>
    <cellStyle name="0_BP2_VARIABLES_RWE 250805 1900" xfId="825" xr:uid="{00000000-0005-0000-0000-00004A030000}"/>
    <cellStyle name="0_BP2_VARIABLES_South model Version 280403 1005" xfId="826" xr:uid="{00000000-0005-0000-0000-00004B030000}"/>
    <cellStyle name="0_BP2_VARIABLES_South model Version 280403 1005_AWG_Numbers for Pres_16Jun2005 MB" xfId="827" xr:uid="{00000000-0005-0000-0000-00004C030000}"/>
    <cellStyle name="0_BP2_VARIABLES_South model Version 280403 1005_RWE 250805 1900" xfId="828" xr:uid="{00000000-0005-0000-0000-00004D030000}"/>
    <cellStyle name="0_BP2_VARIABLES_South model Version control 4a S&amp;P" xfId="829" xr:uid="{00000000-0005-0000-0000-00004E030000}"/>
    <cellStyle name="0_BP2_VARIABLES_South model Version control 4a S&amp;P_AWG_Numbers for Pres_16Jun2005 MB" xfId="830" xr:uid="{00000000-0005-0000-0000-00004F030000}"/>
    <cellStyle name="0_BP2_VARIABLES_South model Version control 4a S&amp;P_RWE 250805 1900" xfId="831" xr:uid="{00000000-0005-0000-0000-000050030000}"/>
    <cellStyle name="0_BP3" xfId="832" xr:uid="{00000000-0005-0000-0000-000051030000}"/>
    <cellStyle name="0_BP3_AWG_Numbers for Pres_16Jun2005 MB" xfId="833" xr:uid="{00000000-0005-0000-0000-000052030000}"/>
    <cellStyle name="0_BP3_Balance sheet" xfId="834" xr:uid="{00000000-0005-0000-0000-000053030000}"/>
    <cellStyle name="0_BP3_Balance sheet_AWG_Numbers for Pres_16Jun2005 MB" xfId="835" xr:uid="{00000000-0005-0000-0000-000054030000}"/>
    <cellStyle name="0_BP3_Balance sheet_RWE 250805 1900" xfId="836" xr:uid="{00000000-0005-0000-0000-000055030000}"/>
    <cellStyle name="0_BP3_Balance sheet_South model Version 280403 1005" xfId="837" xr:uid="{00000000-0005-0000-0000-000056030000}"/>
    <cellStyle name="0_BP3_Balance sheet_South model Version 280403 1005_AWG_Numbers for Pres_16Jun2005 MB" xfId="838" xr:uid="{00000000-0005-0000-0000-000057030000}"/>
    <cellStyle name="0_BP3_Balance sheet_South model Version 280403 1005_RWE 250805 1900" xfId="839" xr:uid="{00000000-0005-0000-0000-000058030000}"/>
    <cellStyle name="0_BP3_Balance sheet_South model Version control 4a S&amp;P" xfId="840" xr:uid="{00000000-0005-0000-0000-000059030000}"/>
    <cellStyle name="0_BP3_Balance sheet_South model Version control 4a S&amp;P_AWG_Numbers for Pres_16Jun2005 MB" xfId="841" xr:uid="{00000000-0005-0000-0000-00005A030000}"/>
    <cellStyle name="0_BP3_Balance sheet_South model Version control 4a S&amp;P_RWE 250805 1900" xfId="842" xr:uid="{00000000-0005-0000-0000-00005B030000}"/>
    <cellStyle name="0_BP3_CAPEX - OPEX SUMMARY" xfId="843" xr:uid="{00000000-0005-0000-0000-00005C030000}"/>
    <cellStyle name="0_BP3_CAPEX - OPEX SUMMARY_AWG_Numbers for Pres_16Jun2005 MB" xfId="844" xr:uid="{00000000-0005-0000-0000-00005D030000}"/>
    <cellStyle name="0_BP3_CAPEX - OPEX SUMMARY_RWE 250805 1900" xfId="845" xr:uid="{00000000-0005-0000-0000-00005E030000}"/>
    <cellStyle name="0_BP3_CAPEX - OPEX SUMMARY_South model Version 280403 1005" xfId="846" xr:uid="{00000000-0005-0000-0000-00005F030000}"/>
    <cellStyle name="0_BP3_CAPEX - OPEX SUMMARY_South model Version 280403 1005_AWG_Numbers for Pres_16Jun2005 MB" xfId="847" xr:uid="{00000000-0005-0000-0000-000060030000}"/>
    <cellStyle name="0_BP3_CAPEX - OPEX SUMMARY_South model Version 280403 1005_RWE 250805 1900" xfId="848" xr:uid="{00000000-0005-0000-0000-000061030000}"/>
    <cellStyle name="0_BP3_CAPEX - OPEX SUMMARY_South model Version control 4a S&amp;P" xfId="849" xr:uid="{00000000-0005-0000-0000-000062030000}"/>
    <cellStyle name="0_BP3_CAPEX - OPEX SUMMARY_South model Version control 4a S&amp;P_AWG_Numbers for Pres_16Jun2005 MB" xfId="850" xr:uid="{00000000-0005-0000-0000-000063030000}"/>
    <cellStyle name="0_BP3_CAPEX - OPEX SUMMARY_South model Version control 4a S&amp;P_RWE 250805 1900" xfId="851" xr:uid="{00000000-0005-0000-0000-000064030000}"/>
    <cellStyle name="0_BP3_Cash Flow" xfId="852" xr:uid="{00000000-0005-0000-0000-000065030000}"/>
    <cellStyle name="0_BP3_Cash Flow_AWG_Numbers for Pres_16Jun2005 MB" xfId="853" xr:uid="{00000000-0005-0000-0000-000066030000}"/>
    <cellStyle name="0_BP3_Cash Flow_RWE 250805 1900" xfId="854" xr:uid="{00000000-0005-0000-0000-000067030000}"/>
    <cellStyle name="0_BP3_Cash Flow_South model Version 280403 1005" xfId="855" xr:uid="{00000000-0005-0000-0000-000068030000}"/>
    <cellStyle name="0_BP3_Cash Flow_South model Version 280403 1005_AWG_Numbers for Pres_16Jun2005 MB" xfId="856" xr:uid="{00000000-0005-0000-0000-000069030000}"/>
    <cellStyle name="0_BP3_Cash Flow_South model Version 280403 1005_RWE 250805 1900" xfId="857" xr:uid="{00000000-0005-0000-0000-00006A030000}"/>
    <cellStyle name="0_BP3_Cash Flow_South model Version control 4a S&amp;P" xfId="858" xr:uid="{00000000-0005-0000-0000-00006B030000}"/>
    <cellStyle name="0_BP3_Cash Flow_South model Version control 4a S&amp;P_AWG_Numbers for Pres_16Jun2005 MB" xfId="859" xr:uid="{00000000-0005-0000-0000-00006C030000}"/>
    <cellStyle name="0_BP3_Cash Flow_South model Version control 4a S&amp;P_RWE 250805 1900" xfId="860" xr:uid="{00000000-0005-0000-0000-00006D030000}"/>
    <cellStyle name="0_BP3_Contens" xfId="861" xr:uid="{00000000-0005-0000-0000-00006E030000}"/>
    <cellStyle name="0_BP3_Contens_AWG_Numbers for Pres_16Jun2005 MB" xfId="862" xr:uid="{00000000-0005-0000-0000-00006F030000}"/>
    <cellStyle name="0_BP3_Contens_RWE 250805 1900" xfId="863" xr:uid="{00000000-0005-0000-0000-000070030000}"/>
    <cellStyle name="0_BP3_Contens_South model Version 280403 1005" xfId="864" xr:uid="{00000000-0005-0000-0000-000071030000}"/>
    <cellStyle name="0_BP3_Contens_South model Version 280403 1005_AWG_Numbers for Pres_16Jun2005 MB" xfId="865" xr:uid="{00000000-0005-0000-0000-000072030000}"/>
    <cellStyle name="0_BP3_Contens_South model Version 280403 1005_RWE 250805 1900" xfId="866" xr:uid="{00000000-0005-0000-0000-000073030000}"/>
    <cellStyle name="0_BP3_Contens_South model Version control 4a S&amp;P" xfId="867" xr:uid="{00000000-0005-0000-0000-000074030000}"/>
    <cellStyle name="0_BP3_Contens_South model Version control 4a S&amp;P_AWG_Numbers for Pres_16Jun2005 MB" xfId="868" xr:uid="{00000000-0005-0000-0000-000075030000}"/>
    <cellStyle name="0_BP3_Contens_South model Version control 4a S&amp;P_RWE 250805 1900" xfId="869" xr:uid="{00000000-0005-0000-0000-000076030000}"/>
    <cellStyle name="0_BP3_Deferred Tax Calculations" xfId="870" xr:uid="{00000000-0005-0000-0000-000077030000}"/>
    <cellStyle name="0_BP3_Deferred Tax Calculations_AWG_Numbers for Pres_16Jun2005 MB" xfId="871" xr:uid="{00000000-0005-0000-0000-000078030000}"/>
    <cellStyle name="0_BP3_Deferred Tax Calculations_RWE 250805 1900" xfId="872" xr:uid="{00000000-0005-0000-0000-000079030000}"/>
    <cellStyle name="0_BP3_Deferred Tax Calculations_South model Version 280403 1005" xfId="873" xr:uid="{00000000-0005-0000-0000-00007A030000}"/>
    <cellStyle name="0_BP3_Deferred Tax Calculations_South model Version 280403 1005_AWG_Numbers for Pres_16Jun2005 MB" xfId="874" xr:uid="{00000000-0005-0000-0000-00007B030000}"/>
    <cellStyle name="0_BP3_Deferred Tax Calculations_South model Version 280403 1005_RWE 250805 1900" xfId="875" xr:uid="{00000000-0005-0000-0000-00007C030000}"/>
    <cellStyle name="0_BP3_Deferred Tax Calculations_South model Version control 4a S&amp;P" xfId="876" xr:uid="{00000000-0005-0000-0000-00007D030000}"/>
    <cellStyle name="0_BP3_Deferred Tax Calculations_South model Version control 4a S&amp;P_AWG_Numbers for Pres_16Jun2005 MB" xfId="877" xr:uid="{00000000-0005-0000-0000-00007E030000}"/>
    <cellStyle name="0_BP3_Deferred Tax Calculations_South model Version control 4a S&amp;P_RWE 250805 1900" xfId="878" xr:uid="{00000000-0005-0000-0000-00007F030000}"/>
    <cellStyle name="0_BP3_Economic Depreciation" xfId="879" xr:uid="{00000000-0005-0000-0000-000080030000}"/>
    <cellStyle name="0_BP3_Economic Depreciation_AWG_Numbers for Pres_16Jun2005 MB" xfId="880" xr:uid="{00000000-0005-0000-0000-000081030000}"/>
    <cellStyle name="0_BP3_Economic Depreciation_RWE 250805 1900" xfId="881" xr:uid="{00000000-0005-0000-0000-000082030000}"/>
    <cellStyle name="0_BP3_Economic Depreciation_South model Version 280403 1005" xfId="882" xr:uid="{00000000-0005-0000-0000-000083030000}"/>
    <cellStyle name="0_BP3_Economic Depreciation_South model Version 280403 1005_AWG_Numbers for Pres_16Jun2005 MB" xfId="883" xr:uid="{00000000-0005-0000-0000-000084030000}"/>
    <cellStyle name="0_BP3_Economic Depreciation_South model Version 280403 1005_RWE 250805 1900" xfId="884" xr:uid="{00000000-0005-0000-0000-000085030000}"/>
    <cellStyle name="0_BP3_Economic Depreciation_South model Version control 4a S&amp;P" xfId="885" xr:uid="{00000000-0005-0000-0000-000086030000}"/>
    <cellStyle name="0_BP3_Economic Depreciation_South model Version control 4a S&amp;P_AWG_Numbers for Pres_16Jun2005 MB" xfId="886" xr:uid="{00000000-0005-0000-0000-000087030000}"/>
    <cellStyle name="0_BP3_Economic Depreciation_South model Version control 4a S&amp;P_RWE 250805 1900" xfId="887" xr:uid="{00000000-0005-0000-0000-000088030000}"/>
    <cellStyle name="0_BP3_Financing" xfId="888" xr:uid="{00000000-0005-0000-0000-000089030000}"/>
    <cellStyle name="0_BP3_Financing_AWG_Numbers for Pres_16Jun2005 MB" xfId="889" xr:uid="{00000000-0005-0000-0000-00008A030000}"/>
    <cellStyle name="0_BP3_Financing_RWE 250805 1900" xfId="890" xr:uid="{00000000-0005-0000-0000-00008B030000}"/>
    <cellStyle name="0_BP3_Financing_South model Version 280403 1005" xfId="891" xr:uid="{00000000-0005-0000-0000-00008C030000}"/>
    <cellStyle name="0_BP3_Financing_South model Version 280403 1005_AWG_Numbers for Pres_16Jun2005 MB" xfId="892" xr:uid="{00000000-0005-0000-0000-00008D030000}"/>
    <cellStyle name="0_BP3_Financing_South model Version 280403 1005_RWE 250805 1900" xfId="893" xr:uid="{00000000-0005-0000-0000-00008E030000}"/>
    <cellStyle name="0_BP3_Financing_South model Version control 4a S&amp;P" xfId="894" xr:uid="{00000000-0005-0000-0000-00008F030000}"/>
    <cellStyle name="0_BP3_Financing_South model Version control 4a S&amp;P_AWG_Numbers for Pres_16Jun2005 MB" xfId="895" xr:uid="{00000000-0005-0000-0000-000090030000}"/>
    <cellStyle name="0_BP3_Financing_South model Version control 4a S&amp;P_RWE 250805 1900" xfId="896" xr:uid="{00000000-0005-0000-0000-000091030000}"/>
    <cellStyle name="0_BP3_Frontpage" xfId="897" xr:uid="{00000000-0005-0000-0000-000092030000}"/>
    <cellStyle name="0_BP3_Frontpage_AWG_Numbers for Pres_16Jun2005 MB" xfId="898" xr:uid="{00000000-0005-0000-0000-000093030000}"/>
    <cellStyle name="0_BP3_Frontpage_RWE 250805 1900" xfId="899" xr:uid="{00000000-0005-0000-0000-000094030000}"/>
    <cellStyle name="0_BP3_Frontpage_South model Version 280403 1005" xfId="900" xr:uid="{00000000-0005-0000-0000-000095030000}"/>
    <cellStyle name="0_BP3_Frontpage_South model Version 280403 1005_AWG_Numbers for Pres_16Jun2005 MB" xfId="901" xr:uid="{00000000-0005-0000-0000-000096030000}"/>
    <cellStyle name="0_BP3_Frontpage_South model Version 280403 1005_RWE 250805 1900" xfId="902" xr:uid="{00000000-0005-0000-0000-000097030000}"/>
    <cellStyle name="0_BP3_Frontpage_South model Version control 4a S&amp;P" xfId="903" xr:uid="{00000000-0005-0000-0000-000098030000}"/>
    <cellStyle name="0_BP3_Frontpage_South model Version control 4a S&amp;P_AWG_Numbers for Pres_16Jun2005 MB" xfId="904" xr:uid="{00000000-0005-0000-0000-000099030000}"/>
    <cellStyle name="0_BP3_Frontpage_South model Version control 4a S&amp;P_RWE 250805 1900" xfId="905" xr:uid="{00000000-0005-0000-0000-00009A030000}"/>
    <cellStyle name="0_BP3_Indstilling" xfId="906" xr:uid="{00000000-0005-0000-0000-00009B030000}"/>
    <cellStyle name="0_BP3_Indstilling_AWG_Numbers for Pres_16Jun2005 MB" xfId="907" xr:uid="{00000000-0005-0000-0000-00009C030000}"/>
    <cellStyle name="0_BP3_Indstilling_RWE 250805 1900" xfId="908" xr:uid="{00000000-0005-0000-0000-00009D030000}"/>
    <cellStyle name="0_BP3_Indstilling_South model Version 280403 1005" xfId="909" xr:uid="{00000000-0005-0000-0000-00009E030000}"/>
    <cellStyle name="0_BP3_Indstilling_South model Version 280403 1005_AWG_Numbers for Pres_16Jun2005 MB" xfId="910" xr:uid="{00000000-0005-0000-0000-00009F030000}"/>
    <cellStyle name="0_BP3_Indstilling_South model Version 280403 1005_RWE 250805 1900" xfId="911" xr:uid="{00000000-0005-0000-0000-0000A0030000}"/>
    <cellStyle name="0_BP3_Indstilling_South model Version control 4a S&amp;P" xfId="912" xr:uid="{00000000-0005-0000-0000-0000A1030000}"/>
    <cellStyle name="0_BP3_Indstilling_South model Version control 4a S&amp;P_AWG_Numbers for Pres_16Jun2005 MB" xfId="913" xr:uid="{00000000-0005-0000-0000-0000A2030000}"/>
    <cellStyle name="0_BP3_Indstilling_South model Version control 4a S&amp;P_RWE 250805 1900" xfId="914" xr:uid="{00000000-0005-0000-0000-0000A3030000}"/>
    <cellStyle name="0_BP3_Inflation &amp; Currency" xfId="915" xr:uid="{00000000-0005-0000-0000-0000A4030000}"/>
    <cellStyle name="0_BP3_Inflation &amp; Currency_AWG_Numbers for Pres_16Jun2005 MB" xfId="916" xr:uid="{00000000-0005-0000-0000-0000A5030000}"/>
    <cellStyle name="0_BP3_Inflation &amp; Currency_RWE 250805 1900" xfId="917" xr:uid="{00000000-0005-0000-0000-0000A6030000}"/>
    <cellStyle name="0_BP3_Inflation &amp; Currency_South model Version 280403 1005" xfId="918" xr:uid="{00000000-0005-0000-0000-0000A7030000}"/>
    <cellStyle name="0_BP3_Inflation &amp; Currency_South model Version 280403 1005_AWG_Numbers for Pres_16Jun2005 MB" xfId="919" xr:uid="{00000000-0005-0000-0000-0000A8030000}"/>
    <cellStyle name="0_BP3_Inflation &amp; Currency_South model Version 280403 1005_RWE 250805 1900" xfId="920" xr:uid="{00000000-0005-0000-0000-0000A9030000}"/>
    <cellStyle name="0_BP3_Inflation &amp; Currency_South model Version control 4a S&amp;P" xfId="921" xr:uid="{00000000-0005-0000-0000-0000AA030000}"/>
    <cellStyle name="0_BP3_Inflation &amp; Currency_South model Version control 4a S&amp;P_AWG_Numbers for Pres_16Jun2005 MB" xfId="922" xr:uid="{00000000-0005-0000-0000-0000AB030000}"/>
    <cellStyle name="0_BP3_Inflation &amp; Currency_South model Version control 4a S&amp;P_RWE 250805 1900" xfId="923" xr:uid="{00000000-0005-0000-0000-0000AC030000}"/>
    <cellStyle name="0_BP3_Information" xfId="924" xr:uid="{00000000-0005-0000-0000-0000AD030000}"/>
    <cellStyle name="0_BP3_Information_AWG_Numbers for Pres_16Jun2005 MB" xfId="925" xr:uid="{00000000-0005-0000-0000-0000AE030000}"/>
    <cellStyle name="0_BP3_Information_RWE 250805 1900" xfId="926" xr:uid="{00000000-0005-0000-0000-0000AF030000}"/>
    <cellStyle name="0_BP3_Information_South model Version 280403 1005" xfId="927" xr:uid="{00000000-0005-0000-0000-0000B0030000}"/>
    <cellStyle name="0_BP3_Information_South model Version 280403 1005_AWG_Numbers for Pres_16Jun2005 MB" xfId="928" xr:uid="{00000000-0005-0000-0000-0000B1030000}"/>
    <cellStyle name="0_BP3_Information_South model Version 280403 1005_RWE 250805 1900" xfId="929" xr:uid="{00000000-0005-0000-0000-0000B2030000}"/>
    <cellStyle name="0_BP3_Information_South model Version control 4a S&amp;P" xfId="930" xr:uid="{00000000-0005-0000-0000-0000B3030000}"/>
    <cellStyle name="0_BP3_Information_South model Version control 4a S&amp;P_AWG_Numbers for Pres_16Jun2005 MB" xfId="931" xr:uid="{00000000-0005-0000-0000-0000B4030000}"/>
    <cellStyle name="0_BP3_Information_South model Version control 4a S&amp;P_RWE 250805 1900" xfId="932" xr:uid="{00000000-0005-0000-0000-0000B5030000}"/>
    <cellStyle name="0_BP3_Input area" xfId="933" xr:uid="{00000000-0005-0000-0000-0000B6030000}"/>
    <cellStyle name="0_BP3_Input area_AWG_Numbers for Pres_16Jun2005 MB" xfId="934" xr:uid="{00000000-0005-0000-0000-0000B7030000}"/>
    <cellStyle name="0_BP3_Input area_RWE 250805 1900" xfId="935" xr:uid="{00000000-0005-0000-0000-0000B8030000}"/>
    <cellStyle name="0_BP3_Input area_South model Version 280403 1005" xfId="936" xr:uid="{00000000-0005-0000-0000-0000B9030000}"/>
    <cellStyle name="0_BP3_Input area_South model Version 280403 1005_AWG_Numbers for Pres_16Jun2005 MB" xfId="937" xr:uid="{00000000-0005-0000-0000-0000BA030000}"/>
    <cellStyle name="0_BP3_Input area_South model Version 280403 1005_RWE 250805 1900" xfId="938" xr:uid="{00000000-0005-0000-0000-0000BB030000}"/>
    <cellStyle name="0_BP3_Input area_South model Version control 4a S&amp;P" xfId="939" xr:uid="{00000000-0005-0000-0000-0000BC030000}"/>
    <cellStyle name="0_BP3_Input area_South model Version control 4a S&amp;P_AWG_Numbers for Pres_16Jun2005 MB" xfId="940" xr:uid="{00000000-0005-0000-0000-0000BD030000}"/>
    <cellStyle name="0_BP3_Input area_South model Version control 4a S&amp;P_RWE 250805 1900" xfId="941" xr:uid="{00000000-0005-0000-0000-0000BE030000}"/>
    <cellStyle name="0_BP3_INPUT-AREA" xfId="942" xr:uid="{00000000-0005-0000-0000-0000BF030000}"/>
    <cellStyle name="0_BP3_INPUT-AREA_AWG_Numbers for Pres_16Jun2005 MB" xfId="943" xr:uid="{00000000-0005-0000-0000-0000C0030000}"/>
    <cellStyle name="0_BP3_INPUT-AREA_RWE 250805 1900" xfId="944" xr:uid="{00000000-0005-0000-0000-0000C1030000}"/>
    <cellStyle name="0_BP3_INPUT-AREA_South model Version 280403 1005" xfId="945" xr:uid="{00000000-0005-0000-0000-0000C2030000}"/>
    <cellStyle name="0_BP3_INPUT-AREA_South model Version 280403 1005_AWG_Numbers for Pres_16Jun2005 MB" xfId="946" xr:uid="{00000000-0005-0000-0000-0000C3030000}"/>
    <cellStyle name="0_BP3_INPUT-AREA_South model Version 280403 1005_RWE 250805 1900" xfId="947" xr:uid="{00000000-0005-0000-0000-0000C4030000}"/>
    <cellStyle name="0_BP3_INPUT-AREA_South model Version control 4a S&amp;P" xfId="948" xr:uid="{00000000-0005-0000-0000-0000C5030000}"/>
    <cellStyle name="0_BP3_INPUT-AREA_South model Version control 4a S&amp;P_AWG_Numbers for Pres_16Jun2005 MB" xfId="949" xr:uid="{00000000-0005-0000-0000-0000C6030000}"/>
    <cellStyle name="0_BP3_INPUT-AREA_South model Version control 4a S&amp;P_RWE 250805 1900" xfId="950" xr:uid="{00000000-0005-0000-0000-0000C7030000}"/>
    <cellStyle name="0_BP3_Interconnect" xfId="951" xr:uid="{00000000-0005-0000-0000-0000C8030000}"/>
    <cellStyle name="0_BP3_Interconnect_AWG_Numbers for Pres_16Jun2005 MB" xfId="952" xr:uid="{00000000-0005-0000-0000-0000C9030000}"/>
    <cellStyle name="0_BP3_Interconnect_RWE 250805 1900" xfId="953" xr:uid="{00000000-0005-0000-0000-0000CA030000}"/>
    <cellStyle name="0_BP3_Interconnect_South model Version 280403 1005" xfId="954" xr:uid="{00000000-0005-0000-0000-0000CB030000}"/>
    <cellStyle name="0_BP3_Interconnect_South model Version 280403 1005_AWG_Numbers for Pres_16Jun2005 MB" xfId="955" xr:uid="{00000000-0005-0000-0000-0000CC030000}"/>
    <cellStyle name="0_BP3_Interconnect_South model Version 280403 1005_RWE 250805 1900" xfId="956" xr:uid="{00000000-0005-0000-0000-0000CD030000}"/>
    <cellStyle name="0_BP3_Interconnect_South model Version control 4a S&amp;P" xfId="957" xr:uid="{00000000-0005-0000-0000-0000CE030000}"/>
    <cellStyle name="0_BP3_Interconnect_South model Version control 4a S&amp;P_AWG_Numbers for Pres_16Jun2005 MB" xfId="958" xr:uid="{00000000-0005-0000-0000-0000CF030000}"/>
    <cellStyle name="0_BP3_Interconnect_South model Version control 4a S&amp;P_RWE 250805 1900" xfId="959" xr:uid="{00000000-0005-0000-0000-0000D0030000}"/>
    <cellStyle name="0_BP3_Key Figures" xfId="960" xr:uid="{00000000-0005-0000-0000-0000D1030000}"/>
    <cellStyle name="0_BP3_Key Figures_AWG_Numbers for Pres_16Jun2005 MB" xfId="961" xr:uid="{00000000-0005-0000-0000-0000D2030000}"/>
    <cellStyle name="0_BP3_Key Figures_RWE 250805 1900" xfId="962" xr:uid="{00000000-0005-0000-0000-0000D3030000}"/>
    <cellStyle name="0_BP3_Key Figures_South model Version 280403 1005" xfId="963" xr:uid="{00000000-0005-0000-0000-0000D4030000}"/>
    <cellStyle name="0_BP3_Key Figures_South model Version 280403 1005_AWG_Numbers for Pres_16Jun2005 MB" xfId="964" xr:uid="{00000000-0005-0000-0000-0000D5030000}"/>
    <cellStyle name="0_BP3_Key Figures_South model Version 280403 1005_RWE 250805 1900" xfId="965" xr:uid="{00000000-0005-0000-0000-0000D6030000}"/>
    <cellStyle name="0_BP3_Key Figures_South model Version control 4a S&amp;P" xfId="966" xr:uid="{00000000-0005-0000-0000-0000D7030000}"/>
    <cellStyle name="0_BP3_Key Figures_South model Version control 4a S&amp;P_AWG_Numbers for Pres_16Jun2005 MB" xfId="967" xr:uid="{00000000-0005-0000-0000-0000D8030000}"/>
    <cellStyle name="0_BP3_Key Figures_South model Version control 4a S&amp;P_RWE 250805 1900" xfId="968" xr:uid="{00000000-0005-0000-0000-0000D9030000}"/>
    <cellStyle name="0_BP3_Marketing" xfId="969" xr:uid="{00000000-0005-0000-0000-0000DA030000}"/>
    <cellStyle name="0_BP3_Marketing_AWG_Numbers for Pres_16Jun2005 MB" xfId="970" xr:uid="{00000000-0005-0000-0000-0000DB030000}"/>
    <cellStyle name="0_BP3_Marketing_RWE 250805 1900" xfId="971" xr:uid="{00000000-0005-0000-0000-0000DC030000}"/>
    <cellStyle name="0_BP3_Marketing_South model Version 280403 1005" xfId="972" xr:uid="{00000000-0005-0000-0000-0000DD030000}"/>
    <cellStyle name="0_BP3_Marketing_South model Version 280403 1005_AWG_Numbers for Pres_16Jun2005 MB" xfId="973" xr:uid="{00000000-0005-0000-0000-0000DE030000}"/>
    <cellStyle name="0_BP3_Marketing_South model Version 280403 1005_RWE 250805 1900" xfId="974" xr:uid="{00000000-0005-0000-0000-0000DF030000}"/>
    <cellStyle name="0_BP3_Marketing_South model Version control 4a S&amp;P" xfId="975" xr:uid="{00000000-0005-0000-0000-0000E0030000}"/>
    <cellStyle name="0_BP3_Marketing_South model Version control 4a S&amp;P_AWG_Numbers for Pres_16Jun2005 MB" xfId="976" xr:uid="{00000000-0005-0000-0000-0000E1030000}"/>
    <cellStyle name="0_BP3_Marketing_South model Version control 4a S&amp;P_RWE 250805 1900" xfId="977" xr:uid="{00000000-0005-0000-0000-0000E2030000}"/>
    <cellStyle name="0_BP3_Organization" xfId="978" xr:uid="{00000000-0005-0000-0000-0000E3030000}"/>
    <cellStyle name="0_BP3_Organization_AWG_Numbers for Pres_16Jun2005 MB" xfId="979" xr:uid="{00000000-0005-0000-0000-0000E4030000}"/>
    <cellStyle name="0_BP3_Organization_RWE 250805 1900" xfId="980" xr:uid="{00000000-0005-0000-0000-0000E5030000}"/>
    <cellStyle name="0_BP3_Organization_South model Version 280403 1005" xfId="981" xr:uid="{00000000-0005-0000-0000-0000E6030000}"/>
    <cellStyle name="0_BP3_Organization_South model Version 280403 1005_AWG_Numbers for Pres_16Jun2005 MB" xfId="982" xr:uid="{00000000-0005-0000-0000-0000E7030000}"/>
    <cellStyle name="0_BP3_Organization_South model Version 280403 1005_RWE 250805 1900" xfId="983" xr:uid="{00000000-0005-0000-0000-0000E8030000}"/>
    <cellStyle name="0_BP3_Organization_South model Version control 4a S&amp;P" xfId="984" xr:uid="{00000000-0005-0000-0000-0000E9030000}"/>
    <cellStyle name="0_BP3_Organization_South model Version control 4a S&amp;P_AWG_Numbers for Pres_16Jun2005 MB" xfId="985" xr:uid="{00000000-0005-0000-0000-0000EA030000}"/>
    <cellStyle name="0_BP3_Organization_South model Version control 4a S&amp;P_RWE 250805 1900" xfId="986" xr:uid="{00000000-0005-0000-0000-0000EB030000}"/>
    <cellStyle name="0_BP3_Output" xfId="987" xr:uid="{00000000-0005-0000-0000-0000EC030000}"/>
    <cellStyle name="0_BP3_Output_AWG_Numbers for Pres_16Jun2005 MB" xfId="988" xr:uid="{00000000-0005-0000-0000-0000ED030000}"/>
    <cellStyle name="0_BP3_Output_RWE 250805 1900" xfId="989" xr:uid="{00000000-0005-0000-0000-0000EE030000}"/>
    <cellStyle name="0_BP3_Output_South model Version 280403 1005" xfId="990" xr:uid="{00000000-0005-0000-0000-0000EF030000}"/>
    <cellStyle name="0_BP3_Output_South model Version 280403 1005_AWG_Numbers for Pres_16Jun2005 MB" xfId="991" xr:uid="{00000000-0005-0000-0000-0000F0030000}"/>
    <cellStyle name="0_BP3_Output_South model Version 280403 1005_RWE 250805 1900" xfId="992" xr:uid="{00000000-0005-0000-0000-0000F1030000}"/>
    <cellStyle name="0_BP3_Output_South model Version control 4a S&amp;P" xfId="993" xr:uid="{00000000-0005-0000-0000-0000F2030000}"/>
    <cellStyle name="0_BP3_Output_South model Version control 4a S&amp;P_AWG_Numbers for Pres_16Jun2005 MB" xfId="994" xr:uid="{00000000-0005-0000-0000-0000F3030000}"/>
    <cellStyle name="0_BP3_Output_South model Version control 4a S&amp;P_RWE 250805 1900" xfId="995" xr:uid="{00000000-0005-0000-0000-0000F4030000}"/>
    <cellStyle name="0_BP3_Profit &amp; Loss" xfId="996" xr:uid="{00000000-0005-0000-0000-0000F5030000}"/>
    <cellStyle name="0_BP3_Profit &amp; Loss_AWG_Numbers for Pres_16Jun2005 MB" xfId="997" xr:uid="{00000000-0005-0000-0000-0000F6030000}"/>
    <cellStyle name="0_BP3_Profit &amp; Loss_RWE 250805 1900" xfId="998" xr:uid="{00000000-0005-0000-0000-0000F7030000}"/>
    <cellStyle name="0_BP3_Profit &amp; Loss_South model Version 280403 1005" xfId="999" xr:uid="{00000000-0005-0000-0000-0000F8030000}"/>
    <cellStyle name="0_BP3_Profit &amp; Loss_South model Version 280403 1005_AWG_Numbers for Pres_16Jun2005 MB" xfId="1000" xr:uid="{00000000-0005-0000-0000-0000F9030000}"/>
    <cellStyle name="0_BP3_Profit &amp; Loss_South model Version 280403 1005_RWE 250805 1900" xfId="1001" xr:uid="{00000000-0005-0000-0000-0000FA030000}"/>
    <cellStyle name="0_BP3_Profit &amp; Loss_South model Version control 4a S&amp;P" xfId="1002" xr:uid="{00000000-0005-0000-0000-0000FB030000}"/>
    <cellStyle name="0_BP3_Profit &amp; Loss_South model Version control 4a S&amp;P_AWG_Numbers for Pres_16Jun2005 MB" xfId="1003" xr:uid="{00000000-0005-0000-0000-0000FC030000}"/>
    <cellStyle name="0_BP3_Profit &amp; Loss_South model Version control 4a S&amp;P_RWE 250805 1900" xfId="1004" xr:uid="{00000000-0005-0000-0000-0000FD030000}"/>
    <cellStyle name="0_BP3_Revenue Summary" xfId="1005" xr:uid="{00000000-0005-0000-0000-0000FE030000}"/>
    <cellStyle name="0_BP3_Revenue Summary_AWG_Numbers for Pres_16Jun2005 MB" xfId="1006" xr:uid="{00000000-0005-0000-0000-0000FF030000}"/>
    <cellStyle name="0_BP3_Revenue Summary_RWE 250805 1900" xfId="1007" xr:uid="{00000000-0005-0000-0000-000000040000}"/>
    <cellStyle name="0_BP3_Revenue Summary_South model Version 280403 1005" xfId="1008" xr:uid="{00000000-0005-0000-0000-000001040000}"/>
    <cellStyle name="0_BP3_Revenue Summary_South model Version 280403 1005_AWG_Numbers for Pres_16Jun2005 MB" xfId="1009" xr:uid="{00000000-0005-0000-0000-000002040000}"/>
    <cellStyle name="0_BP3_Revenue Summary_South model Version 280403 1005_RWE 250805 1900" xfId="1010" xr:uid="{00000000-0005-0000-0000-000003040000}"/>
    <cellStyle name="0_BP3_Revenue Summary_South model Version control 4a S&amp;P" xfId="1011" xr:uid="{00000000-0005-0000-0000-000004040000}"/>
    <cellStyle name="0_BP3_Revenue Summary_South model Version control 4a S&amp;P_AWG_Numbers for Pres_16Jun2005 MB" xfId="1012" xr:uid="{00000000-0005-0000-0000-000005040000}"/>
    <cellStyle name="0_BP3_Revenue Summary_South model Version control 4a S&amp;P_RWE 250805 1900" xfId="1013" xr:uid="{00000000-0005-0000-0000-000006040000}"/>
    <cellStyle name="0_BP3_Roaming" xfId="1014" xr:uid="{00000000-0005-0000-0000-000007040000}"/>
    <cellStyle name="0_BP3_Roaming_AWG_Numbers for Pres_16Jun2005 MB" xfId="1015" xr:uid="{00000000-0005-0000-0000-000008040000}"/>
    <cellStyle name="0_BP3_Roaming_RWE 250805 1900" xfId="1016" xr:uid="{00000000-0005-0000-0000-000009040000}"/>
    <cellStyle name="0_BP3_Roaming_South model Version 280403 1005" xfId="1017" xr:uid="{00000000-0005-0000-0000-00000A040000}"/>
    <cellStyle name="0_BP3_Roaming_South model Version 280403 1005_AWG_Numbers for Pres_16Jun2005 MB" xfId="1018" xr:uid="{00000000-0005-0000-0000-00000B040000}"/>
    <cellStyle name="0_BP3_Roaming_South model Version 280403 1005_RWE 250805 1900" xfId="1019" xr:uid="{00000000-0005-0000-0000-00000C040000}"/>
    <cellStyle name="0_BP3_Roaming_South model Version control 4a S&amp;P" xfId="1020" xr:uid="{00000000-0005-0000-0000-00000D040000}"/>
    <cellStyle name="0_BP3_Roaming_South model Version control 4a S&amp;P_AWG_Numbers for Pres_16Jun2005 MB" xfId="1021" xr:uid="{00000000-0005-0000-0000-00000E040000}"/>
    <cellStyle name="0_BP3_Roaming_South model Version control 4a S&amp;P_RWE 250805 1900" xfId="1022" xr:uid="{00000000-0005-0000-0000-00000F040000}"/>
    <cellStyle name="0_BP3_RWE 250805 1900" xfId="1023" xr:uid="{00000000-0005-0000-0000-000010040000}"/>
    <cellStyle name="0_BP3_Sales - Channels" xfId="1024" xr:uid="{00000000-0005-0000-0000-000011040000}"/>
    <cellStyle name="0_BP3_Sales - Channels_AWG_Numbers for Pres_16Jun2005 MB" xfId="1025" xr:uid="{00000000-0005-0000-0000-000012040000}"/>
    <cellStyle name="0_BP3_Sales - Channels_RWE 250805 1900" xfId="1026" xr:uid="{00000000-0005-0000-0000-000013040000}"/>
    <cellStyle name="0_BP3_Sales - Channels_South model Version 280403 1005" xfId="1027" xr:uid="{00000000-0005-0000-0000-000014040000}"/>
    <cellStyle name="0_BP3_Sales - Channels_South model Version 280403 1005_AWG_Numbers for Pres_16Jun2005 MB" xfId="1028" xr:uid="{00000000-0005-0000-0000-000015040000}"/>
    <cellStyle name="0_BP3_Sales - Channels_South model Version 280403 1005_RWE 250805 1900" xfId="1029" xr:uid="{00000000-0005-0000-0000-000016040000}"/>
    <cellStyle name="0_BP3_Sales - Channels_South model Version control 4a S&amp;P" xfId="1030" xr:uid="{00000000-0005-0000-0000-000017040000}"/>
    <cellStyle name="0_BP3_Sales - Channels_South model Version control 4a S&amp;P_AWG_Numbers for Pres_16Jun2005 MB" xfId="1031" xr:uid="{00000000-0005-0000-0000-000018040000}"/>
    <cellStyle name="0_BP3_Sales - Channels_South model Version control 4a S&amp;P_RWE 250805 1900" xfId="1032" xr:uid="{00000000-0005-0000-0000-000019040000}"/>
    <cellStyle name="0_BP3_Sales - Segments" xfId="1033" xr:uid="{00000000-0005-0000-0000-00001A040000}"/>
    <cellStyle name="0_BP3_Sales - Segments_AWG_Numbers for Pres_16Jun2005 MB" xfId="1034" xr:uid="{00000000-0005-0000-0000-00001B040000}"/>
    <cellStyle name="0_BP3_Sales - Segments_RWE 250805 1900" xfId="1035" xr:uid="{00000000-0005-0000-0000-00001C040000}"/>
    <cellStyle name="0_BP3_Sales - Segments_South model Version 280403 1005" xfId="1036" xr:uid="{00000000-0005-0000-0000-00001D040000}"/>
    <cellStyle name="0_BP3_Sales - Segments_South model Version 280403 1005_AWG_Numbers for Pres_16Jun2005 MB" xfId="1037" xr:uid="{00000000-0005-0000-0000-00001E040000}"/>
    <cellStyle name="0_BP3_Sales - Segments_South model Version 280403 1005_RWE 250805 1900" xfId="1038" xr:uid="{00000000-0005-0000-0000-00001F040000}"/>
    <cellStyle name="0_BP3_Sales - Segments_South model Version control 4a S&amp;P" xfId="1039" xr:uid="{00000000-0005-0000-0000-000020040000}"/>
    <cellStyle name="0_BP3_Sales - Segments_South model Version control 4a S&amp;P_AWG_Numbers for Pres_16Jun2005 MB" xfId="1040" xr:uid="{00000000-0005-0000-0000-000021040000}"/>
    <cellStyle name="0_BP3_Sales - Segments_South model Version control 4a S&amp;P_RWE 250805 1900" xfId="1041" xr:uid="{00000000-0005-0000-0000-000022040000}"/>
    <cellStyle name="0_BP3_South model Version 280403 1005" xfId="1042" xr:uid="{00000000-0005-0000-0000-000023040000}"/>
    <cellStyle name="0_BP3_South model Version 280403 1005_AWG_Numbers for Pres_16Jun2005 MB" xfId="1043" xr:uid="{00000000-0005-0000-0000-000024040000}"/>
    <cellStyle name="0_BP3_South model Version 280403 1005_RWE 250805 1900" xfId="1044" xr:uid="{00000000-0005-0000-0000-000025040000}"/>
    <cellStyle name="0_BP3_South model Version control 4a S&amp;P" xfId="1045" xr:uid="{00000000-0005-0000-0000-000026040000}"/>
    <cellStyle name="0_BP3_South model Version control 4a S&amp;P_AWG_Numbers for Pres_16Jun2005 MB" xfId="1046" xr:uid="{00000000-0005-0000-0000-000027040000}"/>
    <cellStyle name="0_BP3_South model Version control 4a S&amp;P_RWE 250805 1900" xfId="1047" xr:uid="{00000000-0005-0000-0000-000028040000}"/>
    <cellStyle name="0_BP3_Tax Depreciation " xfId="1048" xr:uid="{00000000-0005-0000-0000-000029040000}"/>
    <cellStyle name="0_BP3_Tax Depreciation _AWG_Numbers for Pres_16Jun2005 MB" xfId="1049" xr:uid="{00000000-0005-0000-0000-00002A040000}"/>
    <cellStyle name="0_BP3_Tax Depreciation _RWE 250805 1900" xfId="1050" xr:uid="{00000000-0005-0000-0000-00002B040000}"/>
    <cellStyle name="0_BP3_Tax Depreciation _South model Version 280403 1005" xfId="1051" xr:uid="{00000000-0005-0000-0000-00002C040000}"/>
    <cellStyle name="0_BP3_Tax Depreciation _South model Version 280403 1005_AWG_Numbers for Pres_16Jun2005 MB" xfId="1052" xr:uid="{00000000-0005-0000-0000-00002D040000}"/>
    <cellStyle name="0_BP3_Tax Depreciation _South model Version 280403 1005_RWE 250805 1900" xfId="1053" xr:uid="{00000000-0005-0000-0000-00002E040000}"/>
    <cellStyle name="0_BP3_Tax Depreciation _South model Version control 4a S&amp;P" xfId="1054" xr:uid="{00000000-0005-0000-0000-00002F040000}"/>
    <cellStyle name="0_BP3_Tax Depreciation _South model Version control 4a S&amp;P_AWG_Numbers for Pres_16Jun2005 MB" xfId="1055" xr:uid="{00000000-0005-0000-0000-000030040000}"/>
    <cellStyle name="0_BP3_Tax Depreciation _South model Version control 4a S&amp;P_RWE 250805 1900" xfId="1056" xr:uid="{00000000-0005-0000-0000-000031040000}"/>
    <cellStyle name="0_BP3_Tele Danmark Accounts" xfId="1057" xr:uid="{00000000-0005-0000-0000-000032040000}"/>
    <cellStyle name="0_BP3_Tele Danmark Accounts_AWG_Numbers for Pres_16Jun2005 MB" xfId="1058" xr:uid="{00000000-0005-0000-0000-000033040000}"/>
    <cellStyle name="0_BP3_Tele Danmark Accounts_RWE 250805 1900" xfId="1059" xr:uid="{00000000-0005-0000-0000-000034040000}"/>
    <cellStyle name="0_BP3_Tele Danmark Accounts_South model Version 280403 1005" xfId="1060" xr:uid="{00000000-0005-0000-0000-000035040000}"/>
    <cellStyle name="0_BP3_Tele Danmark Accounts_South model Version 280403 1005_AWG_Numbers for Pres_16Jun2005 MB" xfId="1061" xr:uid="{00000000-0005-0000-0000-000036040000}"/>
    <cellStyle name="0_BP3_Tele Danmark Accounts_South model Version 280403 1005_RWE 250805 1900" xfId="1062" xr:uid="{00000000-0005-0000-0000-000037040000}"/>
    <cellStyle name="0_BP3_Tele Danmark Accounts_South model Version control 4a S&amp;P" xfId="1063" xr:uid="{00000000-0005-0000-0000-000038040000}"/>
    <cellStyle name="0_BP3_Tele Danmark Accounts_South model Version control 4a S&amp;P_AWG_Numbers for Pres_16Jun2005 MB" xfId="1064" xr:uid="{00000000-0005-0000-0000-000039040000}"/>
    <cellStyle name="0_BP3_Tele Danmark Accounts_South model Version control 4a S&amp;P_RWE 250805 1900" xfId="1065" xr:uid="{00000000-0005-0000-0000-00003A040000}"/>
    <cellStyle name="0_BP3_VARIABLES" xfId="1066" xr:uid="{00000000-0005-0000-0000-00003B040000}"/>
    <cellStyle name="0_BP3_Variables (2)" xfId="1067" xr:uid="{00000000-0005-0000-0000-00003C040000}"/>
    <cellStyle name="0_BP3_Variables (2)_AWG_Numbers for Pres_16Jun2005 MB" xfId="1068" xr:uid="{00000000-0005-0000-0000-00003D040000}"/>
    <cellStyle name="0_BP3_Variables (2)_RWE 250805 1900" xfId="1069" xr:uid="{00000000-0005-0000-0000-00003E040000}"/>
    <cellStyle name="0_BP3_Variables (2)_South model Version 280403 1005" xfId="1070" xr:uid="{00000000-0005-0000-0000-00003F040000}"/>
    <cellStyle name="0_BP3_Variables (2)_South model Version 280403 1005_AWG_Numbers for Pres_16Jun2005 MB" xfId="1071" xr:uid="{00000000-0005-0000-0000-000040040000}"/>
    <cellStyle name="0_BP3_Variables (2)_South model Version 280403 1005_RWE 250805 1900" xfId="1072" xr:uid="{00000000-0005-0000-0000-000041040000}"/>
    <cellStyle name="0_BP3_Variables (2)_South model Version control 4a S&amp;P" xfId="1073" xr:uid="{00000000-0005-0000-0000-000042040000}"/>
    <cellStyle name="0_BP3_Variables (2)_South model Version control 4a S&amp;P_AWG_Numbers for Pres_16Jun2005 MB" xfId="1074" xr:uid="{00000000-0005-0000-0000-000043040000}"/>
    <cellStyle name="0_BP3_Variables (2)_South model Version control 4a S&amp;P_RWE 250805 1900" xfId="1075" xr:uid="{00000000-0005-0000-0000-000044040000}"/>
    <cellStyle name="0_BP3_VARIABLES_AWG_Numbers for Pres_16Jun2005 MB" xfId="1076" xr:uid="{00000000-0005-0000-0000-000045040000}"/>
    <cellStyle name="0_BP3_VARIABLES_RWE 250805 1900" xfId="1077" xr:uid="{00000000-0005-0000-0000-000046040000}"/>
    <cellStyle name="0_BP3_VARIABLES_South model Version 280403 1005" xfId="1078" xr:uid="{00000000-0005-0000-0000-000047040000}"/>
    <cellStyle name="0_BP3_VARIABLES_South model Version 280403 1005_AWG_Numbers for Pres_16Jun2005 MB" xfId="1079" xr:uid="{00000000-0005-0000-0000-000048040000}"/>
    <cellStyle name="0_BP3_VARIABLES_South model Version 280403 1005_RWE 250805 1900" xfId="1080" xr:uid="{00000000-0005-0000-0000-000049040000}"/>
    <cellStyle name="0_BP3_VARIABLES_South model Version control 4a S&amp;P" xfId="1081" xr:uid="{00000000-0005-0000-0000-00004A040000}"/>
    <cellStyle name="0_BP3_VARIABLES_South model Version control 4a S&amp;P_AWG_Numbers for Pres_16Jun2005 MB" xfId="1082" xr:uid="{00000000-0005-0000-0000-00004B040000}"/>
    <cellStyle name="0_BP3_VARIABLES_South model Version control 4a S&amp;P_RWE 250805 1900" xfId="1083" xr:uid="{00000000-0005-0000-0000-00004C040000}"/>
    <cellStyle name="0_CAPEX - OPEX SUMMARY" xfId="1084" xr:uid="{00000000-0005-0000-0000-00004D040000}"/>
    <cellStyle name="0_CAPEX - OPEX SUMMARY_AWG_Numbers for Pres_16Jun2005 MB" xfId="1085" xr:uid="{00000000-0005-0000-0000-00004E040000}"/>
    <cellStyle name="0_CAPEX - OPEX SUMMARY_RWE 250805 1900" xfId="1086" xr:uid="{00000000-0005-0000-0000-00004F040000}"/>
    <cellStyle name="0_CAPEX - OPEX SUMMARY_South model Version 280403 1005" xfId="1087" xr:uid="{00000000-0005-0000-0000-000050040000}"/>
    <cellStyle name="0_CAPEX - OPEX SUMMARY_South model Version 280403 1005_AWG_Numbers for Pres_16Jun2005 MB" xfId="1088" xr:uid="{00000000-0005-0000-0000-000051040000}"/>
    <cellStyle name="0_CAPEX - OPEX SUMMARY_South model Version 280403 1005_RWE 250805 1900" xfId="1089" xr:uid="{00000000-0005-0000-0000-000052040000}"/>
    <cellStyle name="0_CAPEX - OPEX SUMMARY_South model Version control 4a S&amp;P" xfId="1090" xr:uid="{00000000-0005-0000-0000-000053040000}"/>
    <cellStyle name="0_CAPEX - OPEX SUMMARY_South model Version control 4a S&amp;P_AWG_Numbers for Pres_16Jun2005 MB" xfId="1091" xr:uid="{00000000-0005-0000-0000-000054040000}"/>
    <cellStyle name="0_CAPEX - OPEX SUMMARY_South model Version control 4a S&amp;P_RWE 250805 1900" xfId="1092" xr:uid="{00000000-0005-0000-0000-000055040000}"/>
    <cellStyle name="0_Cash Flow" xfId="1093" xr:uid="{00000000-0005-0000-0000-000056040000}"/>
    <cellStyle name="0_Cash Flow_AWG_Numbers for Pres_16Jun2005 MB" xfId="1094" xr:uid="{00000000-0005-0000-0000-000057040000}"/>
    <cellStyle name="0_Cash Flow_RWE 250805 1900" xfId="1095" xr:uid="{00000000-0005-0000-0000-000058040000}"/>
    <cellStyle name="0_Cash Flow_South model Version 280403 1005" xfId="1096" xr:uid="{00000000-0005-0000-0000-000059040000}"/>
    <cellStyle name="0_Cash Flow_South model Version 280403 1005_AWG_Numbers for Pres_16Jun2005 MB" xfId="1097" xr:uid="{00000000-0005-0000-0000-00005A040000}"/>
    <cellStyle name="0_Cash Flow_South model Version 280403 1005_RWE 250805 1900" xfId="1098" xr:uid="{00000000-0005-0000-0000-00005B040000}"/>
    <cellStyle name="0_Cash Flow_South model Version control 4a S&amp;P" xfId="1099" xr:uid="{00000000-0005-0000-0000-00005C040000}"/>
    <cellStyle name="0_Cash Flow_South model Version control 4a S&amp;P_AWG_Numbers for Pres_16Jun2005 MB" xfId="1100" xr:uid="{00000000-0005-0000-0000-00005D040000}"/>
    <cellStyle name="0_Cash Flow_South model Version control 4a S&amp;P_RWE 250805 1900" xfId="1101" xr:uid="{00000000-0005-0000-0000-00005E040000}"/>
    <cellStyle name="0_Contens" xfId="1102" xr:uid="{00000000-0005-0000-0000-00005F040000}"/>
    <cellStyle name="0_Contens_AWG_Numbers for Pres_16Jun2005 MB" xfId="1103" xr:uid="{00000000-0005-0000-0000-000060040000}"/>
    <cellStyle name="0_Contens_RWE 250805 1900" xfId="1104" xr:uid="{00000000-0005-0000-0000-000061040000}"/>
    <cellStyle name="0_Contens_South model Version 280403 1005" xfId="1105" xr:uid="{00000000-0005-0000-0000-000062040000}"/>
    <cellStyle name="0_Contens_South model Version 280403 1005_AWG_Numbers for Pres_16Jun2005 MB" xfId="1106" xr:uid="{00000000-0005-0000-0000-000063040000}"/>
    <cellStyle name="0_Contens_South model Version 280403 1005_RWE 250805 1900" xfId="1107" xr:uid="{00000000-0005-0000-0000-000064040000}"/>
    <cellStyle name="0_Contens_South model Version control 4a S&amp;P" xfId="1108" xr:uid="{00000000-0005-0000-0000-000065040000}"/>
    <cellStyle name="0_Contens_South model Version control 4a S&amp;P_AWG_Numbers for Pres_16Jun2005 MB" xfId="1109" xr:uid="{00000000-0005-0000-0000-000066040000}"/>
    <cellStyle name="0_Contens_South model Version control 4a S&amp;P_RWE 250805 1900" xfId="1110" xr:uid="{00000000-0005-0000-0000-000067040000}"/>
    <cellStyle name="0_Deferred Tax Calculations" xfId="1111" xr:uid="{00000000-0005-0000-0000-000068040000}"/>
    <cellStyle name="0_Deferred Tax Calculations_AWG_Numbers for Pres_16Jun2005 MB" xfId="1112" xr:uid="{00000000-0005-0000-0000-000069040000}"/>
    <cellStyle name="0_Deferred Tax Calculations_RWE 250805 1900" xfId="1113" xr:uid="{00000000-0005-0000-0000-00006A040000}"/>
    <cellStyle name="0_Deferred Tax Calculations_South model Version 280403 1005" xfId="1114" xr:uid="{00000000-0005-0000-0000-00006B040000}"/>
    <cellStyle name="0_Deferred Tax Calculations_South model Version 280403 1005_AWG_Numbers for Pres_16Jun2005 MB" xfId="1115" xr:uid="{00000000-0005-0000-0000-00006C040000}"/>
    <cellStyle name="0_Deferred Tax Calculations_South model Version 280403 1005_RWE 250805 1900" xfId="1116" xr:uid="{00000000-0005-0000-0000-00006D040000}"/>
    <cellStyle name="0_Deferred Tax Calculations_South model Version control 4a S&amp;P" xfId="1117" xr:uid="{00000000-0005-0000-0000-00006E040000}"/>
    <cellStyle name="0_Deferred Tax Calculations_South model Version control 4a S&amp;P_AWG_Numbers for Pres_16Jun2005 MB" xfId="1118" xr:uid="{00000000-0005-0000-0000-00006F040000}"/>
    <cellStyle name="0_Deferred Tax Calculations_South model Version control 4a S&amp;P_RWE 250805 1900" xfId="1119" xr:uid="{00000000-0005-0000-0000-000070040000}"/>
    <cellStyle name="0_Economic Depreciation" xfId="1120" xr:uid="{00000000-0005-0000-0000-000071040000}"/>
    <cellStyle name="0_Economic Depreciation_AWG_Numbers for Pres_16Jun2005 MB" xfId="1121" xr:uid="{00000000-0005-0000-0000-000072040000}"/>
    <cellStyle name="0_Economic Depreciation_RWE 250805 1900" xfId="1122" xr:uid="{00000000-0005-0000-0000-000073040000}"/>
    <cellStyle name="0_Economic Depreciation_South model Version 280403 1005" xfId="1123" xr:uid="{00000000-0005-0000-0000-000074040000}"/>
    <cellStyle name="0_Economic Depreciation_South model Version 280403 1005_AWG_Numbers for Pres_16Jun2005 MB" xfId="1124" xr:uid="{00000000-0005-0000-0000-000075040000}"/>
    <cellStyle name="0_Economic Depreciation_South model Version 280403 1005_RWE 250805 1900" xfId="1125" xr:uid="{00000000-0005-0000-0000-000076040000}"/>
    <cellStyle name="0_Economic Depreciation_South model Version control 4a S&amp;P" xfId="1126" xr:uid="{00000000-0005-0000-0000-000077040000}"/>
    <cellStyle name="0_Economic Depreciation_South model Version control 4a S&amp;P_AWG_Numbers for Pres_16Jun2005 MB" xfId="1127" xr:uid="{00000000-0005-0000-0000-000078040000}"/>
    <cellStyle name="0_Economic Depreciation_South model Version control 4a S&amp;P_RWE 250805 1900" xfId="1128" xr:uid="{00000000-0005-0000-0000-000079040000}"/>
    <cellStyle name="0_Financing" xfId="1129" xr:uid="{00000000-0005-0000-0000-00007A040000}"/>
    <cellStyle name="0_Financing_AWG_Numbers for Pres_16Jun2005 MB" xfId="1130" xr:uid="{00000000-0005-0000-0000-00007B040000}"/>
    <cellStyle name="0_Financing_RWE 250805 1900" xfId="1131" xr:uid="{00000000-0005-0000-0000-00007C040000}"/>
    <cellStyle name="0_Financing_South model Version 280403 1005" xfId="1132" xr:uid="{00000000-0005-0000-0000-00007D040000}"/>
    <cellStyle name="0_Financing_South model Version 280403 1005_AWG_Numbers for Pres_16Jun2005 MB" xfId="1133" xr:uid="{00000000-0005-0000-0000-00007E040000}"/>
    <cellStyle name="0_Financing_South model Version 280403 1005_RWE 250805 1900" xfId="1134" xr:uid="{00000000-0005-0000-0000-00007F040000}"/>
    <cellStyle name="0_Financing_South model Version control 4a S&amp;P" xfId="1135" xr:uid="{00000000-0005-0000-0000-000080040000}"/>
    <cellStyle name="0_Financing_South model Version control 4a S&amp;P_AWG_Numbers for Pres_16Jun2005 MB" xfId="1136" xr:uid="{00000000-0005-0000-0000-000081040000}"/>
    <cellStyle name="0_Financing_South model Version control 4a S&amp;P_RWE 250805 1900" xfId="1137" xr:uid="{00000000-0005-0000-0000-000082040000}"/>
    <cellStyle name="0_Frontpage" xfId="1138" xr:uid="{00000000-0005-0000-0000-000083040000}"/>
    <cellStyle name="0_Frontpage_AWG_Numbers for Pres_16Jun2005 MB" xfId="1139" xr:uid="{00000000-0005-0000-0000-000084040000}"/>
    <cellStyle name="0_Frontpage_RWE 250805 1900" xfId="1140" xr:uid="{00000000-0005-0000-0000-000085040000}"/>
    <cellStyle name="0_Frontpage_South model Version 280403 1005" xfId="1141" xr:uid="{00000000-0005-0000-0000-000086040000}"/>
    <cellStyle name="0_Frontpage_South model Version 280403 1005_AWG_Numbers for Pres_16Jun2005 MB" xfId="1142" xr:uid="{00000000-0005-0000-0000-000087040000}"/>
    <cellStyle name="0_Frontpage_South model Version 280403 1005_RWE 250805 1900" xfId="1143" xr:uid="{00000000-0005-0000-0000-000088040000}"/>
    <cellStyle name="0_Frontpage_South model Version control 4a S&amp;P" xfId="1144" xr:uid="{00000000-0005-0000-0000-000089040000}"/>
    <cellStyle name="0_Frontpage_South model Version control 4a S&amp;P_AWG_Numbers for Pres_16Jun2005 MB" xfId="1145" xr:uid="{00000000-0005-0000-0000-00008A040000}"/>
    <cellStyle name="0_Frontpage_South model Version control 4a S&amp;P_RWE 250805 1900" xfId="1146" xr:uid="{00000000-0005-0000-0000-00008B040000}"/>
    <cellStyle name="0_Indstilling" xfId="1147" xr:uid="{00000000-0005-0000-0000-00008C040000}"/>
    <cellStyle name="0_Indstilling_AWG_Numbers for Pres_16Jun2005 MB" xfId="1148" xr:uid="{00000000-0005-0000-0000-00008D040000}"/>
    <cellStyle name="0_Indstilling_RWE 250805 1900" xfId="1149" xr:uid="{00000000-0005-0000-0000-00008E040000}"/>
    <cellStyle name="0_Indstilling_South model Version 280403 1005" xfId="1150" xr:uid="{00000000-0005-0000-0000-00008F040000}"/>
    <cellStyle name="0_Indstilling_South model Version 280403 1005_AWG_Numbers for Pres_16Jun2005 MB" xfId="1151" xr:uid="{00000000-0005-0000-0000-000090040000}"/>
    <cellStyle name="0_Indstilling_South model Version 280403 1005_RWE 250805 1900" xfId="1152" xr:uid="{00000000-0005-0000-0000-000091040000}"/>
    <cellStyle name="0_Indstilling_South model Version control 4a S&amp;P" xfId="1153" xr:uid="{00000000-0005-0000-0000-000092040000}"/>
    <cellStyle name="0_Indstilling_South model Version control 4a S&amp;P_AWG_Numbers for Pres_16Jun2005 MB" xfId="1154" xr:uid="{00000000-0005-0000-0000-000093040000}"/>
    <cellStyle name="0_Indstilling_South model Version control 4a S&amp;P_RWE 250805 1900" xfId="1155" xr:uid="{00000000-0005-0000-0000-000094040000}"/>
    <cellStyle name="0_Inflation &amp; Currency" xfId="1156" xr:uid="{00000000-0005-0000-0000-000095040000}"/>
    <cellStyle name="0_Inflation &amp; Currency_AWG_Numbers for Pres_16Jun2005 MB" xfId="1157" xr:uid="{00000000-0005-0000-0000-000096040000}"/>
    <cellStyle name="0_Inflation &amp; Currency_RWE 250805 1900" xfId="1158" xr:uid="{00000000-0005-0000-0000-000097040000}"/>
    <cellStyle name="0_Inflation &amp; Currency_South model Version 280403 1005" xfId="1159" xr:uid="{00000000-0005-0000-0000-000098040000}"/>
    <cellStyle name="0_Inflation &amp; Currency_South model Version 280403 1005_AWG_Numbers for Pres_16Jun2005 MB" xfId="1160" xr:uid="{00000000-0005-0000-0000-000099040000}"/>
    <cellStyle name="0_Inflation &amp; Currency_South model Version 280403 1005_RWE 250805 1900" xfId="1161" xr:uid="{00000000-0005-0000-0000-00009A040000}"/>
    <cellStyle name="0_Inflation &amp; Currency_South model Version control 4a S&amp;P" xfId="1162" xr:uid="{00000000-0005-0000-0000-00009B040000}"/>
    <cellStyle name="0_Inflation &amp; Currency_South model Version control 4a S&amp;P_AWG_Numbers for Pres_16Jun2005 MB" xfId="1163" xr:uid="{00000000-0005-0000-0000-00009C040000}"/>
    <cellStyle name="0_Inflation &amp; Currency_South model Version control 4a S&amp;P_RWE 250805 1900" xfId="1164" xr:uid="{00000000-0005-0000-0000-00009D040000}"/>
    <cellStyle name="0_Information" xfId="1165" xr:uid="{00000000-0005-0000-0000-00009E040000}"/>
    <cellStyle name="0_Information_AWG_Numbers for Pres_16Jun2005 MB" xfId="1166" xr:uid="{00000000-0005-0000-0000-00009F040000}"/>
    <cellStyle name="0_Information_RWE 250805 1900" xfId="1167" xr:uid="{00000000-0005-0000-0000-0000A0040000}"/>
    <cellStyle name="0_Information_South model Version 280403 1005" xfId="1168" xr:uid="{00000000-0005-0000-0000-0000A1040000}"/>
    <cellStyle name="0_Information_South model Version 280403 1005_AWG_Numbers for Pres_16Jun2005 MB" xfId="1169" xr:uid="{00000000-0005-0000-0000-0000A2040000}"/>
    <cellStyle name="0_Information_South model Version 280403 1005_RWE 250805 1900" xfId="1170" xr:uid="{00000000-0005-0000-0000-0000A3040000}"/>
    <cellStyle name="0_Information_South model Version control 4a S&amp;P" xfId="1171" xr:uid="{00000000-0005-0000-0000-0000A4040000}"/>
    <cellStyle name="0_Information_South model Version control 4a S&amp;P_AWG_Numbers for Pres_16Jun2005 MB" xfId="1172" xr:uid="{00000000-0005-0000-0000-0000A5040000}"/>
    <cellStyle name="0_Information_South model Version control 4a S&amp;P_RWE 250805 1900" xfId="1173" xr:uid="{00000000-0005-0000-0000-0000A6040000}"/>
    <cellStyle name="0_Input area" xfId="1174" xr:uid="{00000000-0005-0000-0000-0000A7040000}"/>
    <cellStyle name="0_Input area_AWG_Numbers for Pres_16Jun2005 MB" xfId="1175" xr:uid="{00000000-0005-0000-0000-0000A8040000}"/>
    <cellStyle name="0_Input area_RWE 250805 1900" xfId="1176" xr:uid="{00000000-0005-0000-0000-0000A9040000}"/>
    <cellStyle name="0_INPUT-AREA" xfId="1177" xr:uid="{00000000-0005-0000-0000-0000AA040000}"/>
    <cellStyle name="0_INPUT-AREA_AWG_Numbers for Pres_16Jun2005 MB" xfId="1178" xr:uid="{00000000-0005-0000-0000-0000AB040000}"/>
    <cellStyle name="0_INPUT-AREA_RWE 250805 1900" xfId="1179" xr:uid="{00000000-0005-0000-0000-0000AC040000}"/>
    <cellStyle name="0_INPUT-AREA_South model Version 280403 1005" xfId="1180" xr:uid="{00000000-0005-0000-0000-0000AD040000}"/>
    <cellStyle name="0_INPUT-AREA_South model Version 280403 1005_AWG_Numbers for Pres_16Jun2005 MB" xfId="1181" xr:uid="{00000000-0005-0000-0000-0000AE040000}"/>
    <cellStyle name="0_INPUT-AREA_South model Version 280403 1005_RWE 250805 1900" xfId="1182" xr:uid="{00000000-0005-0000-0000-0000AF040000}"/>
    <cellStyle name="0_INPUT-AREA_South model Version control 4a S&amp;P" xfId="1183" xr:uid="{00000000-0005-0000-0000-0000B0040000}"/>
    <cellStyle name="0_INPUT-AREA_South model Version control 4a S&amp;P_AWG_Numbers for Pres_16Jun2005 MB" xfId="1184" xr:uid="{00000000-0005-0000-0000-0000B1040000}"/>
    <cellStyle name="0_INPUT-AREA_South model Version control 4a S&amp;P_RWE 250805 1900" xfId="1185" xr:uid="{00000000-0005-0000-0000-0000B2040000}"/>
    <cellStyle name="0_Interconnect" xfId="1186" xr:uid="{00000000-0005-0000-0000-0000B3040000}"/>
    <cellStyle name="0_Interconnect_AWG_Numbers for Pres_16Jun2005 MB" xfId="1187" xr:uid="{00000000-0005-0000-0000-0000B4040000}"/>
    <cellStyle name="0_Interconnect_RWE 250805 1900" xfId="1188" xr:uid="{00000000-0005-0000-0000-0000B5040000}"/>
    <cellStyle name="0_Key Figures" xfId="1189" xr:uid="{00000000-0005-0000-0000-0000B6040000}"/>
    <cellStyle name="0_Key Figures_AWG_Numbers for Pres_16Jun2005 MB" xfId="1190" xr:uid="{00000000-0005-0000-0000-0000B7040000}"/>
    <cellStyle name="0_Key Figures_RWE 250805 1900" xfId="1191" xr:uid="{00000000-0005-0000-0000-0000B8040000}"/>
    <cellStyle name="0_Key Figures_South model Version 280403 1005" xfId="1192" xr:uid="{00000000-0005-0000-0000-0000B9040000}"/>
    <cellStyle name="0_Key Figures_South model Version 280403 1005_AWG_Numbers for Pres_16Jun2005 MB" xfId="1193" xr:uid="{00000000-0005-0000-0000-0000BA040000}"/>
    <cellStyle name="0_Key Figures_South model Version 280403 1005_RWE 250805 1900" xfId="1194" xr:uid="{00000000-0005-0000-0000-0000BB040000}"/>
    <cellStyle name="0_Key Figures_South model Version control 4a S&amp;P" xfId="1195" xr:uid="{00000000-0005-0000-0000-0000BC040000}"/>
    <cellStyle name="0_Key Figures_South model Version control 4a S&amp;P_AWG_Numbers for Pres_16Jun2005 MB" xfId="1196" xr:uid="{00000000-0005-0000-0000-0000BD040000}"/>
    <cellStyle name="0_Key Figures_South model Version control 4a S&amp;P_RWE 250805 1900" xfId="1197" xr:uid="{00000000-0005-0000-0000-0000BE040000}"/>
    <cellStyle name="0_Marketing" xfId="1198" xr:uid="{00000000-0005-0000-0000-0000BF040000}"/>
    <cellStyle name="0_Marketing_AWG_Numbers for Pres_16Jun2005 MB" xfId="1199" xr:uid="{00000000-0005-0000-0000-0000C0040000}"/>
    <cellStyle name="0_Marketing_RWE 250805 1900" xfId="1200" xr:uid="{00000000-0005-0000-0000-0000C1040000}"/>
    <cellStyle name="0_Organization" xfId="1201" xr:uid="{00000000-0005-0000-0000-0000C2040000}"/>
    <cellStyle name="0_Organization_AWG_Numbers for Pres_16Jun2005 MB" xfId="1202" xr:uid="{00000000-0005-0000-0000-0000C3040000}"/>
    <cellStyle name="0_Organization_RWE 250805 1900" xfId="1203" xr:uid="{00000000-0005-0000-0000-0000C4040000}"/>
    <cellStyle name="0_Organization_South model Version 280403 1005" xfId="1204" xr:uid="{00000000-0005-0000-0000-0000C5040000}"/>
    <cellStyle name="0_Organization_South model Version 280403 1005_AWG_Numbers for Pres_16Jun2005 MB" xfId="1205" xr:uid="{00000000-0005-0000-0000-0000C6040000}"/>
    <cellStyle name="0_Organization_South model Version 280403 1005_RWE 250805 1900" xfId="1206" xr:uid="{00000000-0005-0000-0000-0000C7040000}"/>
    <cellStyle name="0_Organization_South model Version control 4a S&amp;P" xfId="1207" xr:uid="{00000000-0005-0000-0000-0000C8040000}"/>
    <cellStyle name="0_Organization_South model Version control 4a S&amp;P_AWG_Numbers for Pres_16Jun2005 MB" xfId="1208" xr:uid="{00000000-0005-0000-0000-0000C9040000}"/>
    <cellStyle name="0_Organization_South model Version control 4a S&amp;P_RWE 250805 1900" xfId="1209" xr:uid="{00000000-0005-0000-0000-0000CA040000}"/>
    <cellStyle name="0_Output" xfId="1210" xr:uid="{00000000-0005-0000-0000-0000CB040000}"/>
    <cellStyle name="0_Output_AWG_Numbers for Pres_16Jun2005 MB" xfId="1211" xr:uid="{00000000-0005-0000-0000-0000CC040000}"/>
    <cellStyle name="0_Output_RWE 250805 1900" xfId="1212" xr:uid="{00000000-0005-0000-0000-0000CD040000}"/>
    <cellStyle name="0_Profit &amp; Loss" xfId="1213" xr:uid="{00000000-0005-0000-0000-0000CE040000}"/>
    <cellStyle name="0_Profit &amp; Loss_AWG_Numbers for Pres_16Jun2005 MB" xfId="1214" xr:uid="{00000000-0005-0000-0000-0000CF040000}"/>
    <cellStyle name="0_Profit &amp; Loss_RWE 250805 1900" xfId="1215" xr:uid="{00000000-0005-0000-0000-0000D0040000}"/>
    <cellStyle name="0_Profit &amp; Loss_South model Version 280403 1005" xfId="1216" xr:uid="{00000000-0005-0000-0000-0000D1040000}"/>
    <cellStyle name="0_Profit &amp; Loss_South model Version 280403 1005_AWG_Numbers for Pres_16Jun2005 MB" xfId="1217" xr:uid="{00000000-0005-0000-0000-0000D2040000}"/>
    <cellStyle name="0_Profit &amp; Loss_South model Version 280403 1005_RWE 250805 1900" xfId="1218" xr:uid="{00000000-0005-0000-0000-0000D3040000}"/>
    <cellStyle name="0_Profit &amp; Loss_South model Version control 4a S&amp;P" xfId="1219" xr:uid="{00000000-0005-0000-0000-0000D4040000}"/>
    <cellStyle name="0_Profit &amp; Loss_South model Version control 4a S&amp;P_AWG_Numbers for Pres_16Jun2005 MB" xfId="1220" xr:uid="{00000000-0005-0000-0000-0000D5040000}"/>
    <cellStyle name="0_Profit &amp; Loss_South model Version control 4a S&amp;P_RWE 250805 1900" xfId="1221" xr:uid="{00000000-0005-0000-0000-0000D6040000}"/>
    <cellStyle name="0_Revenue Summary" xfId="1222" xr:uid="{00000000-0005-0000-0000-0000D7040000}"/>
    <cellStyle name="0_Revenue Summary_AWG_Numbers for Pres_16Jun2005 MB" xfId="1223" xr:uid="{00000000-0005-0000-0000-0000D8040000}"/>
    <cellStyle name="0_Revenue Summary_RWE 250805 1900" xfId="1224" xr:uid="{00000000-0005-0000-0000-0000D9040000}"/>
    <cellStyle name="0_Revenue Summary_South model Version 280403 1005" xfId="1225" xr:uid="{00000000-0005-0000-0000-0000DA040000}"/>
    <cellStyle name="0_Revenue Summary_South model Version 280403 1005_AWG_Numbers for Pres_16Jun2005 MB" xfId="1226" xr:uid="{00000000-0005-0000-0000-0000DB040000}"/>
    <cellStyle name="0_Revenue Summary_South model Version 280403 1005_RWE 250805 1900" xfId="1227" xr:uid="{00000000-0005-0000-0000-0000DC040000}"/>
    <cellStyle name="0_Revenue Summary_South model Version control 4a S&amp;P" xfId="1228" xr:uid="{00000000-0005-0000-0000-0000DD040000}"/>
    <cellStyle name="0_Revenue Summary_South model Version control 4a S&amp;P_AWG_Numbers for Pres_16Jun2005 MB" xfId="1229" xr:uid="{00000000-0005-0000-0000-0000DE040000}"/>
    <cellStyle name="0_Revenue Summary_South model Version control 4a S&amp;P_RWE 250805 1900" xfId="1230" xr:uid="{00000000-0005-0000-0000-0000DF040000}"/>
    <cellStyle name="0_Roaming" xfId="1231" xr:uid="{00000000-0005-0000-0000-0000E0040000}"/>
    <cellStyle name="0_Roaming_AWG_Numbers for Pres_16Jun2005 MB" xfId="1232" xr:uid="{00000000-0005-0000-0000-0000E1040000}"/>
    <cellStyle name="0_Roaming_RWE 250805 1900" xfId="1233" xr:uid="{00000000-0005-0000-0000-0000E2040000}"/>
    <cellStyle name="0_RWE 250805 1900" xfId="1234" xr:uid="{00000000-0005-0000-0000-0000E3040000}"/>
    <cellStyle name="0_Sales - Channels" xfId="1235" xr:uid="{00000000-0005-0000-0000-0000E4040000}"/>
    <cellStyle name="0_Sales - Channels_AWG_Numbers for Pres_16Jun2005 MB" xfId="1236" xr:uid="{00000000-0005-0000-0000-0000E5040000}"/>
    <cellStyle name="0_Sales - Channels_RWE 250805 1900" xfId="1237" xr:uid="{00000000-0005-0000-0000-0000E6040000}"/>
    <cellStyle name="0_Sales - Segments" xfId="1238" xr:uid="{00000000-0005-0000-0000-0000E7040000}"/>
    <cellStyle name="0_Sales - Segments_AWG_Numbers for Pres_16Jun2005 MB" xfId="1239" xr:uid="{00000000-0005-0000-0000-0000E8040000}"/>
    <cellStyle name="0_Sales - Segments_RWE 250805 1900" xfId="1240" xr:uid="{00000000-0005-0000-0000-0000E9040000}"/>
    <cellStyle name="0_South model Version 280403 1005" xfId="1241" xr:uid="{00000000-0005-0000-0000-0000EA040000}"/>
    <cellStyle name="0_South model Version 280403 1005_AWG_Numbers for Pres_16Jun2005 MB" xfId="1242" xr:uid="{00000000-0005-0000-0000-0000EB040000}"/>
    <cellStyle name="0_South model Version 280403 1005_RWE 250805 1900" xfId="1243" xr:uid="{00000000-0005-0000-0000-0000EC040000}"/>
    <cellStyle name="0_South model Version control 4a S&amp;P" xfId="1244" xr:uid="{00000000-0005-0000-0000-0000ED040000}"/>
    <cellStyle name="0_South model Version control 4a S&amp;P_AWG_Numbers for Pres_16Jun2005 MB" xfId="1245" xr:uid="{00000000-0005-0000-0000-0000EE040000}"/>
    <cellStyle name="0_South model Version control 4a S&amp;P_RWE 250805 1900" xfId="1246" xr:uid="{00000000-0005-0000-0000-0000EF040000}"/>
    <cellStyle name="0_Tax Depreciation " xfId="1247" xr:uid="{00000000-0005-0000-0000-0000F0040000}"/>
    <cellStyle name="0_Tax Depreciation _AWG_Numbers for Pres_16Jun2005 MB" xfId="1248" xr:uid="{00000000-0005-0000-0000-0000F1040000}"/>
    <cellStyle name="0_Tax Depreciation _RWE 250805 1900" xfId="1249" xr:uid="{00000000-0005-0000-0000-0000F2040000}"/>
    <cellStyle name="0_Tax Depreciation _South model Version 280403 1005" xfId="1250" xr:uid="{00000000-0005-0000-0000-0000F3040000}"/>
    <cellStyle name="0_Tax Depreciation _South model Version 280403 1005_AWG_Numbers for Pres_16Jun2005 MB" xfId="1251" xr:uid="{00000000-0005-0000-0000-0000F4040000}"/>
    <cellStyle name="0_Tax Depreciation _South model Version 280403 1005_RWE 250805 1900" xfId="1252" xr:uid="{00000000-0005-0000-0000-0000F5040000}"/>
    <cellStyle name="0_Tax Depreciation _South model Version control 4a S&amp;P" xfId="1253" xr:uid="{00000000-0005-0000-0000-0000F6040000}"/>
    <cellStyle name="0_Tax Depreciation _South model Version control 4a S&amp;P_AWG_Numbers for Pres_16Jun2005 MB" xfId="1254" xr:uid="{00000000-0005-0000-0000-0000F7040000}"/>
    <cellStyle name="0_Tax Depreciation _South model Version control 4a S&amp;P_RWE 250805 1900" xfId="1255" xr:uid="{00000000-0005-0000-0000-0000F8040000}"/>
    <cellStyle name="0_Tele Danmark Accounts" xfId="1256" xr:uid="{00000000-0005-0000-0000-0000F9040000}"/>
    <cellStyle name="0_Tele Danmark Accounts_AWG_Numbers for Pres_16Jun2005 MB" xfId="1257" xr:uid="{00000000-0005-0000-0000-0000FA040000}"/>
    <cellStyle name="0_Tele Danmark Accounts_RWE 250805 1900" xfId="1258" xr:uid="{00000000-0005-0000-0000-0000FB040000}"/>
    <cellStyle name="0_Tele Danmark Accounts_South model Version 280403 1005" xfId="1259" xr:uid="{00000000-0005-0000-0000-0000FC040000}"/>
    <cellStyle name="0_Tele Danmark Accounts_South model Version 280403 1005_AWG_Numbers for Pres_16Jun2005 MB" xfId="1260" xr:uid="{00000000-0005-0000-0000-0000FD040000}"/>
    <cellStyle name="0_Tele Danmark Accounts_South model Version 280403 1005_RWE 250805 1900" xfId="1261" xr:uid="{00000000-0005-0000-0000-0000FE040000}"/>
    <cellStyle name="0_Tele Danmark Accounts_South model Version control 4a S&amp;P" xfId="1262" xr:uid="{00000000-0005-0000-0000-0000FF040000}"/>
    <cellStyle name="0_Tele Danmark Accounts_South model Version control 4a S&amp;P_AWG_Numbers for Pres_16Jun2005 MB" xfId="1263" xr:uid="{00000000-0005-0000-0000-000000050000}"/>
    <cellStyle name="0_Tele Danmark Accounts_South model Version control 4a S&amp;P_RWE 250805 1900" xfId="1264" xr:uid="{00000000-0005-0000-0000-000001050000}"/>
    <cellStyle name="0_VARIABLES" xfId="1265" xr:uid="{00000000-0005-0000-0000-000002050000}"/>
    <cellStyle name="0_Variables (2)" xfId="1266" xr:uid="{00000000-0005-0000-0000-000003050000}"/>
    <cellStyle name="0_Variables (2)_AWG_Numbers for Pres_16Jun2005 MB" xfId="1267" xr:uid="{00000000-0005-0000-0000-000004050000}"/>
    <cellStyle name="0_Variables (2)_RWE 250805 1900" xfId="1268" xr:uid="{00000000-0005-0000-0000-000005050000}"/>
    <cellStyle name="0_VARIABLES_AWG_Numbers for Pres_16Jun2005 MB" xfId="1269" xr:uid="{00000000-0005-0000-0000-000006050000}"/>
    <cellStyle name="0_VARIABLES_RWE 250805 1900" xfId="1270" xr:uid="{00000000-0005-0000-0000-000007050000}"/>
    <cellStyle name="0_VARIABLES_South model Version 280403 1005" xfId="1271" xr:uid="{00000000-0005-0000-0000-000008050000}"/>
    <cellStyle name="0_VARIABLES_South model Version 280403 1005_AWG_Numbers for Pres_16Jun2005 MB" xfId="1272" xr:uid="{00000000-0005-0000-0000-000009050000}"/>
    <cellStyle name="0_VARIABLES_South model Version 280403 1005_RWE 250805 1900" xfId="1273" xr:uid="{00000000-0005-0000-0000-00000A050000}"/>
    <cellStyle name="0_VARIABLES_South model Version control 4a S&amp;P" xfId="1274" xr:uid="{00000000-0005-0000-0000-00000B050000}"/>
    <cellStyle name="0_VARIABLES_South model Version control 4a S&amp;P_AWG_Numbers for Pres_16Jun2005 MB" xfId="1275" xr:uid="{00000000-0005-0000-0000-00000C050000}"/>
    <cellStyle name="0_VARIABLES_South model Version control 4a S&amp;P_RWE 250805 1900" xfId="1276" xr:uid="{00000000-0005-0000-0000-00000D050000}"/>
    <cellStyle name="0,0" xfId="562" xr:uid="{00000000-0005-0000-0000-000043020000}"/>
    <cellStyle name="0,00" xfId="563" xr:uid="{00000000-0005-0000-0000-000044020000}"/>
    <cellStyle name="0,00;0;" xfId="564" xr:uid="{00000000-0005-0000-0000-000045020000}"/>
    <cellStyle name="0.0" xfId="565" xr:uid="{00000000-0005-0000-0000-000046020000}"/>
    <cellStyle name="0.0%" xfId="566" xr:uid="{00000000-0005-0000-0000-000047020000}"/>
    <cellStyle name="0.00" xfId="567" xr:uid="{00000000-0005-0000-0000-000048020000}"/>
    <cellStyle name="0.00%" xfId="568" xr:uid="{00000000-0005-0000-0000-000049020000}"/>
    <cellStyle name="0%" xfId="561" xr:uid="{00000000-0005-0000-0000-000042020000}"/>
    <cellStyle name="1000-sep (2 dec)_jcw_std_ver4 jdu" xfId="1278" xr:uid="{00000000-0005-0000-0000-00000F050000}"/>
    <cellStyle name="1000-sep+,00_Slideshow" xfId="1279" xr:uid="{00000000-0005-0000-0000-000010050000}"/>
    <cellStyle name="1decimal" xfId="1280" xr:uid="{00000000-0005-0000-0000-000011050000}"/>
    <cellStyle name="1Normal" xfId="1281" xr:uid="{00000000-0005-0000-0000-000012050000}"/>
    <cellStyle name="1Outputbox1" xfId="1282" xr:uid="{00000000-0005-0000-0000-000013050000}"/>
    <cellStyle name="1Outputbox2" xfId="1283" xr:uid="{00000000-0005-0000-0000-000014050000}"/>
    <cellStyle name="1Outputheader" xfId="1284" xr:uid="{00000000-0005-0000-0000-000015050000}"/>
    <cellStyle name="1Outputheader2" xfId="1285" xr:uid="{00000000-0005-0000-0000-000016050000}"/>
    <cellStyle name="1Outputsubtitle" xfId="1286" xr:uid="{00000000-0005-0000-0000-000017050000}"/>
    <cellStyle name="1Outputtitle" xfId="1287" xr:uid="{00000000-0005-0000-0000-000018050000}"/>
    <cellStyle name="1Profileheader" xfId="1288" xr:uid="{00000000-0005-0000-0000-000019050000}"/>
    <cellStyle name="1Profilelowerbox" xfId="1289" xr:uid="{00000000-0005-0000-0000-00001A050000}"/>
    <cellStyle name="1Profilesubheader" xfId="1290" xr:uid="{00000000-0005-0000-0000-00001B050000}"/>
    <cellStyle name="1Profiletitle" xfId="1291" xr:uid="{00000000-0005-0000-0000-00001C050000}"/>
    <cellStyle name="1Profiletopbox" xfId="1292" xr:uid="{00000000-0005-0000-0000-00001D050000}"/>
    <cellStyle name="20% - Accent1" xfId="1293" xr:uid="{00000000-0005-0000-0000-00001E050000}"/>
    <cellStyle name="20% - Accent2" xfId="1294" xr:uid="{00000000-0005-0000-0000-00001F050000}"/>
    <cellStyle name="20% - Accent3" xfId="1295" xr:uid="{00000000-0005-0000-0000-000020050000}"/>
    <cellStyle name="20% - Accent4" xfId="1296" xr:uid="{00000000-0005-0000-0000-000021050000}"/>
    <cellStyle name="20% - Accent5" xfId="1297" xr:uid="{00000000-0005-0000-0000-000022050000}"/>
    <cellStyle name="20% - Accent6" xfId="1298" xr:uid="{00000000-0005-0000-0000-000023050000}"/>
    <cellStyle name="20% — акцент1 2" xfId="1299" xr:uid="{00000000-0005-0000-0000-000024050000}"/>
    <cellStyle name="20% — акцент2 2" xfId="1300" xr:uid="{00000000-0005-0000-0000-000025050000}"/>
    <cellStyle name="20% — акцент3 2" xfId="1301" xr:uid="{00000000-0005-0000-0000-000026050000}"/>
    <cellStyle name="20% — акцент4 2" xfId="1302" xr:uid="{00000000-0005-0000-0000-000027050000}"/>
    <cellStyle name="20% — акцент5 2" xfId="1303" xr:uid="{00000000-0005-0000-0000-000028050000}"/>
    <cellStyle name="20% — акцент6 2" xfId="1304" xr:uid="{00000000-0005-0000-0000-000029050000}"/>
    <cellStyle name="2decimal" xfId="1305" xr:uid="{00000000-0005-0000-0000-00002A050000}"/>
    <cellStyle name="¾ˆ" xfId="1277" xr:uid="{00000000-0005-0000-0000-00000E050000}"/>
    <cellStyle name="3d" xfId="2017" xr:uid="{00000000-0005-0000-0000-00002B050000}"/>
    <cellStyle name="40% - Accent1" xfId="1306" xr:uid="{00000000-0005-0000-0000-00002C050000}"/>
    <cellStyle name="40% - Accent2" xfId="1307" xr:uid="{00000000-0005-0000-0000-00002D050000}"/>
    <cellStyle name="40% - Accent3" xfId="1308" xr:uid="{00000000-0005-0000-0000-00002E050000}"/>
    <cellStyle name="40% - Accent4" xfId="1309" xr:uid="{00000000-0005-0000-0000-00002F050000}"/>
    <cellStyle name="40% - Accent5" xfId="1310" xr:uid="{00000000-0005-0000-0000-000030050000}"/>
    <cellStyle name="40% - Accent6" xfId="1311" xr:uid="{00000000-0005-0000-0000-000031050000}"/>
    <cellStyle name="40% — акцент1 2" xfId="1312" xr:uid="{00000000-0005-0000-0000-000032050000}"/>
    <cellStyle name="40% — акцент2 2" xfId="1313" xr:uid="{00000000-0005-0000-0000-000033050000}"/>
    <cellStyle name="40% — акцент3 2" xfId="1314" xr:uid="{00000000-0005-0000-0000-000034050000}"/>
    <cellStyle name="40% — акцент4 2" xfId="1315" xr:uid="{00000000-0005-0000-0000-000035050000}"/>
    <cellStyle name="40% — акцент5 2" xfId="1316" xr:uid="{00000000-0005-0000-0000-000036050000}"/>
    <cellStyle name="40% — акцент6 2" xfId="1317" xr:uid="{00000000-0005-0000-0000-000037050000}"/>
    <cellStyle name="50%" xfId="2018" xr:uid="{00000000-0005-0000-0000-000038050000}"/>
    <cellStyle name="60% - Accent1" xfId="1318" xr:uid="{00000000-0005-0000-0000-000039050000}"/>
    <cellStyle name="60% - Accent2" xfId="1319" xr:uid="{00000000-0005-0000-0000-00003A050000}"/>
    <cellStyle name="60% - Accent3" xfId="1320" xr:uid="{00000000-0005-0000-0000-00003B050000}"/>
    <cellStyle name="60% - Accent4" xfId="1321" xr:uid="{00000000-0005-0000-0000-00003C050000}"/>
    <cellStyle name="60% - Accent5" xfId="1322" xr:uid="{00000000-0005-0000-0000-00003D050000}"/>
    <cellStyle name="60% - Accent6" xfId="1323" xr:uid="{00000000-0005-0000-0000-00003E050000}"/>
    <cellStyle name="60% — акцент1 2" xfId="1324" xr:uid="{00000000-0005-0000-0000-00003F050000}"/>
    <cellStyle name="60% — акцент2 2" xfId="1325" xr:uid="{00000000-0005-0000-0000-000040050000}"/>
    <cellStyle name="60% — акцент3 2" xfId="1326" xr:uid="{00000000-0005-0000-0000-000041050000}"/>
    <cellStyle name="60% — акцент4 2" xfId="1327" xr:uid="{00000000-0005-0000-0000-000042050000}"/>
    <cellStyle name="60% — акцент5 2" xfId="1328" xr:uid="{00000000-0005-0000-0000-000043050000}"/>
    <cellStyle name="60% — акцент6 2" xfId="1329" xr:uid="{00000000-0005-0000-0000-000044050000}"/>
    <cellStyle name="6Code" xfId="1330" xr:uid="{00000000-0005-0000-0000-000045050000}"/>
    <cellStyle name="75%" xfId="2019" xr:uid="{00000000-0005-0000-0000-000046050000}"/>
    <cellStyle name="752131" xfId="1331" xr:uid="{00000000-0005-0000-0000-000047050000}"/>
    <cellStyle name="8pt" xfId="1332" xr:uid="{00000000-0005-0000-0000-000048050000}"/>
    <cellStyle name="Акцент1 2" xfId="1888" xr:uid="{00000000-0005-0000-0000-00009A070000}"/>
    <cellStyle name="Акцент2 2" xfId="1889" xr:uid="{00000000-0005-0000-0000-00009B070000}"/>
    <cellStyle name="Акцент3 2" xfId="1890" xr:uid="{00000000-0005-0000-0000-00009C070000}"/>
    <cellStyle name="Акцент4 2" xfId="1891" xr:uid="{00000000-0005-0000-0000-00009D070000}"/>
    <cellStyle name="Акцент5 2" xfId="1892" xr:uid="{00000000-0005-0000-0000-00009E070000}"/>
    <cellStyle name="Акцент6 2" xfId="1893" xr:uid="{00000000-0005-0000-0000-00009F070000}"/>
    <cellStyle name="Беззащитный" xfId="1894" xr:uid="{00000000-0005-0000-0000-0000A0070000}"/>
    <cellStyle name="Ввод  2" xfId="1895" xr:uid="{00000000-0005-0000-0000-0000A1070000}"/>
    <cellStyle name="Верт. заголовок" xfId="1896" xr:uid="{00000000-0005-0000-0000-0000A2070000}"/>
    <cellStyle name="Вывод 2" xfId="1897" xr:uid="{00000000-0005-0000-0000-0000A3070000}"/>
    <cellStyle name="Вычисление 2" xfId="1898" xr:uid="{00000000-0005-0000-0000-0000A4070000}"/>
    <cellStyle name="Данные" xfId="1899" xr:uid="{00000000-0005-0000-0000-0000A5070000}"/>
    <cellStyle name="Дата" xfId="1900" xr:uid="{00000000-0005-0000-0000-0000A6070000}"/>
    <cellStyle name="Денежный (0)" xfId="1901" xr:uid="{00000000-0005-0000-0000-0000A7070000}"/>
    <cellStyle name="Денежный 2" xfId="1902" xr:uid="{00000000-0005-0000-0000-0000A8070000}"/>
    <cellStyle name="ДЮё¶ [0]_±вЕё" xfId="1903" xr:uid="{00000000-0005-0000-0000-0000A9070000}"/>
    <cellStyle name="ДЮё¶_±вЕё" xfId="1904" xr:uid="{00000000-0005-0000-0000-0000AA070000}"/>
    <cellStyle name="ЕлИ­ [0]_±вЕё" xfId="1905" xr:uid="{00000000-0005-0000-0000-0000AB070000}"/>
    <cellStyle name="ЕлИ­_±вЕё" xfId="1906" xr:uid="{00000000-0005-0000-0000-0000AC070000}"/>
    <cellStyle name="Заг" xfId="1907" xr:uid="{00000000-0005-0000-0000-0000AD070000}"/>
    <cellStyle name="Заголовок" xfId="1908" xr:uid="{00000000-0005-0000-0000-0000AE070000}"/>
    <cellStyle name="Заголовок 1 2" xfId="1909" xr:uid="{00000000-0005-0000-0000-0000AF070000}"/>
    <cellStyle name="Заголовок 2 2" xfId="1910" xr:uid="{00000000-0005-0000-0000-0000B0070000}"/>
    <cellStyle name="Заголовок 3 2" xfId="1911" xr:uid="{00000000-0005-0000-0000-0000B1070000}"/>
    <cellStyle name="Заголовок 4 2" xfId="1912" xr:uid="{00000000-0005-0000-0000-0000B2070000}"/>
    <cellStyle name="ЗаголовокСтолбца" xfId="1913" xr:uid="{00000000-0005-0000-0000-0000B3070000}"/>
    <cellStyle name="Защитный" xfId="1914" xr:uid="{00000000-0005-0000-0000-0000B4070000}"/>
    <cellStyle name="ЗҐБШ_±ё№МВчАМ" xfId="1915" xr:uid="{00000000-0005-0000-0000-0000B5070000}"/>
    <cellStyle name="Значение" xfId="1916" xr:uid="{00000000-0005-0000-0000-0000B6070000}"/>
    <cellStyle name="Итог 2" xfId="1917" xr:uid="{00000000-0005-0000-0000-0000B7070000}"/>
    <cellStyle name="Итоги" xfId="1918" xr:uid="{00000000-0005-0000-0000-0000B8070000}"/>
    <cellStyle name="Контрольная ячейка 2" xfId="1919" xr:uid="{00000000-0005-0000-0000-0000B9070000}"/>
    <cellStyle name="Мои наименования показателей" xfId="1920" xr:uid="{00000000-0005-0000-0000-0000BA070000}"/>
    <cellStyle name="Мой заголовок" xfId="1921" xr:uid="{00000000-0005-0000-0000-0000BB070000}"/>
    <cellStyle name="Мой заголовок листа" xfId="1922" xr:uid="{00000000-0005-0000-0000-0000BC070000}"/>
    <cellStyle name="Название 2" xfId="1923" xr:uid="{00000000-0005-0000-0000-0000BD070000}"/>
    <cellStyle name="Невидимый" xfId="1924" xr:uid="{00000000-0005-0000-0000-0000BE070000}"/>
    <cellStyle name="недельный" xfId="1925" xr:uid="{00000000-0005-0000-0000-0000BF070000}"/>
    <cellStyle name="Нейтральный 2" xfId="1926" xr:uid="{00000000-0005-0000-0000-0000C0070000}"/>
    <cellStyle name="Обычный" xfId="0" builtinId="0"/>
    <cellStyle name="Обычный 10" xfId="2" xr:uid="{00000000-0005-0000-0000-0000C2070000}"/>
    <cellStyle name="Обычный 100" xfId="2092" xr:uid="{00000000-0005-0000-0000-0000C3070000}"/>
    <cellStyle name="Обычный 140 3 2" xfId="2090" xr:uid="{00000000-0005-0000-0000-0000C4070000}"/>
    <cellStyle name="Обычный 2" xfId="4" xr:uid="{00000000-0005-0000-0000-0000C5070000}"/>
    <cellStyle name="Обычный 2 2" xfId="1991" xr:uid="{00000000-0005-0000-0000-0000C6070000}"/>
    <cellStyle name="Обычный 2 3" xfId="2058" xr:uid="{00000000-0005-0000-0000-0000C7070000}"/>
    <cellStyle name="Обычный 2 4" xfId="1927" xr:uid="{00000000-0005-0000-0000-0000C8070000}"/>
    <cellStyle name="Обычный 3" xfId="5" xr:uid="{00000000-0005-0000-0000-0000C9070000}"/>
    <cellStyle name="Обычный 3 2" xfId="2059" xr:uid="{00000000-0005-0000-0000-0000CA070000}"/>
    <cellStyle name="Обычный 3 3" xfId="2060" xr:uid="{00000000-0005-0000-0000-0000CB070000}"/>
    <cellStyle name="Обычный 3 4" xfId="1992" xr:uid="{00000000-0005-0000-0000-0000CC070000}"/>
    <cellStyle name="Обычный 3 5" xfId="2084" xr:uid="{00000000-0005-0000-0000-0000CD070000}"/>
    <cellStyle name="Обычный 4" xfId="2061" xr:uid="{00000000-0005-0000-0000-0000CE070000}"/>
    <cellStyle name="Обычный 4 2" xfId="2085" xr:uid="{00000000-0005-0000-0000-0000CF070000}"/>
    <cellStyle name="Обычный 5" xfId="2062" xr:uid="{00000000-0005-0000-0000-0000D0070000}"/>
    <cellStyle name="Обычный 5 2" xfId="2091" xr:uid="{00000000-0005-0000-0000-0000D1070000}"/>
    <cellStyle name="Обычный 6" xfId="2063" xr:uid="{00000000-0005-0000-0000-0000D2070000}"/>
    <cellStyle name="Обычный 7" xfId="2081" xr:uid="{00000000-0005-0000-0000-0000D3070000}"/>
    <cellStyle name="Обычный 7 2" xfId="2087" xr:uid="{00000000-0005-0000-0000-0000D4070000}"/>
    <cellStyle name="Обычный 8" xfId="2082" xr:uid="{00000000-0005-0000-0000-0000D5070000}"/>
    <cellStyle name="Обычный 8 2" xfId="2088" xr:uid="{00000000-0005-0000-0000-0000D6070000}"/>
    <cellStyle name="Обычный 9" xfId="6" xr:uid="{00000000-0005-0000-0000-0000D7070000}"/>
    <cellStyle name="Обычный1" xfId="1928" xr:uid="{00000000-0005-0000-0000-0000D8070000}"/>
    <cellStyle name="Основа таблицы" xfId="1929" xr:uid="{00000000-0005-0000-0000-0000D9070000}"/>
    <cellStyle name="Плохой 2" xfId="1930" xr:uid="{00000000-0005-0000-0000-0000DA070000}"/>
    <cellStyle name="Подстрока" xfId="1931" xr:uid="{00000000-0005-0000-0000-0000DB070000}"/>
    <cellStyle name="Поле ввода" xfId="2064" xr:uid="{00000000-0005-0000-0000-0000DC070000}"/>
    <cellStyle name="Пояснение 2" xfId="1932" xr:uid="{00000000-0005-0000-0000-0000DD070000}"/>
    <cellStyle name="Примечание 2" xfId="1933" xr:uid="{00000000-0005-0000-0000-0000DE070000}"/>
    <cellStyle name="Проверка" xfId="1934" xr:uid="{00000000-0005-0000-0000-0000DF070000}"/>
    <cellStyle name="Процентный" xfId="2093" builtinId="5"/>
    <cellStyle name="Процентный 2" xfId="1936" xr:uid="{00000000-0005-0000-0000-0000E1070000}"/>
    <cellStyle name="Процентный 3" xfId="1937" xr:uid="{00000000-0005-0000-0000-0000E2070000}"/>
    <cellStyle name="Процентный 4" xfId="2083" xr:uid="{00000000-0005-0000-0000-0000E3070000}"/>
    <cellStyle name="Процентный 4 2" xfId="2089" xr:uid="{00000000-0005-0000-0000-0000E4070000}"/>
    <cellStyle name="Процентный 5" xfId="1935" xr:uid="{00000000-0005-0000-0000-0000E5070000}"/>
    <cellStyle name="Процентный 6" xfId="3" xr:uid="{00000000-0005-0000-0000-0000E6070000}"/>
    <cellStyle name="Связанная ячейка 2" xfId="1938" xr:uid="{00000000-0005-0000-0000-0000E7070000}"/>
    <cellStyle name="Сложный заголовок" xfId="1939" xr:uid="{00000000-0005-0000-0000-0000E8070000}"/>
    <cellStyle name="Статья" xfId="1940" xr:uid="{00000000-0005-0000-0000-0000E9070000}"/>
    <cellStyle name="Стиль 1" xfId="1941" xr:uid="{00000000-0005-0000-0000-0000EA070000}"/>
    <cellStyle name="Стиль 10" xfId="1942" xr:uid="{00000000-0005-0000-0000-0000EB070000}"/>
    <cellStyle name="Стиль 11" xfId="1943" xr:uid="{00000000-0005-0000-0000-0000EC070000}"/>
    <cellStyle name="Стиль 12" xfId="1944" xr:uid="{00000000-0005-0000-0000-0000ED070000}"/>
    <cellStyle name="Стиль 13" xfId="1945" xr:uid="{00000000-0005-0000-0000-0000EE070000}"/>
    <cellStyle name="Стиль 14" xfId="1946" xr:uid="{00000000-0005-0000-0000-0000EF070000}"/>
    <cellStyle name="Стиль 15" xfId="1947" xr:uid="{00000000-0005-0000-0000-0000F0070000}"/>
    <cellStyle name="Стиль 16" xfId="1948" xr:uid="{00000000-0005-0000-0000-0000F1070000}"/>
    <cellStyle name="Стиль 17" xfId="1949" xr:uid="{00000000-0005-0000-0000-0000F2070000}"/>
    <cellStyle name="Стиль 18" xfId="1950" xr:uid="{00000000-0005-0000-0000-0000F3070000}"/>
    <cellStyle name="Стиль 19" xfId="1951" xr:uid="{00000000-0005-0000-0000-0000F4070000}"/>
    <cellStyle name="Стиль 2" xfId="1952" xr:uid="{00000000-0005-0000-0000-0000F5070000}"/>
    <cellStyle name="Стиль 20" xfId="1953" xr:uid="{00000000-0005-0000-0000-0000F6070000}"/>
    <cellStyle name="Стиль 21" xfId="1954" xr:uid="{00000000-0005-0000-0000-0000F7070000}"/>
    <cellStyle name="Стиль 22" xfId="1955" xr:uid="{00000000-0005-0000-0000-0000F8070000}"/>
    <cellStyle name="Стиль 23" xfId="1956" xr:uid="{00000000-0005-0000-0000-0000F9070000}"/>
    <cellStyle name="Стиль 24" xfId="1957" xr:uid="{00000000-0005-0000-0000-0000FA070000}"/>
    <cellStyle name="Стиль 25" xfId="1958" xr:uid="{00000000-0005-0000-0000-0000FB070000}"/>
    <cellStyle name="Стиль 26" xfId="1959" xr:uid="{00000000-0005-0000-0000-0000FC070000}"/>
    <cellStyle name="Стиль 27" xfId="1960" xr:uid="{00000000-0005-0000-0000-0000FD070000}"/>
    <cellStyle name="Стиль 28" xfId="1961" xr:uid="{00000000-0005-0000-0000-0000FE070000}"/>
    <cellStyle name="Стиль 29" xfId="1962" xr:uid="{00000000-0005-0000-0000-0000FF070000}"/>
    <cellStyle name="Стиль 3" xfId="1963" xr:uid="{00000000-0005-0000-0000-000000080000}"/>
    <cellStyle name="Стиль 30" xfId="1964" xr:uid="{00000000-0005-0000-0000-000001080000}"/>
    <cellStyle name="Стиль 4" xfId="1965" xr:uid="{00000000-0005-0000-0000-000002080000}"/>
    <cellStyle name="Стиль 5" xfId="1966" xr:uid="{00000000-0005-0000-0000-000003080000}"/>
    <cellStyle name="Стиль 6" xfId="1967" xr:uid="{00000000-0005-0000-0000-000004080000}"/>
    <cellStyle name="Стиль 7" xfId="1968" xr:uid="{00000000-0005-0000-0000-000005080000}"/>
    <cellStyle name="Стиль 8" xfId="1969" xr:uid="{00000000-0005-0000-0000-000006080000}"/>
    <cellStyle name="Стиль 9" xfId="1970" xr:uid="{00000000-0005-0000-0000-000007080000}"/>
    <cellStyle name="Субсчет" xfId="1971" xr:uid="{00000000-0005-0000-0000-000008080000}"/>
    <cellStyle name="Счет" xfId="1972" xr:uid="{00000000-0005-0000-0000-000009080000}"/>
    <cellStyle name="Текст предупреждения 2" xfId="1973" xr:uid="{00000000-0005-0000-0000-00000A080000}"/>
    <cellStyle name="Текстовый" xfId="1974" xr:uid="{00000000-0005-0000-0000-00000B080000}"/>
    <cellStyle name="тонны" xfId="1975" xr:uid="{00000000-0005-0000-0000-00000C080000}"/>
    <cellStyle name="Тысячи" xfId="1976" xr:uid="{00000000-0005-0000-0000-00000D080000}"/>
    <cellStyle name="Тысячи (0)" xfId="1977" xr:uid="{00000000-0005-0000-0000-00000E080000}"/>
    <cellStyle name="тысячи (000)" xfId="1978" xr:uid="{00000000-0005-0000-0000-00000F080000}"/>
    <cellStyle name="Тысячи [0]_1 кв" xfId="1979" xr:uid="{00000000-0005-0000-0000-000010080000}"/>
    <cellStyle name="Тысячи [а]" xfId="1980" xr:uid="{00000000-0005-0000-0000-000011080000}"/>
    <cellStyle name="Тысячи_ прибыль " xfId="1981" xr:uid="{00000000-0005-0000-0000-000012080000}"/>
    <cellStyle name="Финансовый" xfId="1" builtinId="3"/>
    <cellStyle name="Финансовый 2" xfId="1982" xr:uid="{00000000-0005-0000-0000-000014080000}"/>
    <cellStyle name="Финансовый 2 2" xfId="2065" xr:uid="{00000000-0005-0000-0000-000015080000}"/>
    <cellStyle name="Финансовый 2 3" xfId="2066" xr:uid="{00000000-0005-0000-0000-000016080000}"/>
    <cellStyle name="Финансовый 3" xfId="2067" xr:uid="{00000000-0005-0000-0000-000017080000}"/>
    <cellStyle name="Финансовый 4" xfId="1983" xr:uid="{00000000-0005-0000-0000-000018080000}"/>
    <cellStyle name="Финансовый 5" xfId="2080" xr:uid="{00000000-0005-0000-0000-000019080000}"/>
    <cellStyle name="Финансовый 5 2" xfId="2086" xr:uid="{00000000-0005-0000-0000-00001A080000}"/>
    <cellStyle name="Финансовый 6" xfId="2094" xr:uid="{00000000-0005-0000-0000-00001B080000}"/>
    <cellStyle name="Формула" xfId="1984" xr:uid="{00000000-0005-0000-0000-00001C080000}"/>
    <cellStyle name="ФормулаВБ" xfId="1985" xr:uid="{00000000-0005-0000-0000-00001D080000}"/>
    <cellStyle name="ФормулаНаКонтроль" xfId="1986" xr:uid="{00000000-0005-0000-0000-00001E080000}"/>
    <cellStyle name="Формулы" xfId="2068" xr:uid="{00000000-0005-0000-0000-00001F080000}"/>
    <cellStyle name="Хороший 2" xfId="1987" xr:uid="{00000000-0005-0000-0000-000020080000}"/>
    <cellStyle name="Џђћ–…ќ’ќ›‰" xfId="1988" xr:uid="{00000000-0005-0000-0000-000021080000}"/>
    <cellStyle name="ШАУ" xfId="1989" xr:uid="{00000000-0005-0000-0000-000022080000}"/>
    <cellStyle name="Aaia?iue [0]_?anoiau" xfId="2020" xr:uid="{00000000-0005-0000-0000-000049050000}"/>
    <cellStyle name="Aaia?iue_?anoiau" xfId="2021" xr:uid="{00000000-0005-0000-0000-00004A050000}"/>
    <cellStyle name="Äåíåæíûé [0]_vaqduGfTSN7qyUJNWHRlcWo3H" xfId="1333" xr:uid="{00000000-0005-0000-0000-00004B050000}"/>
    <cellStyle name="Äåíåæíûé_vaqduGfTSN7qyUJNWHRlcWo3H" xfId="1334" xr:uid="{00000000-0005-0000-0000-00004C050000}"/>
    <cellStyle name="Accent1" xfId="1335" xr:uid="{00000000-0005-0000-0000-00004D050000}"/>
    <cellStyle name="Accent2" xfId="1336" xr:uid="{00000000-0005-0000-0000-00004E050000}"/>
    <cellStyle name="Accent3" xfId="1337" xr:uid="{00000000-0005-0000-0000-00004F050000}"/>
    <cellStyle name="Accent4" xfId="1338" xr:uid="{00000000-0005-0000-0000-000050050000}"/>
    <cellStyle name="Accent5" xfId="1339" xr:uid="{00000000-0005-0000-0000-000051050000}"/>
    <cellStyle name="Accent6" xfId="1340" xr:uid="{00000000-0005-0000-0000-000052050000}"/>
    <cellStyle name="Accounting" xfId="1341" xr:uid="{00000000-0005-0000-0000-000053050000}"/>
    <cellStyle name="Accounting [0]" xfId="1342" xr:uid="{00000000-0005-0000-0000-000054050000}"/>
    <cellStyle name="Accounting [1]" xfId="1343" xr:uid="{00000000-0005-0000-0000-000055050000}"/>
    <cellStyle name="acct" xfId="1344" xr:uid="{00000000-0005-0000-0000-000056050000}"/>
    <cellStyle name="adj_share" xfId="1345" xr:uid="{00000000-0005-0000-0000-000057050000}"/>
    <cellStyle name="Adjusted" xfId="1346" xr:uid="{00000000-0005-0000-0000-000058050000}"/>
    <cellStyle name="AeE­ [0]_?A°??µAoC?" xfId="1347" xr:uid="{00000000-0005-0000-0000-000059050000}"/>
    <cellStyle name="AeE­_?A°??µAoC?" xfId="1348" xr:uid="{00000000-0005-0000-0000-00005A050000}"/>
    <cellStyle name="Aeia?nnueea" xfId="1349" xr:uid="{00000000-0005-0000-0000-00005B050000}"/>
    <cellStyle name="AFE" xfId="1350" xr:uid="{00000000-0005-0000-0000-00005C050000}"/>
    <cellStyle name="Afjusted" xfId="1351" xr:uid="{00000000-0005-0000-0000-00005D050000}"/>
    <cellStyle name="ag" xfId="1352" xr:uid="{00000000-0005-0000-0000-00005E050000}"/>
    <cellStyle name="Alert" xfId="1353" xr:uid="{00000000-0005-0000-0000-00005F050000}"/>
    <cellStyle name="alternate" xfId="1354" xr:uid="{00000000-0005-0000-0000-000060050000}"/>
    <cellStyle name="AR%" xfId="1355" xr:uid="{00000000-0005-0000-0000-000061050000}"/>
    <cellStyle name="arhead1" xfId="1356" xr:uid="{00000000-0005-0000-0000-000062050000}"/>
    <cellStyle name="arhead2" xfId="1357" xr:uid="{00000000-0005-0000-0000-000063050000}"/>
    <cellStyle name="arhead3" xfId="1358" xr:uid="{00000000-0005-0000-0000-000064050000}"/>
    <cellStyle name="arhead4" xfId="1359" xr:uid="{00000000-0005-0000-0000-000065050000}"/>
    <cellStyle name="Arial 10" xfId="1360" xr:uid="{00000000-0005-0000-0000-000066050000}"/>
    <cellStyle name="Arial 12" xfId="1361" xr:uid="{00000000-0005-0000-0000-000067050000}"/>
    <cellStyle name="arNor" xfId="1362" xr:uid="{00000000-0005-0000-0000-000068050000}"/>
    <cellStyle name="arNum1" xfId="1363" xr:uid="{00000000-0005-0000-0000-000069050000}"/>
    <cellStyle name="arNum2" xfId="1364" xr:uid="{00000000-0005-0000-0000-00006A050000}"/>
    <cellStyle name="arNum3" xfId="1365" xr:uid="{00000000-0005-0000-0000-00006B050000}"/>
    <cellStyle name="arShade1" xfId="1366" xr:uid="{00000000-0005-0000-0000-00006C050000}"/>
    <cellStyle name="ARtext" xfId="1367" xr:uid="{00000000-0005-0000-0000-00006D050000}"/>
    <cellStyle name="artext1" xfId="1368" xr:uid="{00000000-0005-0000-0000-00006E050000}"/>
    <cellStyle name="Assumption - Normal" xfId="1369" xr:uid="{00000000-0005-0000-0000-00006F050000}"/>
    <cellStyle name="AutoFormat Options" xfId="1370" xr:uid="{00000000-0005-0000-0000-000070050000}"/>
    <cellStyle name="Availability" xfId="1371" xr:uid="{00000000-0005-0000-0000-000071050000}"/>
    <cellStyle name="b" xfId="1372" xr:uid="{00000000-0005-0000-0000-000072050000}"/>
    <cellStyle name="Bad" xfId="1373" xr:uid="{00000000-0005-0000-0000-000073050000}"/>
    <cellStyle name="Balance" xfId="1374" xr:uid="{00000000-0005-0000-0000-000074050000}"/>
    <cellStyle name="BalanceBold" xfId="1375" xr:uid="{00000000-0005-0000-0000-000075050000}"/>
    <cellStyle name="BLACK" xfId="1376" xr:uid="{00000000-0005-0000-0000-000076050000}"/>
    <cellStyle name="Blue" xfId="1377" xr:uid="{00000000-0005-0000-0000-000077050000}"/>
    <cellStyle name="Blue Heading" xfId="1378" xr:uid="{00000000-0005-0000-0000-000078050000}"/>
    <cellStyle name="Blue_Bewertung_Kurganenergo_STS_20070831_1308" xfId="1379" xr:uid="{00000000-0005-0000-0000-000079050000}"/>
    <cellStyle name="Body" xfId="1380" xr:uid="{00000000-0005-0000-0000-00007A050000}"/>
    <cellStyle name="Bold/Border" xfId="1381" xr:uid="{00000000-0005-0000-0000-00007B050000}"/>
    <cellStyle name="Boolean" xfId="1382" xr:uid="{00000000-0005-0000-0000-00007C050000}"/>
    <cellStyle name="Border Heavy" xfId="1383" xr:uid="{00000000-0005-0000-0000-00007D050000}"/>
    <cellStyle name="Border Thin" xfId="1384" xr:uid="{00000000-0005-0000-0000-00007E050000}"/>
    <cellStyle name="brackets" xfId="1385" xr:uid="{00000000-0005-0000-0000-00007F050000}"/>
    <cellStyle name="British Pound" xfId="1386" xr:uid="{00000000-0005-0000-0000-000080050000}"/>
    <cellStyle name="Bullet" xfId="1387" xr:uid="{00000000-0005-0000-0000-000081050000}"/>
    <cellStyle name="C?AO_?A°??µAoC?" xfId="1388" xr:uid="{00000000-0005-0000-0000-000082050000}"/>
    <cellStyle name="Calc" xfId="1389" xr:uid="{00000000-0005-0000-0000-000083050000}"/>
    <cellStyle name="CALC Amount" xfId="1390" xr:uid="{00000000-0005-0000-0000-000084050000}"/>
    <cellStyle name="Calc Currency (0)" xfId="1391" xr:uid="{00000000-0005-0000-0000-000085050000}"/>
    <cellStyle name="Calculation" xfId="1392" xr:uid="{00000000-0005-0000-0000-000086050000}"/>
    <cellStyle name="Case" xfId="1393" xr:uid="{00000000-0005-0000-0000-000087050000}"/>
    <cellStyle name="Center Across" xfId="1394" xr:uid="{00000000-0005-0000-0000-000088050000}"/>
    <cellStyle name="Cents/minute" xfId="1395" xr:uid="{00000000-0005-0000-0000-000089050000}"/>
    <cellStyle name="Changeable" xfId="1396" xr:uid="{00000000-0005-0000-0000-00008A050000}"/>
    <cellStyle name="Check" xfId="1397" xr:uid="{00000000-0005-0000-0000-00008B050000}"/>
    <cellStyle name="Check Cell" xfId="1398" xr:uid="{00000000-0005-0000-0000-00008C050000}"/>
    <cellStyle name="Check_Bewertung_Kurganenergo_STS_20070831_1308" xfId="1399" xr:uid="{00000000-0005-0000-0000-00008D050000}"/>
    <cellStyle name="Co. Names" xfId="1400" xr:uid="{00000000-0005-0000-0000-00008E050000}"/>
    <cellStyle name="Co. Names - Bold" xfId="1401" xr:uid="{00000000-0005-0000-0000-00008F050000}"/>
    <cellStyle name="Co. Names_add-on" xfId="1402" xr:uid="{00000000-0005-0000-0000-000090050000}"/>
    <cellStyle name="Code" xfId="1403" xr:uid="{00000000-0005-0000-0000-000091050000}"/>
    <cellStyle name="ColHeader" xfId="1404" xr:uid="{00000000-0005-0000-0000-000092050000}"/>
    <cellStyle name="Column Heading" xfId="1405" xr:uid="{00000000-0005-0000-0000-000093050000}"/>
    <cellStyle name="Comma  - Style1" xfId="1406" xr:uid="{00000000-0005-0000-0000-000094050000}"/>
    <cellStyle name="Comma  - Style2" xfId="1407" xr:uid="{00000000-0005-0000-0000-000095050000}"/>
    <cellStyle name="Comma  - Style3" xfId="1408" xr:uid="{00000000-0005-0000-0000-000096050000}"/>
    <cellStyle name="Comma  - Style4" xfId="1409" xr:uid="{00000000-0005-0000-0000-000097050000}"/>
    <cellStyle name="Comma  - Style5" xfId="1410" xr:uid="{00000000-0005-0000-0000-000098050000}"/>
    <cellStyle name="Comma  - Style6" xfId="1411" xr:uid="{00000000-0005-0000-0000-000099050000}"/>
    <cellStyle name="Comma  - Style7" xfId="1412" xr:uid="{00000000-0005-0000-0000-00009A050000}"/>
    <cellStyle name="Comma  - Style8" xfId="1413" xr:uid="{00000000-0005-0000-0000-00009B050000}"/>
    <cellStyle name="Comma ," xfId="1415" xr:uid="{00000000-0005-0000-0000-00009D050000}"/>
    <cellStyle name="Comma (1)" xfId="1414" xr:uid="{00000000-0005-0000-0000-00009C050000}"/>
    <cellStyle name="Comma [0]_(1)" xfId="2022" xr:uid="{00000000-0005-0000-0000-00009E050000}"/>
    <cellStyle name="Comma [1]" xfId="1416" xr:uid="{00000000-0005-0000-0000-00009F050000}"/>
    <cellStyle name="Comma 0" xfId="1417" xr:uid="{00000000-0005-0000-0000-0000A0050000}"/>
    <cellStyle name="Comma 0*" xfId="1418" xr:uid="{00000000-0005-0000-0000-0000A1050000}"/>
    <cellStyle name="Comma 2" xfId="1419" xr:uid="{00000000-0005-0000-0000-0000A2050000}"/>
    <cellStyle name="Comma 2*" xfId="1420" xr:uid="{00000000-0005-0000-0000-0000A3050000}"/>
    <cellStyle name="Comma 3*" xfId="1421" xr:uid="{00000000-0005-0000-0000-0000A4050000}"/>
    <cellStyle name="Comma_(1)" xfId="2023" xr:uid="{00000000-0005-0000-0000-0000A6050000}"/>
    <cellStyle name="Comma*" xfId="1422" xr:uid="{00000000-0005-0000-0000-0000A5050000}"/>
    <cellStyle name="Comma0" xfId="1423" xr:uid="{00000000-0005-0000-0000-0000A7050000}"/>
    <cellStyle name="Comma0 - Modelo1" xfId="1424" xr:uid="{00000000-0005-0000-0000-0000A8050000}"/>
    <cellStyle name="Comma0 - Style1" xfId="1425" xr:uid="{00000000-0005-0000-0000-0000A9050000}"/>
    <cellStyle name="Comma1" xfId="1426" xr:uid="{00000000-0005-0000-0000-0000AA050000}"/>
    <cellStyle name="Comma1 - Modelo2" xfId="1427" xr:uid="{00000000-0005-0000-0000-0000AB050000}"/>
    <cellStyle name="Comma1 - Style2" xfId="1428" xr:uid="{00000000-0005-0000-0000-0000AC050000}"/>
    <cellStyle name="CompanyName" xfId="1429" xr:uid="{00000000-0005-0000-0000-0000AD050000}"/>
    <cellStyle name="Conor 1" xfId="1430" xr:uid="{00000000-0005-0000-0000-0000AE050000}"/>
    <cellStyle name="Conor1" xfId="1431" xr:uid="{00000000-0005-0000-0000-0000AF050000}"/>
    <cellStyle name="Conor2" xfId="1432" xr:uid="{00000000-0005-0000-0000-0000B0050000}"/>
    <cellStyle name="Cover Date" xfId="1433" xr:uid="{00000000-0005-0000-0000-0000B1050000}"/>
    <cellStyle name="Cover Subtitle" xfId="1434" xr:uid="{00000000-0005-0000-0000-0000B2050000}"/>
    <cellStyle name="Cover Title" xfId="1435" xr:uid="{00000000-0005-0000-0000-0000B3050000}"/>
    <cellStyle name="Curr" xfId="1436" xr:uid="{00000000-0005-0000-0000-0000B4050000}"/>
    <cellStyle name="Currency [0]" xfId="1437" xr:uid="{00000000-0005-0000-0000-0000B5050000}"/>
    <cellStyle name="Currency [1]" xfId="1438" xr:uid="{00000000-0005-0000-0000-0000B6050000}"/>
    <cellStyle name="Currency [2]" xfId="1439" xr:uid="{00000000-0005-0000-0000-0000B7050000}"/>
    <cellStyle name="Currency 0" xfId="1440" xr:uid="{00000000-0005-0000-0000-0000B8050000}"/>
    <cellStyle name="Currency 2" xfId="1441" xr:uid="{00000000-0005-0000-0000-0000B9050000}"/>
    <cellStyle name="Currency 2*" xfId="1442" xr:uid="{00000000-0005-0000-0000-0000BA050000}"/>
    <cellStyle name="Currency 3*" xfId="1443" xr:uid="{00000000-0005-0000-0000-0000BB050000}"/>
    <cellStyle name="Currency EN" xfId="1444" xr:uid="{00000000-0005-0000-0000-0000BC050000}"/>
    <cellStyle name="Currency RU" xfId="1445" xr:uid="{00000000-0005-0000-0000-0000BD050000}"/>
    <cellStyle name="Currency RU calc" xfId="1446" xr:uid="{00000000-0005-0000-0000-0000BE050000}"/>
    <cellStyle name="Currency RU_CP-P (2)" xfId="1447" xr:uid="{00000000-0005-0000-0000-0000BF050000}"/>
    <cellStyle name="Currency_(1)" xfId="2024" xr:uid="{00000000-0005-0000-0000-0000C1050000}"/>
    <cellStyle name="Currency*" xfId="1448" xr:uid="{00000000-0005-0000-0000-0000C0050000}"/>
    <cellStyle name="Currency0" xfId="1449" xr:uid="{00000000-0005-0000-0000-0000C2050000}"/>
    <cellStyle name="Currency1" xfId="1450" xr:uid="{00000000-0005-0000-0000-0000C3050000}"/>
    <cellStyle name="Custom - Style8" xfId="1451" xr:uid="{00000000-0005-0000-0000-0000C4050000}"/>
    <cellStyle name="d" xfId="1452" xr:uid="{00000000-0005-0000-0000-0000C5050000}"/>
    <cellStyle name="Đ_x0010_" xfId="2025" xr:uid="{00000000-0005-0000-0000-0000C6050000}"/>
    <cellStyle name="d_Michelangelo Macro (v5)" xfId="1453" xr:uid="{00000000-0005-0000-0000-0000C9050000}"/>
    <cellStyle name="Đ_x0010_?䥘Ȏ_x0013_⤀጖ē??䆈Ȏ_x0013_⬀ጘē_x0010_?䦄Ȏ" xfId="2026" xr:uid="{00000000-0005-0000-0000-0000C7050000}"/>
    <cellStyle name="Đ_x0010_?䥘Ȏ_x0013_⤀጖ē??䆈Ȏ_x0013_⬀ጘē_x0010_?䦄Ȏ 1" xfId="2027" xr:uid="{00000000-0005-0000-0000-0000C8050000}"/>
    <cellStyle name="Dash" xfId="1454" xr:uid="{00000000-0005-0000-0000-0000CA050000}"/>
    <cellStyle name="Data" xfId="1455" xr:uid="{00000000-0005-0000-0000-0000CB050000}"/>
    <cellStyle name="Data   - Style2" xfId="1456" xr:uid="{00000000-0005-0000-0000-0000CC050000}"/>
    <cellStyle name="Data_Model_SUENKO_RAB_0910" xfId="1457" xr:uid="{00000000-0005-0000-0000-0000CD050000}"/>
    <cellStyle name="DataBold" xfId="1458" xr:uid="{00000000-0005-0000-0000-0000CE050000}"/>
    <cellStyle name="Date" xfId="1459" xr:uid="{00000000-0005-0000-0000-0000CF050000}"/>
    <cellStyle name="Date Aligned" xfId="1460" xr:uid="{00000000-0005-0000-0000-0000D0050000}"/>
    <cellStyle name="Date Aligned*" xfId="1461" xr:uid="{00000000-0005-0000-0000-0000D1050000}"/>
    <cellStyle name="Date EN" xfId="1462" xr:uid="{00000000-0005-0000-0000-0000D2050000}"/>
    <cellStyle name="Date RU" xfId="1463" xr:uid="{00000000-0005-0000-0000-0000D3050000}"/>
    <cellStyle name="Date_!_Income" xfId="1465" xr:uid="{00000000-0005-0000-0000-0000D5050000}"/>
    <cellStyle name="Date/Time" xfId="1464" xr:uid="{00000000-0005-0000-0000-0000D4050000}"/>
    <cellStyle name="Date2" xfId="1466" xr:uid="{00000000-0005-0000-0000-0000D6050000}"/>
    <cellStyle name="dateformatz" xfId="1467" xr:uid="{00000000-0005-0000-0000-0000D7050000}"/>
    <cellStyle name="DateHeading" xfId="1468" xr:uid="{00000000-0005-0000-0000-0000D8050000}"/>
    <cellStyle name="DateTime" xfId="1469" xr:uid="{00000000-0005-0000-0000-0000D9050000}"/>
    <cellStyle name="DB Model Standard" xfId="1470" xr:uid="{00000000-0005-0000-0000-0000DA050000}"/>
    <cellStyle name="Dec_0" xfId="1471" xr:uid="{00000000-0005-0000-0000-0000DB050000}"/>
    <cellStyle name="Deviant" xfId="1472" xr:uid="{00000000-0005-0000-0000-0000DC050000}"/>
    <cellStyle name="Dezimal [0]_Compiling Utility Macros" xfId="2028" xr:uid="{00000000-0005-0000-0000-0000DD050000}"/>
    <cellStyle name="Dezimal_Compiling Utility Macros" xfId="2029" xr:uid="{00000000-0005-0000-0000-0000DE050000}"/>
    <cellStyle name="Dia" xfId="1473" xr:uid="{00000000-0005-0000-0000-0000DF050000}"/>
    <cellStyle name="Display1" xfId="1474" xr:uid="{00000000-0005-0000-0000-0000E0050000}"/>
    <cellStyle name="Display2" xfId="1475" xr:uid="{00000000-0005-0000-0000-0000E1050000}"/>
    <cellStyle name="DM (Decimal)" xfId="1476" xr:uid="{00000000-0005-0000-0000-0000E2050000}"/>
    <cellStyle name="DM (Whole)" xfId="1477" xr:uid="{00000000-0005-0000-0000-0000E3050000}"/>
    <cellStyle name="Dollar" xfId="1478" xr:uid="{00000000-0005-0000-0000-0000E4050000}"/>
    <cellStyle name="Dollars" xfId="1479" xr:uid="{00000000-0005-0000-0000-0000E5050000}"/>
    <cellStyle name="done" xfId="1480" xr:uid="{00000000-0005-0000-0000-0000E6050000}"/>
    <cellStyle name="Dotted Line" xfId="1481" xr:uid="{00000000-0005-0000-0000-0000E7050000}"/>
    <cellStyle name="Double Accounting" xfId="1482" xr:uid="{00000000-0005-0000-0000-0000E8050000}"/>
    <cellStyle name="Dziesiêtny [0]_1" xfId="1483" xr:uid="{00000000-0005-0000-0000-0000E9050000}"/>
    <cellStyle name="Dziesiêtny_1" xfId="1484" xr:uid="{00000000-0005-0000-0000-0000EA050000}"/>
    <cellStyle name="Encabez1" xfId="1485" xr:uid="{00000000-0005-0000-0000-0000EB050000}"/>
    <cellStyle name="Encabez2" xfId="1486" xr:uid="{00000000-0005-0000-0000-0000EC050000}"/>
    <cellStyle name="Euro" xfId="1487" xr:uid="{00000000-0005-0000-0000-0000ED050000}"/>
    <cellStyle name="Explanatory Text" xfId="1488" xr:uid="{00000000-0005-0000-0000-0000EE050000}"/>
    <cellStyle name="Ezres [0]_Document" xfId="1489" xr:uid="{00000000-0005-0000-0000-0000EF050000}"/>
    <cellStyle name="Ezres_Document" xfId="1490" xr:uid="{00000000-0005-0000-0000-0000F0050000}"/>
    <cellStyle name="F2" xfId="1491" xr:uid="{00000000-0005-0000-0000-0000F1050000}"/>
    <cellStyle name="F3" xfId="1492" xr:uid="{00000000-0005-0000-0000-0000F2050000}"/>
    <cellStyle name="F4" xfId="1493" xr:uid="{00000000-0005-0000-0000-0000F3050000}"/>
    <cellStyle name="F5" xfId="1494" xr:uid="{00000000-0005-0000-0000-0000F4050000}"/>
    <cellStyle name="F6" xfId="1495" xr:uid="{00000000-0005-0000-0000-0000F5050000}"/>
    <cellStyle name="F7" xfId="1496" xr:uid="{00000000-0005-0000-0000-0000F6050000}"/>
    <cellStyle name="F8" xfId="1497" xr:uid="{00000000-0005-0000-0000-0000F7050000}"/>
    <cellStyle name="Factor" xfId="1498" xr:uid="{00000000-0005-0000-0000-0000F8050000}"/>
    <cellStyle name="Fijo" xfId="1499" xr:uid="{00000000-0005-0000-0000-0000F9050000}"/>
    <cellStyle name="Financiero" xfId="1500" xr:uid="{00000000-0005-0000-0000-0000FA050000}"/>
    <cellStyle name="Fixed" xfId="1501" xr:uid="{00000000-0005-0000-0000-0000FB050000}"/>
    <cellStyle name="Flag" xfId="1502" xr:uid="{00000000-0005-0000-0000-0000FC050000}"/>
    <cellStyle name="fo]_x000d__x000a_UserName=bsv_x000d__x000a_UserCompany=СПб РЦ АБ ИНКОМБАНК_x000d__x000a__x000d__x000a_[File Paths]_x000d__x000a_WorkingDirectory=C:\MSTOCK\DLWIN_x000d__x000a_DownLoad" xfId="1503" xr:uid="{00000000-0005-0000-0000-0000FD050000}"/>
    <cellStyle name="Followed Hyperlink" xfId="2030" xr:uid="{00000000-0005-0000-0000-0000FE050000}"/>
    <cellStyle name="footer" xfId="1504" xr:uid="{00000000-0005-0000-0000-0000FF050000}"/>
    <cellStyle name="Footer SBILogo1" xfId="1505" xr:uid="{00000000-0005-0000-0000-000000060000}"/>
    <cellStyle name="Footer SBILogo2" xfId="1506" xr:uid="{00000000-0005-0000-0000-000001060000}"/>
    <cellStyle name="Footnote" xfId="1507" xr:uid="{00000000-0005-0000-0000-000002060000}"/>
    <cellStyle name="Footnote Reference" xfId="1508" xr:uid="{00000000-0005-0000-0000-000003060000}"/>
    <cellStyle name="Footnote_LBO" xfId="1509" xr:uid="{00000000-0005-0000-0000-000004060000}"/>
    <cellStyle name="Footnotes" xfId="1510" xr:uid="{00000000-0005-0000-0000-000005060000}"/>
    <cellStyle name="Four-digit" xfId="1511" xr:uid="{00000000-0005-0000-0000-000006060000}"/>
    <cellStyle name="From" xfId="1512" xr:uid="{00000000-0005-0000-0000-000007060000}"/>
    <cellStyle name="g" xfId="1513" xr:uid="{00000000-0005-0000-0000-000008060000}"/>
    <cellStyle name="g_Invoice GI" xfId="1514" xr:uid="{00000000-0005-0000-0000-000009060000}"/>
    <cellStyle name="Good" xfId="1515" xr:uid="{00000000-0005-0000-0000-00000A060000}"/>
    <cellStyle name="Green" xfId="1516" xr:uid="{00000000-0005-0000-0000-00000B060000}"/>
    <cellStyle name="Grey" xfId="1517" xr:uid="{00000000-0005-0000-0000-00000C060000}"/>
    <cellStyle name="Group1" xfId="1518" xr:uid="{00000000-0005-0000-0000-00000D060000}"/>
    <cellStyle name="h1" xfId="1519" xr:uid="{00000000-0005-0000-0000-00000E060000}"/>
    <cellStyle name="h2" xfId="1520" xr:uid="{00000000-0005-0000-0000-00000F060000}"/>
    <cellStyle name="Hard Percent" xfId="1521" xr:uid="{00000000-0005-0000-0000-000010060000}"/>
    <cellStyle name="head1" xfId="1522" xr:uid="{00000000-0005-0000-0000-000011060000}"/>
    <cellStyle name="Head2" xfId="1523" xr:uid="{00000000-0005-0000-0000-000012060000}"/>
    <cellStyle name="Header" xfId="1524" xr:uid="{00000000-0005-0000-0000-000013060000}"/>
    <cellStyle name="Header Draft Stamp" xfId="1525" xr:uid="{00000000-0005-0000-0000-000014060000}"/>
    <cellStyle name="Header_LBO" xfId="1526" xr:uid="{00000000-0005-0000-0000-000015060000}"/>
    <cellStyle name="Header1" xfId="1527" xr:uid="{00000000-0005-0000-0000-000016060000}"/>
    <cellStyle name="Header2" xfId="1528" xr:uid="{00000000-0005-0000-0000-000017060000}"/>
    <cellStyle name="heading" xfId="1529" xr:uid="{00000000-0005-0000-0000-000018060000}"/>
    <cellStyle name="Heading 1" xfId="1530" xr:uid="{00000000-0005-0000-0000-000019060000}"/>
    <cellStyle name="Heading 1 Above" xfId="1531" xr:uid="{00000000-0005-0000-0000-00001A060000}"/>
    <cellStyle name="HEADING 1_Bewertung_Kurganenergo_STS_20070831_1308" xfId="1532" xr:uid="{00000000-0005-0000-0000-00001B060000}"/>
    <cellStyle name="Heading 1+" xfId="1533" xr:uid="{00000000-0005-0000-0000-00001C060000}"/>
    <cellStyle name="Heading 2" xfId="1534" xr:uid="{00000000-0005-0000-0000-00001D060000}"/>
    <cellStyle name="Heading 2 Below" xfId="1535" xr:uid="{00000000-0005-0000-0000-00001E060000}"/>
    <cellStyle name="Heading 2_AWG_Numbers for Pres_16Jun2005 MB" xfId="1536" xr:uid="{00000000-0005-0000-0000-00001F060000}"/>
    <cellStyle name="Heading 2+" xfId="1537" xr:uid="{00000000-0005-0000-0000-000020060000}"/>
    <cellStyle name="Heading 3" xfId="1538" xr:uid="{00000000-0005-0000-0000-000021060000}"/>
    <cellStyle name="Heading 3+" xfId="1539" xr:uid="{00000000-0005-0000-0000-000022060000}"/>
    <cellStyle name="Heading 4" xfId="1540" xr:uid="{00000000-0005-0000-0000-000023060000}"/>
    <cellStyle name="heading_a2" xfId="1541" xr:uid="{00000000-0005-0000-0000-000024060000}"/>
    <cellStyle name="heading1" xfId="1542" xr:uid="{00000000-0005-0000-0000-000025060000}"/>
    <cellStyle name="heading2" xfId="1543" xr:uid="{00000000-0005-0000-0000-000026060000}"/>
    <cellStyle name="heading3" xfId="1544" xr:uid="{00000000-0005-0000-0000-000027060000}"/>
    <cellStyle name="heading4" xfId="1545" xr:uid="{00000000-0005-0000-0000-000028060000}"/>
    <cellStyle name="heading5" xfId="1546" xr:uid="{00000000-0005-0000-0000-000029060000}"/>
    <cellStyle name="HeadingS" xfId="1547" xr:uid="{00000000-0005-0000-0000-00002A060000}"/>
    <cellStyle name="Headline I" xfId="1548" xr:uid="{00000000-0005-0000-0000-00002B060000}"/>
    <cellStyle name="Headline II" xfId="1549" xr:uid="{00000000-0005-0000-0000-00002C060000}"/>
    <cellStyle name="Headline III" xfId="1550" xr:uid="{00000000-0005-0000-0000-00002D060000}"/>
    <cellStyle name="Hidden" xfId="1551" xr:uid="{00000000-0005-0000-0000-00002E060000}"/>
    <cellStyle name="Hide" xfId="1552" xr:uid="{00000000-0005-0000-0000-00002F060000}"/>
    <cellStyle name="HUF" xfId="1553" xr:uid="{00000000-0005-0000-0000-000030060000}"/>
    <cellStyle name="Hyperlink" xfId="2031" xr:uid="{00000000-0005-0000-0000-000031060000}"/>
    <cellStyle name="Iau?iue_?anoiau" xfId="2032" xr:uid="{00000000-0005-0000-0000-000032060000}"/>
    <cellStyle name="Iau?iue1" xfId="1554" xr:uid="{00000000-0005-0000-0000-000033060000}"/>
    <cellStyle name="Îáû÷íûé_vaqduGfTSN7qyUJNWHRlcWo3H" xfId="1555" xr:uid="{00000000-0005-0000-0000-000034060000}"/>
    <cellStyle name="Input" xfId="1556" xr:uid="{00000000-0005-0000-0000-000035060000}"/>
    <cellStyle name="Input [yellow]" xfId="1557" xr:uid="{00000000-0005-0000-0000-000036060000}"/>
    <cellStyle name="Input_2.5. Кредиты и займы" xfId="1558" xr:uid="{00000000-0005-0000-0000-000037060000}"/>
    <cellStyle name="Input1" xfId="1559" xr:uid="{00000000-0005-0000-0000-000038060000}"/>
    <cellStyle name="Input2" xfId="1560" xr:uid="{00000000-0005-0000-0000-000039060000}"/>
    <cellStyle name="Input3" xfId="1561" xr:uid="{00000000-0005-0000-0000-00003A060000}"/>
    <cellStyle name="Input4" xfId="1562" xr:uid="{00000000-0005-0000-0000-00003B060000}"/>
    <cellStyle name="Input5" xfId="1563" xr:uid="{00000000-0005-0000-0000-00003C060000}"/>
    <cellStyle name="InputBlueFont" xfId="1564" xr:uid="{00000000-0005-0000-0000-00003D060000}"/>
    <cellStyle name="InputBlueFontLocked" xfId="1565" xr:uid="{00000000-0005-0000-0000-00003E060000}"/>
    <cellStyle name="inputs" xfId="1566" xr:uid="{00000000-0005-0000-0000-00003F060000}"/>
    <cellStyle name="Integer" xfId="1567" xr:uid="{00000000-0005-0000-0000-000040060000}"/>
    <cellStyle name="Ioe?uaaaoayny aeia?nnueea" xfId="1568" xr:uid="{00000000-0005-0000-0000-000041060000}"/>
    <cellStyle name="ISO" xfId="1569" xr:uid="{00000000-0005-0000-0000-000042060000}"/>
    <cellStyle name="JMCT" xfId="1570" xr:uid="{00000000-0005-0000-0000-000043060000}"/>
    <cellStyle name="JR Cells No Values" xfId="2033" xr:uid="{00000000-0005-0000-0000-000044060000}"/>
    <cellStyle name="JR_ formula" xfId="2034" xr:uid="{00000000-0005-0000-0000-000045060000}"/>
    <cellStyle name="JRchapeau" xfId="2035" xr:uid="{00000000-0005-0000-0000-000046060000}"/>
    <cellStyle name="Just_Table" xfId="2036" xr:uid="{00000000-0005-0000-0000-000047060000}"/>
    <cellStyle name="k$" xfId="1571" xr:uid="{00000000-0005-0000-0000-000048060000}"/>
    <cellStyle name="kECU" xfId="1572" xr:uid="{00000000-0005-0000-0000-000049060000}"/>
    <cellStyle name="kHUF" xfId="1573" xr:uid="{00000000-0005-0000-0000-00004A060000}"/>
    <cellStyle name="Kilo" xfId="1574" xr:uid="{00000000-0005-0000-0000-00004B060000}"/>
    <cellStyle name="kLE" xfId="1575" xr:uid="{00000000-0005-0000-0000-00004C060000}"/>
    <cellStyle name="Komma [0]_Arcen" xfId="1576" xr:uid="{00000000-0005-0000-0000-00004D060000}"/>
    <cellStyle name="Komma_Arcen" xfId="1577" xr:uid="{00000000-0005-0000-0000-00004E060000}"/>
    <cellStyle name="KPMG Heading 1" xfId="1578" xr:uid="{00000000-0005-0000-0000-00004F060000}"/>
    <cellStyle name="KPMG Heading 2" xfId="1579" xr:uid="{00000000-0005-0000-0000-000050060000}"/>
    <cellStyle name="KPMG Heading 3" xfId="1580" xr:uid="{00000000-0005-0000-0000-000051060000}"/>
    <cellStyle name="KPMG Heading 4" xfId="1581" xr:uid="{00000000-0005-0000-0000-000052060000}"/>
    <cellStyle name="KPMG Normal" xfId="1582" xr:uid="{00000000-0005-0000-0000-000053060000}"/>
    <cellStyle name="KPMG Normal Text" xfId="1583" xr:uid="{00000000-0005-0000-0000-000054060000}"/>
    <cellStyle name="Krone (Decimal)" xfId="1584" xr:uid="{00000000-0005-0000-0000-000055060000}"/>
    <cellStyle name="LABEL Units" xfId="1585" xr:uid="{00000000-0005-0000-0000-000056060000}"/>
    <cellStyle name="Labels - Style3" xfId="1586" xr:uid="{00000000-0005-0000-0000-000057060000}"/>
    <cellStyle name="Lien hypertexte visité_AA-Green deprec_v3-020405" xfId="1587" xr:uid="{00000000-0005-0000-0000-000058060000}"/>
    <cellStyle name="Lien hypertexte_AA-Green deprec_v3-020405" xfId="1588" xr:uid="{00000000-0005-0000-0000-000059060000}"/>
    <cellStyle name="Linked Cell" xfId="1589" xr:uid="{00000000-0005-0000-0000-00005A060000}"/>
    <cellStyle name="LP0" xfId="1590" xr:uid="{00000000-0005-0000-0000-00005B060000}"/>
    <cellStyle name="Main text" xfId="1591" xr:uid="{00000000-0005-0000-0000-00005C060000}"/>
    <cellStyle name="mil" xfId="1592" xr:uid="{00000000-0005-0000-0000-00005D060000}"/>
    <cellStyle name="Millares [0]_10 AVERIAS MASIVAS + ANT" xfId="1593" xr:uid="{00000000-0005-0000-0000-00005E060000}"/>
    <cellStyle name="Millares_10 AVERIAS MASIVAS + ANT" xfId="1594" xr:uid="{00000000-0005-0000-0000-00005F060000}"/>
    <cellStyle name="Milliers [0]_Avalon financial models 030901" xfId="1595" xr:uid="{00000000-0005-0000-0000-000060060000}"/>
    <cellStyle name="Milliers_ANAFI" xfId="1596" xr:uid="{00000000-0005-0000-0000-000061060000}"/>
    <cellStyle name="Millions" xfId="1597" xr:uid="{00000000-0005-0000-0000-000062060000}"/>
    <cellStyle name="Mine" xfId="1598" xr:uid="{00000000-0005-0000-0000-000063060000}"/>
    <cellStyle name="Monйtaire [0]_Conversion Summary" xfId="2037" xr:uid="{00000000-0005-0000-0000-000069060000}"/>
    <cellStyle name="Monйtaire_Conversion Summary" xfId="2038" xr:uid="{00000000-0005-0000-0000-00006A060000}"/>
    <cellStyle name="Moneda [0]_10 AVERIAS MASIVAS + ANT" xfId="1599" xr:uid="{00000000-0005-0000-0000-000064060000}"/>
    <cellStyle name="Moneda_10 AVERIAS MASIVAS + ANT" xfId="1600" xr:uid="{00000000-0005-0000-0000-000065060000}"/>
    <cellStyle name="Monétaire [0]_Avalon financial models 030901" xfId="1601" xr:uid="{00000000-0005-0000-0000-000066060000}"/>
    <cellStyle name="Monétaire_ANAFI" xfId="1602" xr:uid="{00000000-0005-0000-0000-000067060000}"/>
    <cellStyle name="Month/Year" xfId="1603" xr:uid="{00000000-0005-0000-0000-000068060000}"/>
    <cellStyle name="MSprotect" xfId="1604" xr:uid="{00000000-0005-0000-0000-00006B060000}"/>
    <cellStyle name="Multiple" xfId="1605" xr:uid="{00000000-0005-0000-0000-00006C060000}"/>
    <cellStyle name="Multiple [0]" xfId="1606" xr:uid="{00000000-0005-0000-0000-00006D060000}"/>
    <cellStyle name="Multiple [1]" xfId="1607" xr:uid="{00000000-0005-0000-0000-00006E060000}"/>
    <cellStyle name="Multiple_1 Dec" xfId="1608" xr:uid="{00000000-0005-0000-0000-00006F060000}"/>
    <cellStyle name="MultipleBelow" xfId="1609" xr:uid="{00000000-0005-0000-0000-000070060000}"/>
    <cellStyle name="Multiples" xfId="1610" xr:uid="{00000000-0005-0000-0000-000071060000}"/>
    <cellStyle name="Neutral" xfId="1611" xr:uid="{00000000-0005-0000-0000-000072060000}"/>
    <cellStyle name="NewPeso" xfId="1612" xr:uid="{00000000-0005-0000-0000-000073060000}"/>
    <cellStyle name="no" xfId="1613" xr:uid="{00000000-0005-0000-0000-000074060000}"/>
    <cellStyle name="no dec" xfId="1614" xr:uid="{00000000-0005-0000-0000-000075060000}"/>
    <cellStyle name="No.s to 1dp" xfId="1615" xr:uid="{00000000-0005-0000-0000-000076060000}"/>
    <cellStyle name="№йєРАІ_±вЕё" xfId="1644" xr:uid="{00000000-0005-0000-0000-000094060000}"/>
    <cellStyle name="normбlnм_laroux" xfId="1635" xr:uid="{00000000-0005-0000-0000-00008A060000}"/>
    <cellStyle name="normбlnн_laroux" xfId="2039" xr:uid="{00000000-0005-0000-0000-00008B060000}"/>
    <cellStyle name="Norma11l" xfId="1616" xr:uid="{00000000-0005-0000-0000-000077060000}"/>
    <cellStyle name="Normal - Style1" xfId="1617" xr:uid="{00000000-0005-0000-0000-000078060000}"/>
    <cellStyle name="Normal - Style2" xfId="1618" xr:uid="{00000000-0005-0000-0000-000079060000}"/>
    <cellStyle name="Normal - Style3" xfId="1619" xr:uid="{00000000-0005-0000-0000-00007A060000}"/>
    <cellStyle name="Normal - Style4" xfId="1620" xr:uid="{00000000-0005-0000-0000-00007B060000}"/>
    <cellStyle name="Normal - Style5" xfId="1621" xr:uid="{00000000-0005-0000-0000-00007C060000}"/>
    <cellStyle name="Normal - Style6" xfId="1622" xr:uid="{00000000-0005-0000-0000-00007D060000}"/>
    <cellStyle name="Normal - Style7" xfId="1623" xr:uid="{00000000-0005-0000-0000-00007E060000}"/>
    <cellStyle name="Normal - Style8" xfId="1624" xr:uid="{00000000-0005-0000-0000-00007F060000}"/>
    <cellStyle name="Normal 2" xfId="1625" xr:uid="{00000000-0005-0000-0000-000080060000}"/>
    <cellStyle name="Normal_!RRINVEN" xfId="1626" xr:uid="{00000000-0005-0000-0000-000081060000}"/>
    <cellStyle name="Normál_1." xfId="1627" xr:uid="{00000000-0005-0000-0000-000082060000}"/>
    <cellStyle name="Normal_100% готовность" xfId="1628" xr:uid="{00000000-0005-0000-0000-000083060000}"/>
    <cellStyle name="Normál_VERZIOK" xfId="1629" xr:uid="{00000000-0005-0000-0000-000084060000}"/>
    <cellStyle name="Normal1" xfId="1630" xr:uid="{00000000-0005-0000-0000-000085060000}"/>
    <cellStyle name="Normale_DCF ULTIMO" xfId="1631" xr:uid="{00000000-0005-0000-0000-000086060000}"/>
    <cellStyle name="NormalGB" xfId="1632" xr:uid="{00000000-0005-0000-0000-000087060000}"/>
    <cellStyle name="normální_Rozvaha - aktiva" xfId="1633" xr:uid="{00000000-0005-0000-0000-000088060000}"/>
    <cellStyle name="Normalny_0" xfId="1634" xr:uid="{00000000-0005-0000-0000-000089060000}"/>
    <cellStyle name="Note" xfId="1636" xr:uid="{00000000-0005-0000-0000-00008C060000}"/>
    <cellStyle name="Number" xfId="1637" xr:uid="{00000000-0005-0000-0000-00008D060000}"/>
    <cellStyle name="Numbers" xfId="1638" xr:uid="{00000000-0005-0000-0000-00008E060000}"/>
    <cellStyle name="Numbers - Bold" xfId="1639" xr:uid="{00000000-0005-0000-0000-00008F060000}"/>
    <cellStyle name="Numbers - Bold - Italic" xfId="1640" xr:uid="{00000000-0005-0000-0000-000090060000}"/>
    <cellStyle name="Numbers - Bold_AWG_Numbers for Pres_16Jun2005 MB" xfId="1641" xr:uid="{00000000-0005-0000-0000-000091060000}"/>
    <cellStyle name="Numbers - Large" xfId="1642" xr:uid="{00000000-0005-0000-0000-000092060000}"/>
    <cellStyle name="Numbers_Balthazar Model 271004 1600" xfId="1643" xr:uid="{00000000-0005-0000-0000-000093060000}"/>
    <cellStyle name="Ociriniaue [0]_5-C" xfId="1645" xr:uid="{00000000-0005-0000-0000-000095060000}"/>
    <cellStyle name="Ociriniaue_5-C" xfId="1646" xr:uid="{00000000-0005-0000-0000-000096060000}"/>
    <cellStyle name="Œ…‹æØ‚è [0.00]_GE 3 MINIMUM" xfId="1647" xr:uid="{00000000-0005-0000-0000-000097060000}"/>
    <cellStyle name="Œ…‹æØ‚è_GE 3 MINIMUM" xfId="1648" xr:uid="{00000000-0005-0000-0000-000098060000}"/>
    <cellStyle name="Oeiainiaue [0]_?anoiau" xfId="2040" xr:uid="{00000000-0005-0000-0000-000099060000}"/>
    <cellStyle name="Oeiainiaue_?anoiau" xfId="2041" xr:uid="{00000000-0005-0000-0000-00009A060000}"/>
    <cellStyle name="Option" xfId="1649" xr:uid="{00000000-0005-0000-0000-00009B060000}"/>
    <cellStyle name="OptionHeading" xfId="1650" xr:uid="{00000000-0005-0000-0000-00009C060000}"/>
    <cellStyle name="Ouny?e [0]_?anoiau" xfId="2042" xr:uid="{00000000-0005-0000-0000-00009D060000}"/>
    <cellStyle name="Ouny?e_?anoiau" xfId="2043" xr:uid="{00000000-0005-0000-0000-00009E060000}"/>
    <cellStyle name="outh America" xfId="1651" xr:uid="{00000000-0005-0000-0000-00009F060000}"/>
    <cellStyle name="Output" xfId="1652" xr:uid="{00000000-0005-0000-0000-0000A0060000}"/>
    <cellStyle name="Output Amounts" xfId="1653" xr:uid="{00000000-0005-0000-0000-0000A1060000}"/>
    <cellStyle name="Output Column Headings" xfId="1654" xr:uid="{00000000-0005-0000-0000-0000A2060000}"/>
    <cellStyle name="Output Line Items" xfId="1655" xr:uid="{00000000-0005-0000-0000-0000A3060000}"/>
    <cellStyle name="Output Report Heading" xfId="1656" xr:uid="{00000000-0005-0000-0000-0000A4060000}"/>
    <cellStyle name="Output Report Title" xfId="1657" xr:uid="{00000000-0005-0000-0000-0000A5060000}"/>
    <cellStyle name="output_Bewertung_Kurganenergo_STS_20070831_1308" xfId="1658" xr:uid="{00000000-0005-0000-0000-0000A6060000}"/>
    <cellStyle name="Outputtitle" xfId="1659" xr:uid="{00000000-0005-0000-0000-0000A7060000}"/>
    <cellStyle name="p/n" xfId="1660" xr:uid="{00000000-0005-0000-0000-0000A8060000}"/>
    <cellStyle name="Pддotsikko" xfId="1681" xr:uid="{00000000-0005-0000-0000-0000BE060000}"/>
    <cellStyle name="Paaotsikko" xfId="1661" xr:uid="{00000000-0005-0000-0000-0000A9060000}"/>
    <cellStyle name="Page Heading Large" xfId="1662" xr:uid="{00000000-0005-0000-0000-0000AA060000}"/>
    <cellStyle name="Page Heading Small" xfId="1663" xr:uid="{00000000-0005-0000-0000-0000AB060000}"/>
    <cellStyle name="Page Number" xfId="1664" xr:uid="{00000000-0005-0000-0000-0000AC060000}"/>
    <cellStyle name="PageSubtitle" xfId="1665" xr:uid="{00000000-0005-0000-0000-0000AD060000}"/>
    <cellStyle name="Pénznem [0]_Document" xfId="1666" xr:uid="{00000000-0005-0000-0000-0000AE060000}"/>
    <cellStyle name="Pénznem_Document" xfId="1667" xr:uid="{00000000-0005-0000-0000-0000AF060000}"/>
    <cellStyle name="Percent [0]" xfId="1668" xr:uid="{00000000-0005-0000-0000-0000B0060000}"/>
    <cellStyle name="Percent [1]" xfId="1669" xr:uid="{00000000-0005-0000-0000-0000B1060000}"/>
    <cellStyle name="Percent [2]" xfId="1670" xr:uid="{00000000-0005-0000-0000-0000B2060000}"/>
    <cellStyle name="Percent Hard" xfId="1671" xr:uid="{00000000-0005-0000-0000-0000B3060000}"/>
    <cellStyle name="Percent*" xfId="1672" xr:uid="{00000000-0005-0000-0000-0000B4060000}"/>
    <cellStyle name="Percentage" xfId="1673" xr:uid="{00000000-0005-0000-0000-0000B5060000}"/>
    <cellStyle name="pound" xfId="1674" xr:uid="{00000000-0005-0000-0000-0000B6060000}"/>
    <cellStyle name="Precentnumber" xfId="1675" xr:uid="{00000000-0005-0000-0000-0000B7060000}"/>
    <cellStyle name="Price" xfId="1676" xr:uid="{00000000-0005-0000-0000-0000B8060000}"/>
    <cellStyle name="Product" xfId="1677" xr:uid="{00000000-0005-0000-0000-0000B9060000}"/>
    <cellStyle name="PROJECT" xfId="1678" xr:uid="{00000000-0005-0000-0000-0000BA060000}"/>
    <cellStyle name="PROJECT R" xfId="1679" xr:uid="{00000000-0005-0000-0000-0000BB060000}"/>
    <cellStyle name="PROJECT_AWG_Numbers for Pres_16Jun2005 MB" xfId="1680" xr:uid="{00000000-0005-0000-0000-0000BC060000}"/>
    <cellStyle name="protect" xfId="2044" xr:uid="{00000000-0005-0000-0000-0000BD060000}"/>
    <cellStyle name="QTitle" xfId="2045" xr:uid="{00000000-0005-0000-0000-0000BF060000}"/>
    <cellStyle name="r" xfId="1682" xr:uid="{00000000-0005-0000-0000-0000C0060000}"/>
    <cellStyle name="r_AWG_Numbers for Pres_16Jun2005 MB" xfId="1683" xr:uid="{00000000-0005-0000-0000-0000C1060000}"/>
    <cellStyle name="r_DCF_EBITDA" xfId="1684" xr:uid="{00000000-0005-0000-0000-0000C2060000}"/>
    <cellStyle name="r_DCF_EBITDA_AWG_Numbers for Pres_16Jun2005 MB" xfId="1685" xr:uid="{00000000-0005-0000-0000-0000C3060000}"/>
    <cellStyle name="r_DCF_EBITDA_RWE 250805 1900" xfId="1686" xr:uid="{00000000-0005-0000-0000-0000C4060000}"/>
    <cellStyle name="r_DCF_PERPETUITY" xfId="1687" xr:uid="{00000000-0005-0000-0000-0000C5060000}"/>
    <cellStyle name="r_DCF_PERPETUITY_AWG_Numbers for Pres_16Jun2005 MB" xfId="1688" xr:uid="{00000000-0005-0000-0000-0000C6060000}"/>
    <cellStyle name="r_DCF_PERPETUITY_RWE 250805 1900" xfId="1689" xr:uid="{00000000-0005-0000-0000-0000C7060000}"/>
    <cellStyle name="r_Division" xfId="1690" xr:uid="{00000000-0005-0000-0000-0000C8060000}"/>
    <cellStyle name="r_Division_AWG_Numbers for Pres_16Jun2005 MB" xfId="1691" xr:uid="{00000000-0005-0000-0000-0000C9060000}"/>
    <cellStyle name="r_Division_EBIT" xfId="1692" xr:uid="{00000000-0005-0000-0000-0000CA060000}"/>
    <cellStyle name="r_Division_EBIT_AWG_Numbers for Pres_16Jun2005 MB" xfId="1693" xr:uid="{00000000-0005-0000-0000-0000CB060000}"/>
    <cellStyle name="r_Division_EBIT_RWE 250805 1900" xfId="1694" xr:uid="{00000000-0005-0000-0000-0000CC060000}"/>
    <cellStyle name="r_Division_RWE 250805 1900" xfId="1695" xr:uid="{00000000-0005-0000-0000-0000CD060000}"/>
    <cellStyle name="r_Division_Sales" xfId="1696" xr:uid="{00000000-0005-0000-0000-0000CE060000}"/>
    <cellStyle name="r_Division_Sales_AWG_Numbers for Pres_16Jun2005 MB" xfId="1697" xr:uid="{00000000-0005-0000-0000-0000CF060000}"/>
    <cellStyle name="r_Division_Sales_RWE 250805 1900" xfId="1698" xr:uid="{00000000-0005-0000-0000-0000D0060000}"/>
    <cellStyle name="r_PUBMKT" xfId="1699" xr:uid="{00000000-0005-0000-0000-0000D1060000}"/>
    <cellStyle name="r_PUBMKT_AWG_Numbers for Pres_16Jun2005 MB" xfId="1700" xr:uid="{00000000-0005-0000-0000-0000D2060000}"/>
    <cellStyle name="r_PUBMKT_RWE 250805 1900" xfId="1701" xr:uid="{00000000-0005-0000-0000-0000D3060000}"/>
    <cellStyle name="r_RWE 250805 1900" xfId="1702" xr:uid="{00000000-0005-0000-0000-0000D4060000}"/>
    <cellStyle name="r_Synergy" xfId="1703" xr:uid="{00000000-0005-0000-0000-0000D5060000}"/>
    <cellStyle name="r_Synergy_AWG_Numbers for Pres_16Jun2005 MB" xfId="1704" xr:uid="{00000000-0005-0000-0000-0000D6060000}"/>
    <cellStyle name="r_Synergy_DCF_EBITDA" xfId="1705" xr:uid="{00000000-0005-0000-0000-0000D7060000}"/>
    <cellStyle name="r_Synergy_DCF_EBITDA_AWG_Numbers for Pres_16Jun2005 MB" xfId="1706" xr:uid="{00000000-0005-0000-0000-0000D8060000}"/>
    <cellStyle name="r_Synergy_DCF_EBITDA_RWE 250805 1900" xfId="1707" xr:uid="{00000000-0005-0000-0000-0000D9060000}"/>
    <cellStyle name="r_Synergy_DCF_PERPETUITY" xfId="1708" xr:uid="{00000000-0005-0000-0000-0000DA060000}"/>
    <cellStyle name="r_Synergy_DCF_PERPETUITY_AWG_Numbers for Pres_16Jun2005 MB" xfId="1709" xr:uid="{00000000-0005-0000-0000-0000DB060000}"/>
    <cellStyle name="r_Synergy_DCF_PERPETUITY_RWE 250805 1900" xfId="1710" xr:uid="{00000000-0005-0000-0000-0000DC060000}"/>
    <cellStyle name="r_Synergy_Division_EBIT" xfId="1711" xr:uid="{00000000-0005-0000-0000-0000DD060000}"/>
    <cellStyle name="r_Synergy_Division_EBIT_AWG_Numbers for Pres_16Jun2005 MB" xfId="1712" xr:uid="{00000000-0005-0000-0000-0000DE060000}"/>
    <cellStyle name="r_Synergy_Division_EBIT_RWE 250805 1900" xfId="1713" xr:uid="{00000000-0005-0000-0000-0000DF060000}"/>
    <cellStyle name="r_Synergy_Division_Sales" xfId="1714" xr:uid="{00000000-0005-0000-0000-0000E0060000}"/>
    <cellStyle name="r_Synergy_Division_Sales_AWG_Numbers for Pres_16Jun2005 MB" xfId="1715" xr:uid="{00000000-0005-0000-0000-0000E1060000}"/>
    <cellStyle name="r_Synergy_Division_Sales_RWE 250805 1900" xfId="1716" xr:uid="{00000000-0005-0000-0000-0000E2060000}"/>
    <cellStyle name="r_Synergy_RWE 250805 1900" xfId="1717" xr:uid="{00000000-0005-0000-0000-0000E3060000}"/>
    <cellStyle name="r_Synergy_Tecnol_Matrix" xfId="1718" xr:uid="{00000000-0005-0000-0000-0000E4060000}"/>
    <cellStyle name="r_Synergy_Tecnol_Matrix_AWG_Numbers for Pres_16Jun2005 MB" xfId="1719" xr:uid="{00000000-0005-0000-0000-0000E5060000}"/>
    <cellStyle name="r_Synergy_Tecnol_Matrix_RWE 250805 1900" xfId="1720" xr:uid="{00000000-0005-0000-0000-0000E6060000}"/>
    <cellStyle name="r_Tecnol_Matrix" xfId="1721" xr:uid="{00000000-0005-0000-0000-0000E7060000}"/>
    <cellStyle name="r_Tecnol_Matrix_AWG_Numbers for Pres_16Jun2005 MB" xfId="1722" xr:uid="{00000000-0005-0000-0000-0000E8060000}"/>
    <cellStyle name="r_Tecnol_Matrix_RWE 250805 1900" xfId="1723" xr:uid="{00000000-0005-0000-0000-0000E9060000}"/>
    <cellStyle name="range" xfId="2046" xr:uid="{00000000-0005-0000-0000-0000EA060000}"/>
    <cellStyle name="Red" xfId="1724" xr:uid="{00000000-0005-0000-0000-0000EB060000}"/>
    <cellStyle name="Red Brackets" xfId="1725" xr:uid="{00000000-0005-0000-0000-0000EC060000}"/>
    <cellStyle name="Reset  - Style7" xfId="1726" xr:uid="{00000000-0005-0000-0000-0000ED060000}"/>
    <cellStyle name="Result" xfId="1727" xr:uid="{00000000-0005-0000-0000-0000EE060000}"/>
    <cellStyle name="s_Valuation " xfId="1728" xr:uid="{00000000-0005-0000-0000-0000EF060000}"/>
    <cellStyle name="s_Valuation _WACC Analysis" xfId="1729" xr:uid="{00000000-0005-0000-0000-0000F0060000}"/>
    <cellStyle name="S3" xfId="1730" xr:uid="{00000000-0005-0000-0000-0000F1060000}"/>
    <cellStyle name="S4" xfId="1731" xr:uid="{00000000-0005-0000-0000-0000F2060000}"/>
    <cellStyle name="Salomon Logo" xfId="1732" xr:uid="{00000000-0005-0000-0000-0000F3060000}"/>
    <cellStyle name="SAPBEXaggData" xfId="1733" xr:uid="{00000000-0005-0000-0000-0000F4060000}"/>
    <cellStyle name="SAPBEXaggDataEmph" xfId="1734" xr:uid="{00000000-0005-0000-0000-0000F5060000}"/>
    <cellStyle name="SAPBEXaggItem" xfId="1735" xr:uid="{00000000-0005-0000-0000-0000F6060000}"/>
    <cellStyle name="SAPBEXaggItemX" xfId="1736" xr:uid="{00000000-0005-0000-0000-0000F7060000}"/>
    <cellStyle name="SAPBEXchaText" xfId="1737" xr:uid="{00000000-0005-0000-0000-0000F8060000}"/>
    <cellStyle name="SAPBEXexcBad7" xfId="1738" xr:uid="{00000000-0005-0000-0000-0000F9060000}"/>
    <cellStyle name="SAPBEXexcBad8" xfId="1739" xr:uid="{00000000-0005-0000-0000-0000FA060000}"/>
    <cellStyle name="SAPBEXexcBad9" xfId="1740" xr:uid="{00000000-0005-0000-0000-0000FB060000}"/>
    <cellStyle name="SAPBEXexcCritical4" xfId="1741" xr:uid="{00000000-0005-0000-0000-0000FC060000}"/>
    <cellStyle name="SAPBEXexcCritical5" xfId="1742" xr:uid="{00000000-0005-0000-0000-0000FD060000}"/>
    <cellStyle name="SAPBEXexcCritical6" xfId="1743" xr:uid="{00000000-0005-0000-0000-0000FE060000}"/>
    <cellStyle name="SAPBEXexcGood1" xfId="1744" xr:uid="{00000000-0005-0000-0000-0000FF060000}"/>
    <cellStyle name="SAPBEXexcGood2" xfId="1745" xr:uid="{00000000-0005-0000-0000-000000070000}"/>
    <cellStyle name="SAPBEXexcGood3" xfId="1746" xr:uid="{00000000-0005-0000-0000-000001070000}"/>
    <cellStyle name="SAPBEXfilterDrill" xfId="1747" xr:uid="{00000000-0005-0000-0000-000002070000}"/>
    <cellStyle name="SAPBEXfilterItem" xfId="1748" xr:uid="{00000000-0005-0000-0000-000003070000}"/>
    <cellStyle name="SAPBEXfilterText" xfId="1749" xr:uid="{00000000-0005-0000-0000-000004070000}"/>
    <cellStyle name="SAPBEXformats" xfId="1750" xr:uid="{00000000-0005-0000-0000-000005070000}"/>
    <cellStyle name="SAPBEXheaderItem" xfId="1751" xr:uid="{00000000-0005-0000-0000-000006070000}"/>
    <cellStyle name="SAPBEXheaderText" xfId="1752" xr:uid="{00000000-0005-0000-0000-000007070000}"/>
    <cellStyle name="SAPBEXHLevel0" xfId="1753" xr:uid="{00000000-0005-0000-0000-000008070000}"/>
    <cellStyle name="SAPBEXHLevel0X" xfId="1754" xr:uid="{00000000-0005-0000-0000-000009070000}"/>
    <cellStyle name="SAPBEXHLevel1" xfId="1755" xr:uid="{00000000-0005-0000-0000-00000A070000}"/>
    <cellStyle name="SAPBEXHLevel1X" xfId="1756" xr:uid="{00000000-0005-0000-0000-00000B070000}"/>
    <cellStyle name="SAPBEXHLevel2" xfId="1757" xr:uid="{00000000-0005-0000-0000-00000C070000}"/>
    <cellStyle name="SAPBEXHLevel2X" xfId="1758" xr:uid="{00000000-0005-0000-0000-00000D070000}"/>
    <cellStyle name="SAPBEXHLevel3" xfId="1759" xr:uid="{00000000-0005-0000-0000-00000E070000}"/>
    <cellStyle name="SAPBEXHLevel3X" xfId="1760" xr:uid="{00000000-0005-0000-0000-00000F070000}"/>
    <cellStyle name="SAPBEXresData" xfId="1761" xr:uid="{00000000-0005-0000-0000-000010070000}"/>
    <cellStyle name="SAPBEXresDataEmph" xfId="1762" xr:uid="{00000000-0005-0000-0000-000011070000}"/>
    <cellStyle name="SAPBEXresItem" xfId="1763" xr:uid="{00000000-0005-0000-0000-000012070000}"/>
    <cellStyle name="SAPBEXresItemX" xfId="1764" xr:uid="{00000000-0005-0000-0000-000013070000}"/>
    <cellStyle name="SAPBEXstdData" xfId="1765" xr:uid="{00000000-0005-0000-0000-000014070000}"/>
    <cellStyle name="SAPBEXstdDataEmph" xfId="1766" xr:uid="{00000000-0005-0000-0000-000015070000}"/>
    <cellStyle name="SAPBEXstdItem" xfId="1767" xr:uid="{00000000-0005-0000-0000-000016070000}"/>
    <cellStyle name="SAPBEXstdItemX" xfId="1768" xr:uid="{00000000-0005-0000-0000-000017070000}"/>
    <cellStyle name="SAPBEXtitle" xfId="1769" xr:uid="{00000000-0005-0000-0000-000018070000}"/>
    <cellStyle name="SAPBEXundefined" xfId="1770" xr:uid="{00000000-0005-0000-0000-000019070000}"/>
    <cellStyle name="ScotchRule" xfId="1771" xr:uid="{00000000-0005-0000-0000-00001A070000}"/>
    <cellStyle name="SEM-BPS-data" xfId="1772" xr:uid="{00000000-0005-0000-0000-00001B070000}"/>
    <cellStyle name="SEM-BPS-head" xfId="1773" xr:uid="{00000000-0005-0000-0000-00001C070000}"/>
    <cellStyle name="SEM-BPS-headdata" xfId="1774" xr:uid="{00000000-0005-0000-0000-00001D070000}"/>
    <cellStyle name="SEM-BPS-headkey" xfId="1775" xr:uid="{00000000-0005-0000-0000-00001E070000}"/>
    <cellStyle name="SEM-BPS-input-on" xfId="1776" xr:uid="{00000000-0005-0000-0000-00001F070000}"/>
    <cellStyle name="SEM-BPS-key" xfId="1777" xr:uid="{00000000-0005-0000-0000-000020070000}"/>
    <cellStyle name="SEM-BPS-sub1" xfId="1778" xr:uid="{00000000-0005-0000-0000-000021070000}"/>
    <cellStyle name="SEM-BPS-sub2" xfId="1779" xr:uid="{00000000-0005-0000-0000-000022070000}"/>
    <cellStyle name="SEM-BPS-total" xfId="1780" xr:uid="{00000000-0005-0000-0000-000023070000}"/>
    <cellStyle name="Shaded" xfId="1781" xr:uid="{00000000-0005-0000-0000-000024070000}"/>
    <cellStyle name="Shares" xfId="1782" xr:uid="{00000000-0005-0000-0000-000025070000}"/>
    <cellStyle name="SheetSubtitle1" xfId="1783" xr:uid="{00000000-0005-0000-0000-000026070000}"/>
    <cellStyle name="SheetSubtitle2" xfId="1784" xr:uid="{00000000-0005-0000-0000-000027070000}"/>
    <cellStyle name="SheetSubtitle3" xfId="1785" xr:uid="{00000000-0005-0000-0000-000028070000}"/>
    <cellStyle name="SheetSubtitle3a" xfId="1786" xr:uid="{00000000-0005-0000-0000-000029070000}"/>
    <cellStyle name="SheetSubtitle4" xfId="1787" xr:uid="{00000000-0005-0000-0000-00002A070000}"/>
    <cellStyle name="SheetSubtitle4a" xfId="1788" xr:uid="{00000000-0005-0000-0000-00002B070000}"/>
    <cellStyle name="SheetSubtitle5" xfId="1789" xr:uid="{00000000-0005-0000-0000-00002C070000}"/>
    <cellStyle name="Single Accounting" xfId="1790" xr:uid="{00000000-0005-0000-0000-00002D070000}"/>
    <cellStyle name="small" xfId="1791" xr:uid="{00000000-0005-0000-0000-00002E070000}"/>
    <cellStyle name="Source" xfId="1792" xr:uid="{00000000-0005-0000-0000-00002F070000}"/>
    <cellStyle name="ssp " xfId="1793" xr:uid="{00000000-0005-0000-0000-000030070000}"/>
    <cellStyle name="stand_bord" xfId="1794" xr:uid="{00000000-0005-0000-0000-000031070000}"/>
    <cellStyle name="Standard_Anpassen der Amortisation" xfId="2047" xr:uid="{00000000-0005-0000-0000-000032070000}"/>
    <cellStyle name="Style 1" xfId="1795" xr:uid="{00000000-0005-0000-0000-000033070000}"/>
    <cellStyle name="Style 2" xfId="1796" xr:uid="{00000000-0005-0000-0000-000034070000}"/>
    <cellStyle name="Style 21" xfId="1797" xr:uid="{00000000-0005-0000-0000-000035070000}"/>
    <cellStyle name="Style 22" xfId="1798" xr:uid="{00000000-0005-0000-0000-000036070000}"/>
    <cellStyle name="Style 23" xfId="1799" xr:uid="{00000000-0005-0000-0000-000037070000}"/>
    <cellStyle name="Style 24" xfId="1800" xr:uid="{00000000-0005-0000-0000-000038070000}"/>
    <cellStyle name="Style 25" xfId="1801" xr:uid="{00000000-0005-0000-0000-000039070000}"/>
    <cellStyle name="Style 26" xfId="1802" xr:uid="{00000000-0005-0000-0000-00003A070000}"/>
    <cellStyle name="Style 27" xfId="1803" xr:uid="{00000000-0005-0000-0000-00003B070000}"/>
    <cellStyle name="Style 28" xfId="1804" xr:uid="{00000000-0005-0000-0000-00003C070000}"/>
    <cellStyle name="Style 29" xfId="1805" xr:uid="{00000000-0005-0000-0000-00003D070000}"/>
    <cellStyle name="Style 3" xfId="1806" xr:uid="{00000000-0005-0000-0000-00003E070000}"/>
    <cellStyle name="Style 30" xfId="1807" xr:uid="{00000000-0005-0000-0000-00003F070000}"/>
    <cellStyle name="Style 31" xfId="1808" xr:uid="{00000000-0005-0000-0000-000040070000}"/>
    <cellStyle name="Style 32" xfId="1809" xr:uid="{00000000-0005-0000-0000-000041070000}"/>
    <cellStyle name="Style 33" xfId="1810" xr:uid="{00000000-0005-0000-0000-000042070000}"/>
    <cellStyle name="Style 34" xfId="1811" xr:uid="{00000000-0005-0000-0000-000043070000}"/>
    <cellStyle name="Style 35" xfId="1812" xr:uid="{00000000-0005-0000-0000-000044070000}"/>
    <cellStyle name="Style 4" xfId="1813" xr:uid="{00000000-0005-0000-0000-000045070000}"/>
    <cellStyle name="Style 5" xfId="1814" xr:uid="{00000000-0005-0000-0000-000046070000}"/>
    <cellStyle name="STYLE1 - Style1" xfId="1815" xr:uid="{00000000-0005-0000-0000-000047070000}"/>
    <cellStyle name="Subtitle" xfId="1816" xr:uid="{00000000-0005-0000-0000-000048070000}"/>
    <cellStyle name="SubTitle 2" xfId="1817" xr:uid="{00000000-0005-0000-0000-000049070000}"/>
    <cellStyle name="Subtitle_AWG_Numbers for Pres_16Jun2005 MB" xfId="1818" xr:uid="{00000000-0005-0000-0000-00004A070000}"/>
    <cellStyle name="subtotals" xfId="1819" xr:uid="{00000000-0005-0000-0000-00004B070000}"/>
    <cellStyle name="Sum" xfId="1820" xr:uid="{00000000-0005-0000-0000-00004C070000}"/>
    <cellStyle name="t" xfId="1821" xr:uid="{00000000-0005-0000-0000-00004D070000}"/>
    <cellStyle name="t_Manager" xfId="1822" xr:uid="{00000000-0005-0000-0000-00004E070000}"/>
    <cellStyle name="t_simpleDCF2000" xfId="1823" xr:uid="{00000000-0005-0000-0000-00004F070000}"/>
    <cellStyle name="t2" xfId="2048" xr:uid="{00000000-0005-0000-0000-000050070000}"/>
    <cellStyle name="Table  - Style6" xfId="1824" xr:uid="{00000000-0005-0000-0000-000051070000}"/>
    <cellStyle name="Table Col Head" xfId="1825" xr:uid="{00000000-0005-0000-0000-000052070000}"/>
    <cellStyle name="Table Head" xfId="1826" xr:uid="{00000000-0005-0000-0000-000053070000}"/>
    <cellStyle name="Table Head Aligned" xfId="1827" xr:uid="{00000000-0005-0000-0000-000054070000}"/>
    <cellStyle name="Table Head Blue" xfId="1828" xr:uid="{00000000-0005-0000-0000-000055070000}"/>
    <cellStyle name="Table Head Green" xfId="1829" xr:uid="{00000000-0005-0000-0000-000056070000}"/>
    <cellStyle name="Table Head_LBO" xfId="1830" xr:uid="{00000000-0005-0000-0000-000057070000}"/>
    <cellStyle name="Table Source" xfId="1831" xr:uid="{00000000-0005-0000-0000-000058070000}"/>
    <cellStyle name="Table Sub Head" xfId="1832" xr:uid="{00000000-0005-0000-0000-000059070000}"/>
    <cellStyle name="Table Text" xfId="1833" xr:uid="{00000000-0005-0000-0000-00005A070000}"/>
    <cellStyle name="Table Title" xfId="1834" xr:uid="{00000000-0005-0000-0000-00005B070000}"/>
    <cellStyle name="Table Units" xfId="1835" xr:uid="{00000000-0005-0000-0000-00005C070000}"/>
    <cellStyle name="Table_Header" xfId="1836" xr:uid="{00000000-0005-0000-0000-00005D070000}"/>
    <cellStyle name="Text" xfId="1837" xr:uid="{00000000-0005-0000-0000-00005E070000}"/>
    <cellStyle name="Text 1" xfId="1838" xr:uid="{00000000-0005-0000-0000-00005F070000}"/>
    <cellStyle name="Text 2" xfId="1839" xr:uid="{00000000-0005-0000-0000-000060070000}"/>
    <cellStyle name="Text Head 1" xfId="1840" xr:uid="{00000000-0005-0000-0000-000061070000}"/>
    <cellStyle name="Text Head 2" xfId="1841" xr:uid="{00000000-0005-0000-0000-000062070000}"/>
    <cellStyle name="Text Indent 1" xfId="1842" xr:uid="{00000000-0005-0000-0000-000063070000}"/>
    <cellStyle name="Text Indent 2" xfId="1843" xr:uid="{00000000-0005-0000-0000-000064070000}"/>
    <cellStyle name="Theirs" xfId="1844" xr:uid="{00000000-0005-0000-0000-000065070000}"/>
    <cellStyle name="Times" xfId="1845" xr:uid="{00000000-0005-0000-0000-000066070000}"/>
    <cellStyle name="Times 10" xfId="1846" xr:uid="{00000000-0005-0000-0000-000067070000}"/>
    <cellStyle name="Times 12" xfId="1847" xr:uid="{00000000-0005-0000-0000-000068070000}"/>
    <cellStyle name="Times_AWG_Numbers for Pres_16Jun2005 MB" xfId="1848" xr:uid="{00000000-0005-0000-0000-000069070000}"/>
    <cellStyle name="Tioma Back" xfId="2049" xr:uid="{00000000-0005-0000-0000-00006A070000}"/>
    <cellStyle name="Tioma Cells No Values" xfId="2050" xr:uid="{00000000-0005-0000-0000-00006B070000}"/>
    <cellStyle name="Tioma formula" xfId="2051" xr:uid="{00000000-0005-0000-0000-00006C070000}"/>
    <cellStyle name="Tioma Input" xfId="2052" xr:uid="{00000000-0005-0000-0000-00006D070000}"/>
    <cellStyle name="Tioma style" xfId="2053" xr:uid="{00000000-0005-0000-0000-00006E070000}"/>
    <cellStyle name="Title" xfId="1849" xr:uid="{00000000-0005-0000-0000-00006F070000}"/>
    <cellStyle name="Title  - Style1" xfId="1850" xr:uid="{00000000-0005-0000-0000-000070070000}"/>
    <cellStyle name="Title - PROJECT" xfId="1851" xr:uid="{00000000-0005-0000-0000-000071070000}"/>
    <cellStyle name="Title - Underline" xfId="1852" xr:uid="{00000000-0005-0000-0000-000072070000}"/>
    <cellStyle name="Title_AWG_Numbers for Pres_16Jun2005 MB" xfId="1853" xr:uid="{00000000-0005-0000-0000-000073070000}"/>
    <cellStyle name="Titles - Col. Headings" xfId="1854" xr:uid="{00000000-0005-0000-0000-000074070000}"/>
    <cellStyle name="Titles - Other" xfId="1855" xr:uid="{00000000-0005-0000-0000-000075070000}"/>
    <cellStyle name="To" xfId="1856" xr:uid="{00000000-0005-0000-0000-000076070000}"/>
    <cellStyle name="TOC 1" xfId="1857" xr:uid="{00000000-0005-0000-0000-000077070000}"/>
    <cellStyle name="TOC 2" xfId="1858" xr:uid="{00000000-0005-0000-0000-000078070000}"/>
    <cellStyle name="TopHeading" xfId="1859" xr:uid="{00000000-0005-0000-0000-000079070000}"/>
    <cellStyle name="Total" xfId="1860" xr:uid="{00000000-0005-0000-0000-00007A070000}"/>
    <cellStyle name="TotCol - Style5" xfId="1861" xr:uid="{00000000-0005-0000-0000-00007B070000}"/>
    <cellStyle name="TotRow - Style4" xfId="1862" xr:uid="{00000000-0005-0000-0000-00007C070000}"/>
    <cellStyle name="tt" xfId="1863" xr:uid="{00000000-0005-0000-0000-00007D070000}"/>
    <cellStyle name="u" xfId="1864" xr:uid="{00000000-0005-0000-0000-00007E070000}"/>
    <cellStyle name="Underline" xfId="1865" xr:uid="{00000000-0005-0000-0000-00007F070000}"/>
    <cellStyle name="Unit" xfId="1866" xr:uid="{00000000-0005-0000-0000-000080070000}"/>
    <cellStyle name="Upload Only" xfId="1867" xr:uid="{00000000-0005-0000-0000-000081070000}"/>
    <cellStyle name="Vдliotsikko" xfId="1871" xr:uid="{00000000-0005-0000-0000-000086070000}"/>
    <cellStyle name="Validation" xfId="2054" xr:uid="{00000000-0005-0000-0000-000082070000}"/>
    <cellStyle name="Valiotsikko" xfId="1868" xr:uid="{00000000-0005-0000-0000-000083070000}"/>
    <cellStyle name="Valuta [0]_Arcen" xfId="1869" xr:uid="{00000000-0005-0000-0000-000084070000}"/>
    <cellStyle name="Valuta_Arcen" xfId="1870" xr:uid="{00000000-0005-0000-0000-000085070000}"/>
    <cellStyle name="Wдhrung [0]_Compiling Utility Macros" xfId="1878" xr:uid="{00000000-0005-0000-0000-00008F070000}"/>
    <cellStyle name="Wдhrung_Compiling Utility Macros" xfId="1879" xr:uid="{00000000-0005-0000-0000-000090070000}"/>
    <cellStyle name="Währung [0]_Compiling Utility Macros" xfId="2055" xr:uid="{00000000-0005-0000-0000-000087070000}"/>
    <cellStyle name="Währung_Compiling Utility Macros" xfId="2056" xr:uid="{00000000-0005-0000-0000-000088070000}"/>
    <cellStyle name="Walutowy [0]_1" xfId="1872" xr:uid="{00000000-0005-0000-0000-000089070000}"/>
    <cellStyle name="Walutowy_1" xfId="1873" xr:uid="{00000000-0005-0000-0000-00008A070000}"/>
    <cellStyle name="Warning Text" xfId="1874" xr:uid="{00000000-0005-0000-0000-00008B070000}"/>
    <cellStyle name="WholeDollar" xfId="1875" xr:uid="{00000000-0005-0000-0000-00008C070000}"/>
    <cellStyle name="WIP" xfId="1876" xr:uid="{00000000-0005-0000-0000-00008D070000}"/>
    <cellStyle name="WP" xfId="1877" xr:uid="{00000000-0005-0000-0000-00008E070000}"/>
    <cellStyle name="x Men" xfId="1880" xr:uid="{00000000-0005-0000-0000-000091070000}"/>
    <cellStyle name="year" xfId="1881" xr:uid="{00000000-0005-0000-0000-000092070000}"/>
    <cellStyle name="Year EN" xfId="1882" xr:uid="{00000000-0005-0000-0000-000093070000}"/>
    <cellStyle name="Year RU" xfId="1883" xr:uid="{00000000-0005-0000-0000-000094070000}"/>
    <cellStyle name="Year_Bewertung_Kurganenergo_STS_20070831_1308" xfId="1884" xr:uid="{00000000-0005-0000-0000-000095070000}"/>
    <cellStyle name="YearHeading" xfId="1885" xr:uid="{00000000-0005-0000-0000-000096070000}"/>
    <cellStyle name="YelNumbersCurr" xfId="2057" xr:uid="{00000000-0005-0000-0000-000097070000}"/>
    <cellStyle name="Yen" xfId="1886" xr:uid="{00000000-0005-0000-0000-000098070000}"/>
    <cellStyle name="Zero" xfId="1887" xr:uid="{00000000-0005-0000-0000-000099070000}"/>
    <cellStyle name="ܘ_x0008_" xfId="2069" xr:uid="{00000000-0005-0000-0000-000023080000}"/>
    <cellStyle name="ܘ_x0008_?䈌Ȏ㘛䤀ጛܛ_x0008_?䨐Ȏ㘛䤀ጛܛ_x0008_?䉜Ȏ㘛伀ᤛ" xfId="2070" xr:uid="{00000000-0005-0000-0000-000024080000}"/>
    <cellStyle name="ܘ_x0008_?䈌Ȏ㘛䤀ጛܛ_x0008_?䨐Ȏ㘛䤀ጛܛ_x0008_?䉜Ȏ㘛伀ᤛ 1" xfId="2071" xr:uid="{00000000-0005-0000-0000-000025080000}"/>
    <cellStyle name="ܛ_x0008_" xfId="2072" xr:uid="{00000000-0005-0000-0000-000026080000}"/>
    <cellStyle name="ܛ_x0008_?䉜Ȏ㘛伀ᤛܛ_x0008_?偬Ȏ?ഀ഍č_x0001_?䊴Ȏ?ကတĐ_x0001_Ҡ" xfId="2073" xr:uid="{00000000-0005-0000-0000-000027080000}"/>
    <cellStyle name="ܛ_x0008_?䉜Ȏ㘛伀ᤛܛ_x0008_?偬Ȏ?ഀ഍č_x0001_?䊴Ȏ?ကတĐ_x0001_Ҡ 1" xfId="2074" xr:uid="{00000000-0005-0000-0000-000028080000}"/>
    <cellStyle name="ܛ_x0008_?䉜Ȏ㘛伀ᤛܛ_x0008_?偬Ȏ?ഀ഍č_x0001_?䊴Ȏ?ကတĐ_x0001_Ҡ_БДР С44о БДДС ок03" xfId="2075" xr:uid="{00000000-0005-0000-0000-000029080000}"/>
    <cellStyle name="표준_PACKING LIST(작업중)xls" xfId="1990" xr:uid="{00000000-0005-0000-0000-00002A080000}"/>
    <cellStyle name="㐀കܒ_x0008_" xfId="2076" xr:uid="{00000000-0005-0000-0000-00002B080000}"/>
    <cellStyle name="㐀കܒ_x0008_?䆴Ȏ㘛伀ᤛܛ_x0008_?䧀Ȏ〘䤀ᤘ" xfId="2077" xr:uid="{00000000-0005-0000-0000-00002C080000}"/>
    <cellStyle name="㐀കܒ_x0008_?䆴Ȏ㘛伀ᤛܛ_x0008_?䧀Ȏ〘䤀ᤘ 1" xfId="2078" xr:uid="{00000000-0005-0000-0000-00002D080000}"/>
    <cellStyle name="㐀കܒ_x0008_?䆴Ȏ㘛伀ᤛܛ_x0008_?䧀Ȏ〘䤀ᤘ_БДР С44о БДДС ок03" xfId="2079" xr:uid="{00000000-0005-0000-0000-00002E080000}"/>
  </cellStyles>
  <dxfs count="8"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>
          <bgColor theme="0" tint="-4.9989318521683403E-2"/>
        </patternFill>
      </fill>
    </dxf>
    <dxf>
      <border>
        <vertical style="dotted">
          <color theme="0" tint="-0.24994659260841701"/>
        </vertical>
        <horizontal style="dotted">
          <color theme="0" tint="-0.24994659260841701"/>
        </horizontal>
      </border>
    </dxf>
    <dxf>
      <border>
        <vertical style="dotted">
          <color theme="3" tint="0.59996337778862885"/>
        </vertical>
        <horizontal style="dotted">
          <color theme="3" tint="0.59996337778862885"/>
        </horizontal>
      </border>
    </dxf>
  </dxfs>
  <tableStyles count="2" defaultTableStyle="TableStyleMedium2" defaultPivotStyle="PivotStyleLight16">
    <tableStyle name="CalcSheet_Style_1" pivot="0" count="1" xr9:uid="{00000000-0011-0000-FFFF-FFFF00000000}">
      <tableStyleElement type="wholeTable" dxfId="7"/>
    </tableStyle>
    <tableStyle name="ReportSheet_Style_1" pivot="0" count="2" xr9:uid="{00000000-0011-0000-FFFF-FFFF01000000}">
      <tableStyleElement type="wholeTable" dxfId="6"/>
      <tableStyleElement type="secondColumn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ru-RU"/>
              <a:t>Анализ чувствительности  существенных рисков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'Анализ чувствительности'!$C$36</c:f>
              <c:strCache>
                <c:ptCount val="1"/>
                <c:pt idx="0">
                  <c:v>Инвестиций</c:v>
                </c:pt>
              </c:strCache>
            </c:strRef>
          </c:tx>
          <c:spPr>
            <a:ln w="28575" cap="rnd">
              <a:solidFill>
                <a:schemeClr val="accent5">
                  <a:shade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'Анализ чувствительности'!$D$35:$L$35</c:f>
              <c:numCache>
                <c:formatCode>0%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cat>
          <c:val>
            <c:numRef>
              <c:f>'Анализ чувствительности'!$D$36:$L$36</c:f>
              <c:numCache>
                <c:formatCode>#\ ##0.00_ ;\-#\ ##0.00\ </c:formatCode>
                <c:ptCount val="9"/>
                <c:pt idx="1">
                  <c:v>1075460.9460835455</c:v>
                </c:pt>
                <c:pt idx="2">
                  <c:v>762196.33913442027</c:v>
                </c:pt>
                <c:pt idx="3">
                  <c:v>529684.41864082601</c:v>
                </c:pt>
                <c:pt idx="4">
                  <c:v>315254.54934270395</c:v>
                </c:pt>
                <c:pt idx="5">
                  <c:v>107751.775486042</c:v>
                </c:pt>
                <c:pt idx="6">
                  <c:v>-96369.062218725827</c:v>
                </c:pt>
                <c:pt idx="7">
                  <c:v>-298586.67482271476</c:v>
                </c:pt>
                <c:pt idx="8">
                  <c:v>-499627.40655142395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3-42E2-91CD-AC727883C212}"/>
            </c:ext>
          </c:extLst>
        </c:ser>
        <c:ser>
          <c:idx val="1"/>
          <c:order val="1"/>
          <c:tx>
            <c:strRef>
              <c:f>'Анализ чувствительности'!$C$37</c:f>
              <c:strCache>
                <c:ptCount val="1"/>
                <c:pt idx="0">
                  <c:v>Бюджетной поддержки</c:v>
                </c:pt>
              </c:strCache>
            </c:strRef>
          </c:tx>
          <c:spPr>
            <a:ln w="28575" cap="rnd">
              <a:solidFill>
                <a:schemeClr val="accent5">
                  <a:shade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'Анализ чувствительности'!$D$35:$L$35</c:f>
              <c:numCache>
                <c:formatCode>0%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cat>
          <c:val>
            <c:numRef>
              <c:f>'Анализ чувствительности'!$D$37:$L$37</c:f>
              <c:numCache>
                <c:formatCode>#\ ##0.00_ ;\-#\ ##0.00\ </c:formatCode>
                <c:ptCount val="9"/>
                <c:pt idx="0">
                  <c:v>-111508.11243655218</c:v>
                </c:pt>
                <c:pt idx="1">
                  <c:v>1303.6071902135373</c:v>
                </c:pt>
                <c:pt idx="2">
                  <c:v>108544.31398617607</c:v>
                </c:pt>
                <c:pt idx="3">
                  <c:v>212794.43271171919</c:v>
                </c:pt>
                <c:pt idx="4">
                  <c:v>315254.54934270395</c:v>
                </c:pt>
                <c:pt idx="5">
                  <c:v>416558.65189803665</c:v>
                </c:pt>
                <c:pt idx="6">
                  <c:v>517073.0175649068</c:v>
                </c:pt>
                <c:pt idx="7">
                  <c:v>617023.99730970745</c:v>
                </c:pt>
                <c:pt idx="8">
                  <c:v>716558.9983156895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3-42E2-91CD-AC727883C212}"/>
            </c:ext>
          </c:extLst>
        </c:ser>
        <c:ser>
          <c:idx val="2"/>
          <c:order val="2"/>
          <c:tx>
            <c:strRef>
              <c:f>'Анализ чувствительности'!$C$38</c:f>
              <c:strCache>
                <c:ptCount val="1"/>
                <c:pt idx="0">
                  <c:v>Ставки дисконтирования</c:v>
                </c:pt>
              </c:strCache>
            </c:strRef>
          </c:tx>
          <c:spPr>
            <a:ln w="28575" cap="rnd">
              <a:solidFill>
                <a:schemeClr val="accent5">
                  <a:tint val="86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'Анализ чувствительности'!$D$35:$L$35</c:f>
              <c:numCache>
                <c:formatCode>0%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cat>
          <c:val>
            <c:numRef>
              <c:f>'Анализ чувствительности'!$D$38:$L$38</c:f>
              <c:numCache>
                <c:formatCode>#\ ##0.00_ ;\-#\ ##0.00\ </c:formatCode>
                <c:ptCount val="9"/>
                <c:pt idx="0">
                  <c:v>2898764.6367476759</c:v>
                </c:pt>
                <c:pt idx="1">
                  <c:v>1738883.2815598873</c:v>
                </c:pt>
                <c:pt idx="2">
                  <c:v>1038572.467075023</c:v>
                </c:pt>
                <c:pt idx="3">
                  <c:v>599622.4532301093</c:v>
                </c:pt>
                <c:pt idx="4">
                  <c:v>315254.54934270395</c:v>
                </c:pt>
                <c:pt idx="5">
                  <c:v>125656.51739651342</c:v>
                </c:pt>
                <c:pt idx="6">
                  <c:v>-3908.5060579968558</c:v>
                </c:pt>
                <c:pt idx="7">
                  <c:v>-94300.159966255756</c:v>
                </c:pt>
                <c:pt idx="8">
                  <c:v>-158437.12743234378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63-42E2-91CD-AC727883C212}"/>
            </c:ext>
          </c:extLst>
        </c:ser>
        <c:ser>
          <c:idx val="3"/>
          <c:order val="3"/>
          <c:tx>
            <c:strRef>
              <c:f>'Анализ чувствительности'!$C$39</c:f>
              <c:strCache>
                <c:ptCount val="1"/>
                <c:pt idx="0">
                  <c:v>Цен продаж</c:v>
                </c:pt>
              </c:strCache>
            </c:strRef>
          </c:tx>
          <c:spPr>
            <a:ln w="28575" cap="rnd">
              <a:solidFill>
                <a:schemeClr val="accent5">
                  <a:tint val="58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'Анализ чувствительности'!$D$35:$L$35</c:f>
              <c:numCache>
                <c:formatCode>0%</c:formatCode>
                <c:ptCount val="9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cat>
          <c:val>
            <c:numRef>
              <c:f>'Анализ чувствительности'!$D$39:$L$39</c:f>
              <c:numCache>
                <c:formatCode>#\ ##0.00_ ;\-#\ ##0.00\ </c:formatCode>
                <c:ptCount val="9"/>
                <c:pt idx="0">
                  <c:v>-2480118.7682351531</c:v>
                </c:pt>
                <c:pt idx="1">
                  <c:v>-1750674.7471241411</c:v>
                </c:pt>
                <c:pt idx="2">
                  <c:v>-1021230.7260131293</c:v>
                </c:pt>
                <c:pt idx="3">
                  <c:v>-326739.53029173211</c:v>
                </c:pt>
                <c:pt idx="4">
                  <c:v>315254.54934270395</c:v>
                </c:pt>
                <c:pt idx="5">
                  <c:v>956745.45288265706</c:v>
                </c:pt>
                <c:pt idx="6">
                  <c:v>1597413.0218141149</c:v>
                </c:pt>
                <c:pt idx="7">
                  <c:v>2238080.5907455739</c:v>
                </c:pt>
                <c:pt idx="8">
                  <c:v>2878748.1596770301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63-42E2-91CD-AC727883C2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6616384"/>
        <c:axId val="1066620128"/>
      </c:lineChart>
      <c:catAx>
        <c:axId val="1066616384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066620128"/>
        <c:crosses val="autoZero"/>
        <c:auto val="1"/>
        <c:lblAlgn val="ctr"/>
        <c:lblOffset val="100"/>
        <c:noMultiLvlLbl val="0"/>
      </c:catAx>
      <c:valAx>
        <c:axId val="106662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_ ;\-#\ ##0.00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ru-RU"/>
          </a:p>
        </c:txPr>
        <c:crossAx val="106661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23</xdr:row>
      <xdr:rowOff>209550</xdr:rowOff>
    </xdr:from>
    <xdr:to>
      <xdr:col>22</xdr:col>
      <xdr:colOff>47624</xdr:colOff>
      <xdr:row>36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 tint="0.79998168889431442"/>
  </sheetPr>
  <dimension ref="A1:Z26"/>
  <sheetViews>
    <sheetView zoomScale="90" zoomScaleNormal="90" workbookViewId="0">
      <selection activeCell="G24" sqref="G24"/>
    </sheetView>
  </sheetViews>
  <sheetFormatPr baseColWidth="10" defaultColWidth="9.1640625" defaultRowHeight="15"/>
  <cols>
    <col min="1" max="1" width="87.5" style="1" customWidth="1"/>
    <col min="2" max="2" width="8.5" style="1" customWidth="1"/>
    <col min="3" max="3" width="8.83203125" style="1" customWidth="1"/>
    <col min="4" max="4" width="9" style="1" customWidth="1"/>
    <col min="5" max="5" width="9.33203125" style="1" customWidth="1"/>
    <col min="6" max="6" width="9.1640625" style="1"/>
    <col min="7" max="8" width="8.83203125" style="1" customWidth="1"/>
    <col min="9" max="9" width="8.5" style="1" customWidth="1"/>
    <col min="10" max="10" width="9" style="1" customWidth="1"/>
    <col min="11" max="11" width="9.1640625" style="1"/>
    <col min="12" max="12" width="7.6640625" style="1" customWidth="1"/>
    <col min="13" max="13" width="8.6640625" style="1" customWidth="1"/>
    <col min="14" max="14" width="9.5" style="1" customWidth="1"/>
    <col min="15" max="15" width="8" style="1" customWidth="1"/>
    <col min="16" max="16" width="9.1640625" style="1"/>
    <col min="17" max="17" width="8" style="1" customWidth="1"/>
    <col min="18" max="18" width="8.5" style="1" customWidth="1"/>
    <col min="19" max="19" width="8.83203125" style="1" customWidth="1"/>
    <col min="20" max="20" width="9" style="1" customWidth="1"/>
    <col min="21" max="16384" width="9.1640625" style="1"/>
  </cols>
  <sheetData>
    <row r="1" spans="1:26">
      <c r="A1" s="36" t="s">
        <v>2</v>
      </c>
      <c r="B1" s="3" t="str">
        <f>CONCATENATE("I кв."," ",F1)</f>
        <v>I кв. 2024</v>
      </c>
      <c r="C1" s="3" t="str">
        <f>CONCATENATE("II кв."," ",F1)</f>
        <v>II кв. 2024</v>
      </c>
      <c r="D1" s="3" t="str">
        <f>CONCATENATE("III кв."," ",F1)</f>
        <v>III кв. 2024</v>
      </c>
      <c r="E1" s="3" t="str">
        <f>CONCATENATE("IV кв."," ",F1)</f>
        <v>IV кв. 2024</v>
      </c>
      <c r="F1" s="48">
        <v>2024</v>
      </c>
      <c r="G1" s="3" t="str">
        <f>CONCATENATE("I кв."," ",K1)</f>
        <v>I кв. 2025</v>
      </c>
      <c r="H1" s="3" t="str">
        <f>CONCATENATE("II кв."," ",K1)</f>
        <v>II кв. 2025</v>
      </c>
      <c r="I1" s="3" t="str">
        <f>CONCATENATE("III кв."," ",K1)</f>
        <v>III кв. 2025</v>
      </c>
      <c r="J1" s="3" t="str">
        <f>CONCATENATE("IV кв."," ",K1)</f>
        <v>IV кв. 2025</v>
      </c>
      <c r="K1" s="48">
        <v>2025</v>
      </c>
      <c r="L1" s="3" t="str">
        <f>CONCATENATE("I кв."," ",P1)</f>
        <v>I кв. 2026</v>
      </c>
      <c r="M1" s="3" t="str">
        <f>CONCATENATE("II кв."," ",P1)</f>
        <v>II кв. 2026</v>
      </c>
      <c r="N1" s="3" t="str">
        <f>CONCATENATE("III кв."," ",P1)</f>
        <v>III кв. 2026</v>
      </c>
      <c r="O1" s="3" t="str">
        <f>CONCATENATE("IV кв."," ",P1)</f>
        <v>IV кв. 2026</v>
      </c>
      <c r="P1" s="48">
        <v>2026</v>
      </c>
      <c r="Q1" s="3" t="str">
        <f>CONCATENATE("I кв."," ",U1)</f>
        <v>I кв. 2027</v>
      </c>
      <c r="R1" s="3" t="str">
        <f>CONCATENATE("II кв."," ",U1)</f>
        <v>II кв. 2027</v>
      </c>
      <c r="S1" s="3" t="str">
        <f>CONCATENATE("III кв."," ",U1)</f>
        <v>III кв. 2027</v>
      </c>
      <c r="T1" s="3" t="str">
        <f>CONCATENATE("IV кв."," ",U1)</f>
        <v>IV кв. 2027</v>
      </c>
      <c r="U1" s="48">
        <v>2027</v>
      </c>
      <c r="V1" s="3" t="str">
        <f>CONCATENATE("I кв."," ",Z1)</f>
        <v>I кв. 2027</v>
      </c>
      <c r="W1" s="3" t="str">
        <f>CONCATENATE("II кв."," ",Z1)</f>
        <v>II кв. 2027</v>
      </c>
      <c r="X1" s="3" t="str">
        <f>CONCATENATE("III кв."," ",Z1)</f>
        <v>III кв. 2027</v>
      </c>
      <c r="Y1" s="3" t="str">
        <f>CONCATENATE("IV кв."," ",Z1)</f>
        <v>IV кв. 2027</v>
      </c>
      <c r="Z1" s="48">
        <v>2027</v>
      </c>
    </row>
    <row r="2" spans="1:26" ht="31.5" customHeight="1">
      <c r="A2" s="94"/>
      <c r="B2" s="2"/>
      <c r="C2" s="69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A3" s="93"/>
      <c r="B3" s="2"/>
      <c r="C3" s="138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93"/>
      <c r="B4" s="2"/>
      <c r="C4" s="138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93"/>
      <c r="B5" s="2"/>
      <c r="C5" s="2"/>
      <c r="D5" s="69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93"/>
      <c r="B6" s="2"/>
      <c r="C6" s="2"/>
      <c r="D6" s="69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93"/>
      <c r="B7" s="2"/>
      <c r="C7" s="2"/>
      <c r="D7" s="2"/>
      <c r="E7" s="6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93"/>
      <c r="B8" s="2"/>
      <c r="C8" s="2"/>
      <c r="D8" s="2"/>
      <c r="E8" s="6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93"/>
      <c r="B9" s="2"/>
      <c r="C9" s="2"/>
      <c r="D9" s="2"/>
      <c r="E9" s="6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93"/>
      <c r="B10" s="2"/>
      <c r="C10" s="2"/>
      <c r="D10" s="2"/>
      <c r="E10" s="6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93"/>
      <c r="B11" s="2"/>
      <c r="C11" s="2"/>
      <c r="D11" s="2"/>
      <c r="E11" s="6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93"/>
      <c r="B12" s="2"/>
      <c r="C12" s="2"/>
      <c r="D12" s="2"/>
      <c r="E12" s="2"/>
      <c r="F12" s="2"/>
      <c r="G12" s="69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93"/>
      <c r="B13" s="2"/>
      <c r="C13" s="2"/>
      <c r="D13" s="2"/>
      <c r="E13" s="2"/>
      <c r="F13" s="2"/>
      <c r="G13" s="69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93"/>
      <c r="B14" s="2"/>
      <c r="C14" s="2"/>
      <c r="D14" s="2"/>
      <c r="E14" s="2"/>
      <c r="F14" s="2"/>
      <c r="G14" s="6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93"/>
      <c r="B15" s="2"/>
      <c r="C15" s="2"/>
      <c r="D15" s="2"/>
      <c r="E15" s="2"/>
      <c r="F15" s="2"/>
      <c r="G15" s="2"/>
      <c r="H15" s="69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93"/>
      <c r="B16" s="2"/>
      <c r="C16" s="2"/>
      <c r="D16" s="2"/>
      <c r="E16" s="2"/>
      <c r="F16" s="2"/>
      <c r="G16" s="2"/>
      <c r="H16" s="2"/>
      <c r="I16" s="2"/>
      <c r="J16" s="6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93"/>
      <c r="B17" s="2"/>
      <c r="C17" s="2"/>
      <c r="D17" s="2"/>
      <c r="E17" s="2"/>
      <c r="F17" s="2"/>
      <c r="G17" s="2"/>
      <c r="H17" s="2"/>
      <c r="I17" s="2"/>
      <c r="J17" s="2"/>
      <c r="K17" s="2"/>
      <c r="L17" s="69"/>
      <c r="M17" s="69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9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69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9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69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9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69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9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69"/>
      <c r="R21" s="2"/>
      <c r="S21" s="2"/>
      <c r="T21" s="2"/>
      <c r="U21" s="2"/>
      <c r="V21" s="2"/>
      <c r="W21" s="2"/>
      <c r="X21" s="2"/>
      <c r="Y21" s="2"/>
      <c r="Z21" s="2"/>
    </row>
    <row r="24" spans="1:26">
      <c r="A24" s="43" t="s">
        <v>296</v>
      </c>
      <c r="B24" s="3" t="str">
        <f>CONCATENATE("I кв."," ",F24)</f>
        <v>I кв. 2024</v>
      </c>
      <c r="C24" s="3" t="str">
        <f>CONCATENATE("II кв."," ",F24)</f>
        <v>II кв. 2024</v>
      </c>
      <c r="D24" s="3" t="str">
        <f>CONCATENATE("III кв."," ",F24)</f>
        <v>III кв. 2024</v>
      </c>
      <c r="E24" s="3" t="str">
        <f>CONCATENATE("IV кв."," ",F24)</f>
        <v>IV кв. 2024</v>
      </c>
      <c r="F24" s="48">
        <v>2024</v>
      </c>
      <c r="G24" s="3" t="str">
        <f>CONCATENATE("I кв."," ",K24)</f>
        <v>I кв. 2025</v>
      </c>
      <c r="H24" s="3" t="str">
        <f>CONCATENATE("II кв."," ",K24)</f>
        <v>II кв. 2025</v>
      </c>
      <c r="I24" s="3" t="str">
        <f>CONCATENATE("III кв."," ",K24)</f>
        <v>III кв. 2025</v>
      </c>
      <c r="J24" s="3" t="str">
        <f>CONCATENATE("IV кв."," ",K24)</f>
        <v>IV кв. 2025</v>
      </c>
      <c r="K24" s="48">
        <v>2025</v>
      </c>
      <c r="L24" s="3" t="str">
        <f>CONCATENATE("I кв."," ",P24)</f>
        <v>I кв. 2026</v>
      </c>
      <c r="M24" s="3" t="str">
        <f>CONCATENATE("II кв."," ",P24)</f>
        <v>II кв. 2026</v>
      </c>
      <c r="N24" s="3" t="str">
        <f>CONCATENATE("III кв."," ",P24)</f>
        <v>III кв. 2026</v>
      </c>
      <c r="O24" s="3" t="str">
        <f>CONCATENATE("IV кв."," ",P24)</f>
        <v>IV кв. 2026</v>
      </c>
      <c r="P24" s="48">
        <v>2026</v>
      </c>
      <c r="Q24" s="3" t="str">
        <f>CONCATENATE("I кв."," ",U24)</f>
        <v>I кв. 2027</v>
      </c>
      <c r="R24" s="3" t="str">
        <f>CONCATENATE("II кв."," ",U24)</f>
        <v>II кв. 2027</v>
      </c>
      <c r="S24" s="3" t="str">
        <f>CONCATENATE("III кв."," ",U24)</f>
        <v>III кв. 2027</v>
      </c>
      <c r="T24" s="3" t="str">
        <f>CONCATENATE("IV кв."," ",U24)</f>
        <v>IV кв. 2027</v>
      </c>
      <c r="U24" s="48">
        <v>2027</v>
      </c>
      <c r="V24" s="3" t="str">
        <f>CONCATENATE("I кв."," ",Z24)</f>
        <v>I кв. 2028</v>
      </c>
      <c r="W24" s="3" t="str">
        <f>CONCATENATE("II кв."," ",Z24)</f>
        <v>II кв. 2028</v>
      </c>
      <c r="X24" s="3" t="str">
        <f>CONCATENATE("III кв."," ",Z24)</f>
        <v>III кв. 2028</v>
      </c>
      <c r="Y24" s="3" t="str">
        <f>CONCATENATE("IV кв."," ",Z24)</f>
        <v>IV кв. 2028</v>
      </c>
      <c r="Z24" s="48">
        <v>2028</v>
      </c>
    </row>
    <row r="25" spans="1:26">
      <c r="A25" s="15" t="s">
        <v>297</v>
      </c>
      <c r="B25" s="12">
        <v>0</v>
      </c>
      <c r="C25" s="12">
        <v>0</v>
      </c>
      <c r="D25" s="12">
        <v>0</v>
      </c>
      <c r="E25" s="12">
        <v>0</v>
      </c>
      <c r="F25" s="21">
        <f>SUM(B25:E25)/COUNT(B25:E25)</f>
        <v>0</v>
      </c>
      <c r="G25" s="12">
        <v>0</v>
      </c>
      <c r="H25" s="12">
        <v>0</v>
      </c>
      <c r="I25" s="12">
        <v>0</v>
      </c>
      <c r="J25" s="12">
        <v>0</v>
      </c>
      <c r="K25" s="21">
        <f>SUM(G25:J25)/COUNT(G25:J25)</f>
        <v>0</v>
      </c>
      <c r="L25" s="12">
        <v>0</v>
      </c>
      <c r="M25" s="12">
        <v>0</v>
      </c>
      <c r="N25" s="12">
        <v>0</v>
      </c>
      <c r="O25" s="12">
        <v>0.8</v>
      </c>
      <c r="P25" s="21">
        <f>SUM(L25:O25)/COUNT(L25:O25)</f>
        <v>0.2</v>
      </c>
      <c r="Q25" s="12">
        <v>0.8</v>
      </c>
      <c r="R25" s="12">
        <v>1</v>
      </c>
      <c r="S25" s="12">
        <v>1</v>
      </c>
      <c r="T25" s="12">
        <v>1</v>
      </c>
      <c r="U25" s="21">
        <f>SUM(Q25:T25)/COUNT(Q25:T25)</f>
        <v>0.95</v>
      </c>
      <c r="V25" s="12">
        <v>1</v>
      </c>
      <c r="W25" s="12">
        <v>1</v>
      </c>
      <c r="X25" s="12">
        <v>1</v>
      </c>
      <c r="Y25" s="12">
        <v>1</v>
      </c>
      <c r="Z25" s="21">
        <f>SUM(V25:Y25)/COUNT(V25:Y25)</f>
        <v>1</v>
      </c>
    </row>
    <row r="26" spans="1:26">
      <c r="A26" s="15" t="s">
        <v>298</v>
      </c>
      <c r="B26" s="12">
        <v>0</v>
      </c>
      <c r="C26" s="12">
        <v>0</v>
      </c>
      <c r="D26" s="12">
        <v>0</v>
      </c>
      <c r="E26" s="12">
        <v>0</v>
      </c>
      <c r="F26" s="21">
        <f>SUM(B26:E26)/COUNT(B26:E26)</f>
        <v>0</v>
      </c>
      <c r="G26" s="12">
        <v>0</v>
      </c>
      <c r="H26" s="12">
        <v>0</v>
      </c>
      <c r="I26" s="12">
        <v>0</v>
      </c>
      <c r="J26" s="12">
        <v>0</v>
      </c>
      <c r="K26" s="21">
        <f>SUM(G26:J26)/COUNT(G26:J26)</f>
        <v>0</v>
      </c>
      <c r="L26" s="12">
        <v>0</v>
      </c>
      <c r="M26" s="12">
        <v>0</v>
      </c>
      <c r="N26" s="12">
        <v>0</v>
      </c>
      <c r="O26" s="12">
        <v>0.8</v>
      </c>
      <c r="P26" s="21">
        <f>SUM(L26:O26)/COUNT(L26:O26)</f>
        <v>0.2</v>
      </c>
      <c r="Q26" s="12">
        <v>0.8</v>
      </c>
      <c r="R26" s="12">
        <v>1</v>
      </c>
      <c r="S26" s="12">
        <v>1</v>
      </c>
      <c r="T26" s="12">
        <v>1</v>
      </c>
      <c r="U26" s="21">
        <f>SUM(Q26:T26)/COUNT(Q26:T26)</f>
        <v>0.95</v>
      </c>
      <c r="V26" s="12">
        <v>1</v>
      </c>
      <c r="W26" s="12">
        <v>1</v>
      </c>
      <c r="X26" s="12">
        <v>1</v>
      </c>
      <c r="Y26" s="12">
        <v>1</v>
      </c>
      <c r="Z26" s="21">
        <f>SUM(V26:Y26)/COUNT(V26:Y26)</f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79998168889431442"/>
  </sheetPr>
  <dimension ref="A1:R742"/>
  <sheetViews>
    <sheetView zoomScale="90" zoomScaleNormal="90" workbookViewId="0">
      <pane xSplit="1" ySplit="1" topLeftCell="B96" activePane="bottomRight" state="frozen"/>
      <selection pane="topRight" activeCell="B1" sqref="B1"/>
      <selection pane="bottomLeft" activeCell="A2" sqref="A2"/>
      <selection pane="bottomRight" activeCell="H11" sqref="H11"/>
    </sheetView>
  </sheetViews>
  <sheetFormatPr baseColWidth="10" defaultColWidth="9.1640625" defaultRowHeight="15" outlineLevelRow="1"/>
  <cols>
    <col min="1" max="1" width="55.5" style="1" customWidth="1"/>
    <col min="2" max="2" width="14.5" style="1" customWidth="1"/>
    <col min="3" max="3" width="12.83203125" style="1" customWidth="1"/>
    <col min="4" max="5" width="10.33203125" style="1" bestFit="1" customWidth="1"/>
    <col min="6" max="18" width="9.83203125" style="1" bestFit="1" customWidth="1"/>
    <col min="19" max="16384" width="9.1640625" style="1"/>
  </cols>
  <sheetData>
    <row r="1" spans="1:18">
      <c r="A1" s="37" t="s">
        <v>41</v>
      </c>
      <c r="B1" s="38"/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2" spans="1:18">
      <c r="A2" s="29" t="s">
        <v>42</v>
      </c>
      <c r="B2" s="29"/>
      <c r="C2" s="6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8">
      <c r="A3" s="15" t="s">
        <v>44</v>
      </c>
      <c r="B3" s="15"/>
      <c r="C3" s="6"/>
      <c r="D3" s="25">
        <v>45292</v>
      </c>
      <c r="E3" s="25">
        <v>45658</v>
      </c>
      <c r="F3" s="25">
        <v>46023</v>
      </c>
      <c r="G3" s="25">
        <v>46388</v>
      </c>
      <c r="H3" s="25">
        <v>46753</v>
      </c>
      <c r="I3" s="25">
        <v>47119</v>
      </c>
      <c r="J3" s="25">
        <v>47484</v>
      </c>
      <c r="K3" s="25">
        <v>47849</v>
      </c>
      <c r="L3" s="25">
        <v>48214</v>
      </c>
      <c r="M3" s="25">
        <v>48580</v>
      </c>
      <c r="N3" s="25">
        <v>48945</v>
      </c>
      <c r="O3" s="25">
        <v>49310</v>
      </c>
      <c r="P3" s="25">
        <v>49675</v>
      </c>
      <c r="Q3" s="25">
        <v>50041</v>
      </c>
      <c r="R3" s="25">
        <v>50406</v>
      </c>
    </row>
    <row r="4" spans="1:18">
      <c r="A4" s="15" t="s">
        <v>45</v>
      </c>
      <c r="B4" s="15"/>
      <c r="C4" s="6"/>
      <c r="D4" s="25">
        <v>45657</v>
      </c>
      <c r="E4" s="25">
        <v>46022</v>
      </c>
      <c r="F4" s="25">
        <v>46387</v>
      </c>
      <c r="G4" s="25">
        <v>46752</v>
      </c>
      <c r="H4" s="25">
        <v>47118</v>
      </c>
      <c r="I4" s="25">
        <v>47483</v>
      </c>
      <c r="J4" s="25">
        <v>47848</v>
      </c>
      <c r="K4" s="25">
        <v>48213</v>
      </c>
      <c r="L4" s="25">
        <v>48579</v>
      </c>
      <c r="M4" s="25">
        <v>48944</v>
      </c>
      <c r="N4" s="25">
        <v>49309</v>
      </c>
      <c r="O4" s="25">
        <v>49674</v>
      </c>
      <c r="P4" s="25">
        <v>50040</v>
      </c>
      <c r="Q4" s="25">
        <v>50405</v>
      </c>
      <c r="R4" s="25">
        <v>50770</v>
      </c>
    </row>
    <row r="5" spans="1:18">
      <c r="A5" s="15" t="s">
        <v>43</v>
      </c>
      <c r="B5" s="15"/>
      <c r="C5" s="6" t="s">
        <v>46</v>
      </c>
      <c r="D5" s="23">
        <f t="shared" ref="D5:R5" si="0">_xlfn.DAYS(D4,D3)+1</f>
        <v>366</v>
      </c>
      <c r="E5" s="23">
        <f t="shared" si="0"/>
        <v>365</v>
      </c>
      <c r="F5" s="23">
        <f t="shared" si="0"/>
        <v>365</v>
      </c>
      <c r="G5" s="23">
        <f t="shared" si="0"/>
        <v>365</v>
      </c>
      <c r="H5" s="23">
        <f t="shared" si="0"/>
        <v>366</v>
      </c>
      <c r="I5" s="23">
        <f t="shared" si="0"/>
        <v>365</v>
      </c>
      <c r="J5" s="23">
        <f t="shared" si="0"/>
        <v>365</v>
      </c>
      <c r="K5" s="23">
        <f t="shared" si="0"/>
        <v>365</v>
      </c>
      <c r="L5" s="23">
        <f t="shared" si="0"/>
        <v>366</v>
      </c>
      <c r="M5" s="23">
        <f t="shared" si="0"/>
        <v>365</v>
      </c>
      <c r="N5" s="23">
        <f t="shared" si="0"/>
        <v>365</v>
      </c>
      <c r="O5" s="23">
        <f t="shared" si="0"/>
        <v>365</v>
      </c>
      <c r="P5" s="23">
        <f t="shared" si="0"/>
        <v>366</v>
      </c>
      <c r="Q5" s="23">
        <f t="shared" si="0"/>
        <v>365</v>
      </c>
      <c r="R5" s="23">
        <f t="shared" si="0"/>
        <v>365</v>
      </c>
    </row>
    <row r="6" spans="1:18">
      <c r="C6" s="6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18">
      <c r="A7" s="43" t="s">
        <v>0</v>
      </c>
      <c r="B7" s="47"/>
      <c r="C7" s="47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6"/>
    </row>
    <row r="8" spans="1:18">
      <c r="A8" s="29" t="s">
        <v>1</v>
      </c>
      <c r="B8" s="29"/>
      <c r="C8" s="6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9" spans="1:18">
      <c r="A9" s="32" t="s">
        <v>3</v>
      </c>
      <c r="B9" s="32"/>
      <c r="C9" s="6" t="s">
        <v>7</v>
      </c>
      <c r="D9" s="16">
        <f>6.6%</f>
        <v>6.6000000000000003E-2</v>
      </c>
      <c r="E9" s="16">
        <f>4.6567%</f>
        <v>4.6566999999999997E-2</v>
      </c>
      <c r="F9" s="16">
        <f>4.0362%</f>
        <v>4.0362000000000002E-2</v>
      </c>
      <c r="G9" s="16">
        <f>4%</f>
        <v>0.04</v>
      </c>
      <c r="H9" s="26">
        <f>G9</f>
        <v>0.04</v>
      </c>
      <c r="I9" s="26">
        <f t="shared" ref="I9:R9" si="1">H9</f>
        <v>0.04</v>
      </c>
      <c r="J9" s="26">
        <f t="shared" si="1"/>
        <v>0.04</v>
      </c>
      <c r="K9" s="26">
        <f t="shared" si="1"/>
        <v>0.04</v>
      </c>
      <c r="L9" s="26">
        <f t="shared" si="1"/>
        <v>0.04</v>
      </c>
      <c r="M9" s="26">
        <f t="shared" si="1"/>
        <v>0.04</v>
      </c>
      <c r="N9" s="26">
        <f t="shared" si="1"/>
        <v>0.04</v>
      </c>
      <c r="O9" s="26">
        <f t="shared" si="1"/>
        <v>0.04</v>
      </c>
      <c r="P9" s="26">
        <f t="shared" si="1"/>
        <v>0.04</v>
      </c>
      <c r="Q9" s="26">
        <f t="shared" si="1"/>
        <v>0.04</v>
      </c>
      <c r="R9" s="26">
        <f t="shared" si="1"/>
        <v>0.04</v>
      </c>
    </row>
    <row r="10" spans="1:18">
      <c r="A10" s="29" t="s">
        <v>4</v>
      </c>
      <c r="B10" s="29"/>
      <c r="C10" s="6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>
      <c r="A11" s="15" t="s">
        <v>5</v>
      </c>
      <c r="B11" s="15"/>
      <c r="C11" s="6" t="s">
        <v>7</v>
      </c>
      <c r="D11" s="16">
        <f>7.8098%</f>
        <v>7.8098000000000001E-2</v>
      </c>
      <c r="E11" s="16">
        <f>10.1187%</f>
        <v>0.101187</v>
      </c>
      <c r="F11" s="16">
        <f>5.0769%</f>
        <v>5.0769000000000002E-2</v>
      </c>
      <c r="G11" s="16">
        <f>4.9513%</f>
        <v>4.9513000000000001E-2</v>
      </c>
      <c r="H11" s="26">
        <v>0.04</v>
      </c>
      <c r="I11" s="26">
        <f t="shared" ref="I11:R11" si="2">H11</f>
        <v>0.04</v>
      </c>
      <c r="J11" s="26">
        <f t="shared" si="2"/>
        <v>0.04</v>
      </c>
      <c r="K11" s="26">
        <f t="shared" si="2"/>
        <v>0.04</v>
      </c>
      <c r="L11" s="26">
        <f t="shared" si="2"/>
        <v>0.04</v>
      </c>
      <c r="M11" s="26">
        <f t="shared" si="2"/>
        <v>0.04</v>
      </c>
      <c r="N11" s="26">
        <f t="shared" si="2"/>
        <v>0.04</v>
      </c>
      <c r="O11" s="26">
        <f t="shared" si="2"/>
        <v>0.04</v>
      </c>
      <c r="P11" s="26">
        <f t="shared" si="2"/>
        <v>0.04</v>
      </c>
      <c r="Q11" s="26">
        <f t="shared" si="2"/>
        <v>0.04</v>
      </c>
      <c r="R11" s="26">
        <f t="shared" si="2"/>
        <v>0.04</v>
      </c>
    </row>
    <row r="12" spans="1:18">
      <c r="A12" s="15" t="s">
        <v>6</v>
      </c>
      <c r="B12" s="15"/>
      <c r="C12" s="6" t="s">
        <v>7</v>
      </c>
      <c r="D12" s="16">
        <f>11.2%</f>
        <v>0.11199999999999999</v>
      </c>
      <c r="E12" s="16">
        <f>8.2%</f>
        <v>8.199999999999999E-2</v>
      </c>
      <c r="F12" s="16">
        <f>4%</f>
        <v>0.04</v>
      </c>
      <c r="G12" s="16">
        <f>4%</f>
        <v>0.04</v>
      </c>
      <c r="H12" s="26">
        <f>G12</f>
        <v>0.04</v>
      </c>
      <c r="I12" s="26">
        <f t="shared" ref="I12:R12" si="3">H12</f>
        <v>0.04</v>
      </c>
      <c r="J12" s="26">
        <f t="shared" si="3"/>
        <v>0.04</v>
      </c>
      <c r="K12" s="26">
        <f t="shared" si="3"/>
        <v>0.04</v>
      </c>
      <c r="L12" s="26">
        <f t="shared" si="3"/>
        <v>0.04</v>
      </c>
      <c r="M12" s="26">
        <f t="shared" si="3"/>
        <v>0.04</v>
      </c>
      <c r="N12" s="26">
        <f t="shared" si="3"/>
        <v>0.04</v>
      </c>
      <c r="O12" s="26">
        <f t="shared" si="3"/>
        <v>0.04</v>
      </c>
      <c r="P12" s="26">
        <f t="shared" si="3"/>
        <v>0.04</v>
      </c>
      <c r="Q12" s="26">
        <f t="shared" si="3"/>
        <v>0.04</v>
      </c>
      <c r="R12" s="26">
        <f t="shared" si="3"/>
        <v>0.04</v>
      </c>
    </row>
    <row r="13" spans="1:18">
      <c r="A13" s="15" t="s">
        <v>15</v>
      </c>
      <c r="B13" s="15"/>
      <c r="C13" s="6" t="s">
        <v>7</v>
      </c>
      <c r="D13" s="16">
        <f>9.1886%</f>
        <v>9.1885999999999995E-2</v>
      </c>
      <c r="E13" s="16">
        <f>5.0387%</f>
        <v>5.0387000000000001E-2</v>
      </c>
      <c r="F13" s="16">
        <f>3.9313%</f>
        <v>3.9313000000000001E-2</v>
      </c>
      <c r="G13" s="16">
        <f>4.0974%</f>
        <v>4.0974000000000003E-2</v>
      </c>
      <c r="H13" s="26">
        <v>0.04</v>
      </c>
      <c r="I13" s="26">
        <f>H13</f>
        <v>0.04</v>
      </c>
      <c r="J13" s="26">
        <f t="shared" ref="J13:R13" si="4">I13</f>
        <v>0.04</v>
      </c>
      <c r="K13" s="26">
        <f t="shared" si="4"/>
        <v>0.04</v>
      </c>
      <c r="L13" s="26">
        <f t="shared" si="4"/>
        <v>0.04</v>
      </c>
      <c r="M13" s="26">
        <f t="shared" si="4"/>
        <v>0.04</v>
      </c>
      <c r="N13" s="26">
        <f t="shared" si="4"/>
        <v>0.04</v>
      </c>
      <c r="O13" s="26">
        <f t="shared" si="4"/>
        <v>0.04</v>
      </c>
      <c r="P13" s="26">
        <f t="shared" si="4"/>
        <v>0.04</v>
      </c>
      <c r="Q13" s="26">
        <f t="shared" si="4"/>
        <v>0.04</v>
      </c>
      <c r="R13" s="26">
        <f t="shared" si="4"/>
        <v>0.04</v>
      </c>
    </row>
    <row r="14" spans="1:18">
      <c r="C14" s="6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>
      <c r="A15" s="43" t="s">
        <v>245</v>
      </c>
      <c r="B15" s="47"/>
      <c r="C15" s="47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6"/>
    </row>
    <row r="16" spans="1:18">
      <c r="A16" s="29" t="s">
        <v>246</v>
      </c>
      <c r="C16" s="6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>
      <c r="A17" s="76" t="s">
        <v>247</v>
      </c>
      <c r="B17" s="16">
        <v>8.5000000000000006E-2</v>
      </c>
      <c r="C17" s="77" t="s">
        <v>252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>
      <c r="A18" s="15" t="s">
        <v>248</v>
      </c>
      <c r="B18" s="16">
        <v>0.1118</v>
      </c>
      <c r="C18" s="77" t="s">
        <v>249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>
      <c r="A19" s="75" t="s">
        <v>250</v>
      </c>
      <c r="B19" s="28">
        <f>B17+B18</f>
        <v>0.1968</v>
      </c>
      <c r="C19" s="77" t="s">
        <v>251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</row>
    <row r="20" spans="1:18">
      <c r="A20" s="75"/>
      <c r="C20" s="6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>
      <c r="A21" s="29" t="s">
        <v>253</v>
      </c>
      <c r="C21" s="6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</row>
    <row r="22" spans="1:18" ht="26">
      <c r="A22" s="78" t="s">
        <v>254</v>
      </c>
      <c r="B22" s="16">
        <v>0.1555</v>
      </c>
      <c r="C22" s="6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</row>
    <row r="23" spans="1:18" ht="52">
      <c r="A23" s="78" t="s">
        <v>255</v>
      </c>
      <c r="B23" s="16">
        <v>2.5000000000000001E-2</v>
      </c>
      <c r="C23" s="6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</row>
    <row r="24" spans="1:18">
      <c r="A24" s="75" t="s">
        <v>256</v>
      </c>
      <c r="B24" s="28">
        <f>B22+B23</f>
        <v>0.18049999999999999</v>
      </c>
      <c r="C24" s="6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>
      <c r="A25" s="75"/>
      <c r="B25" s="81"/>
      <c r="C25" s="6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>
      <c r="A26" s="29" t="s">
        <v>266</v>
      </c>
      <c r="B26" s="28">
        <f>B24</f>
        <v>0.18049999999999999</v>
      </c>
      <c r="C26" s="6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>
      <c r="C27" s="6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>
      <c r="A28" s="29" t="s">
        <v>257</v>
      </c>
      <c r="C28" s="6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>
      <c r="A29" s="76" t="s">
        <v>258</v>
      </c>
      <c r="B29" s="16">
        <v>0.2</v>
      </c>
      <c r="C29" s="6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</row>
    <row r="30" spans="1:18">
      <c r="A30" s="76" t="s">
        <v>259</v>
      </c>
      <c r="B30" s="28">
        <f>100%-B31-B32</f>
        <v>0</v>
      </c>
      <c r="C30" s="6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</row>
    <row r="31" spans="1:18">
      <c r="A31" s="76" t="s">
        <v>260</v>
      </c>
      <c r="B31" s="28">
        <f>'CAPEX | Finance'!B17/SUM('CAPEX | Finance'!$B$15:$B$17)</f>
        <v>0.55555555555555558</v>
      </c>
      <c r="C31" s="6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</row>
    <row r="32" spans="1:18">
      <c r="A32" s="76" t="s">
        <v>261</v>
      </c>
      <c r="B32" s="28">
        <f>'CAPEX | Finance'!B15/SUM('CAPEX | Finance'!$B$15:$B$17)</f>
        <v>0.44444444444444442</v>
      </c>
      <c r="C32" s="6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>
      <c r="A33" s="29" t="s">
        <v>262</v>
      </c>
      <c r="B33" s="28">
        <f>(B19*B32+B24*B31+B24*B30*(1-B29))*'Анализ чувствительности'!$B$4</f>
        <v>0.18774444444444444</v>
      </c>
      <c r="C33" s="6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</row>
    <row r="34" spans="1:18" ht="52">
      <c r="A34" s="78" t="s">
        <v>267</v>
      </c>
      <c r="C34" s="6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</row>
    <row r="35" spans="1:18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</row>
    <row r="36" spans="1:18">
      <c r="A36" s="29" t="s">
        <v>264</v>
      </c>
      <c r="B36" s="28">
        <f>B19</f>
        <v>0.1968</v>
      </c>
      <c r="C36" s="77" t="s">
        <v>265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</row>
    <row r="37" spans="1:18">
      <c r="C37" s="6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</row>
    <row r="38" spans="1:18">
      <c r="A38" s="43" t="s">
        <v>64</v>
      </c>
      <c r="B38" s="47"/>
      <c r="C38" s="47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6"/>
    </row>
    <row r="39" spans="1:18">
      <c r="A39" s="29" t="s">
        <v>66</v>
      </c>
      <c r="B39" s="29"/>
      <c r="C39" s="6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</row>
    <row r="40" spans="1:18">
      <c r="A40" s="75" t="s">
        <v>70</v>
      </c>
      <c r="B40" s="15"/>
      <c r="C40" s="6" t="s">
        <v>7</v>
      </c>
      <c r="D40" s="16">
        <v>0.2</v>
      </c>
      <c r="E40" s="16">
        <v>0.25</v>
      </c>
      <c r="F40" s="28">
        <f>E40</f>
        <v>0.25</v>
      </c>
      <c r="G40" s="28">
        <f t="shared" ref="G40:R40" si="5">F40</f>
        <v>0.25</v>
      </c>
      <c r="H40" s="28">
        <f t="shared" si="5"/>
        <v>0.25</v>
      </c>
      <c r="I40" s="28">
        <f t="shared" si="5"/>
        <v>0.25</v>
      </c>
      <c r="J40" s="28">
        <f t="shared" si="5"/>
        <v>0.25</v>
      </c>
      <c r="K40" s="28">
        <f t="shared" si="5"/>
        <v>0.25</v>
      </c>
      <c r="L40" s="28">
        <f t="shared" si="5"/>
        <v>0.25</v>
      </c>
      <c r="M40" s="28">
        <f t="shared" si="5"/>
        <v>0.25</v>
      </c>
      <c r="N40" s="28">
        <f t="shared" si="5"/>
        <v>0.25</v>
      </c>
      <c r="O40" s="28">
        <f t="shared" si="5"/>
        <v>0.25</v>
      </c>
      <c r="P40" s="28">
        <f t="shared" si="5"/>
        <v>0.25</v>
      </c>
      <c r="Q40" s="28">
        <f t="shared" si="5"/>
        <v>0.25</v>
      </c>
      <c r="R40" s="28">
        <f t="shared" si="5"/>
        <v>0.25</v>
      </c>
    </row>
    <row r="41" spans="1:18">
      <c r="A41" s="15" t="s">
        <v>79</v>
      </c>
      <c r="B41" s="15"/>
      <c r="C41" s="6"/>
      <c r="D41" s="16">
        <v>0.03</v>
      </c>
      <c r="E41" s="16">
        <v>0.08</v>
      </c>
      <c r="F41" s="28">
        <f>E41</f>
        <v>0.08</v>
      </c>
      <c r="G41" s="28">
        <f t="shared" ref="G41:J41" si="6">F41</f>
        <v>0.08</v>
      </c>
      <c r="H41" s="28">
        <f t="shared" si="6"/>
        <v>0.08</v>
      </c>
      <c r="I41" s="28">
        <f t="shared" si="6"/>
        <v>0.08</v>
      </c>
      <c r="J41" s="28">
        <f t="shared" si="6"/>
        <v>0.08</v>
      </c>
      <c r="K41" s="16">
        <v>7.0000000000000007E-2</v>
      </c>
      <c r="L41" s="28">
        <f>K41</f>
        <v>7.0000000000000007E-2</v>
      </c>
      <c r="M41" s="28">
        <f t="shared" ref="M41:R41" si="7">L41</f>
        <v>7.0000000000000007E-2</v>
      </c>
      <c r="N41" s="28">
        <f t="shared" si="7"/>
        <v>7.0000000000000007E-2</v>
      </c>
      <c r="O41" s="28">
        <f t="shared" si="7"/>
        <v>7.0000000000000007E-2</v>
      </c>
      <c r="P41" s="28">
        <f t="shared" si="7"/>
        <v>7.0000000000000007E-2</v>
      </c>
      <c r="Q41" s="28">
        <f t="shared" si="7"/>
        <v>7.0000000000000007E-2</v>
      </c>
      <c r="R41" s="28">
        <f t="shared" si="7"/>
        <v>7.0000000000000007E-2</v>
      </c>
    </row>
    <row r="42" spans="1:18">
      <c r="A42" s="15" t="s">
        <v>80</v>
      </c>
      <c r="B42" s="15"/>
      <c r="C42" s="6"/>
      <c r="D42" s="16">
        <v>0.17</v>
      </c>
      <c r="E42" s="16">
        <v>0.17</v>
      </c>
      <c r="F42" s="28">
        <f>E42</f>
        <v>0.17</v>
      </c>
      <c r="G42" s="28">
        <f t="shared" ref="G42:J42" si="8">F42</f>
        <v>0.17</v>
      </c>
      <c r="H42" s="28">
        <f t="shared" si="8"/>
        <v>0.17</v>
      </c>
      <c r="I42" s="28">
        <f t="shared" si="8"/>
        <v>0.17</v>
      </c>
      <c r="J42" s="28">
        <f t="shared" si="8"/>
        <v>0.17</v>
      </c>
      <c r="K42" s="16">
        <v>0.18</v>
      </c>
      <c r="L42" s="28">
        <f>K42</f>
        <v>0.18</v>
      </c>
      <c r="M42" s="28">
        <f t="shared" ref="M42:R42" si="9">L42</f>
        <v>0.18</v>
      </c>
      <c r="N42" s="28">
        <f t="shared" si="9"/>
        <v>0.18</v>
      </c>
      <c r="O42" s="28">
        <f t="shared" si="9"/>
        <v>0.18</v>
      </c>
      <c r="P42" s="28">
        <f t="shared" si="9"/>
        <v>0.18</v>
      </c>
      <c r="Q42" s="28">
        <f t="shared" si="9"/>
        <v>0.18</v>
      </c>
      <c r="R42" s="28">
        <f t="shared" si="9"/>
        <v>0.18</v>
      </c>
    </row>
    <row r="43" spans="1:18">
      <c r="A43" s="75" t="s">
        <v>283</v>
      </c>
      <c r="B43" s="15"/>
      <c r="C43" s="6"/>
      <c r="D43" s="28">
        <f>Налоги!D36</f>
        <v>0.05</v>
      </c>
      <c r="E43" s="28">
        <f>Налоги!E36</f>
        <v>0.05</v>
      </c>
      <c r="F43" s="28">
        <f>Налоги!F36</f>
        <v>0.05</v>
      </c>
      <c r="G43" s="28">
        <f>Налоги!G36</f>
        <v>0.05</v>
      </c>
      <c r="H43" s="28">
        <f>Налоги!H36</f>
        <v>0.05</v>
      </c>
      <c r="I43" s="28">
        <f>Налоги!I36</f>
        <v>0.05</v>
      </c>
      <c r="J43" s="28">
        <f>Налоги!J36</f>
        <v>0.05</v>
      </c>
      <c r="K43" s="28">
        <f>Налоги!K36</f>
        <v>0.17</v>
      </c>
      <c r="L43" s="28">
        <f>Налоги!L36</f>
        <v>0.17</v>
      </c>
      <c r="M43" s="28">
        <f>Налоги!M36</f>
        <v>0.17</v>
      </c>
      <c r="N43" s="28">
        <f>Налоги!N36</f>
        <v>0.17</v>
      </c>
      <c r="O43" s="28">
        <f>Налоги!O36</f>
        <v>0.17</v>
      </c>
      <c r="P43" s="28">
        <f>Налоги!P36</f>
        <v>0.17</v>
      </c>
      <c r="Q43" s="28">
        <f>Налоги!Q36</f>
        <v>0.17</v>
      </c>
      <c r="R43" s="28">
        <f>Налоги!R36</f>
        <v>0.17</v>
      </c>
    </row>
    <row r="44" spans="1:18">
      <c r="A44" s="15" t="s">
        <v>284</v>
      </c>
      <c r="B44" s="15"/>
      <c r="C44" s="6"/>
      <c r="D44" s="28">
        <f>Налоги!D37</f>
        <v>0</v>
      </c>
      <c r="E44" s="28">
        <f>Налоги!E37</f>
        <v>0</v>
      </c>
      <c r="F44" s="28">
        <f>Налоги!F37</f>
        <v>0</v>
      </c>
      <c r="G44" s="28">
        <f>Налоги!G37</f>
        <v>0</v>
      </c>
      <c r="H44" s="28">
        <f>Налоги!H37</f>
        <v>0</v>
      </c>
      <c r="I44" s="28">
        <f>Налоги!I37</f>
        <v>0</v>
      </c>
      <c r="J44" s="28">
        <f>Налоги!J37</f>
        <v>0</v>
      </c>
      <c r="K44" s="28">
        <f>Налоги!K37</f>
        <v>7.0000000000000007E-2</v>
      </c>
      <c r="L44" s="28">
        <f>Налоги!L37</f>
        <v>7.0000000000000007E-2</v>
      </c>
      <c r="M44" s="28">
        <f>Налоги!M37</f>
        <v>7.0000000000000007E-2</v>
      </c>
      <c r="N44" s="28">
        <f>Налоги!N37</f>
        <v>7.0000000000000007E-2</v>
      </c>
      <c r="O44" s="28">
        <f>Налоги!O37</f>
        <v>7.0000000000000007E-2</v>
      </c>
      <c r="P44" s="28">
        <f>Налоги!P37</f>
        <v>7.0000000000000007E-2</v>
      </c>
      <c r="Q44" s="28">
        <f>Налоги!Q37</f>
        <v>7.0000000000000007E-2</v>
      </c>
      <c r="R44" s="28">
        <f>Налоги!R37</f>
        <v>7.0000000000000007E-2</v>
      </c>
    </row>
    <row r="45" spans="1:18">
      <c r="A45" s="15" t="s">
        <v>285</v>
      </c>
      <c r="B45" s="15"/>
      <c r="C45" s="6"/>
      <c r="D45" s="28">
        <f>Налоги!D38</f>
        <v>0.05</v>
      </c>
      <c r="E45" s="28">
        <f>Налоги!E38</f>
        <v>0.05</v>
      </c>
      <c r="F45" s="28">
        <f>Налоги!F38</f>
        <v>0.05</v>
      </c>
      <c r="G45" s="28">
        <f>Налоги!G38</f>
        <v>0.05</v>
      </c>
      <c r="H45" s="28">
        <f>Налоги!H38</f>
        <v>0.05</v>
      </c>
      <c r="I45" s="28">
        <f>Налоги!I38</f>
        <v>0.05</v>
      </c>
      <c r="J45" s="28">
        <f>Налоги!J38</f>
        <v>0.05</v>
      </c>
      <c r="K45" s="28">
        <f>Налоги!K38</f>
        <v>0.1</v>
      </c>
      <c r="L45" s="28">
        <f>Налоги!L38</f>
        <v>0.1</v>
      </c>
      <c r="M45" s="28">
        <f>Налоги!M38</f>
        <v>0.1</v>
      </c>
      <c r="N45" s="28">
        <f>Налоги!N38</f>
        <v>0.1</v>
      </c>
      <c r="O45" s="28">
        <f>Налоги!O38</f>
        <v>0.1</v>
      </c>
      <c r="P45" s="28">
        <f>Налоги!P38</f>
        <v>0.1</v>
      </c>
      <c r="Q45" s="28">
        <f>Налоги!Q38</f>
        <v>0.1</v>
      </c>
      <c r="R45" s="28">
        <f>Налоги!R38</f>
        <v>0.1</v>
      </c>
    </row>
    <row r="46" spans="1:18">
      <c r="A46" s="29" t="s">
        <v>67</v>
      </c>
      <c r="B46" s="29"/>
      <c r="C46" s="6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pans="1:18">
      <c r="A47" s="15" t="s">
        <v>68</v>
      </c>
      <c r="B47" s="15"/>
      <c r="C47" s="6" t="s">
        <v>7</v>
      </c>
      <c r="D47" s="16">
        <v>0.30200000000000005</v>
      </c>
      <c r="E47" s="28">
        <v>0.30200000000000005</v>
      </c>
      <c r="F47" s="28">
        <v>0.30200000000000005</v>
      </c>
      <c r="G47" s="28">
        <v>0.30200000000000005</v>
      </c>
      <c r="H47" s="28">
        <v>0.30200000000000005</v>
      </c>
      <c r="I47" s="28">
        <v>0.30200000000000005</v>
      </c>
      <c r="J47" s="28">
        <v>0.30200000000000005</v>
      </c>
      <c r="K47" s="28">
        <v>0.30200000000000005</v>
      </c>
      <c r="L47" s="28">
        <v>0.30200000000000005</v>
      </c>
      <c r="M47" s="28">
        <v>0.30200000000000005</v>
      </c>
      <c r="N47" s="28">
        <v>0.30200000000000005</v>
      </c>
      <c r="O47" s="28">
        <v>0.30200000000000005</v>
      </c>
      <c r="P47" s="28">
        <v>0.30200000000000005</v>
      </c>
      <c r="Q47" s="28">
        <v>0.30200000000000005</v>
      </c>
      <c r="R47" s="28">
        <v>0.30200000000000005</v>
      </c>
    </row>
    <row r="48" spans="1:18">
      <c r="A48" s="15" t="s">
        <v>282</v>
      </c>
      <c r="B48" s="15"/>
      <c r="C48" s="6"/>
      <c r="D48" s="16">
        <v>7.5999999999999998E-2</v>
      </c>
      <c r="E48" s="28">
        <f>D48</f>
        <v>7.5999999999999998E-2</v>
      </c>
      <c r="F48" s="28">
        <f t="shared" ref="F48:R48" si="10">E48</f>
        <v>7.5999999999999998E-2</v>
      </c>
      <c r="G48" s="28">
        <f t="shared" si="10"/>
        <v>7.5999999999999998E-2</v>
      </c>
      <c r="H48" s="28">
        <f t="shared" si="10"/>
        <v>7.5999999999999998E-2</v>
      </c>
      <c r="I48" s="28">
        <f t="shared" si="10"/>
        <v>7.5999999999999998E-2</v>
      </c>
      <c r="J48" s="28">
        <f t="shared" si="10"/>
        <v>7.5999999999999998E-2</v>
      </c>
      <c r="K48" s="28">
        <f t="shared" si="10"/>
        <v>7.5999999999999998E-2</v>
      </c>
      <c r="L48" s="28">
        <f t="shared" si="10"/>
        <v>7.5999999999999998E-2</v>
      </c>
      <c r="M48" s="28">
        <f t="shared" si="10"/>
        <v>7.5999999999999998E-2</v>
      </c>
      <c r="N48" s="28">
        <f t="shared" si="10"/>
        <v>7.5999999999999998E-2</v>
      </c>
      <c r="O48" s="28">
        <f t="shared" si="10"/>
        <v>7.5999999999999998E-2</v>
      </c>
      <c r="P48" s="28">
        <f t="shared" si="10"/>
        <v>7.5999999999999998E-2</v>
      </c>
      <c r="Q48" s="28">
        <f t="shared" si="10"/>
        <v>7.5999999999999998E-2</v>
      </c>
      <c r="R48" s="28">
        <f t="shared" si="10"/>
        <v>7.5999999999999998E-2</v>
      </c>
    </row>
    <row r="49" spans="1:18">
      <c r="A49" s="29" t="s">
        <v>69</v>
      </c>
      <c r="B49" s="29"/>
      <c r="C49" s="6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>
      <c r="A50" s="15" t="s">
        <v>71</v>
      </c>
      <c r="B50" s="15"/>
      <c r="C50" s="6" t="s">
        <v>7</v>
      </c>
      <c r="D50" s="16">
        <v>2.1999999999999999E-2</v>
      </c>
      <c r="E50" s="28">
        <f>D50</f>
        <v>2.1999999999999999E-2</v>
      </c>
      <c r="F50" s="28">
        <f t="shared" ref="F50:R51" si="11">E50</f>
        <v>2.1999999999999999E-2</v>
      </c>
      <c r="G50" s="28">
        <f t="shared" si="11"/>
        <v>2.1999999999999999E-2</v>
      </c>
      <c r="H50" s="28">
        <f t="shared" si="11"/>
        <v>2.1999999999999999E-2</v>
      </c>
      <c r="I50" s="28">
        <f t="shared" si="11"/>
        <v>2.1999999999999999E-2</v>
      </c>
      <c r="J50" s="28">
        <f t="shared" si="11"/>
        <v>2.1999999999999999E-2</v>
      </c>
      <c r="K50" s="28">
        <f t="shared" si="11"/>
        <v>2.1999999999999999E-2</v>
      </c>
      <c r="L50" s="28">
        <f t="shared" si="11"/>
        <v>2.1999999999999999E-2</v>
      </c>
      <c r="M50" s="28">
        <f t="shared" si="11"/>
        <v>2.1999999999999999E-2</v>
      </c>
      <c r="N50" s="28">
        <f t="shared" si="11"/>
        <v>2.1999999999999999E-2</v>
      </c>
      <c r="O50" s="28">
        <f t="shared" si="11"/>
        <v>2.1999999999999999E-2</v>
      </c>
      <c r="P50" s="28">
        <f t="shared" si="11"/>
        <v>2.1999999999999999E-2</v>
      </c>
      <c r="Q50" s="28">
        <f t="shared" si="11"/>
        <v>2.1999999999999999E-2</v>
      </c>
      <c r="R50" s="28">
        <f t="shared" si="11"/>
        <v>2.1999999999999999E-2</v>
      </c>
    </row>
    <row r="51" spans="1:18">
      <c r="A51" s="15" t="s">
        <v>196</v>
      </c>
      <c r="B51" s="15"/>
      <c r="C51" s="6" t="s">
        <v>7</v>
      </c>
      <c r="D51" s="16">
        <v>0</v>
      </c>
      <c r="E51" s="28">
        <f>D51</f>
        <v>0</v>
      </c>
      <c r="F51" s="28">
        <f t="shared" si="11"/>
        <v>0</v>
      </c>
      <c r="G51" s="28">
        <f t="shared" si="11"/>
        <v>0</v>
      </c>
      <c r="H51" s="28">
        <f t="shared" si="11"/>
        <v>0</v>
      </c>
      <c r="I51" s="28">
        <f t="shared" si="11"/>
        <v>0</v>
      </c>
      <c r="J51" s="28">
        <f t="shared" si="11"/>
        <v>0</v>
      </c>
      <c r="K51" s="28">
        <f t="shared" si="11"/>
        <v>0</v>
      </c>
      <c r="L51" s="28">
        <f t="shared" si="11"/>
        <v>0</v>
      </c>
      <c r="M51" s="28">
        <f t="shared" si="11"/>
        <v>0</v>
      </c>
      <c r="N51" s="28">
        <f t="shared" si="11"/>
        <v>0</v>
      </c>
      <c r="O51" s="28">
        <f t="shared" si="11"/>
        <v>0</v>
      </c>
      <c r="P51" s="28">
        <f t="shared" si="11"/>
        <v>0</v>
      </c>
      <c r="Q51" s="28">
        <f t="shared" si="11"/>
        <v>0</v>
      </c>
      <c r="R51" s="28">
        <f t="shared" si="11"/>
        <v>0</v>
      </c>
    </row>
    <row r="52" spans="1:18">
      <c r="A52" s="29" t="s">
        <v>73</v>
      </c>
      <c r="B52" s="29"/>
      <c r="C52" s="6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</row>
    <row r="53" spans="1:18">
      <c r="A53" s="15" t="s">
        <v>74</v>
      </c>
      <c r="B53" s="15"/>
      <c r="C53" s="6" t="s">
        <v>7</v>
      </c>
      <c r="D53" s="16">
        <v>1.4999999999999999E-2</v>
      </c>
      <c r="E53" s="28">
        <f>D53</f>
        <v>1.4999999999999999E-2</v>
      </c>
      <c r="F53" s="28">
        <f t="shared" ref="F53:R53" si="12">E53</f>
        <v>1.4999999999999999E-2</v>
      </c>
      <c r="G53" s="28">
        <f t="shared" si="12"/>
        <v>1.4999999999999999E-2</v>
      </c>
      <c r="H53" s="28">
        <f t="shared" si="12"/>
        <v>1.4999999999999999E-2</v>
      </c>
      <c r="I53" s="28">
        <f t="shared" si="12"/>
        <v>1.4999999999999999E-2</v>
      </c>
      <c r="J53" s="28">
        <f t="shared" si="12"/>
        <v>1.4999999999999999E-2</v>
      </c>
      <c r="K53" s="28">
        <f t="shared" si="12"/>
        <v>1.4999999999999999E-2</v>
      </c>
      <c r="L53" s="28">
        <f t="shared" si="12"/>
        <v>1.4999999999999999E-2</v>
      </c>
      <c r="M53" s="28">
        <f t="shared" si="12"/>
        <v>1.4999999999999999E-2</v>
      </c>
      <c r="N53" s="28">
        <f t="shared" si="12"/>
        <v>1.4999999999999999E-2</v>
      </c>
      <c r="O53" s="28">
        <f t="shared" si="12"/>
        <v>1.4999999999999999E-2</v>
      </c>
      <c r="P53" s="28">
        <f t="shared" si="12"/>
        <v>1.4999999999999999E-2</v>
      </c>
      <c r="Q53" s="28">
        <f t="shared" si="12"/>
        <v>1.4999999999999999E-2</v>
      </c>
      <c r="R53" s="28">
        <f t="shared" si="12"/>
        <v>1.4999999999999999E-2</v>
      </c>
    </row>
    <row r="54" spans="1:18">
      <c r="A54" s="29" t="s">
        <v>75</v>
      </c>
      <c r="B54" s="29"/>
      <c r="C54" s="6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</row>
    <row r="55" spans="1:18">
      <c r="A55" s="15" t="s">
        <v>76</v>
      </c>
      <c r="B55" s="15"/>
      <c r="C55" s="6"/>
      <c r="D55" s="16">
        <v>0.13</v>
      </c>
      <c r="E55" s="28">
        <f>D55</f>
        <v>0.13</v>
      </c>
      <c r="F55" s="28">
        <f t="shared" ref="F55:R55" si="13">E55</f>
        <v>0.13</v>
      </c>
      <c r="G55" s="28">
        <f t="shared" si="13"/>
        <v>0.13</v>
      </c>
      <c r="H55" s="28">
        <f t="shared" si="13"/>
        <v>0.13</v>
      </c>
      <c r="I55" s="28">
        <f t="shared" si="13"/>
        <v>0.13</v>
      </c>
      <c r="J55" s="28">
        <f t="shared" si="13"/>
        <v>0.13</v>
      </c>
      <c r="K55" s="28">
        <f t="shared" si="13"/>
        <v>0.13</v>
      </c>
      <c r="L55" s="28">
        <f t="shared" si="13"/>
        <v>0.13</v>
      </c>
      <c r="M55" s="28">
        <f t="shared" si="13"/>
        <v>0.13</v>
      </c>
      <c r="N55" s="28">
        <f t="shared" si="13"/>
        <v>0.13</v>
      </c>
      <c r="O55" s="28">
        <f t="shared" si="13"/>
        <v>0.13</v>
      </c>
      <c r="P55" s="28">
        <f t="shared" si="13"/>
        <v>0.13</v>
      </c>
      <c r="Q55" s="28">
        <f t="shared" si="13"/>
        <v>0.13</v>
      </c>
      <c r="R55" s="28">
        <f t="shared" si="13"/>
        <v>0.13</v>
      </c>
    </row>
    <row r="56" spans="1:18">
      <c r="A56" s="15" t="s">
        <v>77</v>
      </c>
      <c r="B56" s="15"/>
      <c r="C56" s="6"/>
      <c r="D56" s="16">
        <v>0.55000000000000004</v>
      </c>
      <c r="E56" s="28">
        <f>D56</f>
        <v>0.55000000000000004</v>
      </c>
      <c r="F56" s="28">
        <f t="shared" ref="F56:R56" si="14">E56</f>
        <v>0.55000000000000004</v>
      </c>
      <c r="G56" s="28">
        <f t="shared" si="14"/>
        <v>0.55000000000000004</v>
      </c>
      <c r="H56" s="28">
        <f t="shared" si="14"/>
        <v>0.55000000000000004</v>
      </c>
      <c r="I56" s="28">
        <f t="shared" si="14"/>
        <v>0.55000000000000004</v>
      </c>
      <c r="J56" s="28">
        <f t="shared" si="14"/>
        <v>0.55000000000000004</v>
      </c>
      <c r="K56" s="28">
        <f t="shared" si="14"/>
        <v>0.55000000000000004</v>
      </c>
      <c r="L56" s="28">
        <f t="shared" si="14"/>
        <v>0.55000000000000004</v>
      </c>
      <c r="M56" s="28">
        <f t="shared" si="14"/>
        <v>0.55000000000000004</v>
      </c>
      <c r="N56" s="28">
        <f t="shared" si="14"/>
        <v>0.55000000000000004</v>
      </c>
      <c r="O56" s="28">
        <f t="shared" si="14"/>
        <v>0.55000000000000004</v>
      </c>
      <c r="P56" s="28">
        <f t="shared" si="14"/>
        <v>0.55000000000000004</v>
      </c>
      <c r="Q56" s="28">
        <f t="shared" si="14"/>
        <v>0.55000000000000004</v>
      </c>
      <c r="R56" s="28">
        <f t="shared" si="14"/>
        <v>0.55000000000000004</v>
      </c>
    </row>
    <row r="57" spans="1:18">
      <c r="A57" s="15" t="s">
        <v>78</v>
      </c>
      <c r="B57" s="15"/>
      <c r="C57" s="6"/>
      <c r="D57" s="16">
        <v>0.45</v>
      </c>
      <c r="E57" s="28">
        <f>D57</f>
        <v>0.45</v>
      </c>
      <c r="F57" s="28">
        <f t="shared" ref="F57:R57" si="15">E57</f>
        <v>0.45</v>
      </c>
      <c r="G57" s="28">
        <f t="shared" si="15"/>
        <v>0.45</v>
      </c>
      <c r="H57" s="28">
        <f t="shared" si="15"/>
        <v>0.45</v>
      </c>
      <c r="I57" s="28">
        <f t="shared" si="15"/>
        <v>0.45</v>
      </c>
      <c r="J57" s="28">
        <f t="shared" si="15"/>
        <v>0.45</v>
      </c>
      <c r="K57" s="28">
        <f t="shared" si="15"/>
        <v>0.45</v>
      </c>
      <c r="L57" s="28">
        <f t="shared" si="15"/>
        <v>0.45</v>
      </c>
      <c r="M57" s="28">
        <f t="shared" si="15"/>
        <v>0.45</v>
      </c>
      <c r="N57" s="28">
        <f t="shared" si="15"/>
        <v>0.45</v>
      </c>
      <c r="O57" s="28">
        <f t="shared" si="15"/>
        <v>0.45</v>
      </c>
      <c r="P57" s="28">
        <f t="shared" si="15"/>
        <v>0.45</v>
      </c>
      <c r="Q57" s="28">
        <f t="shared" si="15"/>
        <v>0.45</v>
      </c>
      <c r="R57" s="28">
        <f t="shared" si="15"/>
        <v>0.45</v>
      </c>
    </row>
    <row r="58" spans="1:18">
      <c r="C58" s="6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</row>
    <row r="59" spans="1:18">
      <c r="A59" s="43" t="s">
        <v>72</v>
      </c>
      <c r="B59" s="47"/>
      <c r="C59" s="47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6"/>
    </row>
    <row r="60" spans="1:18">
      <c r="A60" s="29" t="s">
        <v>34</v>
      </c>
      <c r="B60" s="29"/>
      <c r="C60" s="6"/>
      <c r="D60" s="95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</row>
    <row r="61" spans="1:18">
      <c r="A61" s="15" t="s">
        <v>35</v>
      </c>
      <c r="B61" s="15"/>
      <c r="C61" s="6" t="s">
        <v>38</v>
      </c>
      <c r="D61" s="27">
        <f>5000*'Анализ чувствительности'!$B$3</f>
        <v>5000</v>
      </c>
      <c r="E61" s="22">
        <f>D61*(1+Предпоссылки!E$9)</f>
        <v>5232.835</v>
      </c>
      <c r="F61" s="22">
        <f>E61*(1+Предпоссылки!F$9)</f>
        <v>5444.0426862699996</v>
      </c>
      <c r="G61" s="22">
        <f>F61*(1+Предпоссылки!G$9)</f>
        <v>5661.8043937207995</v>
      </c>
      <c r="H61" s="22">
        <f>G61*(1+Предпоссылки!H$9)</f>
        <v>5888.2765694696318</v>
      </c>
      <c r="I61" s="22">
        <f>H61*(1+Предпоссылки!I$9)</f>
        <v>6123.8076322484176</v>
      </c>
      <c r="J61" s="22">
        <f>I61*(1+Предпоссылки!J$9)</f>
        <v>6368.7599375383543</v>
      </c>
      <c r="K61" s="22">
        <f>J61*(1+Предпоссылки!K$9)</f>
        <v>6623.5103350398886</v>
      </c>
      <c r="L61" s="22">
        <f>K61*(1+Предпоссылки!L$9)</f>
        <v>6888.4507484414844</v>
      </c>
      <c r="M61" s="22">
        <f>L61*(1+Предпоссылки!M$9)</f>
        <v>7163.9887783791437</v>
      </c>
      <c r="N61" s="22">
        <f>M61*(1+Предпоссылки!N$9)</f>
        <v>7450.5483295143094</v>
      </c>
      <c r="O61" s="22">
        <f>N61*(1+Предпоссылки!O$9)</f>
        <v>7748.5702626948823</v>
      </c>
      <c r="P61" s="22">
        <f>O61*(1+Предпоссылки!P$9)</f>
        <v>8058.5130732026782</v>
      </c>
      <c r="Q61" s="22">
        <f>P61*(1+Предпоссылки!Q$9)</f>
        <v>8380.8535961307862</v>
      </c>
      <c r="R61" s="22">
        <f>Q61*(1+Предпоссылки!R$9)</f>
        <v>8716.0877399760175</v>
      </c>
    </row>
    <row r="62" spans="1:18">
      <c r="A62" s="15" t="s">
        <v>37</v>
      </c>
      <c r="B62" s="15"/>
      <c r="C62" s="6" t="s">
        <v>38</v>
      </c>
      <c r="D62" s="27">
        <f>7500*'Анализ чувствительности'!$B$3</f>
        <v>7500</v>
      </c>
      <c r="E62" s="22">
        <f>D62*(1+Предпоссылки!E$9)</f>
        <v>7849.2525000000005</v>
      </c>
      <c r="F62" s="22">
        <f>E62*(1+Предпоссылки!F$9)</f>
        <v>8166.0640294050008</v>
      </c>
      <c r="G62" s="22">
        <f>F62*(1+Предпоссылки!G$9)</f>
        <v>8492.7065905812015</v>
      </c>
      <c r="H62" s="22">
        <f>G62*(1+Предпоссылки!H$9)</f>
        <v>8832.4148542044495</v>
      </c>
      <c r="I62" s="22">
        <f>H62*(1+Предпоссылки!I$9)</f>
        <v>9185.7114483726273</v>
      </c>
      <c r="J62" s="22">
        <f>I62*(1+Предпоссылки!J$9)</f>
        <v>9553.1399063075332</v>
      </c>
      <c r="K62" s="22">
        <f>J62*(1+Предпоссылки!K$9)</f>
        <v>9935.2655025598342</v>
      </c>
      <c r="L62" s="22">
        <f>K62*(1+Предпоссылки!L$9)</f>
        <v>10332.676122662227</v>
      </c>
      <c r="M62" s="22">
        <f>L62*(1+Предпоссылки!M$9)</f>
        <v>10745.983167568716</v>
      </c>
      <c r="N62" s="22">
        <f>M62*(1+Предпоссылки!N$9)</f>
        <v>11175.822494271466</v>
      </c>
      <c r="O62" s="22">
        <f>N62*(1+Предпоссылки!O$9)</f>
        <v>11622.855394042324</v>
      </c>
      <c r="P62" s="22">
        <f>O62*(1+Предпоссылки!P$9)</f>
        <v>12087.769609804018</v>
      </c>
      <c r="Q62" s="22">
        <f>P62*(1+Предпоссылки!Q$9)</f>
        <v>12571.280394196179</v>
      </c>
      <c r="R62" s="22">
        <f>Q62*(1+Предпоссылки!R$9)</f>
        <v>13074.131609964026</v>
      </c>
    </row>
    <row r="63" spans="1:18">
      <c r="A63" s="15" t="s">
        <v>20</v>
      </c>
      <c r="B63" s="15"/>
      <c r="C63" s="6" t="s">
        <v>38</v>
      </c>
      <c r="D63" s="27">
        <f>10000*'Анализ чувствительности'!$B$3</f>
        <v>10000</v>
      </c>
      <c r="E63" s="22">
        <f>D63*(1+Предпоссылки!E$9)</f>
        <v>10465.67</v>
      </c>
      <c r="F63" s="22">
        <f>E63*(1+Предпоссылки!F$9)</f>
        <v>10888.085372539999</v>
      </c>
      <c r="G63" s="22">
        <f>F63*(1+Предпоссылки!G$9)</f>
        <v>11323.608787441599</v>
      </c>
      <c r="H63" s="22">
        <f>G63*(1+Предпоссылки!H$9)</f>
        <v>11776.553138939264</v>
      </c>
      <c r="I63" s="22">
        <f>H63*(1+Предпоссылки!I$9)</f>
        <v>12247.615264496835</v>
      </c>
      <c r="J63" s="22">
        <f>I63*(1+Предпоссылки!J$9)</f>
        <v>12737.519875076709</v>
      </c>
      <c r="K63" s="22">
        <f>J63*(1+Предпоссылки!K$9)</f>
        <v>13247.020670079777</v>
      </c>
      <c r="L63" s="22">
        <f>K63*(1+Предпоссылки!L$9)</f>
        <v>13776.901496882969</v>
      </c>
      <c r="M63" s="22">
        <f>L63*(1+Предпоссылки!M$9)</f>
        <v>14327.977556758287</v>
      </c>
      <c r="N63" s="22">
        <f>M63*(1+Предпоссылки!N$9)</f>
        <v>14901.096659028619</v>
      </c>
      <c r="O63" s="22">
        <f>N63*(1+Предпоссылки!O$9)</f>
        <v>15497.140525389765</v>
      </c>
      <c r="P63" s="22">
        <f>O63*(1+Предпоссылки!P$9)</f>
        <v>16117.026146405356</v>
      </c>
      <c r="Q63" s="22">
        <f>P63*(1+Предпоссылки!Q$9)</f>
        <v>16761.707192261572</v>
      </c>
      <c r="R63" s="22">
        <f>Q63*(1+Предпоссылки!R$9)</f>
        <v>17432.175479952035</v>
      </c>
    </row>
    <row r="64" spans="1:18">
      <c r="A64" s="29" t="s">
        <v>17</v>
      </c>
      <c r="B64" s="29"/>
      <c r="C64" s="6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 spans="1:18">
      <c r="A65" s="15" t="s">
        <v>10</v>
      </c>
      <c r="B65" s="15"/>
      <c r="C65" s="6" t="s">
        <v>18</v>
      </c>
      <c r="D65" s="27">
        <v>6.6000000000000003E-2</v>
      </c>
      <c r="E65" s="21">
        <f>D65*(1+Предпоссылки!E$9)</f>
        <v>6.9073422000000009E-2</v>
      </c>
      <c r="F65" s="21">
        <f>E65*(1+Предпоссылки!F$9)</f>
        <v>7.186136345876401E-2</v>
      </c>
      <c r="G65" s="21">
        <f>F65*(1+Предпоссылки!G$9)</f>
        <v>7.4735817997114568E-2</v>
      </c>
      <c r="H65" s="21">
        <f>G65*(1+Предпоссылки!H$9)</f>
        <v>7.772525071699915E-2</v>
      </c>
      <c r="I65" s="21">
        <f>H65*(1+Предпоссылки!I$9)</f>
        <v>8.0834260745679121E-2</v>
      </c>
      <c r="J65" s="21">
        <f>I65*(1+Предпоссылки!J$9)</f>
        <v>8.4067631175506294E-2</v>
      </c>
      <c r="K65" s="21">
        <f>J65*(1+Предпоссылки!K$9)</f>
        <v>8.7430336422526553E-2</v>
      </c>
      <c r="L65" s="21">
        <f>K65*(1+Предпоссылки!L$9)</f>
        <v>9.0927549879427624E-2</v>
      </c>
      <c r="M65" s="21">
        <f>L65*(1+Предпоссылки!M$9)</f>
        <v>9.4564651874604735E-2</v>
      </c>
      <c r="N65" s="21">
        <f>M65*(1+Предпоссылки!N$9)</f>
        <v>9.8347237949588925E-2</v>
      </c>
      <c r="O65" s="21">
        <f>N65*(1+Предпоссылки!O$9)</f>
        <v>0.10228112746757248</v>
      </c>
      <c r="P65" s="21">
        <f>O65*(1+Предпоссылки!P$9)</f>
        <v>0.10637237256627538</v>
      </c>
      <c r="Q65" s="21">
        <f>P65*(1+Предпоссылки!Q$9)</f>
        <v>0.1106272674689264</v>
      </c>
      <c r="R65" s="21">
        <f>Q65*(1+Предпоссылки!R$9)</f>
        <v>0.11505235816768346</v>
      </c>
    </row>
    <row r="66" spans="1:18">
      <c r="A66" s="15" t="s">
        <v>11</v>
      </c>
      <c r="B66" s="15"/>
      <c r="C66" s="6" t="s">
        <v>18</v>
      </c>
      <c r="D66" s="27">
        <v>10</v>
      </c>
      <c r="E66" s="21">
        <f>D66*(1+Предпоссылки!E$9)</f>
        <v>10.465669999999999</v>
      </c>
      <c r="F66" s="21">
        <f>E66*(1+Предпоссылки!F$9)</f>
        <v>10.888085372539999</v>
      </c>
      <c r="G66" s="21">
        <f>F66*(1+Предпоссылки!G$9)</f>
        <v>11.3236087874416</v>
      </c>
      <c r="H66" s="21">
        <f>G66*(1+Предпоссылки!H$9)</f>
        <v>11.776553138939265</v>
      </c>
      <c r="I66" s="21">
        <f>H66*(1+Предпоссылки!I$9)</f>
        <v>12.247615264496837</v>
      </c>
      <c r="J66" s="21">
        <f>I66*(1+Предпоссылки!J$9)</f>
        <v>12.73751987507671</v>
      </c>
      <c r="K66" s="21">
        <f>J66*(1+Предпоссылки!K$9)</f>
        <v>13.247020670079779</v>
      </c>
      <c r="L66" s="21">
        <f>K66*(1+Предпоссылки!L$9)</f>
        <v>13.776901496882971</v>
      </c>
      <c r="M66" s="21">
        <f>L66*(1+Предпоссылки!M$9)</f>
        <v>14.32797755675829</v>
      </c>
      <c r="N66" s="21">
        <f>M66*(1+Предпоссылки!N$9)</f>
        <v>14.901096659028623</v>
      </c>
      <c r="O66" s="21">
        <f>N66*(1+Предпоссылки!O$9)</f>
        <v>15.497140525389769</v>
      </c>
      <c r="P66" s="21">
        <f>O66*(1+Предпоссылки!P$9)</f>
        <v>16.117026146405362</v>
      </c>
      <c r="Q66" s="21">
        <f>P66*(1+Предпоссылки!Q$9)</f>
        <v>16.761707192261575</v>
      </c>
      <c r="R66" s="21">
        <f>Q66*(1+Предпоссылки!R$9)</f>
        <v>17.43217547995204</v>
      </c>
    </row>
    <row r="67" spans="1:18">
      <c r="A67" s="15" t="s">
        <v>12</v>
      </c>
      <c r="B67" s="15"/>
      <c r="C67" s="6" t="s">
        <v>18</v>
      </c>
      <c r="D67" s="27">
        <v>10</v>
      </c>
      <c r="E67" s="21">
        <f>D67*(1+Предпоссылки!E$9)</f>
        <v>10.465669999999999</v>
      </c>
      <c r="F67" s="21">
        <f>E67*(1+Предпоссылки!F$9)</f>
        <v>10.888085372539999</v>
      </c>
      <c r="G67" s="21">
        <f>F67*(1+Предпоссылки!G$9)</f>
        <v>11.3236087874416</v>
      </c>
      <c r="H67" s="21">
        <f>G67*(1+Предпоссылки!H$9)</f>
        <v>11.776553138939265</v>
      </c>
      <c r="I67" s="21">
        <f>H67*(1+Предпоссылки!I$9)</f>
        <v>12.247615264496837</v>
      </c>
      <c r="J67" s="21">
        <f>I67*(1+Предпоссылки!J$9)</f>
        <v>12.73751987507671</v>
      </c>
      <c r="K67" s="21">
        <f>J67*(1+Предпоссылки!K$9)</f>
        <v>13.247020670079779</v>
      </c>
      <c r="L67" s="21">
        <f>K67*(1+Предпоссылки!L$9)</f>
        <v>13.776901496882971</v>
      </c>
      <c r="M67" s="21">
        <f>L67*(1+Предпоссылки!M$9)</f>
        <v>14.32797755675829</v>
      </c>
      <c r="N67" s="21">
        <f>M67*(1+Предпоссылки!N$9)</f>
        <v>14.901096659028623</v>
      </c>
      <c r="O67" s="21">
        <f>N67*(1+Предпоссылки!O$9)</f>
        <v>15.497140525389769</v>
      </c>
      <c r="P67" s="21">
        <f>O67*(1+Предпоссылки!P$9)</f>
        <v>16.117026146405362</v>
      </c>
      <c r="Q67" s="21">
        <f>P67*(1+Предпоссылки!Q$9)</f>
        <v>16.761707192261575</v>
      </c>
      <c r="R67" s="21">
        <f>Q67*(1+Предпоссылки!R$9)</f>
        <v>17.43217547995204</v>
      </c>
    </row>
    <row r="68" spans="1:18">
      <c r="A68" s="15" t="s">
        <v>13</v>
      </c>
      <c r="B68" s="15"/>
      <c r="C68" s="6" t="s">
        <v>18</v>
      </c>
      <c r="D68" s="27">
        <v>7</v>
      </c>
      <c r="E68" s="21">
        <f>D68*(1+Предпоссылки!E$9)</f>
        <v>7.3259690000000006</v>
      </c>
      <c r="F68" s="21">
        <f>E68*(1+Предпоссылки!F$9)</f>
        <v>7.6216597607780008</v>
      </c>
      <c r="G68" s="21">
        <f>F68*(1+Предпоссылки!G$9)</f>
        <v>7.9265261512091207</v>
      </c>
      <c r="H68" s="21">
        <f>G68*(1+Предпоссылки!H$9)</f>
        <v>8.2435871972574866</v>
      </c>
      <c r="I68" s="21">
        <f>H68*(1+Предпоссылки!I$9)</f>
        <v>8.573330685147786</v>
      </c>
      <c r="J68" s="21">
        <f>I68*(1+Предпоссылки!J$9)</f>
        <v>8.9162639125536973</v>
      </c>
      <c r="K68" s="21">
        <f>J68*(1+Предпоссылки!K$9)</f>
        <v>9.2729144690558449</v>
      </c>
      <c r="L68" s="21">
        <f>K68*(1+Предпоссылки!L$9)</f>
        <v>9.6438310478180789</v>
      </c>
      <c r="M68" s="21">
        <f>L68*(1+Предпоссылки!M$9)</f>
        <v>10.029584289730803</v>
      </c>
      <c r="N68" s="21">
        <f>M68*(1+Предпоссылки!N$9)</f>
        <v>10.430767661320035</v>
      </c>
      <c r="O68" s="21">
        <f>N68*(1+Предпоссылки!O$9)</f>
        <v>10.847998367772837</v>
      </c>
      <c r="P68" s="21">
        <f>O68*(1+Предпоссылки!P$9)</f>
        <v>11.281918302483751</v>
      </c>
      <c r="Q68" s="21">
        <f>P68*(1+Предпоссылки!Q$9)</f>
        <v>11.733195034583101</v>
      </c>
      <c r="R68" s="21">
        <f>Q68*(1+Предпоссылки!R$9)</f>
        <v>12.202522835966425</v>
      </c>
    </row>
    <row r="69" spans="1:18">
      <c r="A69" s="15" t="s">
        <v>14</v>
      </c>
      <c r="B69" s="15"/>
      <c r="C69" s="6" t="s">
        <v>18</v>
      </c>
      <c r="D69" s="27">
        <v>850</v>
      </c>
      <c r="E69" s="21">
        <f>D69*(1+Предпоссылки!E$9)</f>
        <v>889.58195000000001</v>
      </c>
      <c r="F69" s="21">
        <f>E69*(1+Предпоссылки!F$9)</f>
        <v>925.48725666589996</v>
      </c>
      <c r="G69" s="21">
        <f>F69*(1+Предпоссылки!G$9)</f>
        <v>962.50674693253598</v>
      </c>
      <c r="H69" s="21">
        <f>G69*(1+Предпоссылки!H$9)</f>
        <v>1001.0070168098374</v>
      </c>
      <c r="I69" s="21">
        <f>H69*(1+Предпоссылки!I$9)</f>
        <v>1041.047297482231</v>
      </c>
      <c r="J69" s="21">
        <f>I69*(1+Предпоссылки!J$9)</f>
        <v>1082.6891893815202</v>
      </c>
      <c r="K69" s="21">
        <f>J69*(1+Предпоссылки!K$9)</f>
        <v>1125.9967569567812</v>
      </c>
      <c r="L69" s="21">
        <f>K69*(1+Предпоссылки!L$9)</f>
        <v>1171.0366272350525</v>
      </c>
      <c r="M69" s="21">
        <f>L69*(1+Предпоссылки!M$9)</f>
        <v>1217.8780923244547</v>
      </c>
      <c r="N69" s="21">
        <f>M69*(1+Предпоссылки!N$9)</f>
        <v>1266.593216017433</v>
      </c>
      <c r="O69" s="21">
        <f>N69*(1+Предпоссылки!O$9)</f>
        <v>1317.2569446581304</v>
      </c>
      <c r="P69" s="21">
        <f>O69*(1+Предпоссылки!P$9)</f>
        <v>1369.9472224444555</v>
      </c>
      <c r="Q69" s="21">
        <f>P69*(1+Предпоссылки!Q$9)</f>
        <v>1424.7451113422337</v>
      </c>
      <c r="R69" s="21">
        <f>Q69*(1+Предпоссылки!R$9)</f>
        <v>1481.7349157959231</v>
      </c>
    </row>
    <row r="70" spans="1:18">
      <c r="A70" s="15" t="s">
        <v>16</v>
      </c>
      <c r="B70" s="15"/>
      <c r="C70" s="6" t="s">
        <v>19</v>
      </c>
      <c r="D70" s="27">
        <v>60</v>
      </c>
      <c r="E70" s="21">
        <f>D70*(1+Предпоссылки!E$9)</f>
        <v>62.794020000000003</v>
      </c>
      <c r="F70" s="21">
        <f>E70*(1+Предпоссылки!F$9)</f>
        <v>65.328512235239998</v>
      </c>
      <c r="G70" s="21">
        <f>F70*(1+Предпоссылки!G$9)</f>
        <v>67.9416527246496</v>
      </c>
      <c r="H70" s="21">
        <f>G70*(1+Предпоссылки!H$9)</f>
        <v>70.659318833635581</v>
      </c>
      <c r="I70" s="21">
        <f>H70*(1+Предпоссылки!I$9)</f>
        <v>73.485691586981005</v>
      </c>
      <c r="J70" s="21">
        <f>I70*(1+Предпоссылки!J$9)</f>
        <v>76.425119250460241</v>
      </c>
      <c r="K70" s="21">
        <f>J70*(1+Предпоссылки!K$9)</f>
        <v>79.482124020478651</v>
      </c>
      <c r="L70" s="21">
        <f>K70*(1+Предпоссылки!L$9)</f>
        <v>82.661408981297797</v>
      </c>
      <c r="M70" s="21">
        <f>L70*(1+Предпоссылки!M$9)</f>
        <v>85.967865340549707</v>
      </c>
      <c r="N70" s="21">
        <f>M70*(1+Предпоссылки!N$9)</f>
        <v>89.406579954171704</v>
      </c>
      <c r="O70" s="21">
        <f>N70*(1+Предпоссылки!O$9)</f>
        <v>92.982843152338575</v>
      </c>
      <c r="P70" s="21">
        <f>O70*(1+Предпоссылки!P$9)</f>
        <v>96.70215687843212</v>
      </c>
      <c r="Q70" s="21">
        <f>P70*(1+Предпоссылки!Q$9)</f>
        <v>100.57024315356941</v>
      </c>
      <c r="R70" s="21">
        <f>Q70*(1+Предпоссылки!R$9)</f>
        <v>104.59305287971219</v>
      </c>
    </row>
    <row r="71" spans="1:18">
      <c r="A71" s="29" t="s">
        <v>29</v>
      </c>
      <c r="B71" s="29"/>
      <c r="C71" s="6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>
      <c r="A72" s="15" t="s">
        <v>30</v>
      </c>
      <c r="B72" s="15"/>
      <c r="C72" s="6" t="s">
        <v>18</v>
      </c>
      <c r="D72" s="27">
        <v>55</v>
      </c>
      <c r="E72" s="21">
        <f>D72*(1+Предпоссылки!E$9)</f>
        <v>57.561185000000002</v>
      </c>
      <c r="F72" s="21">
        <f>E72*(1+Предпоссылки!F$9)</f>
        <v>59.884469548970003</v>
      </c>
      <c r="G72" s="21">
        <f>F72*(1+Предпоссылки!G$9)</f>
        <v>62.279848330928807</v>
      </c>
      <c r="H72" s="21">
        <f>G72*(1+Предпоссылки!H$9)</f>
        <v>64.771042264165956</v>
      </c>
      <c r="I72" s="21">
        <f>H72*(1+Предпоссылки!I$9)</f>
        <v>67.36188395473259</v>
      </c>
      <c r="J72" s="21">
        <f>I72*(1+Предпоссылки!J$9)</f>
        <v>70.056359312921899</v>
      </c>
      <c r="K72" s="21">
        <f>J72*(1+Предпоссылки!K$9)</f>
        <v>72.858613685438783</v>
      </c>
      <c r="L72" s="21">
        <f>K72*(1+Предпоссылки!L$9)</f>
        <v>75.77295823285634</v>
      </c>
      <c r="M72" s="21">
        <f>L72*(1+Предпоссылки!M$9)</f>
        <v>78.803876562170601</v>
      </c>
      <c r="N72" s="21">
        <f>M72*(1+Предпоссылки!N$9)</f>
        <v>81.956031624657427</v>
      </c>
      <c r="O72" s="21">
        <f>N72*(1+Предпоссылки!O$9)</f>
        <v>85.234272889643734</v>
      </c>
      <c r="P72" s="21">
        <f>O72*(1+Предпоссылки!P$9)</f>
        <v>88.643643805229487</v>
      </c>
      <c r="Q72" s="21">
        <f>P72*(1+Предпоссылки!Q$9)</f>
        <v>92.189389557438673</v>
      </c>
      <c r="R72" s="21">
        <f>Q72*(1+Предпоссылки!R$9)</f>
        <v>95.876965139736228</v>
      </c>
    </row>
    <row r="73" spans="1:18">
      <c r="A73" s="15" t="s">
        <v>31</v>
      </c>
      <c r="B73" s="15"/>
      <c r="C73" s="6" t="s">
        <v>18</v>
      </c>
      <c r="D73" s="27">
        <v>700</v>
      </c>
      <c r="E73" s="21">
        <f>D73*(1+Предпоссылки!E$9)</f>
        <v>732.59690000000001</v>
      </c>
      <c r="F73" s="21">
        <f>E73*(1+Предпоссылки!F$9)</f>
        <v>762.1659760778</v>
      </c>
      <c r="G73" s="21">
        <f>F73*(1+Предпоссылки!G$9)</f>
        <v>792.65261512091206</v>
      </c>
      <c r="H73" s="21">
        <f>G73*(1+Предпоссылки!H$9)</f>
        <v>824.35871972574853</v>
      </c>
      <c r="I73" s="21">
        <f>H73*(1+Предпоссылки!I$9)</f>
        <v>857.33306851477846</v>
      </c>
      <c r="J73" s="21">
        <f>I73*(1+Предпоссылки!J$9)</f>
        <v>891.62639125536964</v>
      </c>
      <c r="K73" s="21">
        <f>J73*(1+Предпоссылки!K$9)</f>
        <v>927.29144690558451</v>
      </c>
      <c r="L73" s="21">
        <f>K73*(1+Предпоссылки!L$9)</f>
        <v>964.3831047818079</v>
      </c>
      <c r="M73" s="21">
        <f>L73*(1+Предпоссылки!M$9)</f>
        <v>1002.9584289730802</v>
      </c>
      <c r="N73" s="21">
        <f>M73*(1+Предпоссылки!N$9)</f>
        <v>1043.0767661320035</v>
      </c>
      <c r="O73" s="21">
        <f>N73*(1+Предпоссылки!O$9)</f>
        <v>1084.7998367772836</v>
      </c>
      <c r="P73" s="21">
        <f>O73*(1+Предпоссылки!P$9)</f>
        <v>1128.191830248375</v>
      </c>
      <c r="Q73" s="21">
        <f>P73*(1+Предпоссылки!Q$9)</f>
        <v>1173.31950345831</v>
      </c>
      <c r="R73" s="21">
        <f>Q73*(1+Предпоссылки!R$9)</f>
        <v>1220.2522835966424</v>
      </c>
    </row>
    <row r="74" spans="1:18">
      <c r="A74" s="15" t="s">
        <v>32</v>
      </c>
      <c r="B74" s="15"/>
      <c r="C74" s="6" t="s">
        <v>33</v>
      </c>
      <c r="D74" s="27">
        <v>10000</v>
      </c>
      <c r="E74" s="21">
        <f>D74*(1+Предпоссылки!E$9)</f>
        <v>10465.67</v>
      </c>
      <c r="F74" s="21">
        <f>E74*(1+Предпоссылки!F$9)</f>
        <v>10888.085372539999</v>
      </c>
      <c r="G74" s="21">
        <f>F74*(1+Предпоссылки!G$9)</f>
        <v>11323.608787441599</v>
      </c>
      <c r="H74" s="21">
        <f>G74*(1+Предпоссылки!H$9)</f>
        <v>11776.553138939264</v>
      </c>
      <c r="I74" s="21">
        <f>H74*(1+Предпоссылки!I$9)</f>
        <v>12247.615264496835</v>
      </c>
      <c r="J74" s="21">
        <f>I74*(1+Предпоссылки!J$9)</f>
        <v>12737.519875076709</v>
      </c>
      <c r="K74" s="21">
        <f>J74*(1+Предпоссылки!K$9)</f>
        <v>13247.020670079777</v>
      </c>
      <c r="L74" s="21">
        <f>K74*(1+Предпоссылки!L$9)</f>
        <v>13776.901496882969</v>
      </c>
      <c r="M74" s="21">
        <f>L74*(1+Предпоссылки!M$9)</f>
        <v>14327.977556758287</v>
      </c>
      <c r="N74" s="21">
        <f>M74*(1+Предпоссылки!N$9)</f>
        <v>14901.096659028619</v>
      </c>
      <c r="O74" s="21">
        <f>N74*(1+Предпоссылки!O$9)</f>
        <v>15497.140525389765</v>
      </c>
      <c r="P74" s="21">
        <f>O74*(1+Предпоссылки!P$9)</f>
        <v>16117.026146405356</v>
      </c>
      <c r="Q74" s="21">
        <f>P74*(1+Предпоссылки!Q$9)</f>
        <v>16761.707192261572</v>
      </c>
      <c r="R74" s="21">
        <f>Q74*(1+Предпоссылки!R$9)</f>
        <v>17432.175479952035</v>
      </c>
    </row>
    <row r="75" spans="1:18">
      <c r="A75" s="29" t="s">
        <v>25</v>
      </c>
      <c r="B75" s="29"/>
      <c r="C75" s="6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 spans="1:18">
      <c r="A76" s="15" t="s">
        <v>15</v>
      </c>
      <c r="B76" s="15"/>
      <c r="C76" s="6" t="s">
        <v>242</v>
      </c>
      <c r="D76" s="27">
        <v>76.98</v>
      </c>
      <c r="E76" s="21">
        <f>D76*(1+Предпоссылки!E13)</f>
        <v>80.858791260000004</v>
      </c>
      <c r="F76" s="21">
        <f>E76*(1+Предпоссылки!F13)</f>
        <v>84.037592920804371</v>
      </c>
      <c r="G76" s="21">
        <f>F76*(1+Предпоссылки!G13)</f>
        <v>87.480949253141418</v>
      </c>
      <c r="H76" s="21">
        <f>G76*(1+Предпоссылки!H13)</f>
        <v>90.98018722326708</v>
      </c>
      <c r="I76" s="21">
        <f>H76*(1+Предпоссылки!I13)</f>
        <v>94.61939471219776</v>
      </c>
      <c r="J76" s="21">
        <f>I76*(1+Предпоссылки!J13)</f>
        <v>98.40417050068568</v>
      </c>
      <c r="K76" s="21">
        <f>J76*(1+Предпоссылки!K13)</f>
        <v>102.3403373207131</v>
      </c>
      <c r="L76" s="21">
        <f>K76*(1+Предпоссылки!L13)</f>
        <v>106.43395081354163</v>
      </c>
      <c r="M76" s="21">
        <f>L76*(1+Предпоссылки!M13)</f>
        <v>110.6913088460833</v>
      </c>
      <c r="N76" s="21">
        <f>M76*(1+Предпоссылки!N13)</f>
        <v>115.11896119992664</v>
      </c>
      <c r="O76" s="21">
        <f>N76*(1+Предпоссылки!O13)</f>
        <v>119.72371964792372</v>
      </c>
      <c r="P76" s="21">
        <f>O76*(1+Предпоссылки!P13)</f>
        <v>124.51266843384067</v>
      </c>
      <c r="Q76" s="21">
        <f>P76*(1+Предпоссылки!Q13)</f>
        <v>129.49317517119431</v>
      </c>
      <c r="R76" s="21">
        <f>Q76*(1+Предпоссылки!R13)</f>
        <v>134.67290217804208</v>
      </c>
    </row>
    <row r="77" spans="1:18">
      <c r="A77" s="15" t="s">
        <v>6</v>
      </c>
      <c r="B77" s="15"/>
      <c r="C77" s="6" t="s">
        <v>242</v>
      </c>
      <c r="D77" s="27">
        <v>5.0620000000000003</v>
      </c>
      <c r="E77" s="21">
        <f>D77*(1+Предпоссылки!E12)</f>
        <v>5.4770840000000005</v>
      </c>
      <c r="F77" s="21">
        <f>E77*(1+Предпоссылки!F12)</f>
        <v>5.6961673600000005</v>
      </c>
      <c r="G77" s="21">
        <f>F77*(1+Предпоссылки!G12)</f>
        <v>5.9240140544000006</v>
      </c>
      <c r="H77" s="21">
        <f>G77*(1+Предпоссылки!H12)</f>
        <v>6.1609746165760004</v>
      </c>
      <c r="I77" s="21">
        <f>H77*(1+Предпоссылки!I12)</f>
        <v>6.4074136012390408</v>
      </c>
      <c r="J77" s="21">
        <f>I77*(1+Предпоссылки!J12)</f>
        <v>6.6637101452886025</v>
      </c>
      <c r="K77" s="21">
        <f>J77*(1+Предпоссылки!K12)</f>
        <v>6.9302585511001471</v>
      </c>
      <c r="L77" s="21">
        <f>K77*(1+Предпоссылки!L12)</f>
        <v>7.2074688931441528</v>
      </c>
      <c r="M77" s="21">
        <f>L77*(1+Предпоссылки!M12)</f>
        <v>7.4957676488699194</v>
      </c>
      <c r="N77" s="21">
        <f>M77*(1+Предпоссылки!N12)</f>
        <v>7.7955983548247163</v>
      </c>
      <c r="O77" s="21">
        <f>N77*(1+Предпоссылки!O12)</f>
        <v>8.1074222890177055</v>
      </c>
      <c r="P77" s="21">
        <f>O77*(1+Предпоссылки!P12)</f>
        <v>8.4317191805784137</v>
      </c>
      <c r="Q77" s="21">
        <f>P77*(1+Предпоссылки!Q12)</f>
        <v>8.7689879478015502</v>
      </c>
      <c r="R77" s="21">
        <f>Q77*(1+Предпоссылки!R12)</f>
        <v>9.1197474657136119</v>
      </c>
    </row>
    <row r="78" spans="1:18">
      <c r="A78" s="15" t="s">
        <v>27</v>
      </c>
      <c r="B78" s="15"/>
      <c r="C78" s="6" t="s">
        <v>243</v>
      </c>
      <c r="D78" s="27">
        <f>6.33/1.2</f>
        <v>5.2750000000000004</v>
      </c>
      <c r="E78" s="21">
        <f>D78*(1+Предпоссылки!E11)</f>
        <v>5.8087614250000001</v>
      </c>
      <c r="F78" s="21">
        <f>E78*(1+Предпоссылки!F11)</f>
        <v>6.1036664337858255</v>
      </c>
      <c r="G78" s="21">
        <f>F78*(1+Предпоссылки!G11)</f>
        <v>6.4058772699218629</v>
      </c>
      <c r="H78" s="21">
        <f>G78*(1+Предпоссылки!H11)</f>
        <v>6.662112360718738</v>
      </c>
      <c r="I78" s="21">
        <f>H78*(1+Предпоссылки!I11)</f>
        <v>6.9285968551474877</v>
      </c>
      <c r="J78" s="21">
        <f>I78*(1+Предпоссылки!J11)</f>
        <v>7.2057407293533871</v>
      </c>
      <c r="K78" s="21">
        <f>J78*(1+Предпоссылки!K11)</f>
        <v>7.4939703585275224</v>
      </c>
      <c r="L78" s="21">
        <f>K78*(1+Предпоссылки!L11)</f>
        <v>7.7937291728686233</v>
      </c>
      <c r="M78" s="21">
        <f>L78*(1+Предпоссылки!M11)</f>
        <v>8.1054783397833692</v>
      </c>
      <c r="N78" s="21">
        <f>M78*(1+Предпоссылки!N11)</f>
        <v>8.4296974733747039</v>
      </c>
      <c r="O78" s="21">
        <f>N78*(1+Предпоссылки!O11)</f>
        <v>8.7668853723096927</v>
      </c>
      <c r="P78" s="21">
        <f>O78*(1+Предпоссылки!P11)</f>
        <v>9.1175607872020805</v>
      </c>
      <c r="Q78" s="21">
        <f>P78*(1+Предпоссылки!Q11)</f>
        <v>9.4822632186901643</v>
      </c>
      <c r="R78" s="21">
        <f>Q78*(1+Предпоссылки!R11)</f>
        <v>9.861553747437771</v>
      </c>
    </row>
    <row r="79" spans="1:18">
      <c r="C79" s="6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</row>
    <row r="80" spans="1:18">
      <c r="A80" s="43" t="s">
        <v>57</v>
      </c>
      <c r="B80" s="47"/>
      <c r="C80" s="47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6"/>
    </row>
    <row r="81" spans="1:18">
      <c r="A81" s="29" t="s">
        <v>23</v>
      </c>
      <c r="B81" s="29"/>
      <c r="C81" s="6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</row>
    <row r="82" spans="1:18">
      <c r="A82" s="15" t="s">
        <v>10</v>
      </c>
      <c r="B82" s="15"/>
      <c r="C82" s="6" t="s">
        <v>21</v>
      </c>
      <c r="D82" s="27">
        <v>216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</row>
    <row r="83" spans="1:18">
      <c r="A83" s="15" t="s">
        <v>11</v>
      </c>
      <c r="B83" s="15"/>
      <c r="C83" s="6" t="s">
        <v>21</v>
      </c>
      <c r="D83" s="27">
        <v>118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</row>
    <row r="84" spans="1:18">
      <c r="A84" s="15" t="s">
        <v>12</v>
      </c>
      <c r="B84" s="15"/>
      <c r="C84" s="6" t="s">
        <v>21</v>
      </c>
      <c r="D84" s="27">
        <v>29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</row>
    <row r="85" spans="1:18">
      <c r="A85" s="15" t="s">
        <v>13</v>
      </c>
      <c r="B85" s="15"/>
      <c r="C85" s="6" t="s">
        <v>21</v>
      </c>
      <c r="D85" s="27">
        <v>17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</row>
    <row r="86" spans="1:18">
      <c r="A86" s="15" t="s">
        <v>14</v>
      </c>
      <c r="B86" s="15"/>
      <c r="C86" s="6" t="s">
        <v>21</v>
      </c>
      <c r="D86" s="27">
        <v>0.22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</row>
    <row r="87" spans="1:18">
      <c r="A87" s="15" t="s">
        <v>16</v>
      </c>
      <c r="B87" s="15"/>
      <c r="C87" s="6" t="s">
        <v>22</v>
      </c>
      <c r="D87" s="27">
        <v>0.9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</row>
    <row r="88" spans="1:18">
      <c r="A88" s="15" t="s">
        <v>30</v>
      </c>
      <c r="B88" s="15"/>
      <c r="C88" s="6" t="s">
        <v>21</v>
      </c>
      <c r="D88" s="27">
        <v>1.2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</row>
    <row r="89" spans="1:18">
      <c r="A89" s="15" t="s">
        <v>31</v>
      </c>
      <c r="B89" s="15"/>
      <c r="C89" s="6" t="s">
        <v>21</v>
      </c>
      <c r="D89" s="27">
        <v>2.0000000000000001E-4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</row>
    <row r="90" spans="1:18">
      <c r="A90" s="15" t="s">
        <v>32</v>
      </c>
      <c r="B90" s="15"/>
      <c r="C90" s="6" t="s">
        <v>33</v>
      </c>
      <c r="D90" s="27">
        <v>0.01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</row>
    <row r="91" spans="1:18">
      <c r="A91" s="15" t="s">
        <v>15</v>
      </c>
      <c r="B91" s="15"/>
      <c r="C91" s="6" t="s">
        <v>39</v>
      </c>
      <c r="D91" s="27">
        <v>0.24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</row>
    <row r="92" spans="1:18">
      <c r="A92" s="15" t="s">
        <v>6</v>
      </c>
      <c r="B92" s="15"/>
      <c r="C92" s="6" t="s">
        <v>39</v>
      </c>
      <c r="D92" s="27">
        <v>25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</row>
    <row r="93" spans="1:18">
      <c r="A93" s="15" t="s">
        <v>27</v>
      </c>
      <c r="B93" s="15"/>
      <c r="C93" s="6" t="s">
        <v>48</v>
      </c>
      <c r="D93" s="27">
        <v>90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</row>
    <row r="94" spans="1:18">
      <c r="A94" s="29" t="s">
        <v>36</v>
      </c>
      <c r="B94" s="29"/>
      <c r="C94" s="6"/>
      <c r="D94" s="19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</row>
    <row r="95" spans="1:18">
      <c r="A95" s="15" t="s">
        <v>10</v>
      </c>
      <c r="B95" s="15"/>
      <c r="C95" s="6" t="s">
        <v>21</v>
      </c>
      <c r="D95" s="27">
        <v>297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</row>
    <row r="96" spans="1:18">
      <c r="A96" s="15" t="s">
        <v>11</v>
      </c>
      <c r="B96" s="15"/>
      <c r="C96" s="6" t="s">
        <v>21</v>
      </c>
      <c r="D96" s="27">
        <v>136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</row>
    <row r="97" spans="1:18">
      <c r="A97" s="15" t="s">
        <v>12</v>
      </c>
      <c r="B97" s="15"/>
      <c r="C97" s="6" t="s">
        <v>21</v>
      </c>
      <c r="D97" s="27">
        <v>38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</row>
    <row r="98" spans="1:18">
      <c r="A98" s="15" t="s">
        <v>13</v>
      </c>
      <c r="B98" s="15"/>
      <c r="C98" s="6" t="s">
        <v>21</v>
      </c>
      <c r="D98" s="27">
        <v>23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</row>
    <row r="99" spans="1:18">
      <c r="A99" s="15" t="s">
        <v>14</v>
      </c>
      <c r="B99" s="15"/>
      <c r="C99" s="6" t="s">
        <v>21</v>
      </c>
      <c r="D99" s="27">
        <v>0.32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</row>
    <row r="100" spans="1:18">
      <c r="A100" s="15" t="s">
        <v>16</v>
      </c>
      <c r="B100" s="15"/>
      <c r="C100" s="6" t="s">
        <v>22</v>
      </c>
      <c r="D100" s="27">
        <v>0.9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</row>
    <row r="101" spans="1:18">
      <c r="A101" s="15" t="s">
        <v>30</v>
      </c>
      <c r="B101" s="15"/>
      <c r="C101" s="6" t="s">
        <v>21</v>
      </c>
      <c r="D101" s="27">
        <v>1.2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</row>
    <row r="102" spans="1:18">
      <c r="A102" s="15" t="s">
        <v>31</v>
      </c>
      <c r="B102" s="15"/>
      <c r="C102" s="6" t="s">
        <v>21</v>
      </c>
      <c r="D102" s="27">
        <v>2.0000000000000001E-4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</row>
    <row r="103" spans="1:18">
      <c r="A103" s="15" t="s">
        <v>32</v>
      </c>
      <c r="B103" s="15"/>
      <c r="C103" s="6" t="s">
        <v>33</v>
      </c>
      <c r="D103" s="27">
        <v>0.01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</row>
    <row r="104" spans="1:18">
      <c r="A104" s="15" t="s">
        <v>15</v>
      </c>
      <c r="B104" s="15"/>
      <c r="C104" s="6" t="s">
        <v>39</v>
      </c>
      <c r="D104" s="27">
        <v>0.25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</row>
    <row r="105" spans="1:18">
      <c r="A105" s="15" t="s">
        <v>6</v>
      </c>
      <c r="B105" s="15"/>
      <c r="C105" s="6" t="s">
        <v>39</v>
      </c>
      <c r="D105" s="27">
        <v>25</v>
      </c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</row>
    <row r="106" spans="1:18">
      <c r="A106" s="15" t="s">
        <v>27</v>
      </c>
      <c r="B106" s="15"/>
      <c r="C106" s="6" t="s">
        <v>48</v>
      </c>
      <c r="D106" s="27">
        <v>90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</row>
    <row r="107" spans="1:18">
      <c r="A107" s="29" t="s">
        <v>24</v>
      </c>
      <c r="B107" s="29"/>
      <c r="C107" s="6"/>
      <c r="D107" s="19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</row>
    <row r="108" spans="1:18">
      <c r="A108" s="15" t="s">
        <v>10</v>
      </c>
      <c r="B108" s="15"/>
      <c r="C108" s="6" t="s">
        <v>21</v>
      </c>
      <c r="D108" s="27">
        <v>392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</row>
    <row r="109" spans="1:18">
      <c r="A109" s="15" t="s">
        <v>11</v>
      </c>
      <c r="B109" s="15"/>
      <c r="C109" s="6" t="s">
        <v>21</v>
      </c>
      <c r="D109" s="27">
        <v>131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</row>
    <row r="110" spans="1:18">
      <c r="A110" s="15" t="s">
        <v>12</v>
      </c>
      <c r="B110" s="15"/>
      <c r="C110" s="6" t="s">
        <v>21</v>
      </c>
      <c r="D110" s="27">
        <v>47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</row>
    <row r="111" spans="1:18">
      <c r="A111" s="15" t="s">
        <v>13</v>
      </c>
      <c r="B111" s="15"/>
      <c r="C111" s="6" t="s">
        <v>21</v>
      </c>
      <c r="D111" s="27">
        <v>31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</row>
    <row r="112" spans="1:18">
      <c r="A112" s="15" t="s">
        <v>14</v>
      </c>
      <c r="B112" s="15"/>
      <c r="C112" s="6" t="s">
        <v>21</v>
      </c>
      <c r="D112" s="27">
        <v>0.3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</row>
    <row r="113" spans="1:18">
      <c r="A113" s="15" t="s">
        <v>16</v>
      </c>
      <c r="B113" s="15"/>
      <c r="C113" s="6" t="s">
        <v>22</v>
      </c>
      <c r="D113" s="27">
        <v>0.9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</row>
    <row r="114" spans="1:18">
      <c r="A114" s="15" t="s">
        <v>30</v>
      </c>
      <c r="B114" s="15"/>
      <c r="C114" s="6" t="s">
        <v>21</v>
      </c>
      <c r="D114" s="27">
        <v>1.2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</row>
    <row r="115" spans="1:18">
      <c r="A115" s="15" t="s">
        <v>31</v>
      </c>
      <c r="B115" s="15"/>
      <c r="C115" s="6" t="s">
        <v>21</v>
      </c>
      <c r="D115" s="27">
        <v>2.0000000000000001E-4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</row>
    <row r="116" spans="1:18">
      <c r="A116" s="15" t="s">
        <v>32</v>
      </c>
      <c r="B116" s="15"/>
      <c r="C116" s="6" t="s">
        <v>33</v>
      </c>
      <c r="D116" s="27">
        <v>0.01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>
      <c r="A117" s="15" t="s">
        <v>15</v>
      </c>
      <c r="B117" s="15"/>
      <c r="C117" s="6" t="s">
        <v>39</v>
      </c>
      <c r="D117" s="27">
        <v>0.27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>
      <c r="A118" s="15" t="s">
        <v>6</v>
      </c>
      <c r="B118" s="15"/>
      <c r="C118" s="6" t="s">
        <v>39</v>
      </c>
      <c r="D118" s="27">
        <v>25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</row>
    <row r="119" spans="1:18">
      <c r="A119" s="15" t="s">
        <v>27</v>
      </c>
      <c r="B119" s="15"/>
      <c r="C119" s="6" t="s">
        <v>48</v>
      </c>
      <c r="D119" s="27">
        <v>90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</row>
    <row r="120" spans="1:18">
      <c r="C120" s="6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</row>
    <row r="121" spans="1:18">
      <c r="A121" s="43" t="s">
        <v>97</v>
      </c>
      <c r="B121" s="84" t="s">
        <v>116</v>
      </c>
      <c r="C121" s="47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6"/>
    </row>
    <row r="122" spans="1:18" hidden="1" outlineLevel="1">
      <c r="A122" s="29" t="s">
        <v>34</v>
      </c>
      <c r="B122" s="29"/>
      <c r="C122" s="6"/>
    </row>
    <row r="123" spans="1:18" hidden="1" outlineLevel="1">
      <c r="A123" s="15" t="s">
        <v>92</v>
      </c>
      <c r="B123" s="15"/>
      <c r="C123" s="6" t="s">
        <v>26</v>
      </c>
      <c r="D123" s="33">
        <v>250</v>
      </c>
      <c r="E123" s="8">
        <f>D123*(1+Предпоссылки!E$9)</f>
        <v>261.64175</v>
      </c>
      <c r="F123" s="8">
        <f>E123*(1+Предпоссылки!F$9)</f>
        <v>272.20213431349998</v>
      </c>
      <c r="G123" s="8">
        <f>F123*(1+Предпоссылки!G$9)</f>
        <v>283.09021968603997</v>
      </c>
      <c r="H123" s="8">
        <f>G123*(1+Предпоссылки!H$9)</f>
        <v>294.4138284734816</v>
      </c>
      <c r="I123" s="8">
        <f>H123*(1+Предпоссылки!I$9)</f>
        <v>306.19038161242088</v>
      </c>
      <c r="J123" s="8">
        <f>I123*(1+Предпоссылки!J$9)</f>
        <v>318.43799687691774</v>
      </c>
      <c r="K123" s="8">
        <f>J123*(1+Предпоссылки!K$9)</f>
        <v>331.17551675199445</v>
      </c>
      <c r="L123" s="8">
        <f>K123*(1+Предпоссылки!L$9)</f>
        <v>344.42253742207424</v>
      </c>
      <c r="M123" s="8">
        <f>L123*(1+Предпоссылки!M$9)</f>
        <v>358.19943891895724</v>
      </c>
      <c r="N123" s="8">
        <f>M123*(1+Предпоссылки!N$9)</f>
        <v>372.52741647571554</v>
      </c>
      <c r="O123" s="8">
        <f>N123*(1+Предпоссылки!O$9)</f>
        <v>387.42851313474415</v>
      </c>
      <c r="P123" s="8">
        <f>O123*(1+Предпоссылки!P$9)</f>
        <v>402.92565366013395</v>
      </c>
      <c r="Q123" s="8">
        <f>P123*(1+Предпоссылки!Q$9)</f>
        <v>419.0426798065393</v>
      </c>
      <c r="R123" s="8">
        <f>Q123*(1+Предпоссылки!R$9)</f>
        <v>435.80438699880091</v>
      </c>
    </row>
    <row r="124" spans="1:18" hidden="1" outlineLevel="1">
      <c r="A124" s="29" t="s">
        <v>94</v>
      </c>
      <c r="B124" s="29"/>
      <c r="C124" s="6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</row>
    <row r="125" spans="1:18" hidden="1" outlineLevel="1">
      <c r="A125" s="15" t="s">
        <v>95</v>
      </c>
      <c r="B125" s="15"/>
      <c r="C125" s="6" t="s">
        <v>96</v>
      </c>
      <c r="D125" s="33">
        <v>111500</v>
      </c>
      <c r="E125" s="8">
        <f>D125*(1+Предпоссылки!E$9)</f>
        <v>116692.2205</v>
      </c>
      <c r="F125" s="8">
        <f>E125*(1+Предпоссылки!F$9)</f>
        <v>121402.151903821</v>
      </c>
      <c r="G125" s="8">
        <f>F125*(1+Предпоссылки!G$9)</f>
        <v>126258.23797997384</v>
      </c>
      <c r="H125" s="8">
        <f>G125*(1+Предпоссылки!H$9)</f>
        <v>131308.56749917279</v>
      </c>
      <c r="I125" s="8">
        <f>H125*(1+Предпоссылки!I$9)</f>
        <v>136560.9101991397</v>
      </c>
      <c r="J125" s="8">
        <f>I125*(1+Предпоссылки!J$9)</f>
        <v>142023.34660710528</v>
      </c>
      <c r="K125" s="8">
        <f>J125*(1+Предпоссылки!K$9)</f>
        <v>147704.2804713895</v>
      </c>
      <c r="L125" s="8">
        <f>K125*(1+Предпоссылки!L$9)</f>
        <v>153612.4516902451</v>
      </c>
      <c r="M125" s="8">
        <f>L125*(1+Предпоссылки!M$9)</f>
        <v>159756.94975785492</v>
      </c>
      <c r="N125" s="8">
        <f>M125*(1+Предпоссылки!N$9)</f>
        <v>166147.22774816913</v>
      </c>
      <c r="O125" s="8">
        <f>N125*(1+Предпоссылки!O$9)</f>
        <v>172793.11685809589</v>
      </c>
      <c r="P125" s="8">
        <f>O125*(1+Предпоссылки!P$9)</f>
        <v>179704.84153241973</v>
      </c>
      <c r="Q125" s="8">
        <f>P125*(1+Предпоссылки!Q$9)</f>
        <v>186893.03519371653</v>
      </c>
      <c r="R125" s="8">
        <f>Q125*(1+Предпоссылки!R$9)</f>
        <v>194368.7566014652</v>
      </c>
    </row>
    <row r="126" spans="1:18" hidden="1" outlineLevel="1">
      <c r="A126" s="29" t="s">
        <v>25</v>
      </c>
      <c r="B126" s="29"/>
      <c r="C126" s="6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</row>
    <row r="127" spans="1:18" hidden="1" outlineLevel="1">
      <c r="A127" s="15" t="s">
        <v>15</v>
      </c>
      <c r="B127" s="15"/>
      <c r="C127" s="6" t="s">
        <v>242</v>
      </c>
      <c r="D127" s="8">
        <f>D76</f>
        <v>76.98</v>
      </c>
      <c r="E127" s="8">
        <f t="shared" ref="E127:R127" si="16">E76</f>
        <v>80.858791260000004</v>
      </c>
      <c r="F127" s="8">
        <f t="shared" si="16"/>
        <v>84.037592920804371</v>
      </c>
      <c r="G127" s="8">
        <f t="shared" si="16"/>
        <v>87.480949253141418</v>
      </c>
      <c r="H127" s="8">
        <f t="shared" si="16"/>
        <v>90.98018722326708</v>
      </c>
      <c r="I127" s="8">
        <f t="shared" si="16"/>
        <v>94.61939471219776</v>
      </c>
      <c r="J127" s="8">
        <f t="shared" si="16"/>
        <v>98.40417050068568</v>
      </c>
      <c r="K127" s="8">
        <f t="shared" si="16"/>
        <v>102.3403373207131</v>
      </c>
      <c r="L127" s="8">
        <f t="shared" si="16"/>
        <v>106.43395081354163</v>
      </c>
      <c r="M127" s="8">
        <f t="shared" si="16"/>
        <v>110.6913088460833</v>
      </c>
      <c r="N127" s="8">
        <f t="shared" si="16"/>
        <v>115.11896119992664</v>
      </c>
      <c r="O127" s="8">
        <f t="shared" si="16"/>
        <v>119.72371964792372</v>
      </c>
      <c r="P127" s="8">
        <f t="shared" si="16"/>
        <v>124.51266843384067</v>
      </c>
      <c r="Q127" s="8">
        <f t="shared" si="16"/>
        <v>129.49317517119431</v>
      </c>
      <c r="R127" s="8">
        <f t="shared" si="16"/>
        <v>134.67290217804208</v>
      </c>
    </row>
    <row r="128" spans="1:18" hidden="1" outlineLevel="1">
      <c r="A128" s="15" t="s">
        <v>6</v>
      </c>
      <c r="B128" s="15"/>
      <c r="C128" s="6" t="s">
        <v>242</v>
      </c>
      <c r="D128" s="8">
        <f t="shared" ref="D128:R128" si="17">D77</f>
        <v>5.0620000000000003</v>
      </c>
      <c r="E128" s="8">
        <f t="shared" si="17"/>
        <v>5.4770840000000005</v>
      </c>
      <c r="F128" s="8">
        <f t="shared" si="17"/>
        <v>5.6961673600000005</v>
      </c>
      <c r="G128" s="8">
        <f t="shared" si="17"/>
        <v>5.9240140544000006</v>
      </c>
      <c r="H128" s="8">
        <f t="shared" si="17"/>
        <v>6.1609746165760004</v>
      </c>
      <c r="I128" s="8">
        <f t="shared" si="17"/>
        <v>6.4074136012390408</v>
      </c>
      <c r="J128" s="8">
        <f t="shared" si="17"/>
        <v>6.6637101452886025</v>
      </c>
      <c r="K128" s="8">
        <f t="shared" si="17"/>
        <v>6.9302585511001471</v>
      </c>
      <c r="L128" s="8">
        <f t="shared" si="17"/>
        <v>7.2074688931441528</v>
      </c>
      <c r="M128" s="8">
        <f t="shared" si="17"/>
        <v>7.4957676488699194</v>
      </c>
      <c r="N128" s="8">
        <f t="shared" si="17"/>
        <v>7.7955983548247163</v>
      </c>
      <c r="O128" s="8">
        <f t="shared" si="17"/>
        <v>8.1074222890177055</v>
      </c>
      <c r="P128" s="8">
        <f t="shared" si="17"/>
        <v>8.4317191805784137</v>
      </c>
      <c r="Q128" s="8">
        <f t="shared" si="17"/>
        <v>8.7689879478015502</v>
      </c>
      <c r="R128" s="8">
        <f t="shared" si="17"/>
        <v>9.1197474657136119</v>
      </c>
    </row>
    <row r="129" spans="1:18" hidden="1" outlineLevel="1">
      <c r="A129" s="15" t="s">
        <v>27</v>
      </c>
      <c r="B129" s="15"/>
      <c r="C129" s="6" t="s">
        <v>243</v>
      </c>
      <c r="D129" s="8">
        <f t="shared" ref="D129:R129" si="18">D78</f>
        <v>5.2750000000000004</v>
      </c>
      <c r="E129" s="8">
        <f t="shared" si="18"/>
        <v>5.8087614250000001</v>
      </c>
      <c r="F129" s="8">
        <f t="shared" si="18"/>
        <v>6.1036664337858255</v>
      </c>
      <c r="G129" s="8">
        <f t="shared" si="18"/>
        <v>6.4058772699218629</v>
      </c>
      <c r="H129" s="8">
        <f t="shared" si="18"/>
        <v>6.662112360718738</v>
      </c>
      <c r="I129" s="8">
        <f t="shared" si="18"/>
        <v>6.9285968551474877</v>
      </c>
      <c r="J129" s="8">
        <f t="shared" si="18"/>
        <v>7.2057407293533871</v>
      </c>
      <c r="K129" s="8">
        <f t="shared" si="18"/>
        <v>7.4939703585275224</v>
      </c>
      <c r="L129" s="8">
        <f t="shared" si="18"/>
        <v>7.7937291728686233</v>
      </c>
      <c r="M129" s="8">
        <f t="shared" si="18"/>
        <v>8.1054783397833692</v>
      </c>
      <c r="N129" s="8">
        <f t="shared" si="18"/>
        <v>8.4296974733747039</v>
      </c>
      <c r="O129" s="8">
        <f t="shared" si="18"/>
        <v>8.7668853723096927</v>
      </c>
      <c r="P129" s="8">
        <f t="shared" si="18"/>
        <v>9.1175607872020805</v>
      </c>
      <c r="Q129" s="8">
        <f t="shared" si="18"/>
        <v>9.4822632186901643</v>
      </c>
      <c r="R129" s="8">
        <f t="shared" si="18"/>
        <v>9.861553747437771</v>
      </c>
    </row>
    <row r="130" spans="1:18" collapsed="1">
      <c r="C130" s="6"/>
    </row>
    <row r="131" spans="1:18">
      <c r="A131" s="43" t="s">
        <v>166</v>
      </c>
      <c r="B131" s="84" t="s">
        <v>116</v>
      </c>
      <c r="C131" s="47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6"/>
    </row>
    <row r="132" spans="1:18">
      <c r="C132" s="6"/>
    </row>
    <row r="133" spans="1:18">
      <c r="C133" s="6"/>
    </row>
    <row r="134" spans="1:18">
      <c r="C134" s="6"/>
    </row>
    <row r="135" spans="1:18">
      <c r="C135" s="6"/>
    </row>
    <row r="136" spans="1:18">
      <c r="C136" s="6"/>
    </row>
    <row r="137" spans="1:18">
      <c r="C137" s="6"/>
    </row>
    <row r="138" spans="1:18">
      <c r="C138" s="6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C139" s="6"/>
    </row>
    <row r="140" spans="1:18">
      <c r="C140" s="6"/>
    </row>
    <row r="141" spans="1:18">
      <c r="C141" s="6"/>
    </row>
    <row r="142" spans="1:18">
      <c r="C142" s="6"/>
    </row>
    <row r="143" spans="1:18">
      <c r="C143" s="6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C144" s="6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3:18">
      <c r="C145" s="6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3:18">
      <c r="C146" s="6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3:18">
      <c r="C147" s="6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</row>
    <row r="148" spans="3:18">
      <c r="C148" s="6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3:18">
      <c r="C149" s="6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3:18">
      <c r="C150" s="6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</row>
    <row r="151" spans="3:18">
      <c r="C151" s="6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</row>
    <row r="152" spans="3:18">
      <c r="C152" s="6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</row>
    <row r="153" spans="3:18">
      <c r="C153" s="6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</row>
    <row r="154" spans="3:18">
      <c r="C154" s="6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</row>
    <row r="155" spans="3:18">
      <c r="C155" s="6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</row>
    <row r="156" spans="3:18">
      <c r="C156" s="6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</row>
    <row r="157" spans="3:18">
      <c r="C157" s="6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</row>
    <row r="158" spans="3:18">
      <c r="C158" s="6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</row>
    <row r="159" spans="3:18">
      <c r="C159" s="6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</row>
    <row r="160" spans="3:18">
      <c r="C160" s="6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</row>
    <row r="161" spans="3:18">
      <c r="C161" s="6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3:18">
      <c r="C162" s="6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3:18">
      <c r="C163" s="6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3:18">
      <c r="C164" s="6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3:18">
      <c r="C165" s="6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3:18">
      <c r="C166" s="6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3:18">
      <c r="C167" s="6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3:18">
      <c r="C168" s="6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3:18">
      <c r="C169" s="6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</row>
    <row r="170" spans="3:18">
      <c r="C170" s="6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</row>
    <row r="171" spans="3:18">
      <c r="C171" s="6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</row>
    <row r="172" spans="3:18">
      <c r="C172" s="6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</row>
    <row r="173" spans="3:18">
      <c r="C173" s="6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</row>
    <row r="174" spans="3:18">
      <c r="C174" s="6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</row>
    <row r="175" spans="3:18">
      <c r="C175" s="6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</row>
    <row r="176" spans="3:18">
      <c r="C176" s="6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</row>
    <row r="177" spans="3:18">
      <c r="C177" s="6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</row>
    <row r="178" spans="3:18">
      <c r="C178" s="6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</row>
    <row r="179" spans="3:18">
      <c r="C179" s="6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</row>
    <row r="180" spans="3:18">
      <c r="C180" s="6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</row>
    <row r="181" spans="3:18">
      <c r="C181" s="6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</row>
    <row r="182" spans="3:18">
      <c r="C182" s="6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</row>
    <row r="183" spans="3:18">
      <c r="C183" s="6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</row>
    <row r="184" spans="3:18">
      <c r="C184" s="6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</row>
    <row r="185" spans="3:18">
      <c r="C185" s="6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3:18">
      <c r="C186" s="6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3:18">
      <c r="C187" s="6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3:18">
      <c r="C188" s="6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</row>
    <row r="189" spans="3:18">
      <c r="C189" s="6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</row>
    <row r="190" spans="3:18">
      <c r="C190" s="6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3:18">
      <c r="C191" s="6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3:18">
      <c r="C192" s="6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3:18">
      <c r="C193" s="6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3:18">
      <c r="C194" s="6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</row>
    <row r="195" spans="3:18">
      <c r="C195" s="6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</row>
    <row r="196" spans="3:18">
      <c r="C196" s="6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3:18">
      <c r="C197" s="6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3:18">
      <c r="C198" s="6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3:18">
      <c r="C199" s="6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3:18">
      <c r="C200" s="6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3:18">
      <c r="C201" s="6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3:18">
      <c r="C202" s="6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3:18">
      <c r="C203" s="6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3:18">
      <c r="C204" s="6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3:18">
      <c r="C205" s="6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</row>
    <row r="206" spans="3:18">
      <c r="C206" s="6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</row>
    <row r="207" spans="3:18">
      <c r="C207" s="6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</row>
    <row r="208" spans="3:18">
      <c r="C208" s="6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</row>
    <row r="209" spans="3:18">
      <c r="C209" s="6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</row>
    <row r="210" spans="3:18">
      <c r="C210" s="6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</row>
    <row r="211" spans="3:18">
      <c r="C211" s="6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</row>
    <row r="212" spans="3:18">
      <c r="C212" s="6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</row>
    <row r="213" spans="3:18">
      <c r="C213" s="6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</row>
    <row r="214" spans="3:18">
      <c r="C214" s="6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</row>
    <row r="215" spans="3:18">
      <c r="C215" s="6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</row>
    <row r="216" spans="3:18">
      <c r="C216" s="6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</row>
    <row r="217" spans="3:18">
      <c r="C217" s="6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</row>
    <row r="218" spans="3:18">
      <c r="C218" s="6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</row>
    <row r="219" spans="3:18">
      <c r="C219" s="6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</row>
    <row r="220" spans="3:18">
      <c r="C220" s="6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</row>
    <row r="221" spans="3:18">
      <c r="C221" s="6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</row>
    <row r="222" spans="3:18">
      <c r="C222" s="6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</row>
    <row r="223" spans="3:18">
      <c r="C223" s="6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</row>
    <row r="224" spans="3:18">
      <c r="C224" s="6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</row>
    <row r="225" spans="3:18">
      <c r="C225" s="6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</row>
    <row r="226" spans="3:18">
      <c r="C226" s="6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3:18">
      <c r="C227" s="6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3:18">
      <c r="C228" s="6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3:18">
      <c r="C229" s="6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3:18">
      <c r="C230" s="6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3:18">
      <c r="C231" s="6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3:18">
      <c r="C232" s="6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3:18">
      <c r="C233" s="6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3:18">
      <c r="C234" s="6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3:18">
      <c r="C235" s="6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3:18">
      <c r="C236" s="6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3:18">
      <c r="C237" s="6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3:18">
      <c r="C238" s="6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3:18">
      <c r="C239" s="6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3:18">
      <c r="C240" s="6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3:18">
      <c r="C241" s="6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3:18">
      <c r="C242" s="6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3:18">
      <c r="C243" s="6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3:18">
      <c r="C244" s="6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3:18">
      <c r="C245" s="6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3:18">
      <c r="C246" s="6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3:18">
      <c r="C247" s="6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3:18">
      <c r="C248" s="6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3:18">
      <c r="C249" s="6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3:18">
      <c r="C250" s="6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3:18">
      <c r="C251" s="6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3:18">
      <c r="C252" s="6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3:18">
      <c r="C253" s="6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3:18">
      <c r="C254" s="6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3:18">
      <c r="C255" s="6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3:18">
      <c r="C256" s="6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3:18">
      <c r="C257" s="6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3:18">
      <c r="C258" s="6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3:18">
      <c r="C259" s="6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3:18">
      <c r="C260" s="6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</row>
    <row r="261" spans="3:18">
      <c r="C261" s="6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</row>
    <row r="262" spans="3:18">
      <c r="C262" s="6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</row>
    <row r="263" spans="3:18">
      <c r="C263" s="6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</row>
    <row r="264" spans="3:18">
      <c r="C264" s="6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</row>
    <row r="265" spans="3:18">
      <c r="C265" s="6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</row>
    <row r="266" spans="3:18">
      <c r="C266" s="6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</row>
    <row r="267" spans="3:18">
      <c r="C267" s="6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</row>
    <row r="268" spans="3:18">
      <c r="C268" s="6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</row>
    <row r="269" spans="3:18">
      <c r="C269" s="6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</row>
    <row r="270" spans="3:18">
      <c r="C270" s="6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</row>
    <row r="271" spans="3:18">
      <c r="C271" s="6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</row>
    <row r="272" spans="3:18">
      <c r="C272" s="6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</row>
    <row r="273" spans="3:18">
      <c r="C273" s="6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</row>
    <row r="274" spans="3:18">
      <c r="C274" s="6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</row>
    <row r="275" spans="3:18">
      <c r="C275" s="6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</row>
    <row r="276" spans="3:18">
      <c r="C276" s="6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</row>
    <row r="277" spans="3:18">
      <c r="C277" s="6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</row>
    <row r="278" spans="3:18">
      <c r="C278" s="6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</row>
    <row r="279" spans="3:18">
      <c r="C279" s="6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</row>
    <row r="280" spans="3:18">
      <c r="C280" s="6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</row>
    <row r="281" spans="3:18">
      <c r="C281" s="6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</row>
    <row r="282" spans="3:18">
      <c r="C282" s="6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</row>
    <row r="283" spans="3:18">
      <c r="C283" s="6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</row>
    <row r="284" spans="3:18">
      <c r="C284" s="6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</row>
    <row r="285" spans="3:18">
      <c r="C285" s="6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</row>
    <row r="286" spans="3:18">
      <c r="C286" s="6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</row>
    <row r="287" spans="3:18">
      <c r="C287" s="6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</row>
    <row r="288" spans="3:18">
      <c r="C288" s="6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</row>
    <row r="289" spans="3:18">
      <c r="C289" s="6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</row>
    <row r="290" spans="3:18">
      <c r="C290" s="6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</row>
    <row r="291" spans="3:18">
      <c r="C291" s="6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</row>
    <row r="292" spans="3:18">
      <c r="C292" s="6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</row>
    <row r="293" spans="3:18">
      <c r="C293" s="6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</row>
    <row r="294" spans="3:18">
      <c r="C294" s="6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</row>
    <row r="295" spans="3:18">
      <c r="C295" s="6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</row>
    <row r="296" spans="3:18">
      <c r="C296" s="6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</row>
    <row r="297" spans="3:18">
      <c r="C297" s="6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</row>
    <row r="298" spans="3:18">
      <c r="C298" s="6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</row>
    <row r="299" spans="3:18">
      <c r="C299" s="6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</row>
    <row r="300" spans="3:18">
      <c r="C300" s="6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</row>
    <row r="301" spans="3:18">
      <c r="C301" s="6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</row>
    <row r="302" spans="3:18">
      <c r="C302" s="6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</row>
    <row r="303" spans="3:18">
      <c r="C303" s="6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</row>
    <row r="304" spans="3:18">
      <c r="C304" s="6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</row>
    <row r="305" spans="3:18">
      <c r="C305" s="6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</row>
    <row r="306" spans="3:18">
      <c r="C306" s="6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</row>
    <row r="307" spans="3:18">
      <c r="C307" s="6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</row>
    <row r="308" spans="3:18">
      <c r="C308" s="6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</row>
    <row r="309" spans="3:18">
      <c r="C309" s="6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</row>
    <row r="310" spans="3:18">
      <c r="C310" s="6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</row>
    <row r="311" spans="3:18">
      <c r="C311" s="6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</row>
    <row r="312" spans="3:18">
      <c r="C312" s="6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</row>
    <row r="313" spans="3:18">
      <c r="C313" s="6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</row>
    <row r="314" spans="3:18">
      <c r="C314" s="6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</row>
    <row r="315" spans="3:18">
      <c r="C315" s="6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</row>
    <row r="316" spans="3:18">
      <c r="C316" s="6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</row>
    <row r="317" spans="3:18">
      <c r="C317" s="6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</row>
    <row r="318" spans="3:18">
      <c r="C318" s="6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</row>
    <row r="319" spans="3:18">
      <c r="C319" s="6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</row>
    <row r="320" spans="3:18">
      <c r="C320" s="6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</row>
    <row r="321" spans="3:18">
      <c r="C321" s="6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</row>
    <row r="322" spans="3:18">
      <c r="C322" s="6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</row>
    <row r="323" spans="3:18">
      <c r="C323" s="6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</row>
    <row r="324" spans="3:18">
      <c r="C324" s="6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</row>
    <row r="325" spans="3:18">
      <c r="C325" s="6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</row>
    <row r="326" spans="3:18">
      <c r="C326" s="6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</row>
    <row r="327" spans="3:18">
      <c r="C327" s="6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</row>
    <row r="328" spans="3:18">
      <c r="C328" s="6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</row>
    <row r="329" spans="3:18">
      <c r="C329" s="6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</row>
    <row r="330" spans="3:18">
      <c r="C330" s="6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</row>
    <row r="331" spans="3:18">
      <c r="C331" s="6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</row>
    <row r="332" spans="3:18">
      <c r="C332" s="6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</row>
    <row r="333" spans="3:18">
      <c r="C333" s="6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</row>
    <row r="334" spans="3:18">
      <c r="C334" s="6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</row>
    <row r="335" spans="3:18">
      <c r="C335" s="6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</row>
    <row r="336" spans="3:18">
      <c r="C336" s="6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</row>
    <row r="337" spans="3:18">
      <c r="C337" s="6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</row>
    <row r="338" spans="3:18">
      <c r="C338" s="6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</row>
    <row r="339" spans="3:18">
      <c r="C339" s="6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</row>
    <row r="340" spans="3:18">
      <c r="C340" s="6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</row>
    <row r="341" spans="3:18">
      <c r="C341" s="6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</row>
    <row r="342" spans="3:18">
      <c r="C342" s="6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</row>
    <row r="343" spans="3:18">
      <c r="C343" s="6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</row>
    <row r="344" spans="3:18">
      <c r="C344" s="6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</row>
    <row r="345" spans="3:18">
      <c r="C345" s="6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</row>
    <row r="346" spans="3:18">
      <c r="C346" s="6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</row>
    <row r="347" spans="3:18">
      <c r="C347" s="6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</row>
    <row r="348" spans="3:18">
      <c r="C348" s="6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</row>
    <row r="349" spans="3:18">
      <c r="C349" s="6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</row>
    <row r="350" spans="3:18">
      <c r="C350" s="6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</row>
    <row r="351" spans="3:18">
      <c r="C351" s="6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</row>
    <row r="352" spans="3:18">
      <c r="C352" s="6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</row>
    <row r="353" spans="3:18">
      <c r="C353" s="6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</row>
    <row r="354" spans="3:18">
      <c r="C354" s="6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</row>
    <row r="355" spans="3:18">
      <c r="C355" s="6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</row>
    <row r="356" spans="3:18">
      <c r="C356" s="6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</row>
    <row r="357" spans="3:18">
      <c r="C357" s="6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</row>
    <row r="358" spans="3:18">
      <c r="C358" s="6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</row>
    <row r="359" spans="3:18">
      <c r="C359" s="6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</row>
    <row r="360" spans="3:18">
      <c r="C360" s="6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</row>
    <row r="361" spans="3:18">
      <c r="C361" s="6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</row>
    <row r="362" spans="3:18">
      <c r="C362" s="6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</row>
    <row r="363" spans="3:18">
      <c r="C363" s="6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</row>
    <row r="364" spans="3:18">
      <c r="C364" s="6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</row>
    <row r="365" spans="3:18">
      <c r="C365" s="6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</row>
    <row r="366" spans="3:18">
      <c r="C366" s="6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</row>
    <row r="367" spans="3:18">
      <c r="C367" s="6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</row>
    <row r="368" spans="3:18">
      <c r="C368" s="6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</row>
    <row r="369" spans="3:18">
      <c r="C369" s="6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</row>
    <row r="370" spans="3:18">
      <c r="C370" s="6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</row>
    <row r="371" spans="3:18">
      <c r="C371" s="6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</row>
    <row r="372" spans="3:18">
      <c r="C372" s="6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</row>
    <row r="373" spans="3:18">
      <c r="C373" s="6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</row>
    <row r="374" spans="3:18">
      <c r="C374" s="6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</row>
    <row r="375" spans="3:18">
      <c r="C375" s="6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</row>
    <row r="376" spans="3:18">
      <c r="C376" s="6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</row>
    <row r="377" spans="3:18">
      <c r="C377" s="6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</row>
    <row r="378" spans="3:18">
      <c r="C378" s="6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</row>
    <row r="379" spans="3:18">
      <c r="C379" s="6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</row>
    <row r="380" spans="3:18">
      <c r="C380" s="6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</row>
    <row r="381" spans="3:18">
      <c r="C381" s="6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</row>
    <row r="382" spans="3:18">
      <c r="C382" s="6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</row>
    <row r="383" spans="3:18">
      <c r="C383" s="6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</row>
    <row r="384" spans="3:18">
      <c r="C384" s="6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</row>
    <row r="385" spans="3:18">
      <c r="C385" s="6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</row>
    <row r="386" spans="3:18">
      <c r="C386" s="6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</row>
    <row r="387" spans="3:18">
      <c r="C387" s="6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</row>
    <row r="388" spans="3:18">
      <c r="C388" s="6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</row>
    <row r="389" spans="3:18">
      <c r="C389" s="6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</row>
    <row r="390" spans="3:18">
      <c r="C390" s="6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</row>
    <row r="391" spans="3:18">
      <c r="C391" s="6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</row>
    <row r="392" spans="3:18">
      <c r="C392" s="6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</row>
    <row r="393" spans="3:18">
      <c r="C393" s="6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</row>
    <row r="394" spans="3:18">
      <c r="C394" s="6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</row>
    <row r="395" spans="3:18">
      <c r="C395" s="6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</row>
    <row r="396" spans="3:18">
      <c r="C396" s="6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</row>
    <row r="397" spans="3:18">
      <c r="C397" s="6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</row>
    <row r="398" spans="3:18">
      <c r="C398" s="6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</row>
    <row r="399" spans="3:18">
      <c r="C399" s="6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</row>
    <row r="400" spans="3:18">
      <c r="C400" s="6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</row>
    <row r="401" spans="3:18">
      <c r="C401" s="6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</row>
    <row r="402" spans="3:18">
      <c r="C402" s="6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</row>
    <row r="403" spans="3:18">
      <c r="C403" s="6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</row>
    <row r="404" spans="3:18">
      <c r="C404" s="6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</row>
    <row r="405" spans="3:18">
      <c r="C405" s="6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</row>
    <row r="406" spans="3:18">
      <c r="C406" s="6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</row>
    <row r="407" spans="3:18">
      <c r="C407" s="6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</row>
    <row r="408" spans="3:18">
      <c r="C408" s="6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</row>
    <row r="409" spans="3:18">
      <c r="C409" s="6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</row>
    <row r="410" spans="3:18">
      <c r="C410" s="6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</row>
    <row r="411" spans="3:18">
      <c r="C411" s="6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</row>
    <row r="412" spans="3:18">
      <c r="C412" s="6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</row>
    <row r="413" spans="3:18">
      <c r="C413" s="6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</row>
    <row r="414" spans="3:18">
      <c r="C414" s="6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</row>
    <row r="415" spans="3:18">
      <c r="C415" s="6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</row>
    <row r="416" spans="3:18">
      <c r="C416" s="6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</row>
    <row r="417" spans="3:18">
      <c r="C417" s="6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</row>
    <row r="418" spans="3:18">
      <c r="C418" s="6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</row>
    <row r="419" spans="3:18">
      <c r="C419" s="6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</row>
    <row r="420" spans="3:18">
      <c r="C420" s="6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</row>
    <row r="421" spans="3:18">
      <c r="C421" s="6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</row>
    <row r="422" spans="3:18">
      <c r="C422" s="6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</row>
    <row r="423" spans="3:18">
      <c r="C423" s="6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</row>
    <row r="424" spans="3:18">
      <c r="C424" s="6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</row>
    <row r="425" spans="3:18">
      <c r="C425" s="6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</row>
    <row r="426" spans="3:18">
      <c r="C426" s="6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</row>
    <row r="427" spans="3:18">
      <c r="C427" s="6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</row>
    <row r="428" spans="3:18">
      <c r="C428" s="6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</row>
    <row r="429" spans="3:18">
      <c r="C429" s="6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</row>
    <row r="430" spans="3:18">
      <c r="C430" s="6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</row>
    <row r="431" spans="3:18">
      <c r="C431" s="6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</row>
    <row r="432" spans="3:18">
      <c r="C432" s="6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</row>
    <row r="433" spans="3:18">
      <c r="C433" s="6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</row>
    <row r="434" spans="3:18">
      <c r="C434" s="6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</row>
    <row r="435" spans="3:18">
      <c r="C435" s="6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</row>
    <row r="436" spans="3:18">
      <c r="C436" s="6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</row>
    <row r="437" spans="3:18">
      <c r="C437" s="6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</row>
    <row r="438" spans="3:18">
      <c r="C438" s="6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</row>
    <row r="439" spans="3:18">
      <c r="C439" s="6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</row>
    <row r="440" spans="3:18">
      <c r="C440" s="6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</row>
    <row r="441" spans="3:18">
      <c r="C441" s="6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</row>
    <row r="442" spans="3:18">
      <c r="C442" s="6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</row>
    <row r="443" spans="3:18">
      <c r="C443" s="6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</row>
    <row r="444" spans="3:18">
      <c r="C444" s="6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</row>
    <row r="445" spans="3:18">
      <c r="C445" s="6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</row>
    <row r="446" spans="3:18">
      <c r="C446" s="6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</row>
    <row r="447" spans="3:18">
      <c r="C447" s="6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</row>
    <row r="448" spans="3:18">
      <c r="C448" s="6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</row>
    <row r="449" spans="3:18">
      <c r="C449" s="6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</row>
    <row r="450" spans="3:18">
      <c r="C450" s="6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</row>
    <row r="451" spans="3:18">
      <c r="C451" s="6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</row>
    <row r="452" spans="3:18">
      <c r="C452" s="6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</row>
    <row r="453" spans="3:18">
      <c r="C453" s="6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</row>
    <row r="454" spans="3:18">
      <c r="C454" s="6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</row>
    <row r="455" spans="3:18">
      <c r="C455" s="6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</row>
    <row r="456" spans="3:18">
      <c r="C456" s="6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</row>
    <row r="457" spans="3:18">
      <c r="C457" s="6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</row>
    <row r="458" spans="3:18">
      <c r="C458" s="6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</row>
    <row r="459" spans="3:18">
      <c r="C459" s="6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</row>
    <row r="460" spans="3:18">
      <c r="C460" s="6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</row>
    <row r="461" spans="3:18">
      <c r="C461" s="6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</row>
    <row r="462" spans="3:18">
      <c r="C462" s="6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</row>
    <row r="463" spans="3:18">
      <c r="C463" s="6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</row>
    <row r="464" spans="3:18">
      <c r="C464" s="6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</row>
    <row r="465" spans="3:18">
      <c r="C465" s="6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</row>
    <row r="466" spans="3:18">
      <c r="C466" s="6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</row>
    <row r="467" spans="3:18">
      <c r="C467" s="6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</row>
    <row r="468" spans="3:18">
      <c r="C468" s="6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</row>
    <row r="469" spans="3:18">
      <c r="C469" s="6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</row>
    <row r="470" spans="3:18">
      <c r="C470" s="6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</row>
    <row r="471" spans="3:18">
      <c r="C471" s="6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</row>
    <row r="472" spans="3:18">
      <c r="C472" s="6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</row>
    <row r="473" spans="3:18">
      <c r="C473" s="6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</row>
    <row r="474" spans="3:18">
      <c r="C474" s="6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</row>
    <row r="475" spans="3:18">
      <c r="C475" s="6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</row>
    <row r="476" spans="3:18">
      <c r="C476" s="6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</row>
    <row r="477" spans="3:18">
      <c r="C477" s="6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</row>
    <row r="478" spans="3:18">
      <c r="C478" s="6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</row>
    <row r="479" spans="3:18">
      <c r="C479" s="6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</row>
    <row r="480" spans="3:18">
      <c r="C480" s="6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</row>
    <row r="481" spans="3:18">
      <c r="C481" s="6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</row>
    <row r="482" spans="3:18">
      <c r="C482" s="6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</row>
    <row r="483" spans="3:18">
      <c r="C483" s="6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</row>
    <row r="484" spans="3:18">
      <c r="C484" s="6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</row>
    <row r="485" spans="3:18">
      <c r="C485" s="6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</row>
    <row r="486" spans="3:18">
      <c r="C486" s="6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</row>
    <row r="487" spans="3:18">
      <c r="C487" s="6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</row>
    <row r="488" spans="3:18">
      <c r="C488" s="6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</row>
    <row r="489" spans="3:18">
      <c r="C489" s="6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</row>
    <row r="490" spans="3:18">
      <c r="C490" s="6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</row>
    <row r="491" spans="3:18">
      <c r="C491" s="6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</row>
    <row r="492" spans="3:18">
      <c r="C492" s="6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</row>
    <row r="493" spans="3:18">
      <c r="C493" s="6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</row>
    <row r="494" spans="3:18">
      <c r="C494" s="6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</row>
    <row r="495" spans="3:18">
      <c r="C495" s="6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</row>
    <row r="496" spans="3:18">
      <c r="C496" s="6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</row>
    <row r="497" spans="3:18">
      <c r="C497" s="6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</row>
    <row r="498" spans="3:18">
      <c r="C498" s="6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</row>
    <row r="499" spans="3:18">
      <c r="C499" s="6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</row>
    <row r="500" spans="3:18">
      <c r="C500" s="6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</row>
    <row r="501" spans="3:18">
      <c r="C501" s="6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</row>
    <row r="502" spans="3:18">
      <c r="C502" s="6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</row>
    <row r="503" spans="3:18">
      <c r="C503" s="6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</row>
    <row r="504" spans="3:18">
      <c r="C504" s="6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</row>
    <row r="505" spans="3:18">
      <c r="C505" s="6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</row>
    <row r="506" spans="3:18">
      <c r="C506" s="6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</row>
    <row r="507" spans="3:18">
      <c r="C507" s="6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</row>
    <row r="508" spans="3:18">
      <c r="C508" s="6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</row>
    <row r="509" spans="3:18">
      <c r="C509" s="6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</row>
    <row r="510" spans="3:18">
      <c r="C510" s="6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</row>
    <row r="511" spans="3:18">
      <c r="C511" s="6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</row>
    <row r="512" spans="3:18">
      <c r="C512" s="6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</row>
    <row r="513" spans="3:18">
      <c r="C513" s="6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</row>
    <row r="514" spans="3:18">
      <c r="C514" s="6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</row>
    <row r="515" spans="3:18">
      <c r="C515" s="6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</row>
    <row r="516" spans="3:18">
      <c r="C516" s="6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</row>
    <row r="517" spans="3:18">
      <c r="C517" s="6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</row>
    <row r="518" spans="3:18">
      <c r="C518" s="6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</row>
    <row r="519" spans="3:18">
      <c r="C519" s="6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</row>
    <row r="520" spans="3:18">
      <c r="C520" s="6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</row>
    <row r="521" spans="3:18">
      <c r="C521" s="6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</row>
    <row r="522" spans="3:18">
      <c r="C522" s="6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</row>
    <row r="523" spans="3:18">
      <c r="C523" s="6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</row>
    <row r="524" spans="3:18">
      <c r="C524" s="6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</row>
    <row r="525" spans="3:18">
      <c r="C525" s="6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</row>
    <row r="526" spans="3:18">
      <c r="C526" s="6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</row>
    <row r="527" spans="3:18">
      <c r="C527" s="6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</row>
    <row r="528" spans="3:18">
      <c r="C528" s="6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</row>
    <row r="529" spans="3:18">
      <c r="C529" s="6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</row>
    <row r="530" spans="3:18">
      <c r="C530" s="6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</row>
    <row r="531" spans="3:18">
      <c r="C531" s="6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</row>
    <row r="532" spans="3:18">
      <c r="C532" s="6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</row>
    <row r="533" spans="3:18">
      <c r="C533" s="6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</row>
    <row r="534" spans="3:18">
      <c r="C534" s="6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</row>
    <row r="535" spans="3:18">
      <c r="C535" s="6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</row>
    <row r="536" spans="3:18">
      <c r="C536" s="6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</row>
    <row r="537" spans="3:18">
      <c r="C537" s="6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</row>
    <row r="538" spans="3:18">
      <c r="C538" s="6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</row>
    <row r="539" spans="3:18">
      <c r="C539" s="6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</row>
    <row r="540" spans="3:18">
      <c r="C540" s="6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</row>
    <row r="541" spans="3:18">
      <c r="C541" s="6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</row>
    <row r="542" spans="3:18">
      <c r="C542" s="6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</row>
    <row r="543" spans="3:18">
      <c r="C543" s="6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</row>
    <row r="544" spans="3:18">
      <c r="C544" s="6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</row>
    <row r="545" spans="3:18">
      <c r="C545" s="6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</row>
    <row r="546" spans="3:18">
      <c r="C546" s="6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</row>
    <row r="547" spans="3:18">
      <c r="C547" s="6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</row>
    <row r="548" spans="3:18">
      <c r="C548" s="6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</row>
    <row r="549" spans="3:18">
      <c r="C549" s="6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</row>
    <row r="550" spans="3:18">
      <c r="C550" s="6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</row>
    <row r="551" spans="3:18">
      <c r="C551" s="6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</row>
    <row r="552" spans="3:18">
      <c r="C552" s="6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</row>
    <row r="553" spans="3:18">
      <c r="C553" s="6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</row>
    <row r="554" spans="3:18">
      <c r="C554" s="6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</row>
    <row r="555" spans="3:18">
      <c r="C555" s="6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</row>
    <row r="556" spans="3:18">
      <c r="C556" s="6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</row>
    <row r="557" spans="3:18">
      <c r="C557" s="6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</row>
    <row r="558" spans="3:18">
      <c r="C558" s="6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</row>
    <row r="559" spans="3:18">
      <c r="C559" s="6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</row>
    <row r="560" spans="3:18">
      <c r="C560" s="6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</row>
    <row r="561" spans="3:18">
      <c r="C561" s="6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</row>
    <row r="562" spans="3:18">
      <c r="C562" s="6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</row>
    <row r="563" spans="3:18">
      <c r="C563" s="6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</row>
    <row r="564" spans="3:18">
      <c r="C564" s="6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</row>
    <row r="565" spans="3:18">
      <c r="C565" s="6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</row>
    <row r="566" spans="3:18">
      <c r="C566" s="6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</row>
    <row r="567" spans="3:18">
      <c r="C567" s="6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</row>
    <row r="568" spans="3:18">
      <c r="C568" s="6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</row>
    <row r="569" spans="3:18">
      <c r="C569" s="6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</row>
    <row r="570" spans="3:18">
      <c r="C570" s="6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</row>
    <row r="571" spans="3:18">
      <c r="C571" s="6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</row>
    <row r="572" spans="3:18">
      <c r="C572" s="6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</row>
    <row r="573" spans="3:18">
      <c r="C573" s="6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</row>
    <row r="574" spans="3:18">
      <c r="C574" s="6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</row>
    <row r="575" spans="3:18">
      <c r="C575" s="6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</row>
    <row r="576" spans="3:18">
      <c r="C576" s="6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</row>
    <row r="577" spans="3:18">
      <c r="C577" s="6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</row>
    <row r="578" spans="3:18">
      <c r="C578" s="6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</row>
    <row r="579" spans="3:18">
      <c r="C579" s="6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</row>
    <row r="580" spans="3:18">
      <c r="C580" s="6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</row>
    <row r="581" spans="3:18">
      <c r="C581" s="6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</row>
    <row r="582" spans="3:18">
      <c r="C582" s="6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</row>
    <row r="583" spans="3:18">
      <c r="C583" s="6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</row>
    <row r="584" spans="3:18">
      <c r="C584" s="6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</row>
    <row r="585" spans="3:18">
      <c r="C585" s="6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</row>
    <row r="586" spans="3:18">
      <c r="C586" s="6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</row>
    <row r="587" spans="3:18">
      <c r="C587" s="6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</row>
    <row r="588" spans="3:18">
      <c r="C588" s="6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</row>
    <row r="589" spans="3:18">
      <c r="C589" s="6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</row>
    <row r="590" spans="3:18">
      <c r="C590" s="6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</row>
    <row r="591" spans="3:18">
      <c r="C591" s="6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</row>
    <row r="592" spans="3:18">
      <c r="C592" s="6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</row>
    <row r="593" spans="3:18">
      <c r="C593" s="6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</row>
    <row r="594" spans="3:18">
      <c r="C594" s="6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</row>
    <row r="595" spans="3:18">
      <c r="C595" s="6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</row>
    <row r="596" spans="3:18">
      <c r="C596" s="6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</row>
    <row r="597" spans="3:18">
      <c r="C597" s="6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</row>
    <row r="598" spans="3:18">
      <c r="C598" s="6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</row>
    <row r="599" spans="3:18">
      <c r="C599" s="6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</row>
    <row r="600" spans="3:18">
      <c r="C600" s="6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</row>
    <row r="601" spans="3:18">
      <c r="C601" s="6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</row>
    <row r="602" spans="3:18">
      <c r="C602" s="6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</row>
    <row r="603" spans="3:18">
      <c r="C603" s="6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</row>
    <row r="604" spans="3:18">
      <c r="C604" s="6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</row>
    <row r="605" spans="3:18">
      <c r="C605" s="6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</row>
    <row r="606" spans="3:18">
      <c r="C606" s="6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</row>
    <row r="607" spans="3:18">
      <c r="C607" s="6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</row>
    <row r="608" spans="3:18">
      <c r="C608" s="6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</row>
    <row r="609" spans="3:18">
      <c r="C609" s="6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</row>
    <row r="610" spans="3:18">
      <c r="C610" s="6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</row>
    <row r="611" spans="3:18">
      <c r="C611" s="6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</row>
    <row r="612" spans="3:18">
      <c r="C612" s="6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</row>
    <row r="613" spans="3:18">
      <c r="C613" s="6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</row>
    <row r="614" spans="3:18">
      <c r="C614" s="6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</row>
    <row r="615" spans="3:18">
      <c r="C615" s="6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</row>
    <row r="616" spans="3:18">
      <c r="C616" s="6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</row>
    <row r="617" spans="3:18">
      <c r="C617" s="6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</row>
    <row r="618" spans="3:18">
      <c r="C618" s="6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</row>
    <row r="619" spans="3:18">
      <c r="C619" s="6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</row>
    <row r="620" spans="3:18">
      <c r="C620" s="6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</row>
    <row r="621" spans="3:18">
      <c r="C621" s="6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</row>
    <row r="622" spans="3:18">
      <c r="C622" s="6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</row>
    <row r="623" spans="3:18">
      <c r="C623" s="6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</row>
    <row r="624" spans="3:18">
      <c r="C624" s="6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</row>
    <row r="625" spans="3:18">
      <c r="C625" s="6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</row>
    <row r="626" spans="3:18">
      <c r="C626" s="6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</row>
    <row r="627" spans="3:18">
      <c r="C627" s="6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</row>
    <row r="628" spans="3:18">
      <c r="C628" s="6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</row>
    <row r="629" spans="3:18">
      <c r="C629" s="6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</row>
    <row r="630" spans="3:18">
      <c r="C630" s="6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</row>
    <row r="631" spans="3:18">
      <c r="C631" s="6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</row>
    <row r="632" spans="3:18">
      <c r="C632" s="6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</row>
    <row r="633" spans="3:18">
      <c r="C633" s="6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</row>
    <row r="634" spans="3:18">
      <c r="C634" s="6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</row>
    <row r="635" spans="3:18">
      <c r="C635" s="6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</row>
    <row r="636" spans="3:18">
      <c r="C636" s="6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</row>
    <row r="637" spans="3:18">
      <c r="C637" s="6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</row>
    <row r="638" spans="3:18">
      <c r="C638" s="6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</row>
    <row r="639" spans="3:18">
      <c r="C639" s="6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</row>
    <row r="640" spans="3:18">
      <c r="C640" s="6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</row>
    <row r="641" spans="3:18">
      <c r="C641" s="6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</row>
    <row r="642" spans="3:18">
      <c r="C642" s="6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</row>
    <row r="643" spans="3:18">
      <c r="C643" s="6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</row>
    <row r="644" spans="3:18">
      <c r="C644" s="6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</row>
    <row r="645" spans="3:18">
      <c r="C645" s="6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</row>
    <row r="646" spans="3:18">
      <c r="C646" s="6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</row>
    <row r="647" spans="3:18">
      <c r="C647" s="6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</row>
    <row r="648" spans="3:18">
      <c r="C648" s="6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</row>
    <row r="649" spans="3:18">
      <c r="C649" s="6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</row>
    <row r="650" spans="3:18">
      <c r="C650" s="6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</row>
    <row r="651" spans="3:18">
      <c r="C651" s="6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</row>
    <row r="652" spans="3:18">
      <c r="C652" s="6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</row>
    <row r="653" spans="3:18">
      <c r="C653" s="6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</row>
    <row r="654" spans="3:18">
      <c r="C654" s="6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</row>
    <row r="655" spans="3:18">
      <c r="C655" s="6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</row>
    <row r="656" spans="3:18">
      <c r="C656" s="6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</row>
    <row r="657" spans="3:18">
      <c r="C657" s="6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</row>
    <row r="658" spans="3:18">
      <c r="C658" s="6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</row>
    <row r="659" spans="3:18">
      <c r="C659" s="6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</row>
    <row r="660" spans="3:18">
      <c r="C660" s="6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</row>
    <row r="661" spans="3:18">
      <c r="C661" s="6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</row>
    <row r="662" spans="3:18">
      <c r="C662" s="6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</row>
    <row r="663" spans="3:18">
      <c r="C663" s="6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</row>
    <row r="664" spans="3:18">
      <c r="C664" s="6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</row>
    <row r="665" spans="3:18">
      <c r="C665" s="6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</row>
    <row r="666" spans="3:18">
      <c r="C666" s="6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</row>
    <row r="667" spans="3:18">
      <c r="C667" s="6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</row>
    <row r="668" spans="3:18">
      <c r="C668" s="6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</row>
    <row r="669" spans="3:18">
      <c r="C669" s="6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</row>
    <row r="670" spans="3:18">
      <c r="C670" s="6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</row>
    <row r="671" spans="3:18">
      <c r="C671" s="6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</row>
    <row r="672" spans="3:18">
      <c r="C672" s="6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</row>
    <row r="673" spans="3:18">
      <c r="C673" s="6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</row>
    <row r="674" spans="3:18">
      <c r="C674" s="6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</row>
    <row r="675" spans="3:18">
      <c r="C675" s="6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</row>
    <row r="676" spans="3:18">
      <c r="C676" s="6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</row>
    <row r="677" spans="3:18">
      <c r="C677" s="6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</row>
    <row r="678" spans="3:18">
      <c r="C678" s="6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</row>
    <row r="679" spans="3:18">
      <c r="C679" s="6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</row>
    <row r="680" spans="3:18">
      <c r="C680" s="6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</row>
    <row r="681" spans="3:18">
      <c r="C681" s="6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</row>
    <row r="682" spans="3:18">
      <c r="C682" s="6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</row>
    <row r="683" spans="3:18">
      <c r="C683" s="6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</row>
    <row r="684" spans="3:18">
      <c r="C684" s="6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</row>
    <row r="685" spans="3:18">
      <c r="C685" s="6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</row>
    <row r="686" spans="3:18">
      <c r="C686" s="6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</row>
    <row r="687" spans="3:18">
      <c r="C687" s="6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</row>
    <row r="688" spans="3:18">
      <c r="C688" s="6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</row>
    <row r="689" spans="3:18">
      <c r="C689" s="6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</row>
    <row r="690" spans="3:18">
      <c r="C690" s="6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</row>
    <row r="691" spans="3:18">
      <c r="C691" s="6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</row>
    <row r="692" spans="3:18">
      <c r="C692" s="6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</row>
    <row r="693" spans="3:18">
      <c r="C693" s="6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</row>
    <row r="694" spans="3:18">
      <c r="C694" s="6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</row>
    <row r="695" spans="3:18">
      <c r="C695" s="6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</row>
    <row r="696" spans="3:18">
      <c r="C696" s="6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</row>
    <row r="697" spans="3:18">
      <c r="C697" s="6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</row>
    <row r="698" spans="3:18">
      <c r="C698" s="6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</row>
    <row r="699" spans="3:18">
      <c r="C699" s="6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</row>
    <row r="700" spans="3:18">
      <c r="C700" s="6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</row>
    <row r="701" spans="3:18">
      <c r="C701" s="6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</row>
    <row r="702" spans="3:18">
      <c r="C702" s="6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</row>
    <row r="703" spans="3:18">
      <c r="C703" s="6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</row>
    <row r="704" spans="3:18">
      <c r="C704" s="6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</row>
    <row r="705" spans="3:18">
      <c r="C705" s="6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</row>
    <row r="706" spans="3:18">
      <c r="C706" s="6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</row>
    <row r="707" spans="3:18">
      <c r="C707" s="6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</row>
    <row r="708" spans="3:18">
      <c r="C708" s="6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</row>
    <row r="709" spans="3:18">
      <c r="C709" s="6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</row>
    <row r="710" spans="3:18">
      <c r="C710" s="6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</row>
    <row r="711" spans="3:18">
      <c r="C711" s="6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</row>
    <row r="712" spans="3:18">
      <c r="C712" s="6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</row>
    <row r="713" spans="3:18">
      <c r="C713" s="6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</row>
    <row r="714" spans="3:18">
      <c r="C714" s="6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</row>
    <row r="715" spans="3:18">
      <c r="C715" s="6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</row>
    <row r="716" spans="3:18">
      <c r="C716" s="6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</row>
    <row r="717" spans="3:18">
      <c r="C717" s="6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</row>
    <row r="718" spans="3:18">
      <c r="C718" s="6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</row>
    <row r="719" spans="3:18">
      <c r="C719" s="6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</row>
    <row r="720" spans="3:18">
      <c r="C720" s="6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</row>
    <row r="721" spans="3:18">
      <c r="C721" s="6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</row>
    <row r="722" spans="3:18">
      <c r="C722" s="6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</row>
    <row r="723" spans="3:18">
      <c r="C723" s="6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</row>
    <row r="724" spans="3:18">
      <c r="C724" s="6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</row>
    <row r="725" spans="3:18">
      <c r="C725" s="6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</row>
    <row r="726" spans="3:18">
      <c r="C726" s="6"/>
    </row>
    <row r="727" spans="3:18">
      <c r="C727" s="6"/>
    </row>
    <row r="728" spans="3:18">
      <c r="C728" s="6"/>
    </row>
    <row r="729" spans="3:18">
      <c r="C729" s="6"/>
    </row>
    <row r="730" spans="3:18">
      <c r="C730" s="6"/>
    </row>
    <row r="731" spans="3:18">
      <c r="C731" s="6"/>
    </row>
    <row r="732" spans="3:18">
      <c r="C732" s="6"/>
    </row>
    <row r="733" spans="3:18">
      <c r="C733" s="6"/>
    </row>
    <row r="734" spans="3:18">
      <c r="C734" s="6"/>
    </row>
    <row r="735" spans="3:18">
      <c r="C735" s="6"/>
    </row>
    <row r="736" spans="3:18">
      <c r="C736" s="6"/>
    </row>
    <row r="737" spans="3:3">
      <c r="C737" s="6"/>
    </row>
    <row r="738" spans="3:3">
      <c r="C738" s="6"/>
    </row>
    <row r="739" spans="3:3">
      <c r="C739" s="6"/>
    </row>
    <row r="740" spans="3:3">
      <c r="C740" s="6"/>
    </row>
    <row r="741" spans="3:3">
      <c r="C741" s="6"/>
    </row>
    <row r="742" spans="3:3">
      <c r="C742" s="6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R97"/>
  <sheetViews>
    <sheetView zoomScale="90" zoomScaleNormal="90" workbookViewId="0">
      <selection activeCell="D72" sqref="D72:R76"/>
    </sheetView>
  </sheetViews>
  <sheetFormatPr baseColWidth="10" defaultColWidth="9.1640625" defaultRowHeight="15"/>
  <cols>
    <col min="1" max="1" width="50.5" style="1" customWidth="1"/>
    <col min="2" max="2" width="15" style="1" customWidth="1"/>
    <col min="3" max="3" width="12.83203125" style="1" customWidth="1"/>
    <col min="4" max="4" width="13.1640625" style="1" bestFit="1" customWidth="1"/>
    <col min="5" max="5" width="13.5" style="1" customWidth="1"/>
    <col min="6" max="6" width="12.83203125" style="1" customWidth="1"/>
    <col min="7" max="7" width="11" style="1" customWidth="1"/>
    <col min="8" max="18" width="12.1640625" style="1" bestFit="1" customWidth="1"/>
    <col min="19" max="16384" width="9.1640625" style="1"/>
  </cols>
  <sheetData>
    <row r="1" spans="1:18">
      <c r="A1" s="37" t="s">
        <v>167</v>
      </c>
      <c r="B1" s="38" t="s">
        <v>105</v>
      </c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3" spans="1:18">
      <c r="A3" s="43" t="s">
        <v>168</v>
      </c>
      <c r="B3" s="44"/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18">
      <c r="A4" s="7" t="s">
        <v>113</v>
      </c>
      <c r="B4" s="13"/>
      <c r="C4" s="6" t="s">
        <v>60</v>
      </c>
      <c r="D4" s="80">
        <f>'OPEX &amp; SALES'!D4</f>
        <v>0</v>
      </c>
      <c r="E4" s="80">
        <f>'OPEX &amp; SALES'!E4</f>
        <v>0</v>
      </c>
      <c r="F4" s="80">
        <f>'OPEX &amp; SALES'!F4</f>
        <v>163157.95930751189</v>
      </c>
      <c r="G4" s="80">
        <f>'OPEX &amp; SALES'!G4</f>
        <v>806000.31897910871</v>
      </c>
      <c r="H4" s="80">
        <f>'OPEX &amp; SALES'!H4</f>
        <v>882358.24393502437</v>
      </c>
      <c r="I4" s="80">
        <f>'OPEX &amp; SALES'!I4</f>
        <v>917652.57369242539</v>
      </c>
      <c r="J4" s="80">
        <f>'OPEX &amp; SALES'!J4</f>
        <v>954358.67664012243</v>
      </c>
      <c r="K4" s="80">
        <f>'OPEX &amp; SALES'!K4</f>
        <v>992533.02370572742</v>
      </c>
      <c r="L4" s="80">
        <f>'OPEX &amp; SALES'!L4</f>
        <v>1032234.3446539565</v>
      </c>
      <c r="M4" s="80">
        <f>'OPEX &amp; SALES'!M4</f>
        <v>1073523.7184401148</v>
      </c>
      <c r="N4" s="80">
        <f>'OPEX &amp; SALES'!N4</f>
        <v>1116464.6671777193</v>
      </c>
      <c r="O4" s="80">
        <f>'OPEX &amp; SALES'!O4</f>
        <v>1161123.253864828</v>
      </c>
      <c r="P4" s="80">
        <f>'OPEX &amp; SALES'!P4</f>
        <v>1207568.1840194212</v>
      </c>
      <c r="Q4" s="80">
        <f>'OPEX &amp; SALES'!Q4</f>
        <v>1255870.9113801983</v>
      </c>
      <c r="R4" s="80">
        <f>'OPEX &amp; SALES'!R4</f>
        <v>1306105.7478354063</v>
      </c>
    </row>
    <row r="5" spans="1:18">
      <c r="A5" s="7" t="s">
        <v>169</v>
      </c>
      <c r="B5" s="13"/>
      <c r="C5" s="6" t="s">
        <v>60</v>
      </c>
      <c r="D5" s="80">
        <f>SUM(D6:D11)</f>
        <v>100453.33333333334</v>
      </c>
      <c r="E5" s="80">
        <f t="shared" ref="E5:R5" si="0">SUM(E6:E11)</f>
        <v>53751.681120000008</v>
      </c>
      <c r="F5" s="80">
        <f t="shared" si="0"/>
        <v>194725.05517556224</v>
      </c>
      <c r="G5" s="80">
        <f t="shared" si="0"/>
        <v>546911.45010820276</v>
      </c>
      <c r="H5" s="80">
        <f t="shared" si="0"/>
        <v>592253.37756664655</v>
      </c>
      <c r="I5" s="80">
        <f t="shared" si="0"/>
        <v>614610.17933597916</v>
      </c>
      <c r="J5" s="80">
        <f t="shared" si="0"/>
        <v>637861.25317608495</v>
      </c>
      <c r="K5" s="80">
        <f t="shared" si="0"/>
        <v>662042.36996979511</v>
      </c>
      <c r="L5" s="80">
        <f t="shared" si="0"/>
        <v>687190.73143525352</v>
      </c>
      <c r="M5" s="80">
        <f t="shared" si="0"/>
        <v>713345.02735933021</v>
      </c>
      <c r="N5" s="80">
        <f t="shared" si="0"/>
        <v>740545.49512037029</v>
      </c>
      <c r="O5" s="80">
        <f t="shared" si="0"/>
        <v>768833.98159185168</v>
      </c>
      <c r="P5" s="80">
        <f t="shared" si="0"/>
        <v>837906.83495576365</v>
      </c>
      <c r="Q5" s="80">
        <f t="shared" si="0"/>
        <v>869010.67502066097</v>
      </c>
      <c r="R5" s="80">
        <f t="shared" si="0"/>
        <v>901389.46868815401</v>
      </c>
    </row>
    <row r="6" spans="1:18">
      <c r="A6" s="15" t="s">
        <v>176</v>
      </c>
      <c r="B6" s="13"/>
      <c r="C6" s="6" t="s">
        <v>60</v>
      </c>
      <c r="D6" s="80">
        <f>'OPEX &amp; SALES'!D61</f>
        <v>0</v>
      </c>
      <c r="E6" s="80">
        <f>'OPEX &amp; SALES'!E61</f>
        <v>0</v>
      </c>
      <c r="F6" s="80">
        <f>'OPEX &amp; SALES'!F61</f>
        <v>46674.870165638509</v>
      </c>
      <c r="G6" s="80">
        <f>'OPEX &amp; SALES'!G61</f>
        <v>92185.680316302678</v>
      </c>
      <c r="H6" s="80">
        <f>'OPEX &amp; SALES'!H61</f>
        <v>100967.07914230925</v>
      </c>
      <c r="I6" s="80">
        <f>'OPEX &amp; SALES'!I61</f>
        <v>105005.76230800162</v>
      </c>
      <c r="J6" s="80">
        <f>'OPEX &amp; SALES'!J61</f>
        <v>109205.99280032169</v>
      </c>
      <c r="K6" s="80">
        <f>'OPEX &amp; SALES'!K61</f>
        <v>113574.23251233454</v>
      </c>
      <c r="L6" s="80">
        <f>'OPEX &amp; SALES'!L61</f>
        <v>118117.20181282795</v>
      </c>
      <c r="M6" s="80">
        <f>'OPEX &amp; SALES'!M61</f>
        <v>122841.88988534106</v>
      </c>
      <c r="N6" s="80">
        <f>'OPEX &amp; SALES'!N61</f>
        <v>127755.56548075471</v>
      </c>
      <c r="O6" s="80">
        <f>'OPEX &amp; SALES'!O61</f>
        <v>132865.78809998487</v>
      </c>
      <c r="P6" s="80">
        <f>'OPEX &amp; SALES'!P61</f>
        <v>167203.44456359438</v>
      </c>
      <c r="Q6" s="80">
        <f>'OPEX &amp; SALES'!Q61</f>
        <v>173891.58234613817</v>
      </c>
      <c r="R6" s="80">
        <f>'OPEX &amp; SALES'!R61</f>
        <v>180847.24563998368</v>
      </c>
    </row>
    <row r="7" spans="1:18">
      <c r="A7" s="15" t="s">
        <v>177</v>
      </c>
      <c r="B7" s="13"/>
      <c r="C7" s="6" t="s">
        <v>60</v>
      </c>
      <c r="D7" s="80">
        <f>'OPEX &amp; SALES'!D9</f>
        <v>0</v>
      </c>
      <c r="E7" s="80">
        <f>'OPEX &amp; SALES'!E9</f>
        <v>0</v>
      </c>
      <c r="F7" s="80">
        <f>'OPEX &amp; SALES'!F9</f>
        <v>64434.689260601008</v>
      </c>
      <c r="G7" s="80">
        <f>'OPEX &amp; SALES'!G9</f>
        <v>318805.28517694218</v>
      </c>
      <c r="H7" s="80">
        <f>'OPEX &amp; SALES'!H9</f>
        <v>349007.89114107355</v>
      </c>
      <c r="I7" s="80">
        <f>'OPEX &amp; SALES'!I9</f>
        <v>362968.20678671653</v>
      </c>
      <c r="J7" s="80">
        <f>'OPEX &amp; SALES'!J9</f>
        <v>377486.93505818519</v>
      </c>
      <c r="K7" s="80">
        <f>'OPEX &amp; SALES'!K9</f>
        <v>392586.41246051271</v>
      </c>
      <c r="L7" s="80">
        <f>'OPEX &amp; SALES'!L9</f>
        <v>408289.86895893316</v>
      </c>
      <c r="M7" s="80">
        <f>'OPEX &amp; SALES'!M9</f>
        <v>424621.46371729043</v>
      </c>
      <c r="N7" s="80">
        <f>'OPEX &amp; SALES'!N9</f>
        <v>441606.32226598216</v>
      </c>
      <c r="O7" s="80">
        <f>'OPEX &amp; SALES'!O9</f>
        <v>459270.5751566214</v>
      </c>
      <c r="P7" s="80">
        <f>'OPEX &amp; SALES'!P9</f>
        <v>477641.39816288638</v>
      </c>
      <c r="Q7" s="80">
        <f>'OPEX &amp; SALES'!Q9</f>
        <v>496747.05408940185</v>
      </c>
      <c r="R7" s="80">
        <f>'OPEX &amp; SALES'!R9</f>
        <v>516616.93625297793</v>
      </c>
    </row>
    <row r="8" spans="1:18">
      <c r="A8" s="15" t="s">
        <v>87</v>
      </c>
      <c r="B8" s="13"/>
      <c r="C8" s="6" t="s">
        <v>60</v>
      </c>
      <c r="D8" s="80">
        <f>'OPEX &amp; SALES'!D64</f>
        <v>17120</v>
      </c>
      <c r="E8" s="80">
        <f>'OPEX &amp; SALES'!E64</f>
        <v>53751.681120000008</v>
      </c>
      <c r="F8" s="80">
        <f>'OPEX &amp; SALES'!F64</f>
        <v>69032.162415989398</v>
      </c>
      <c r="G8" s="80">
        <f>'OPEX &amp; SALES'!G64</f>
        <v>102587.15128162455</v>
      </c>
      <c r="H8" s="80">
        <f>'OPEX &amp; SALES'!H64</f>
        <v>108945.07394993035</v>
      </c>
      <c r="I8" s="80">
        <f>'OPEX &amp; SALES'!I64</f>
        <v>113302.87690792758</v>
      </c>
      <c r="J8" s="80">
        <f>'OPEX &amp; SALES'!J64</f>
        <v>117834.99198424467</v>
      </c>
      <c r="K8" s="80">
        <f>'OPEX &amp; SALES'!K64</f>
        <v>122548.39166361446</v>
      </c>
      <c r="L8" s="80">
        <f>'OPEX &amp; SALES'!L64</f>
        <v>127450.32733015905</v>
      </c>
      <c r="M8" s="80">
        <f>'OPEX &amp; SALES'!M64</f>
        <v>132548.34042336541</v>
      </c>
      <c r="N8" s="80">
        <f>'OPEX &amp; SALES'!N64</f>
        <v>137850.27404030005</v>
      </c>
      <c r="O8" s="80">
        <f>'OPEX &amp; SALES'!O64</f>
        <v>143364.28500191204</v>
      </c>
      <c r="P8" s="80">
        <f>'OPEX &amp; SALES'!P64</f>
        <v>152001.15889594954</v>
      </c>
      <c r="Q8" s="80">
        <f>'OPEX &amp; SALES'!Q64</f>
        <v>158081.20525178756</v>
      </c>
      <c r="R8" s="80">
        <f>'OPEX &amp; SALES'!R64</f>
        <v>164404.45346185903</v>
      </c>
    </row>
    <row r="9" spans="1:18">
      <c r="A9" s="15" t="s">
        <v>308</v>
      </c>
      <c r="B9" s="13"/>
      <c r="C9" s="6" t="s">
        <v>60</v>
      </c>
      <c r="D9" s="80">
        <f>'CAPEX | Finance'!D50</f>
        <v>83333.333333333343</v>
      </c>
      <c r="E9" s="80">
        <f>'CAPEX | Finance'!E50</f>
        <v>0</v>
      </c>
      <c r="F9" s="80">
        <f>'CAPEX | Finance'!F50</f>
        <v>8333.3333333333339</v>
      </c>
      <c r="G9" s="80">
        <f>'CAPEX | Finance'!G50</f>
        <v>8333.3333333333339</v>
      </c>
      <c r="H9" s="80">
        <f>'CAPEX | Finance'!H50</f>
        <v>8333.3333333333339</v>
      </c>
      <c r="I9" s="80">
        <f>'CAPEX | Finance'!I50</f>
        <v>8333.3333333333339</v>
      </c>
      <c r="J9" s="80">
        <f>'CAPEX | Finance'!J50</f>
        <v>8333.3333333333339</v>
      </c>
      <c r="K9" s="80">
        <f>'CAPEX | Finance'!K50</f>
        <v>8333.3333333333339</v>
      </c>
      <c r="L9" s="80">
        <f>'CAPEX | Finance'!L50</f>
        <v>8333.3333333333339</v>
      </c>
      <c r="M9" s="80">
        <f>'CAPEX | Finance'!M50</f>
        <v>8333.3333333333339</v>
      </c>
      <c r="N9" s="80">
        <f>'CAPEX | Finance'!N50</f>
        <v>8333.3333333333339</v>
      </c>
      <c r="O9" s="80">
        <f>'CAPEX | Finance'!O50</f>
        <v>8333.3333333333339</v>
      </c>
      <c r="P9" s="80">
        <f>'CAPEX | Finance'!P50</f>
        <v>8333.3333333333339</v>
      </c>
      <c r="Q9" s="80">
        <f>'CAPEX | Finance'!Q50</f>
        <v>8333.3333333333339</v>
      </c>
      <c r="R9" s="80">
        <f>'CAPEX | Finance'!R50</f>
        <v>8333.3333333333339</v>
      </c>
    </row>
    <row r="10" spans="1:18">
      <c r="A10" s="15" t="s">
        <v>88</v>
      </c>
      <c r="B10" s="13"/>
      <c r="C10" s="6" t="s">
        <v>60</v>
      </c>
      <c r="D10" s="80">
        <f>'OPEX &amp; SALES'!D71</f>
        <v>0</v>
      </c>
      <c r="E10" s="80">
        <f>'OPEX &amp; SALES'!E71</f>
        <v>0</v>
      </c>
      <c r="F10" s="80">
        <f>'OPEX &amp; SALES'!F71</f>
        <v>0</v>
      </c>
      <c r="G10" s="80">
        <f>'OPEX &amp; SALES'!G71</f>
        <v>0</v>
      </c>
      <c r="H10" s="80">
        <f>'OPEX &amp; SALES'!H71</f>
        <v>0</v>
      </c>
      <c r="I10" s="80">
        <f>'OPEX &amp; SALES'!I71</f>
        <v>0</v>
      </c>
      <c r="J10" s="80">
        <f>'OPEX &amp; SALES'!J71</f>
        <v>0</v>
      </c>
      <c r="K10" s="80">
        <f>'OPEX &amp; SALES'!K71</f>
        <v>0</v>
      </c>
      <c r="L10" s="80">
        <f>'OPEX &amp; SALES'!L71</f>
        <v>0</v>
      </c>
      <c r="M10" s="80">
        <f>'OPEX &amp; SALES'!M71</f>
        <v>0</v>
      </c>
      <c r="N10" s="80">
        <f>'OPEX &amp; SALES'!N71</f>
        <v>0</v>
      </c>
      <c r="O10" s="80">
        <f>'OPEX &amp; SALES'!O71</f>
        <v>0</v>
      </c>
      <c r="P10" s="80">
        <f>'OPEX &amp; SALES'!P71</f>
        <v>7727.5</v>
      </c>
      <c r="Q10" s="80">
        <f>'OPEX &amp; SALES'!Q71</f>
        <v>6957.5</v>
      </c>
      <c r="R10" s="80">
        <f>'OPEX &amp; SALES'!R71</f>
        <v>6187.5</v>
      </c>
    </row>
    <row r="11" spans="1:18">
      <c r="A11" s="15" t="s">
        <v>178</v>
      </c>
      <c r="B11" s="13"/>
      <c r="C11" s="6" t="s">
        <v>60</v>
      </c>
      <c r="D11" s="80">
        <f>'CAPEX | Finance'!D32</f>
        <v>0</v>
      </c>
      <c r="E11" s="80">
        <f>'CAPEX | Finance'!E32</f>
        <v>0</v>
      </c>
      <c r="F11" s="80">
        <f>'CAPEX | Finance'!F32</f>
        <v>6250</v>
      </c>
      <c r="G11" s="80">
        <f>'CAPEX | Finance'!G32</f>
        <v>25000</v>
      </c>
      <c r="H11" s="80">
        <f>'CAPEX | Finance'!H32</f>
        <v>25000</v>
      </c>
      <c r="I11" s="80">
        <f>'CAPEX | Finance'!I32</f>
        <v>25000</v>
      </c>
      <c r="J11" s="80">
        <f>'CAPEX | Finance'!J32</f>
        <v>25000</v>
      </c>
      <c r="K11" s="80">
        <f>'CAPEX | Finance'!K32</f>
        <v>25000</v>
      </c>
      <c r="L11" s="80">
        <f>'CAPEX | Finance'!L32</f>
        <v>25000</v>
      </c>
      <c r="M11" s="80">
        <f>'CAPEX | Finance'!M32</f>
        <v>25000</v>
      </c>
      <c r="N11" s="80">
        <f>'CAPEX | Finance'!N32</f>
        <v>25000</v>
      </c>
      <c r="O11" s="80">
        <f>'CAPEX | Finance'!O32</f>
        <v>25000</v>
      </c>
      <c r="P11" s="80">
        <f>'CAPEX | Finance'!P32</f>
        <v>25000</v>
      </c>
      <c r="Q11" s="80">
        <f>'CAPEX | Finance'!Q32</f>
        <v>25000</v>
      </c>
      <c r="R11" s="80">
        <f>'CAPEX | Finance'!R32</f>
        <v>25000</v>
      </c>
    </row>
    <row r="12" spans="1:18">
      <c r="A12" s="9" t="s">
        <v>170</v>
      </c>
      <c r="B12" s="17"/>
      <c r="C12" s="34" t="s">
        <v>60</v>
      </c>
      <c r="D12" s="85">
        <f>D4-D5</f>
        <v>-100453.33333333334</v>
      </c>
      <c r="E12" s="85">
        <f t="shared" ref="E12:R12" si="1">E4-E5</f>
        <v>-53751.681120000008</v>
      </c>
      <c r="F12" s="85">
        <f>F4-F5</f>
        <v>-31567.095868050354</v>
      </c>
      <c r="G12" s="85">
        <f t="shared" si="1"/>
        <v>259088.86887090595</v>
      </c>
      <c r="H12" s="85">
        <f t="shared" si="1"/>
        <v>290104.86636837781</v>
      </c>
      <c r="I12" s="85">
        <f t="shared" si="1"/>
        <v>303042.39435644622</v>
      </c>
      <c r="J12" s="85">
        <f t="shared" si="1"/>
        <v>316497.42346403748</v>
      </c>
      <c r="K12" s="85">
        <f t="shared" si="1"/>
        <v>330490.65373593231</v>
      </c>
      <c r="L12" s="85">
        <f t="shared" si="1"/>
        <v>345043.61321870296</v>
      </c>
      <c r="M12" s="85">
        <f t="shared" si="1"/>
        <v>360178.69108078454</v>
      </c>
      <c r="N12" s="85">
        <f t="shared" si="1"/>
        <v>375919.172057349</v>
      </c>
      <c r="O12" s="85">
        <f t="shared" si="1"/>
        <v>392289.27227297635</v>
      </c>
      <c r="P12" s="85">
        <f t="shared" si="1"/>
        <v>369661.34906365757</v>
      </c>
      <c r="Q12" s="85">
        <f t="shared" si="1"/>
        <v>386860.23635953735</v>
      </c>
      <c r="R12" s="85">
        <f t="shared" si="1"/>
        <v>404716.27914725232</v>
      </c>
    </row>
    <row r="13" spans="1:18">
      <c r="A13" s="9" t="s">
        <v>326</v>
      </c>
      <c r="B13" s="17"/>
      <c r="C13" s="34" t="s">
        <v>7</v>
      </c>
      <c r="D13" s="106"/>
      <c r="E13" s="106"/>
      <c r="F13" s="107">
        <f>F12/F4</f>
        <v>-0.19347567229959209</v>
      </c>
      <c r="G13" s="107">
        <f t="shared" ref="G13:R13" si="2">G12/G4</f>
        <v>0.32145008230154493</v>
      </c>
      <c r="H13" s="107">
        <f t="shared" si="2"/>
        <v>0.3287835392964728</v>
      </c>
      <c r="I13" s="107">
        <f t="shared" si="2"/>
        <v>0.33023652201733877</v>
      </c>
      <c r="J13" s="107">
        <f t="shared" si="2"/>
        <v>0.33163362078740233</v>
      </c>
      <c r="K13" s="107">
        <f t="shared" si="2"/>
        <v>0.33297698498938644</v>
      </c>
      <c r="L13" s="107">
        <f t="shared" si="2"/>
        <v>0.33426868133744808</v>
      </c>
      <c r="M13" s="107">
        <f t="shared" si="2"/>
        <v>0.33551069705673831</v>
      </c>
      <c r="N13" s="107">
        <f t="shared" si="2"/>
        <v>0.33670494294067083</v>
      </c>
      <c r="O13" s="107">
        <f t="shared" si="2"/>
        <v>0.3378532562906062</v>
      </c>
      <c r="P13" s="107">
        <f t="shared" si="2"/>
        <v>0.30612047746507398</v>
      </c>
      <c r="Q13" s="107">
        <f t="shared" si="2"/>
        <v>0.30804140206924541</v>
      </c>
      <c r="R13" s="107">
        <f t="shared" si="2"/>
        <v>0.3098648634063389</v>
      </c>
    </row>
    <row r="14" spans="1:18">
      <c r="A14" s="7" t="s">
        <v>171</v>
      </c>
      <c r="B14" s="13"/>
      <c r="C14" s="97" t="s">
        <v>60</v>
      </c>
      <c r="D14" s="80">
        <f>D12+D11</f>
        <v>-100453.33333333334</v>
      </c>
      <c r="E14" s="80">
        <f t="shared" ref="E14:R14" si="3">E12+E11</f>
        <v>-53751.681120000008</v>
      </c>
      <c r="F14" s="80">
        <f>F12+F11</f>
        <v>-25317.095868050354</v>
      </c>
      <c r="G14" s="80">
        <f t="shared" si="3"/>
        <v>284088.86887090595</v>
      </c>
      <c r="H14" s="80">
        <f t="shared" si="3"/>
        <v>315104.86636837781</v>
      </c>
      <c r="I14" s="80">
        <f t="shared" si="3"/>
        <v>328042.39435644622</v>
      </c>
      <c r="J14" s="80">
        <f t="shared" si="3"/>
        <v>341497.42346403748</v>
      </c>
      <c r="K14" s="80">
        <f t="shared" si="3"/>
        <v>355490.65373593231</v>
      </c>
      <c r="L14" s="80">
        <f t="shared" si="3"/>
        <v>370043.61321870296</v>
      </c>
      <c r="M14" s="80">
        <f t="shared" si="3"/>
        <v>385178.69108078454</v>
      </c>
      <c r="N14" s="80">
        <f t="shared" si="3"/>
        <v>400919.172057349</v>
      </c>
      <c r="O14" s="80">
        <f t="shared" si="3"/>
        <v>417289.27227297635</v>
      </c>
      <c r="P14" s="80">
        <f t="shared" si="3"/>
        <v>394661.34906365757</v>
      </c>
      <c r="Q14" s="80">
        <f t="shared" si="3"/>
        <v>411860.23635953735</v>
      </c>
      <c r="R14" s="80">
        <f t="shared" si="3"/>
        <v>429716.27914725232</v>
      </c>
    </row>
    <row r="15" spans="1:18">
      <c r="A15" s="7" t="s">
        <v>172</v>
      </c>
      <c r="B15" s="13"/>
      <c r="C15" s="97" t="s">
        <v>60</v>
      </c>
      <c r="D15" s="80">
        <f>D12</f>
        <v>-100453.33333333334</v>
      </c>
      <c r="E15" s="80">
        <f t="shared" ref="E15:R15" si="4">E12</f>
        <v>-53751.681120000008</v>
      </c>
      <c r="F15" s="80">
        <f t="shared" si="4"/>
        <v>-31567.095868050354</v>
      </c>
      <c r="G15" s="80">
        <f t="shared" si="4"/>
        <v>259088.86887090595</v>
      </c>
      <c r="H15" s="80">
        <f t="shared" si="4"/>
        <v>290104.86636837781</v>
      </c>
      <c r="I15" s="80">
        <f t="shared" si="4"/>
        <v>303042.39435644622</v>
      </c>
      <c r="J15" s="80">
        <f t="shared" si="4"/>
        <v>316497.42346403748</v>
      </c>
      <c r="K15" s="80">
        <f t="shared" si="4"/>
        <v>330490.65373593231</v>
      </c>
      <c r="L15" s="80">
        <f t="shared" si="4"/>
        <v>345043.61321870296</v>
      </c>
      <c r="M15" s="80">
        <f t="shared" si="4"/>
        <v>360178.69108078454</v>
      </c>
      <c r="N15" s="80">
        <f t="shared" si="4"/>
        <v>375919.172057349</v>
      </c>
      <c r="O15" s="80">
        <f t="shared" si="4"/>
        <v>392289.27227297635</v>
      </c>
      <c r="P15" s="80">
        <f t="shared" si="4"/>
        <v>369661.34906365757</v>
      </c>
      <c r="Q15" s="80">
        <f t="shared" si="4"/>
        <v>386860.23635953735</v>
      </c>
      <c r="R15" s="80">
        <f t="shared" si="4"/>
        <v>404716.27914725232</v>
      </c>
    </row>
    <row r="16" spans="1:18">
      <c r="A16" s="7" t="s">
        <v>173</v>
      </c>
      <c r="B16" s="13"/>
      <c r="C16" s="97" t="s">
        <v>60</v>
      </c>
      <c r="D16" s="80">
        <f>'CAPEX | Finance'!D43</f>
        <v>0</v>
      </c>
      <c r="E16" s="80">
        <f>'CAPEX | Finance'!E43</f>
        <v>0</v>
      </c>
      <c r="F16" s="80">
        <f>'CAPEX | Finance'!F43</f>
        <v>0</v>
      </c>
      <c r="G16" s="80">
        <f>'CAPEX | Finance'!G43</f>
        <v>0</v>
      </c>
      <c r="H16" s="80">
        <f>'CAPEX | Finance'!H43</f>
        <v>0</v>
      </c>
      <c r="I16" s="80">
        <f>'CAPEX | Finance'!I43</f>
        <v>0</v>
      </c>
      <c r="J16" s="80">
        <f>'CAPEX | Finance'!J43</f>
        <v>0</v>
      </c>
      <c r="K16" s="80">
        <f>'CAPEX | Finance'!K43</f>
        <v>0</v>
      </c>
      <c r="L16" s="80">
        <f>'CAPEX | Finance'!L43</f>
        <v>0</v>
      </c>
      <c r="M16" s="80">
        <f>'CAPEX | Finance'!M43</f>
        <v>0</v>
      </c>
      <c r="N16" s="80">
        <f>'CAPEX | Finance'!N43</f>
        <v>0</v>
      </c>
      <c r="O16" s="80">
        <f>'CAPEX | Finance'!O43</f>
        <v>0</v>
      </c>
      <c r="P16" s="80">
        <f>'CAPEX | Finance'!P43</f>
        <v>0</v>
      </c>
      <c r="Q16" s="80">
        <f>'CAPEX | Finance'!Q43</f>
        <v>0</v>
      </c>
      <c r="R16" s="80">
        <f>'CAPEX | Finance'!R43</f>
        <v>0</v>
      </c>
    </row>
    <row r="17" spans="1:18">
      <c r="A17" s="7" t="s">
        <v>174</v>
      </c>
      <c r="B17" s="13"/>
      <c r="C17" s="97" t="s">
        <v>60</v>
      </c>
      <c r="D17" s="80">
        <f>'CAPEX | Finance'!D33</f>
        <v>0</v>
      </c>
      <c r="E17" s="80">
        <f>'CAPEX | Finance'!E33</f>
        <v>0</v>
      </c>
      <c r="F17" s="80">
        <f>'CAPEX | Finance'!F33</f>
        <v>6250</v>
      </c>
      <c r="G17" s="80">
        <f>'CAPEX | Finance'!G33</f>
        <v>25000</v>
      </c>
      <c r="H17" s="80">
        <f>'CAPEX | Finance'!H33</f>
        <v>25000</v>
      </c>
      <c r="I17" s="80">
        <f>'CAPEX | Finance'!I33</f>
        <v>25000</v>
      </c>
      <c r="J17" s="80">
        <f>'CAPEX | Finance'!J33</f>
        <v>25000</v>
      </c>
      <c r="K17" s="80">
        <f>'CAPEX | Finance'!K33</f>
        <v>25000</v>
      </c>
      <c r="L17" s="80">
        <f>'CAPEX | Finance'!L33</f>
        <v>25000</v>
      </c>
      <c r="M17" s="80">
        <f>'CAPEX | Finance'!M33</f>
        <v>25000</v>
      </c>
      <c r="N17" s="80">
        <f>'CAPEX | Finance'!N33</f>
        <v>25000</v>
      </c>
      <c r="O17" s="80">
        <f>'CAPEX | Finance'!O33</f>
        <v>25000</v>
      </c>
      <c r="P17" s="80">
        <f>'CAPEX | Finance'!P33</f>
        <v>25000</v>
      </c>
      <c r="Q17" s="80">
        <f>'CAPEX | Finance'!Q33</f>
        <v>25000</v>
      </c>
      <c r="R17" s="80">
        <f>'CAPEX | Finance'!R33</f>
        <v>25000</v>
      </c>
    </row>
    <row r="18" spans="1:18">
      <c r="A18" s="9" t="s">
        <v>175</v>
      </c>
      <c r="B18" s="17"/>
      <c r="C18" s="34" t="s">
        <v>60</v>
      </c>
      <c r="D18" s="85">
        <f>D12-D16+D17</f>
        <v>-100453.33333333334</v>
      </c>
      <c r="E18" s="85">
        <f t="shared" ref="E18:R18" si="5">E12-E16+E17</f>
        <v>-53751.681120000008</v>
      </c>
      <c r="F18" s="85">
        <f>F12-F16+F17</f>
        <v>-25317.095868050354</v>
      </c>
      <c r="G18" s="85">
        <f>G12-G16+G17</f>
        <v>284088.86887090595</v>
      </c>
      <c r="H18" s="85">
        <f t="shared" si="5"/>
        <v>315104.86636837781</v>
      </c>
      <c r="I18" s="85">
        <f t="shared" si="5"/>
        <v>328042.39435644622</v>
      </c>
      <c r="J18" s="85">
        <f t="shared" si="5"/>
        <v>341497.42346403748</v>
      </c>
      <c r="K18" s="85">
        <f t="shared" si="5"/>
        <v>355490.65373593231</v>
      </c>
      <c r="L18" s="85">
        <f t="shared" si="5"/>
        <v>370043.61321870296</v>
      </c>
      <c r="M18" s="85">
        <f t="shared" si="5"/>
        <v>385178.69108078454</v>
      </c>
      <c r="N18" s="85">
        <f t="shared" si="5"/>
        <v>400919.172057349</v>
      </c>
      <c r="O18" s="85">
        <f t="shared" si="5"/>
        <v>417289.27227297635</v>
      </c>
      <c r="P18" s="85">
        <f t="shared" si="5"/>
        <v>394661.34906365757</v>
      </c>
      <c r="Q18" s="85">
        <f t="shared" si="5"/>
        <v>411860.23635953735</v>
      </c>
      <c r="R18" s="85">
        <f t="shared" si="5"/>
        <v>429716.27914725232</v>
      </c>
    </row>
    <row r="19" spans="1:18">
      <c r="A19" s="7" t="s">
        <v>66</v>
      </c>
      <c r="B19" s="13"/>
      <c r="C19" s="97" t="s">
        <v>60</v>
      </c>
      <c r="D19" s="80">
        <f>Налоги!D43</f>
        <v>0</v>
      </c>
      <c r="E19" s="80">
        <f>Налоги!E43</f>
        <v>0</v>
      </c>
      <c r="F19" s="80">
        <f>Налоги!F43</f>
        <v>0</v>
      </c>
      <c r="G19" s="80">
        <f>Налоги!G43</f>
        <v>14204.443443545299</v>
      </c>
      <c r="H19" s="80">
        <f>Налоги!H43</f>
        <v>15755.243318418892</v>
      </c>
      <c r="I19" s="80">
        <f>Налоги!I43</f>
        <v>16402.119717822312</v>
      </c>
      <c r="J19" s="80">
        <f>Налоги!J43</f>
        <v>17074.871173201875</v>
      </c>
      <c r="K19" s="80">
        <f>Налоги!K43</f>
        <v>60433.411135108494</v>
      </c>
      <c r="L19" s="80">
        <f>Налоги!L43</f>
        <v>62907.414247179506</v>
      </c>
      <c r="M19" s="80">
        <f>Налоги!M43</f>
        <v>65480.377483733377</v>
      </c>
      <c r="N19" s="80">
        <f>Налоги!N43</f>
        <v>68156.259249749332</v>
      </c>
      <c r="O19" s="80">
        <f>Налоги!O43</f>
        <v>70939.176286405986</v>
      </c>
      <c r="P19" s="80">
        <f>Налоги!P43</f>
        <v>98665.337265914393</v>
      </c>
      <c r="Q19" s="80">
        <f>Налоги!Q43</f>
        <v>102965.05908988434</v>
      </c>
      <c r="R19" s="80">
        <f>Налоги!R43</f>
        <v>107429.06978681308</v>
      </c>
    </row>
    <row r="20" spans="1:18">
      <c r="A20" s="9" t="s">
        <v>151</v>
      </c>
      <c r="B20" s="17"/>
      <c r="C20" s="34" t="s">
        <v>60</v>
      </c>
      <c r="D20" s="85">
        <f>Налоги!D44</f>
        <v>-100453.33333333334</v>
      </c>
      <c r="E20" s="85">
        <f>Налоги!E44</f>
        <v>-53751.681120000008</v>
      </c>
      <c r="F20" s="85">
        <f>Налоги!F44</f>
        <v>-25317.095868050354</v>
      </c>
      <c r="G20" s="85">
        <f>Налоги!G44</f>
        <v>269884.42542736063</v>
      </c>
      <c r="H20" s="85">
        <f>Налоги!H44</f>
        <v>299349.6230499589</v>
      </c>
      <c r="I20" s="85">
        <f>Налоги!I44</f>
        <v>311640.27463862393</v>
      </c>
      <c r="J20" s="85">
        <f>Налоги!J44</f>
        <v>324422.55229083559</v>
      </c>
      <c r="K20" s="85">
        <f>Налоги!K44</f>
        <v>295057.24260082381</v>
      </c>
      <c r="L20" s="85">
        <f>Налоги!L44</f>
        <v>307136.19897152344</v>
      </c>
      <c r="M20" s="85">
        <f>Налоги!M44</f>
        <v>319698.31359705119</v>
      </c>
      <c r="N20" s="85">
        <f>Налоги!N44</f>
        <v>332762.91280759964</v>
      </c>
      <c r="O20" s="85">
        <f>Налоги!O44</f>
        <v>346350.09598657035</v>
      </c>
      <c r="P20" s="85">
        <f>Налоги!P44</f>
        <v>295996.01179774315</v>
      </c>
      <c r="Q20" s="85">
        <f>Налоги!Q44</f>
        <v>308895.17726965301</v>
      </c>
      <c r="R20" s="85">
        <f>Налоги!R44</f>
        <v>322287.20936043921</v>
      </c>
    </row>
    <row r="21" spans="1:18">
      <c r="A21" s="9" t="s">
        <v>327</v>
      </c>
      <c r="B21" s="17"/>
      <c r="C21" s="34"/>
      <c r="D21" s="106"/>
      <c r="E21" s="106"/>
      <c r="F21" s="107">
        <f>F20/F4</f>
        <v>-0.15516923584668013</v>
      </c>
      <c r="G21" s="107">
        <f t="shared" ref="G21:R21" si="6">G20/G4</f>
        <v>0.33484406776563069</v>
      </c>
      <c r="H21" s="107">
        <f t="shared" si="6"/>
        <v>0.33926086723569232</v>
      </c>
      <c r="I21" s="107">
        <f t="shared" si="6"/>
        <v>0.33960595063189797</v>
      </c>
      <c r="J21" s="107">
        <f t="shared" si="6"/>
        <v>0.33993776158978806</v>
      </c>
      <c r="K21" s="107">
        <f t="shared" si="6"/>
        <v>0.29727700293456866</v>
      </c>
      <c r="L21" s="107">
        <f t="shared" si="6"/>
        <v>0.29754502992679144</v>
      </c>
      <c r="M21" s="107">
        <f t="shared" si="6"/>
        <v>0.2978027481885443</v>
      </c>
      <c r="N21" s="107">
        <f t="shared" si="6"/>
        <v>0.29805055420946008</v>
      </c>
      <c r="O21" s="107">
        <f t="shared" si="6"/>
        <v>0.29828882922957173</v>
      </c>
      <c r="P21" s="107">
        <f t="shared" si="6"/>
        <v>0.24511743164059932</v>
      </c>
      <c r="Q21" s="107">
        <f t="shared" si="6"/>
        <v>0.24596092995750507</v>
      </c>
      <c r="R21" s="107">
        <f t="shared" si="6"/>
        <v>0.2467542998678032</v>
      </c>
    </row>
    <row r="23" spans="1:18">
      <c r="A23" s="43" t="s">
        <v>188</v>
      </c>
      <c r="B23" s="44"/>
      <c r="C23" s="44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6"/>
    </row>
    <row r="24" spans="1:18">
      <c r="A24" s="9" t="s">
        <v>180</v>
      </c>
      <c r="B24" s="17"/>
      <c r="C24" s="34"/>
      <c r="D24" s="85">
        <f>SUM(D25,D28,D29,D36)</f>
        <v>-119140.72131147541</v>
      </c>
      <c r="E24" s="85">
        <f t="shared" ref="E24:R24" si="7">SUM(E25,E28,E29,E36)</f>
        <v>-61487.349639099935</v>
      </c>
      <c r="F24" s="85">
        <f t="shared" si="7"/>
        <v>-69140.046226097693</v>
      </c>
      <c r="G24" s="85">
        <f t="shared" si="7"/>
        <v>89948.242232547113</v>
      </c>
      <c r="H24" s="85">
        <f t="shared" si="7"/>
        <v>278916.87003329641</v>
      </c>
      <c r="I24" s="85">
        <f t="shared" si="7"/>
        <v>301338.72827053024</v>
      </c>
      <c r="J24" s="85">
        <f t="shared" si="7"/>
        <v>314392.13556879398</v>
      </c>
      <c r="K24" s="85">
        <f t="shared" si="7"/>
        <v>284625.60920990043</v>
      </c>
      <c r="L24" s="85">
        <f t="shared" si="7"/>
        <v>297056.11564218649</v>
      </c>
      <c r="M24" s="85">
        <f t="shared" si="7"/>
        <v>307646.6435242052</v>
      </c>
      <c r="N24" s="85">
        <f t="shared" si="7"/>
        <v>321028.74394495203</v>
      </c>
      <c r="O24" s="85">
        <f t="shared" si="7"/>
        <v>334146.5603694169</v>
      </c>
      <c r="P24" s="85">
        <f t="shared" si="7"/>
        <v>285155.63249048358</v>
      </c>
      <c r="Q24" s="85">
        <f t="shared" si="7"/>
        <v>294836.88431908388</v>
      </c>
      <c r="R24" s="85">
        <f t="shared" si="7"/>
        <v>308599.58542828634</v>
      </c>
    </row>
    <row r="25" spans="1:18">
      <c r="A25" s="7" t="s">
        <v>337</v>
      </c>
      <c r="C25" s="97" t="s">
        <v>60</v>
      </c>
      <c r="D25" s="80">
        <f>SUM(D26:D27)</f>
        <v>0</v>
      </c>
      <c r="E25" s="80">
        <f t="shared" ref="E25:R25" si="8">SUM(E26:E27)</f>
        <v>0</v>
      </c>
      <c r="F25" s="80">
        <f t="shared" si="8"/>
        <v>195789.55116901427</v>
      </c>
      <c r="G25" s="80">
        <f t="shared" si="8"/>
        <v>967200.38277493045</v>
      </c>
      <c r="H25" s="80">
        <f t="shared" si="8"/>
        <v>1058829.8927220292</v>
      </c>
      <c r="I25" s="80">
        <f t="shared" si="8"/>
        <v>1101183.0884309104</v>
      </c>
      <c r="J25" s="80">
        <f t="shared" si="8"/>
        <v>1145230.4119681469</v>
      </c>
      <c r="K25" s="80">
        <f t="shared" si="8"/>
        <v>1191039.6284468728</v>
      </c>
      <c r="L25" s="80">
        <f t="shared" si="8"/>
        <v>1238681.2135847476</v>
      </c>
      <c r="M25" s="80">
        <f t="shared" si="8"/>
        <v>1288228.4621281377</v>
      </c>
      <c r="N25" s="80">
        <f t="shared" si="8"/>
        <v>1339757.6006132632</v>
      </c>
      <c r="O25" s="80">
        <f t="shared" si="8"/>
        <v>1393347.9046377935</v>
      </c>
      <c r="P25" s="80">
        <f t="shared" si="8"/>
        <v>1449081.8208233055</v>
      </c>
      <c r="Q25" s="80">
        <f t="shared" si="8"/>
        <v>1507045.0936562379</v>
      </c>
      <c r="R25" s="80">
        <f t="shared" si="8"/>
        <v>1567326.8974024875</v>
      </c>
    </row>
    <row r="26" spans="1:18">
      <c r="A26" s="15" t="s">
        <v>181</v>
      </c>
      <c r="C26" s="97" t="s">
        <v>60</v>
      </c>
      <c r="D26" s="80">
        <f>'OPEX &amp; SALES'!D4</f>
        <v>0</v>
      </c>
      <c r="E26" s="80">
        <f>'OPEX &amp; SALES'!E4</f>
        <v>0</v>
      </c>
      <c r="F26" s="80">
        <f>'OPEX &amp; SALES'!F4</f>
        <v>163157.95930751189</v>
      </c>
      <c r="G26" s="80">
        <f>'OPEX &amp; SALES'!G4</f>
        <v>806000.31897910871</v>
      </c>
      <c r="H26" s="80">
        <f>'OPEX &amp; SALES'!H4</f>
        <v>882358.24393502437</v>
      </c>
      <c r="I26" s="80">
        <f>'OPEX &amp; SALES'!I4</f>
        <v>917652.57369242539</v>
      </c>
      <c r="J26" s="80">
        <f>'OPEX &amp; SALES'!J4</f>
        <v>954358.67664012243</v>
      </c>
      <c r="K26" s="80">
        <f>'OPEX &amp; SALES'!K4</f>
        <v>992533.02370572742</v>
      </c>
      <c r="L26" s="80">
        <f>'OPEX &amp; SALES'!L4</f>
        <v>1032234.3446539565</v>
      </c>
      <c r="M26" s="80">
        <f>'OPEX &amp; SALES'!M4</f>
        <v>1073523.7184401148</v>
      </c>
      <c r="N26" s="80">
        <f>'OPEX &amp; SALES'!N4</f>
        <v>1116464.6671777193</v>
      </c>
      <c r="O26" s="80">
        <f>'OPEX &amp; SALES'!O4</f>
        <v>1161123.253864828</v>
      </c>
      <c r="P26" s="80">
        <f>'OPEX &amp; SALES'!P4</f>
        <v>1207568.1840194212</v>
      </c>
      <c r="Q26" s="80">
        <f>'OPEX &amp; SALES'!Q4</f>
        <v>1255870.9113801983</v>
      </c>
      <c r="R26" s="80">
        <f>'OPEX &amp; SALES'!R4</f>
        <v>1306105.7478354063</v>
      </c>
    </row>
    <row r="27" spans="1:18">
      <c r="A27" s="15" t="s">
        <v>182</v>
      </c>
      <c r="C27" s="97" t="s">
        <v>60</v>
      </c>
      <c r="D27" s="80">
        <f>Налоги!D4</f>
        <v>0</v>
      </c>
      <c r="E27" s="80">
        <f>Налоги!E4</f>
        <v>0</v>
      </c>
      <c r="F27" s="80">
        <f>Налоги!F4</f>
        <v>32631.591861502384</v>
      </c>
      <c r="G27" s="80">
        <f>Налоги!G4</f>
        <v>161200.06379582174</v>
      </c>
      <c r="H27" s="80">
        <f>Налоги!H4</f>
        <v>176471.64878700487</v>
      </c>
      <c r="I27" s="80">
        <f>Налоги!I4</f>
        <v>183530.51473848498</v>
      </c>
      <c r="J27" s="80">
        <f>Налоги!J4</f>
        <v>190871.73532802449</v>
      </c>
      <c r="K27" s="80">
        <f>Налоги!K4</f>
        <v>198506.60474114539</v>
      </c>
      <c r="L27" s="80">
        <f>Налоги!L4</f>
        <v>206446.86893079116</v>
      </c>
      <c r="M27" s="80">
        <f>Налоги!M4</f>
        <v>214704.74368802295</v>
      </c>
      <c r="N27" s="80">
        <f>Налоги!N4</f>
        <v>223292.93343554391</v>
      </c>
      <c r="O27" s="80">
        <f>Налоги!O4</f>
        <v>232224.65077296551</v>
      </c>
      <c r="P27" s="80">
        <f>Налоги!P4</f>
        <v>241513.63680388429</v>
      </c>
      <c r="Q27" s="80">
        <f>Налоги!Q4</f>
        <v>251174.18227603962</v>
      </c>
      <c r="R27" s="80">
        <f>Налоги!R4</f>
        <v>261221.14956708113</v>
      </c>
    </row>
    <row r="28" spans="1:18">
      <c r="A28" s="7" t="s">
        <v>183</v>
      </c>
      <c r="C28" s="97" t="s">
        <v>60</v>
      </c>
      <c r="D28" s="80">
        <f t="shared" ref="D28:R28" si="9">-(D5-D10-D11)</f>
        <v>-100453.33333333334</v>
      </c>
      <c r="E28" s="80">
        <f t="shared" si="9"/>
        <v>-53751.681120000008</v>
      </c>
      <c r="F28" s="80">
        <f t="shared" si="9"/>
        <v>-188475.05517556224</v>
      </c>
      <c r="G28" s="80">
        <f t="shared" si="9"/>
        <v>-521911.45010820276</v>
      </c>
      <c r="H28" s="80">
        <f t="shared" si="9"/>
        <v>-567253.37756664655</v>
      </c>
      <c r="I28" s="80">
        <f t="shared" si="9"/>
        <v>-589610.17933597916</v>
      </c>
      <c r="J28" s="80">
        <f t="shared" si="9"/>
        <v>-612861.25317608495</v>
      </c>
      <c r="K28" s="80">
        <f t="shared" si="9"/>
        <v>-637042.36996979511</v>
      </c>
      <c r="L28" s="80">
        <f t="shared" si="9"/>
        <v>-662190.73143525352</v>
      </c>
      <c r="M28" s="80">
        <f t="shared" si="9"/>
        <v>-688345.02735933021</v>
      </c>
      <c r="N28" s="80">
        <f t="shared" si="9"/>
        <v>-715545.49512037029</v>
      </c>
      <c r="O28" s="80">
        <f t="shared" si="9"/>
        <v>-743833.98159185168</v>
      </c>
      <c r="P28" s="80">
        <f t="shared" si="9"/>
        <v>-805179.33495576365</v>
      </c>
      <c r="Q28" s="80">
        <f t="shared" si="9"/>
        <v>-837053.17502066097</v>
      </c>
      <c r="R28" s="80">
        <f t="shared" si="9"/>
        <v>-870201.96868815401</v>
      </c>
    </row>
    <row r="29" spans="1:18">
      <c r="A29" s="7" t="s">
        <v>184</v>
      </c>
      <c r="C29" s="97" t="s">
        <v>60</v>
      </c>
      <c r="D29" s="80">
        <f t="shared" ref="D29:R29" si="10">SUM(D30:D34)</f>
        <v>-20090.666666666657</v>
      </c>
      <c r="E29" s="80">
        <f t="shared" si="10"/>
        <v>-10750.336223999999</v>
      </c>
      <c r="F29" s="80">
        <f t="shared" si="10"/>
        <v>-32631.591861502384</v>
      </c>
      <c r="G29" s="80">
        <f t="shared" si="10"/>
        <v>-175404.50723936703</v>
      </c>
      <c r="H29" s="80">
        <f t="shared" si="10"/>
        <v>-192226.89210542376</v>
      </c>
      <c r="I29" s="80">
        <f t="shared" si="10"/>
        <v>-199932.63445630731</v>
      </c>
      <c r="J29" s="80">
        <f t="shared" si="10"/>
        <v>-207946.60650122637</v>
      </c>
      <c r="K29" s="80">
        <f t="shared" si="10"/>
        <v>-258940.01587625389</v>
      </c>
      <c r="L29" s="80">
        <f t="shared" si="10"/>
        <v>-269354.28317797068</v>
      </c>
      <c r="M29" s="80">
        <f t="shared" si="10"/>
        <v>-280185.1211717563</v>
      </c>
      <c r="N29" s="80">
        <f t="shared" si="10"/>
        <v>-291449.19268529327</v>
      </c>
      <c r="O29" s="80">
        <f t="shared" si="10"/>
        <v>-303163.82705937151</v>
      </c>
      <c r="P29" s="80">
        <f t="shared" si="10"/>
        <v>-347906.47406979871</v>
      </c>
      <c r="Q29" s="80">
        <f t="shared" si="10"/>
        <v>-361096.74136592395</v>
      </c>
      <c r="R29" s="80">
        <f t="shared" si="10"/>
        <v>-374837.71935389424</v>
      </c>
    </row>
    <row r="30" spans="1:18">
      <c r="A30" s="15" t="s">
        <v>185</v>
      </c>
      <c r="C30" s="97" t="s">
        <v>60</v>
      </c>
      <c r="D30" s="80">
        <f>Налоги!D5</f>
        <v>-3424</v>
      </c>
      <c r="E30" s="80">
        <f>Налоги!E5</f>
        <v>-10750.336223999999</v>
      </c>
      <c r="F30" s="80">
        <f>Налоги!F5</f>
        <v>-26693.370335318061</v>
      </c>
      <c r="G30" s="80">
        <f>Налоги!G5</f>
        <v>-84278.487291713303</v>
      </c>
      <c r="H30" s="80">
        <f>Налоги!H5</f>
        <v>-91590.593018200714</v>
      </c>
      <c r="I30" s="80">
        <f>Налоги!I5</f>
        <v>-95254.21673892875</v>
      </c>
      <c r="J30" s="80">
        <f>Налоги!J5</f>
        <v>-99064.385408485949</v>
      </c>
      <c r="K30" s="80">
        <f>Налоги!K5</f>
        <v>-103026.96082482545</v>
      </c>
      <c r="L30" s="80">
        <f>Налоги!L5</f>
        <v>-107148.03925781837</v>
      </c>
      <c r="M30" s="80">
        <f>Налоги!M5</f>
        <v>-111433.96082813118</v>
      </c>
      <c r="N30" s="80">
        <f>Налоги!N5</f>
        <v>-115891.31926125637</v>
      </c>
      <c r="O30" s="80">
        <f>Налоги!O5</f>
        <v>-120526.97203170671</v>
      </c>
      <c r="P30" s="80">
        <f>Налоги!P5</f>
        <v>-125928.5114117671</v>
      </c>
      <c r="Q30" s="80">
        <f>Налоги!Q5</f>
        <v>-130965.65186823788</v>
      </c>
      <c r="R30" s="80">
        <f>Налоги!R5</f>
        <v>-136204.27794296737</v>
      </c>
    </row>
    <row r="31" spans="1:18">
      <c r="A31" s="15" t="s">
        <v>306</v>
      </c>
      <c r="C31" s="97" t="s">
        <v>60</v>
      </c>
      <c r="D31" s="80">
        <f>Налоги!D6</f>
        <v>-16666.666666666657</v>
      </c>
      <c r="E31" s="80">
        <f>Налоги!E6</f>
        <v>0</v>
      </c>
      <c r="F31" s="80">
        <f>Налоги!F6</f>
        <v>-1666.6666666666661</v>
      </c>
      <c r="G31" s="80">
        <f>Налоги!G6</f>
        <v>-1666.6666666666661</v>
      </c>
      <c r="H31" s="80">
        <f>Налоги!H6</f>
        <v>-1666.6666666666661</v>
      </c>
      <c r="I31" s="80">
        <f>Налоги!I6</f>
        <v>-1666.6666666666661</v>
      </c>
      <c r="J31" s="80">
        <f>Налоги!J6</f>
        <v>-1666.6666666666661</v>
      </c>
      <c r="K31" s="80">
        <f>Налоги!K6</f>
        <v>-1666.6666666666661</v>
      </c>
      <c r="L31" s="80">
        <f>Налоги!L6</f>
        <v>-1666.6666666666661</v>
      </c>
      <c r="M31" s="80">
        <f>Налоги!M6</f>
        <v>-1666.6666666666661</v>
      </c>
      <c r="N31" s="80">
        <f>Налоги!N6</f>
        <v>-1666.6666666666661</v>
      </c>
      <c r="O31" s="80">
        <f>Налоги!O6</f>
        <v>-1666.6666666666661</v>
      </c>
      <c r="P31" s="80">
        <f>Налоги!P6</f>
        <v>-1666.6666666666661</v>
      </c>
      <c r="Q31" s="80">
        <f>Налоги!Q6</f>
        <v>-1666.6666666666661</v>
      </c>
      <c r="R31" s="80">
        <f>Налоги!R6</f>
        <v>-1666.6666666666661</v>
      </c>
    </row>
    <row r="32" spans="1:18">
      <c r="A32" s="15" t="s">
        <v>186</v>
      </c>
      <c r="C32" s="97" t="s">
        <v>60</v>
      </c>
      <c r="D32" s="80">
        <f>-Налоги!D8</f>
        <v>0</v>
      </c>
      <c r="E32" s="80">
        <f>-Налоги!E8</f>
        <v>0</v>
      </c>
      <c r="F32" s="80">
        <f>-Налоги!F8</f>
        <v>-4271.5548595176588</v>
      </c>
      <c r="G32" s="80">
        <f>-Налоги!G8</f>
        <v>-75254.909837441766</v>
      </c>
      <c r="H32" s="80">
        <f>-Налоги!H8</f>
        <v>-83214.389102137487</v>
      </c>
      <c r="I32" s="80">
        <f>-Налоги!I8</f>
        <v>-86609.631332889563</v>
      </c>
      <c r="J32" s="80">
        <f>-Налоги!J8</f>
        <v>-90140.683252871866</v>
      </c>
      <c r="K32" s="80">
        <f>-Налоги!K8</f>
        <v>-93812.977249653268</v>
      </c>
      <c r="L32" s="80">
        <f>-Налоги!L8</f>
        <v>-97632.163006306117</v>
      </c>
      <c r="M32" s="80">
        <f>-Налоги!M8</f>
        <v>-101604.1161932251</v>
      </c>
      <c r="N32" s="80">
        <f>-Налоги!N8</f>
        <v>-105734.94750762086</v>
      </c>
      <c r="O32" s="80">
        <f>-Налоги!O8</f>
        <v>-110031.01207459213</v>
      </c>
      <c r="P32" s="80">
        <f>-Налоги!P8</f>
        <v>-113918.45872545052</v>
      </c>
      <c r="Q32" s="80">
        <f>-Налоги!Q8</f>
        <v>-118541.86374113508</v>
      </c>
      <c r="R32" s="80">
        <f>-Налоги!R8</f>
        <v>-123350.2049574471</v>
      </c>
    </row>
    <row r="33" spans="1:18">
      <c r="A33" s="15" t="s">
        <v>69</v>
      </c>
      <c r="C33" s="97" t="s">
        <v>60</v>
      </c>
      <c r="D33" s="80">
        <f>-Налоги!D29</f>
        <v>0</v>
      </c>
      <c r="E33" s="80">
        <f>-Налоги!E29</f>
        <v>0</v>
      </c>
      <c r="F33" s="80">
        <f>-Налоги!F29</f>
        <v>0</v>
      </c>
      <c r="G33" s="80">
        <f>-Налоги!G29</f>
        <v>0</v>
      </c>
      <c r="H33" s="80">
        <f>-Налоги!H29</f>
        <v>0</v>
      </c>
      <c r="I33" s="80">
        <f>-Налоги!I29</f>
        <v>0</v>
      </c>
      <c r="J33" s="80">
        <f>-Налоги!J29</f>
        <v>0</v>
      </c>
      <c r="K33" s="80">
        <f>-Налоги!K29</f>
        <v>0</v>
      </c>
      <c r="L33" s="80">
        <f>-Налоги!L29</f>
        <v>0</v>
      </c>
      <c r="M33" s="80">
        <f>-Налоги!M29</f>
        <v>0</v>
      </c>
      <c r="N33" s="80">
        <f>-Налоги!N29</f>
        <v>0</v>
      </c>
      <c r="O33" s="80">
        <f>-Налоги!O29</f>
        <v>0</v>
      </c>
      <c r="P33" s="80">
        <f>-Налоги!P29</f>
        <v>-7727.5</v>
      </c>
      <c r="Q33" s="80">
        <f>-Налоги!Q29</f>
        <v>-6957.5</v>
      </c>
      <c r="R33" s="80">
        <f>-Налоги!R29</f>
        <v>-6187.5</v>
      </c>
    </row>
    <row r="34" spans="1:18">
      <c r="A34" s="15" t="s">
        <v>66</v>
      </c>
      <c r="C34" s="97" t="s">
        <v>60</v>
      </c>
      <c r="D34" s="80">
        <f>-Налоги!D43</f>
        <v>0</v>
      </c>
      <c r="E34" s="80">
        <f>-Налоги!E43</f>
        <v>0</v>
      </c>
      <c r="F34" s="80">
        <f>-Налоги!F43</f>
        <v>0</v>
      </c>
      <c r="G34" s="80">
        <f>-Налоги!G43</f>
        <v>-14204.443443545299</v>
      </c>
      <c r="H34" s="80">
        <f>-Налоги!H43</f>
        <v>-15755.243318418892</v>
      </c>
      <c r="I34" s="80">
        <f>-Налоги!I43</f>
        <v>-16402.119717822312</v>
      </c>
      <c r="J34" s="80">
        <f>-Налоги!J43</f>
        <v>-17074.871173201875</v>
      </c>
      <c r="K34" s="80">
        <f>-Налоги!K43</f>
        <v>-60433.411135108494</v>
      </c>
      <c r="L34" s="80">
        <f>-Налоги!L43</f>
        <v>-62907.414247179506</v>
      </c>
      <c r="M34" s="80">
        <f>-Налоги!M43</f>
        <v>-65480.377483733377</v>
      </c>
      <c r="N34" s="80">
        <f>-Налоги!N43</f>
        <v>-68156.259249749332</v>
      </c>
      <c r="O34" s="80">
        <f>-Налоги!O43</f>
        <v>-70939.176286405986</v>
      </c>
      <c r="P34" s="80">
        <f>-Налоги!P43</f>
        <v>-98665.337265914393</v>
      </c>
      <c r="Q34" s="80">
        <f>-Налоги!Q43</f>
        <v>-102965.05908988434</v>
      </c>
      <c r="R34" s="80">
        <f>-Налоги!R43</f>
        <v>-107429.06978681308</v>
      </c>
    </row>
    <row r="35" spans="1:18"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101"/>
    </row>
    <row r="36" spans="1:18">
      <c r="A36" s="7" t="s">
        <v>187</v>
      </c>
      <c r="C36" s="97" t="s">
        <v>60</v>
      </c>
      <c r="D36" s="80">
        <f>'OPEX &amp; SALES'!D80</f>
        <v>1403.2786885245901</v>
      </c>
      <c r="E36" s="80">
        <f>'OPEX &amp; SALES'!E80</f>
        <v>3014.6677049000687</v>
      </c>
      <c r="F36" s="80">
        <f>'OPEX &amp; SALES'!F80</f>
        <v>-43822.950358047339</v>
      </c>
      <c r="G36" s="80">
        <f>'OPEX &amp; SALES'!G80</f>
        <v>-179936.18319481358</v>
      </c>
      <c r="H36" s="80">
        <f>'OPEX &amp; SALES'!H80</f>
        <v>-20432.753016662522</v>
      </c>
      <c r="I36" s="80">
        <f>'OPEX &amp; SALES'!I80</f>
        <v>-10301.546368093695</v>
      </c>
      <c r="J36" s="80">
        <f>'OPEX &amp; SALES'!J80</f>
        <v>-10030.416722041613</v>
      </c>
      <c r="K36" s="80">
        <f>'OPEX &amp; SALES'!K80</f>
        <v>-10431.63339092338</v>
      </c>
      <c r="L36" s="80">
        <f>'OPEX &amp; SALES'!L80</f>
        <v>-10080.083329336951</v>
      </c>
      <c r="M36" s="80">
        <f>'OPEX &amp; SALES'!M80</f>
        <v>-12051.670072845998</v>
      </c>
      <c r="N36" s="80">
        <f>'OPEX &amp; SALES'!N80</f>
        <v>-11734.16886264761</v>
      </c>
      <c r="O36" s="80">
        <f>'OPEX &amp; SALES'!O80</f>
        <v>-12203.535617153451</v>
      </c>
      <c r="P36" s="80">
        <f>'OPEX &amp; SALES'!P80</f>
        <v>-10840.379307259573</v>
      </c>
      <c r="Q36" s="80">
        <f>'OPEX &amp; SALES'!Q80</f>
        <v>-14058.292950569128</v>
      </c>
      <c r="R36" s="80">
        <f>'OPEX &amp; SALES'!R80</f>
        <v>-13687.62393215287</v>
      </c>
    </row>
    <row r="37" spans="1:18">
      <c r="D37" s="101"/>
      <c r="E37" s="101"/>
      <c r="F37" s="101"/>
      <c r="G37" s="101"/>
      <c r="H37" s="101"/>
      <c r="I37" s="101"/>
      <c r="J37" s="101"/>
      <c r="K37" s="101"/>
      <c r="L37" s="101"/>
      <c r="M37" s="101"/>
      <c r="N37" s="101"/>
      <c r="O37" s="101"/>
      <c r="P37" s="101"/>
      <c r="Q37" s="101"/>
      <c r="R37" s="101"/>
    </row>
    <row r="38" spans="1:18">
      <c r="A38" s="9" t="s">
        <v>191</v>
      </c>
      <c r="B38" s="17"/>
      <c r="C38" s="34"/>
      <c r="D38" s="85">
        <f>SUM(D39:D40)</f>
        <v>-150000</v>
      </c>
      <c r="E38" s="85">
        <f>SUM(E39:E40)</f>
        <v>-450000</v>
      </c>
      <c r="F38" s="85">
        <f t="shared" ref="F38:R38" si="11">F39</f>
        <v>0</v>
      </c>
      <c r="G38" s="85">
        <f t="shared" si="11"/>
        <v>0</v>
      </c>
      <c r="H38" s="85">
        <f t="shared" si="11"/>
        <v>0</v>
      </c>
      <c r="I38" s="85">
        <f t="shared" si="11"/>
        <v>0</v>
      </c>
      <c r="J38" s="85">
        <f t="shared" si="11"/>
        <v>0</v>
      </c>
      <c r="K38" s="85">
        <f t="shared" si="11"/>
        <v>0</v>
      </c>
      <c r="L38" s="85">
        <f t="shared" si="11"/>
        <v>0</v>
      </c>
      <c r="M38" s="85">
        <f t="shared" si="11"/>
        <v>0</v>
      </c>
      <c r="N38" s="85">
        <f t="shared" si="11"/>
        <v>0</v>
      </c>
      <c r="O38" s="85">
        <f t="shared" si="11"/>
        <v>0</v>
      </c>
      <c r="P38" s="85">
        <f t="shared" si="11"/>
        <v>0</v>
      </c>
      <c r="Q38" s="85">
        <f t="shared" si="11"/>
        <v>0</v>
      </c>
      <c r="R38" s="85">
        <f t="shared" si="11"/>
        <v>0</v>
      </c>
    </row>
    <row r="39" spans="1:18">
      <c r="A39" s="7" t="s">
        <v>211</v>
      </c>
      <c r="C39" s="97" t="s">
        <v>60</v>
      </c>
      <c r="D39" s="80">
        <f>-'CAPEX | Finance'!D8+('CAPEX | Finance'!D49/1.2)</f>
        <v>-125000</v>
      </c>
      <c r="E39" s="80">
        <f>-'CAPEX | Finance'!E8</f>
        <v>-375000</v>
      </c>
      <c r="F39" s="80">
        <f>-'CAPEX | Finance'!F8</f>
        <v>0</v>
      </c>
      <c r="G39" s="80">
        <f>-'CAPEX | Finance'!G8</f>
        <v>0</v>
      </c>
      <c r="H39" s="80">
        <f>-'CAPEX | Finance'!H8</f>
        <v>0</v>
      </c>
      <c r="I39" s="80">
        <f>-'CAPEX | Finance'!I8</f>
        <v>0</v>
      </c>
      <c r="J39" s="80">
        <f>-'CAPEX | Finance'!J8</f>
        <v>0</v>
      </c>
      <c r="K39" s="80">
        <f>-'CAPEX | Finance'!K8</f>
        <v>0</v>
      </c>
      <c r="L39" s="80">
        <f>-'CAPEX | Finance'!L8</f>
        <v>0</v>
      </c>
      <c r="M39" s="80">
        <f>-'CAPEX | Finance'!M8</f>
        <v>0</v>
      </c>
      <c r="N39" s="80">
        <f>-'CAPEX | Finance'!N8</f>
        <v>0</v>
      </c>
      <c r="O39" s="80">
        <f>-'CAPEX | Finance'!O8</f>
        <v>0</v>
      </c>
      <c r="P39" s="80">
        <f>-'CAPEX | Finance'!P8</f>
        <v>0</v>
      </c>
      <c r="Q39" s="80">
        <f>-'CAPEX | Finance'!Q8</f>
        <v>0</v>
      </c>
      <c r="R39" s="80">
        <f>-'CAPEX | Finance'!R8</f>
        <v>0</v>
      </c>
    </row>
    <row r="40" spans="1:18">
      <c r="A40" s="15" t="s">
        <v>268</v>
      </c>
      <c r="C40" s="97" t="s">
        <v>60</v>
      </c>
      <c r="D40" s="80">
        <f>-'CAPEX | Finance'!D22</f>
        <v>-25000</v>
      </c>
      <c r="E40" s="80">
        <f>-'CAPEX | Finance'!E22</f>
        <v>-75000</v>
      </c>
      <c r="F40" s="80">
        <f>-'CAPEX | Finance'!F22</f>
        <v>0</v>
      </c>
      <c r="G40" s="80">
        <f>-'CAPEX | Finance'!G22</f>
        <v>0</v>
      </c>
      <c r="H40" s="80">
        <f>-'CAPEX | Finance'!H22</f>
        <v>0</v>
      </c>
      <c r="I40" s="80">
        <f>-'CAPEX | Finance'!I22</f>
        <v>0</v>
      </c>
      <c r="J40" s="80">
        <f>-'CAPEX | Finance'!J22</f>
        <v>0</v>
      </c>
      <c r="K40" s="80">
        <f>-'CAPEX | Finance'!K22</f>
        <v>0</v>
      </c>
      <c r="L40" s="80">
        <f>-'CAPEX | Finance'!L22</f>
        <v>0</v>
      </c>
      <c r="M40" s="80">
        <f>-'CAPEX | Finance'!M22</f>
        <v>0</v>
      </c>
      <c r="N40" s="80">
        <f>-'CAPEX | Finance'!N22</f>
        <v>0</v>
      </c>
      <c r="O40" s="80">
        <f>-'CAPEX | Finance'!O22</f>
        <v>0</v>
      </c>
      <c r="P40" s="80">
        <f>-'CAPEX | Finance'!P22</f>
        <v>0</v>
      </c>
      <c r="Q40" s="80">
        <f>-'CAPEX | Finance'!Q22</f>
        <v>0</v>
      </c>
      <c r="R40" s="80">
        <f>-'CAPEX | Finance'!R22</f>
        <v>0</v>
      </c>
    </row>
    <row r="41" spans="1:18">
      <c r="A41" s="9" t="s">
        <v>192</v>
      </c>
      <c r="B41" s="17"/>
      <c r="C41" s="34"/>
      <c r="D41" s="85">
        <f t="shared" ref="D41:R41" si="12">SUM(D42:D47)</f>
        <v>270000</v>
      </c>
      <c r="E41" s="85">
        <f t="shared" si="12"/>
        <v>595090.66666666663</v>
      </c>
      <c r="F41" s="85">
        <f t="shared" si="12"/>
        <v>145750.336224</v>
      </c>
      <c r="G41" s="85">
        <f t="shared" si="12"/>
        <v>-40000</v>
      </c>
      <c r="H41" s="85">
        <f t="shared" si="12"/>
        <v>-40000</v>
      </c>
      <c r="I41" s="85">
        <f t="shared" si="12"/>
        <v>-40000</v>
      </c>
      <c r="J41" s="85">
        <f t="shared" si="12"/>
        <v>-40000</v>
      </c>
      <c r="K41" s="85">
        <f t="shared" si="12"/>
        <v>-40000</v>
      </c>
      <c r="L41" s="85">
        <f t="shared" si="12"/>
        <v>-40000</v>
      </c>
      <c r="M41" s="85">
        <f t="shared" si="12"/>
        <v>-40000</v>
      </c>
      <c r="N41" s="85">
        <f t="shared" si="12"/>
        <v>-40000</v>
      </c>
      <c r="O41" s="85">
        <f t="shared" si="12"/>
        <v>-40000</v>
      </c>
      <c r="P41" s="85">
        <f t="shared" si="12"/>
        <v>0</v>
      </c>
      <c r="Q41" s="85">
        <f t="shared" si="12"/>
        <v>0</v>
      </c>
      <c r="R41" s="85">
        <f t="shared" si="12"/>
        <v>0</v>
      </c>
    </row>
    <row r="42" spans="1:18">
      <c r="A42" s="7" t="s">
        <v>107</v>
      </c>
      <c r="C42" s="97" t="s">
        <v>60</v>
      </c>
      <c r="D42" s="80">
        <f>'CAPEX | Finance'!D14</f>
        <v>20000</v>
      </c>
      <c r="E42" s="80">
        <v>0</v>
      </c>
      <c r="F42" s="80">
        <f>'CAPEX | Finance'!F14</f>
        <v>0</v>
      </c>
      <c r="G42" s="80">
        <f>'CAPEX | Finance'!G14</f>
        <v>0</v>
      </c>
      <c r="H42" s="80">
        <f>'CAPEX | Finance'!H14</f>
        <v>0</v>
      </c>
      <c r="I42" s="80">
        <f>'CAPEX | Finance'!I14</f>
        <v>0</v>
      </c>
      <c r="J42" s="80">
        <f>'CAPEX | Finance'!J14</f>
        <v>0</v>
      </c>
      <c r="K42" s="80">
        <f>'CAPEX | Finance'!K14</f>
        <v>0</v>
      </c>
      <c r="L42" s="80">
        <f>'CAPEX | Finance'!L14</f>
        <v>0</v>
      </c>
      <c r="M42" s="80">
        <f>'CAPEX | Finance'!M14</f>
        <v>0</v>
      </c>
      <c r="N42" s="80">
        <f>'CAPEX | Finance'!N14</f>
        <v>0</v>
      </c>
      <c r="O42" s="80">
        <f>'CAPEX | Finance'!O14</f>
        <v>0</v>
      </c>
      <c r="P42" s="80">
        <f>'CAPEX | Finance'!P14</f>
        <v>0</v>
      </c>
      <c r="Q42" s="80">
        <f>'CAPEX | Finance'!Q14</f>
        <v>0</v>
      </c>
      <c r="R42" s="80">
        <f>'CAPEX | Finance'!R14</f>
        <v>0</v>
      </c>
    </row>
    <row r="43" spans="1:18">
      <c r="A43" s="7" t="s">
        <v>210</v>
      </c>
      <c r="C43" s="97" t="s">
        <v>60</v>
      </c>
      <c r="D43" s="80">
        <f>'CAPEX | Finance'!D15</f>
        <v>100000</v>
      </c>
      <c r="E43" s="80">
        <f>'CAPEX | Finance'!E15</f>
        <v>300000</v>
      </c>
      <c r="F43" s="80">
        <f>'CAPEX | Finance'!F15</f>
        <v>0</v>
      </c>
      <c r="G43" s="80">
        <f>'CAPEX | Finance'!G15</f>
        <v>0</v>
      </c>
      <c r="H43" s="80">
        <f>'CAPEX | Finance'!H15</f>
        <v>0</v>
      </c>
      <c r="I43" s="80">
        <f>'CAPEX | Finance'!I15</f>
        <v>0</v>
      </c>
      <c r="J43" s="80">
        <f>'CAPEX | Finance'!J15</f>
        <v>0</v>
      </c>
      <c r="K43" s="80">
        <f>'CAPEX | Finance'!K15</f>
        <v>0</v>
      </c>
      <c r="L43" s="80">
        <f>'CAPEX | Finance'!L15</f>
        <v>0</v>
      </c>
      <c r="M43" s="80">
        <f>'CAPEX | Finance'!M15</f>
        <v>0</v>
      </c>
      <c r="N43" s="80">
        <f>'CAPEX | Finance'!N15</f>
        <v>0</v>
      </c>
      <c r="O43" s="80">
        <f>'CAPEX | Finance'!O15</f>
        <v>0</v>
      </c>
      <c r="P43" s="80">
        <f>'CAPEX | Finance'!P15</f>
        <v>0</v>
      </c>
      <c r="Q43" s="80">
        <f>'CAPEX | Finance'!Q15</f>
        <v>0</v>
      </c>
      <c r="R43" s="80">
        <f>'CAPEX | Finance'!R15</f>
        <v>0</v>
      </c>
    </row>
    <row r="44" spans="1:18">
      <c r="A44" s="7" t="s">
        <v>220</v>
      </c>
      <c r="C44" s="97" t="s">
        <v>60</v>
      </c>
      <c r="D44" s="80">
        <f>-'CAPEX | Finance'!D42</f>
        <v>0</v>
      </c>
      <c r="E44" s="80">
        <f>-'CAPEX | Finance'!E42</f>
        <v>0</v>
      </c>
      <c r="F44" s="80">
        <f>-'CAPEX | Finance'!F42</f>
        <v>-40000</v>
      </c>
      <c r="G44" s="80">
        <f>-'CAPEX | Finance'!G42</f>
        <v>-40000</v>
      </c>
      <c r="H44" s="80">
        <f>-'CAPEX | Finance'!H42</f>
        <v>-40000</v>
      </c>
      <c r="I44" s="80">
        <f>-'CAPEX | Finance'!I42</f>
        <v>-40000</v>
      </c>
      <c r="J44" s="80">
        <f>-'CAPEX | Finance'!J42</f>
        <v>-40000</v>
      </c>
      <c r="K44" s="80">
        <f>-'CAPEX | Finance'!K42</f>
        <v>-40000</v>
      </c>
      <c r="L44" s="80">
        <f>-'CAPEX | Finance'!L42</f>
        <v>-40000</v>
      </c>
      <c r="M44" s="80">
        <f>-'CAPEX | Finance'!M42</f>
        <v>-40000</v>
      </c>
      <c r="N44" s="80">
        <f>-'CAPEX | Finance'!N42</f>
        <v>-40000</v>
      </c>
      <c r="O44" s="80">
        <f>-'CAPEX | Finance'!O42</f>
        <v>-40000</v>
      </c>
      <c r="P44" s="80">
        <f>-'CAPEX | Finance'!P42</f>
        <v>0</v>
      </c>
      <c r="Q44" s="80">
        <f>-'CAPEX | Finance'!Q42</f>
        <v>0</v>
      </c>
      <c r="R44" s="80">
        <f>-'CAPEX | Finance'!R42</f>
        <v>0</v>
      </c>
    </row>
    <row r="45" spans="1:18">
      <c r="A45" s="7" t="s">
        <v>263</v>
      </c>
      <c r="C45" s="97" t="s">
        <v>60</v>
      </c>
      <c r="D45" s="80">
        <f>-'CAPEX | Finance'!D43</f>
        <v>0</v>
      </c>
      <c r="E45" s="80">
        <f>-'CAPEX | Finance'!E43</f>
        <v>0</v>
      </c>
      <c r="F45" s="80">
        <f>-'CAPEX | Finance'!F43</f>
        <v>0</v>
      </c>
      <c r="G45" s="80">
        <f>-'CAPEX | Finance'!G43</f>
        <v>0</v>
      </c>
      <c r="H45" s="80">
        <f>-'CAPEX | Finance'!H43</f>
        <v>0</v>
      </c>
      <c r="I45" s="80">
        <f>-'CAPEX | Finance'!I43</f>
        <v>0</v>
      </c>
      <c r="J45" s="80">
        <f>-'CAPEX | Finance'!J43</f>
        <v>0</v>
      </c>
      <c r="K45" s="80">
        <f>-'CAPEX | Finance'!K43</f>
        <v>0</v>
      </c>
      <c r="L45" s="80">
        <f>-'CAPEX | Finance'!L43</f>
        <v>0</v>
      </c>
      <c r="M45" s="80">
        <f>-'CAPEX | Finance'!M43</f>
        <v>0</v>
      </c>
      <c r="N45" s="80">
        <f>-'CAPEX | Finance'!N43</f>
        <v>0</v>
      </c>
      <c r="O45" s="80">
        <f>-'CAPEX | Finance'!O43</f>
        <v>0</v>
      </c>
      <c r="P45" s="80">
        <f>-'CAPEX | Finance'!P43</f>
        <v>0</v>
      </c>
      <c r="Q45" s="80">
        <f>-'CAPEX | Finance'!Q43</f>
        <v>0</v>
      </c>
      <c r="R45" s="80">
        <f>-'CAPEX | Finance'!R43</f>
        <v>0</v>
      </c>
    </row>
    <row r="46" spans="1:18">
      <c r="A46" s="7" t="s">
        <v>179</v>
      </c>
      <c r="C46" s="97" t="s">
        <v>60</v>
      </c>
      <c r="D46" s="80">
        <f>'CAPEX | Finance'!D17</f>
        <v>150000</v>
      </c>
      <c r="E46" s="80">
        <f>'CAPEX | Finance'!E17</f>
        <v>250000</v>
      </c>
      <c r="F46" s="80">
        <f>'CAPEX | Finance'!F17</f>
        <v>100000</v>
      </c>
      <c r="G46" s="80">
        <f>'CAPEX | Finance'!G17</f>
        <v>0</v>
      </c>
      <c r="H46" s="80">
        <f>'CAPEX | Finance'!H17</f>
        <v>0</v>
      </c>
      <c r="I46" s="80">
        <f>'CAPEX | Finance'!I17</f>
        <v>0</v>
      </c>
      <c r="J46" s="80">
        <f>'CAPEX | Finance'!J17</f>
        <v>0</v>
      </c>
      <c r="K46" s="80">
        <f>'CAPEX | Finance'!K17</f>
        <v>0</v>
      </c>
      <c r="L46" s="80">
        <f>'CAPEX | Finance'!L17</f>
        <v>0</v>
      </c>
      <c r="M46" s="80">
        <f>'CAPEX | Finance'!M17</f>
        <v>0</v>
      </c>
      <c r="N46" s="80">
        <f>'CAPEX | Finance'!N17</f>
        <v>0</v>
      </c>
      <c r="O46" s="80">
        <f>'CAPEX | Finance'!O17</f>
        <v>0</v>
      </c>
      <c r="P46" s="80">
        <f>'CAPEX | Finance'!P17</f>
        <v>0</v>
      </c>
      <c r="Q46" s="80">
        <f>'CAPEX | Finance'!Q17</f>
        <v>0</v>
      </c>
      <c r="R46" s="80">
        <f>'CAPEX | Finance'!R17</f>
        <v>0</v>
      </c>
    </row>
    <row r="47" spans="1:18">
      <c r="A47" s="7" t="s">
        <v>108</v>
      </c>
      <c r="C47" s="97" t="s">
        <v>60</v>
      </c>
      <c r="D47" s="80">
        <f>'CAPEX | Finance'!D18</f>
        <v>0</v>
      </c>
      <c r="E47" s="80">
        <f>'CAPEX | Finance'!E18</f>
        <v>45090.666666666657</v>
      </c>
      <c r="F47" s="80">
        <f>'CAPEX | Finance'!F18</f>
        <v>85750.336223999999</v>
      </c>
      <c r="G47" s="80">
        <f>'CAPEX | Finance'!G18</f>
        <v>0</v>
      </c>
      <c r="H47" s="80">
        <f>'CAPEX | Finance'!H18</f>
        <v>0</v>
      </c>
      <c r="I47" s="80">
        <f>'CAPEX | Finance'!I18</f>
        <v>0</v>
      </c>
      <c r="J47" s="80">
        <f>'CAPEX | Finance'!J18</f>
        <v>0</v>
      </c>
      <c r="K47" s="80">
        <f>'CAPEX | Finance'!K18</f>
        <v>0</v>
      </c>
      <c r="L47" s="80">
        <f>'CAPEX | Finance'!L18</f>
        <v>0</v>
      </c>
      <c r="M47" s="80">
        <f>'CAPEX | Finance'!M18</f>
        <v>0</v>
      </c>
      <c r="N47" s="80">
        <f>'CAPEX | Finance'!N18</f>
        <v>0</v>
      </c>
      <c r="O47" s="80">
        <f>'CAPEX | Finance'!O18</f>
        <v>0</v>
      </c>
      <c r="P47" s="80">
        <f>'CAPEX | Finance'!P18</f>
        <v>0</v>
      </c>
      <c r="Q47" s="80">
        <f>'CAPEX | Finance'!Q18</f>
        <v>0</v>
      </c>
      <c r="R47" s="80">
        <f>'CAPEX | Finance'!R18</f>
        <v>0</v>
      </c>
    </row>
    <row r="48" spans="1:18"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</row>
    <row r="49" spans="1:18">
      <c r="A49" s="58" t="s">
        <v>193</v>
      </c>
      <c r="B49" s="59"/>
      <c r="C49" s="62" t="s">
        <v>60</v>
      </c>
      <c r="D49" s="80">
        <f t="shared" ref="D49:R49" si="13">D24+D38+D41</f>
        <v>859.27868852461688</v>
      </c>
      <c r="E49" s="80">
        <f t="shared" si="13"/>
        <v>83603.317027566722</v>
      </c>
      <c r="F49" s="80">
        <f t="shared" si="13"/>
        <v>76610.289997902306</v>
      </c>
      <c r="G49" s="80">
        <f t="shared" si="13"/>
        <v>49948.242232547113</v>
      </c>
      <c r="H49" s="80">
        <f t="shared" si="13"/>
        <v>238916.87003329641</v>
      </c>
      <c r="I49" s="80">
        <f t="shared" si="13"/>
        <v>261338.72827053024</v>
      </c>
      <c r="J49" s="80">
        <f t="shared" si="13"/>
        <v>274392.13556879398</v>
      </c>
      <c r="K49" s="80">
        <f t="shared" si="13"/>
        <v>244625.60920990043</v>
      </c>
      <c r="L49" s="80">
        <f t="shared" si="13"/>
        <v>257056.11564218649</v>
      </c>
      <c r="M49" s="80">
        <f t="shared" si="13"/>
        <v>267646.6435242052</v>
      </c>
      <c r="N49" s="80">
        <f t="shared" si="13"/>
        <v>281028.74394495203</v>
      </c>
      <c r="O49" s="80">
        <f t="shared" si="13"/>
        <v>294146.5603694169</v>
      </c>
      <c r="P49" s="80">
        <f t="shared" si="13"/>
        <v>285155.63249048358</v>
      </c>
      <c r="Q49" s="80">
        <f t="shared" si="13"/>
        <v>294836.88431908388</v>
      </c>
      <c r="R49" s="80">
        <f t="shared" si="13"/>
        <v>308599.58542828634</v>
      </c>
    </row>
    <row r="50" spans="1:18">
      <c r="A50" s="7" t="s">
        <v>194</v>
      </c>
      <c r="C50" s="63" t="s">
        <v>60</v>
      </c>
      <c r="D50" s="80">
        <v>0</v>
      </c>
      <c r="E50" s="80">
        <f>D51</f>
        <v>859.27868852461688</v>
      </c>
      <c r="F50" s="80">
        <f t="shared" ref="F50:R50" si="14">E51</f>
        <v>84462.595716091339</v>
      </c>
      <c r="G50" s="80">
        <f t="shared" si="14"/>
        <v>161072.88571399363</v>
      </c>
      <c r="H50" s="80">
        <f t="shared" si="14"/>
        <v>211021.12794654074</v>
      </c>
      <c r="I50" s="80">
        <f t="shared" si="14"/>
        <v>449937.99797983712</v>
      </c>
      <c r="J50" s="80">
        <f t="shared" si="14"/>
        <v>711276.72625036736</v>
      </c>
      <c r="K50" s="80">
        <f t="shared" si="14"/>
        <v>985668.86181916134</v>
      </c>
      <c r="L50" s="80">
        <f t="shared" si="14"/>
        <v>1230294.4710290618</v>
      </c>
      <c r="M50" s="80">
        <f t="shared" si="14"/>
        <v>1487350.5866712483</v>
      </c>
      <c r="N50" s="80">
        <f t="shared" si="14"/>
        <v>1754997.2301954534</v>
      </c>
      <c r="O50" s="80">
        <f t="shared" si="14"/>
        <v>2036025.9741404054</v>
      </c>
      <c r="P50" s="80">
        <f t="shared" si="14"/>
        <v>2330172.5345098223</v>
      </c>
      <c r="Q50" s="80">
        <f t="shared" si="14"/>
        <v>2615328.1670003058</v>
      </c>
      <c r="R50" s="80">
        <f t="shared" si="14"/>
        <v>2910165.0513193896</v>
      </c>
    </row>
    <row r="51" spans="1:18">
      <c r="A51" s="60" t="s">
        <v>195</v>
      </c>
      <c r="B51" s="61"/>
      <c r="C51" s="64" t="s">
        <v>60</v>
      </c>
      <c r="D51" s="80">
        <f>D50+D49</f>
        <v>859.27868852461688</v>
      </c>
      <c r="E51" s="80">
        <f t="shared" ref="E51:R51" si="15">E50+E49</f>
        <v>84462.595716091339</v>
      </c>
      <c r="F51" s="80">
        <f>F50+F49</f>
        <v>161072.88571399363</v>
      </c>
      <c r="G51" s="80">
        <f t="shared" si="15"/>
        <v>211021.12794654074</v>
      </c>
      <c r="H51" s="80">
        <f t="shared" si="15"/>
        <v>449937.99797983712</v>
      </c>
      <c r="I51" s="80">
        <f t="shared" si="15"/>
        <v>711276.72625036736</v>
      </c>
      <c r="J51" s="80">
        <f t="shared" si="15"/>
        <v>985668.86181916134</v>
      </c>
      <c r="K51" s="80">
        <f t="shared" si="15"/>
        <v>1230294.4710290618</v>
      </c>
      <c r="L51" s="80">
        <f t="shared" si="15"/>
        <v>1487350.5866712483</v>
      </c>
      <c r="M51" s="80">
        <f t="shared" si="15"/>
        <v>1754997.2301954534</v>
      </c>
      <c r="N51" s="80">
        <f t="shared" si="15"/>
        <v>2036025.9741404054</v>
      </c>
      <c r="O51" s="80">
        <f t="shared" si="15"/>
        <v>2330172.5345098223</v>
      </c>
      <c r="P51" s="80">
        <f t="shared" si="15"/>
        <v>2615328.1670003058</v>
      </c>
      <c r="Q51" s="80">
        <f t="shared" si="15"/>
        <v>2910165.0513193896</v>
      </c>
      <c r="R51" s="80">
        <f t="shared" si="15"/>
        <v>3218764.6367476759</v>
      </c>
    </row>
    <row r="52" spans="1:18">
      <c r="A52" s="7"/>
      <c r="C52" s="70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</row>
    <row r="53" spans="1:18">
      <c r="A53" s="7" t="s">
        <v>212</v>
      </c>
      <c r="C53" s="70"/>
      <c r="D53" s="72" t="str">
        <f>IF(D51&gt;=0,"OK","!")</f>
        <v>OK</v>
      </c>
      <c r="E53" s="72" t="str">
        <f t="shared" ref="E53:R53" si="16">IF(E51&gt;=0,"OK","!")</f>
        <v>OK</v>
      </c>
      <c r="F53" s="72" t="str">
        <f t="shared" si="16"/>
        <v>OK</v>
      </c>
      <c r="G53" s="72" t="str">
        <f t="shared" si="16"/>
        <v>OK</v>
      </c>
      <c r="H53" s="72" t="str">
        <f t="shared" si="16"/>
        <v>OK</v>
      </c>
      <c r="I53" s="72" t="str">
        <f t="shared" si="16"/>
        <v>OK</v>
      </c>
      <c r="J53" s="72" t="str">
        <f t="shared" si="16"/>
        <v>OK</v>
      </c>
      <c r="K53" s="72" t="str">
        <f t="shared" si="16"/>
        <v>OK</v>
      </c>
      <c r="L53" s="72" t="str">
        <f t="shared" si="16"/>
        <v>OK</v>
      </c>
      <c r="M53" s="72" t="str">
        <f t="shared" si="16"/>
        <v>OK</v>
      </c>
      <c r="N53" s="72" t="str">
        <f t="shared" si="16"/>
        <v>OK</v>
      </c>
      <c r="O53" s="72" t="str">
        <f t="shared" si="16"/>
        <v>OK</v>
      </c>
      <c r="P53" s="72" t="str">
        <f t="shared" si="16"/>
        <v>OK</v>
      </c>
      <c r="Q53" s="72" t="str">
        <f t="shared" si="16"/>
        <v>OK</v>
      </c>
      <c r="R53" s="72" t="str">
        <f t="shared" si="16"/>
        <v>OK</v>
      </c>
    </row>
    <row r="55" spans="1:18">
      <c r="A55" s="43" t="s">
        <v>167</v>
      </c>
      <c r="B55" s="44"/>
      <c r="C55" s="44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6"/>
    </row>
    <row r="56" spans="1:18">
      <c r="A56" s="7" t="s">
        <v>123</v>
      </c>
      <c r="C56" s="97" t="s">
        <v>60</v>
      </c>
      <c r="D56" s="80">
        <f>'CAPEX | Finance'!D24</f>
        <v>325000</v>
      </c>
      <c r="E56" s="80">
        <f>'CAPEX | Finance'!E24</f>
        <v>700000</v>
      </c>
      <c r="F56" s="80">
        <f>'CAPEX | Finance'!F24</f>
        <v>0</v>
      </c>
      <c r="G56" s="80">
        <f>'CAPEX | Finance'!G24</f>
        <v>0</v>
      </c>
      <c r="H56" s="80">
        <f>'CAPEX | Finance'!H24</f>
        <v>0</v>
      </c>
      <c r="I56" s="80">
        <f>'CAPEX | Finance'!I24</f>
        <v>0</v>
      </c>
      <c r="J56" s="80">
        <f>'CAPEX | Finance'!J24</f>
        <v>0</v>
      </c>
      <c r="K56" s="80">
        <f>'CAPEX | Finance'!K24</f>
        <v>0</v>
      </c>
      <c r="L56" s="80">
        <f>'CAPEX | Finance'!L24</f>
        <v>0</v>
      </c>
      <c r="M56" s="80">
        <f>'CAPEX | Finance'!M24</f>
        <v>0</v>
      </c>
      <c r="N56" s="80">
        <f>'CAPEX | Finance'!N24</f>
        <v>0</v>
      </c>
      <c r="O56" s="80">
        <f>'CAPEX | Finance'!O24</f>
        <v>0</v>
      </c>
      <c r="P56" s="80">
        <f>'CAPEX | Finance'!P24</f>
        <v>0</v>
      </c>
      <c r="Q56" s="80">
        <f>'CAPEX | Finance'!Q24</f>
        <v>0</v>
      </c>
      <c r="R56" s="80">
        <f>'CAPEX | Finance'!R24</f>
        <v>0</v>
      </c>
    </row>
    <row r="57" spans="1:18">
      <c r="A57" s="7" t="s">
        <v>125</v>
      </c>
      <c r="C57" s="97" t="s">
        <v>60</v>
      </c>
      <c r="D57" s="80">
        <f>'CAPEX | Finance'!D35</f>
        <v>0</v>
      </c>
      <c r="E57" s="80">
        <f>'CAPEX | Finance'!E35</f>
        <v>0</v>
      </c>
      <c r="F57" s="80">
        <f>'CAPEX | Finance'!F35</f>
        <v>683750</v>
      </c>
      <c r="G57" s="80">
        <f>'CAPEX | Finance'!G35</f>
        <v>648750</v>
      </c>
      <c r="H57" s="80">
        <f>'CAPEX | Finance'!H35</f>
        <v>613750</v>
      </c>
      <c r="I57" s="80">
        <f>'CAPEX | Finance'!I35</f>
        <v>578750</v>
      </c>
      <c r="J57" s="80">
        <f>'CAPEX | Finance'!J35</f>
        <v>543750</v>
      </c>
      <c r="K57" s="80">
        <f>'CAPEX | Finance'!K35</f>
        <v>508750</v>
      </c>
      <c r="L57" s="80">
        <f>'CAPEX | Finance'!L35</f>
        <v>473750</v>
      </c>
      <c r="M57" s="80">
        <f>'CAPEX | Finance'!M35</f>
        <v>438750</v>
      </c>
      <c r="N57" s="80">
        <f>'CAPEX | Finance'!N35</f>
        <v>403750</v>
      </c>
      <c r="O57" s="80">
        <f>'CAPEX | Finance'!O35</f>
        <v>368750</v>
      </c>
      <c r="P57" s="80">
        <f>'CAPEX | Finance'!P35</f>
        <v>333750</v>
      </c>
      <c r="Q57" s="80">
        <f>'CAPEX | Finance'!Q35</f>
        <v>298750</v>
      </c>
      <c r="R57" s="80">
        <f>'CAPEX | Finance'!R35</f>
        <v>263750</v>
      </c>
    </row>
    <row r="58" spans="1:18">
      <c r="A58" s="29" t="s">
        <v>198</v>
      </c>
      <c r="C58" s="99" t="s">
        <v>60</v>
      </c>
      <c r="D58" s="103">
        <f t="shared" ref="D58:R58" si="17">SUM(D56:D57)</f>
        <v>325000</v>
      </c>
      <c r="E58" s="103">
        <f t="shared" si="17"/>
        <v>700000</v>
      </c>
      <c r="F58" s="103">
        <f t="shared" si="17"/>
        <v>683750</v>
      </c>
      <c r="G58" s="103">
        <f t="shared" si="17"/>
        <v>648750</v>
      </c>
      <c r="H58" s="103">
        <f t="shared" si="17"/>
        <v>613750</v>
      </c>
      <c r="I58" s="103">
        <f t="shared" si="17"/>
        <v>578750</v>
      </c>
      <c r="J58" s="103">
        <f t="shared" si="17"/>
        <v>543750</v>
      </c>
      <c r="K58" s="103">
        <f t="shared" si="17"/>
        <v>508750</v>
      </c>
      <c r="L58" s="103">
        <f t="shared" si="17"/>
        <v>473750</v>
      </c>
      <c r="M58" s="103">
        <f t="shared" si="17"/>
        <v>438750</v>
      </c>
      <c r="N58" s="103">
        <f t="shared" si="17"/>
        <v>403750</v>
      </c>
      <c r="O58" s="103">
        <f t="shared" si="17"/>
        <v>368750</v>
      </c>
      <c r="P58" s="103">
        <f t="shared" si="17"/>
        <v>333750</v>
      </c>
      <c r="Q58" s="103">
        <f t="shared" si="17"/>
        <v>298750</v>
      </c>
      <c r="R58" s="103">
        <f t="shared" si="17"/>
        <v>263750</v>
      </c>
    </row>
    <row r="59" spans="1:18"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</row>
    <row r="60" spans="1:18">
      <c r="A60" s="7" t="s">
        <v>161</v>
      </c>
      <c r="C60" s="97" t="s">
        <v>60</v>
      </c>
      <c r="D60" s="80">
        <f>'OPEX &amp; SALES'!D76</f>
        <v>0</v>
      </c>
      <c r="E60" s="80">
        <f>'OPEX &amp; SALES'!E76</f>
        <v>0</v>
      </c>
      <c r="F60" s="80">
        <f>'OPEX &amp; SALES'!F76</f>
        <v>12747.229348475334</v>
      </c>
      <c r="G60" s="80">
        <f>'OPEX &amp; SALES'!G76</f>
        <v>59709.761379660275</v>
      </c>
      <c r="H60" s="80">
        <f>'OPEX &amp; SALES'!H76</f>
        <v>65158.78494580523</v>
      </c>
      <c r="I60" s="80">
        <f>'OPEX &amp; SALES'!I76</f>
        <v>67950.794251428233</v>
      </c>
      <c r="J60" s="80">
        <f>'OPEX &amp; SALES'!J76</f>
        <v>70668.826021485351</v>
      </c>
      <c r="K60" s="80">
        <f>'OPEX &amp; SALES'!K76</f>
        <v>73495.579062344783</v>
      </c>
      <c r="L60" s="80">
        <f>'OPEX &amp; SALES'!L76</f>
        <v>76226.562328049389</v>
      </c>
      <c r="M60" s="80">
        <f>'OPEX &amp; SALES'!M76</f>
        <v>79492.818313832089</v>
      </c>
      <c r="N60" s="80">
        <f>'OPEX &amp; SALES'!N76</f>
        <v>82672.531046385411</v>
      </c>
      <c r="O60" s="80">
        <f>'OPEX &amp; SALES'!O76</f>
        <v>85979.432288240801</v>
      </c>
      <c r="P60" s="80">
        <f>'OPEX &amp; SALES'!P76</f>
        <v>89650.083732934087</v>
      </c>
      <c r="Q60" s="80">
        <f>'OPEX &amp; SALES'!Q76</f>
        <v>93491.528416723377</v>
      </c>
      <c r="R60" s="80">
        <f>'OPEX &amp; SALES'!R76</f>
        <v>97231.189553392323</v>
      </c>
    </row>
    <row r="61" spans="1:18">
      <c r="A61" s="7" t="s">
        <v>199</v>
      </c>
      <c r="C61" s="97" t="s">
        <v>60</v>
      </c>
      <c r="D61" s="80">
        <f>Налоги!D14</f>
        <v>45090.666666666657</v>
      </c>
      <c r="E61" s="80">
        <f>Налоги!E14</f>
        <v>85750.336223999999</v>
      </c>
      <c r="F61" s="80">
        <f>Налоги!F14</f>
        <v>0</v>
      </c>
      <c r="G61" s="80">
        <f>Налоги!G14</f>
        <v>0</v>
      </c>
      <c r="H61" s="80">
        <f>Налоги!H7+Налоги!H14</f>
        <v>0</v>
      </c>
      <c r="I61" s="80">
        <f>Налоги!I7+Налоги!I14</f>
        <v>0</v>
      </c>
      <c r="J61" s="80">
        <f>Налоги!J7+Налоги!J14</f>
        <v>0</v>
      </c>
      <c r="K61" s="80">
        <f>Налоги!K7+Налоги!K14</f>
        <v>0</v>
      </c>
      <c r="L61" s="80">
        <f>Налоги!L7+Налоги!L14</f>
        <v>0</v>
      </c>
      <c r="M61" s="80">
        <f>Налоги!M7+Налоги!M14</f>
        <v>0</v>
      </c>
      <c r="N61" s="80">
        <f>Налоги!N7+Налоги!N14</f>
        <v>0</v>
      </c>
      <c r="O61" s="80">
        <f>Налоги!O7+Налоги!O14</f>
        <v>0</v>
      </c>
      <c r="P61" s="80">
        <f>Налоги!P7+Налоги!P14</f>
        <v>0</v>
      </c>
      <c r="Q61" s="80">
        <f>Налоги!Q7+Налоги!Q14</f>
        <v>0</v>
      </c>
      <c r="R61" s="80">
        <f>Налоги!R7+Налоги!R14</f>
        <v>0</v>
      </c>
    </row>
    <row r="62" spans="1:18">
      <c r="A62" s="7" t="s">
        <v>160</v>
      </c>
      <c r="C62" s="97" t="s">
        <v>60</v>
      </c>
      <c r="D62" s="80">
        <f>'OPEX &amp; SALES'!D75</f>
        <v>0</v>
      </c>
      <c r="E62" s="80">
        <f>'OPEX &amp; SALES'!E75</f>
        <v>0</v>
      </c>
      <c r="F62" s="80">
        <f>'OPEX &amp; SALES'!F75</f>
        <v>40230.729692263209</v>
      </c>
      <c r="G62" s="80">
        <f>'OPEX &amp; SALES'!G75</f>
        <v>198739.80467978021</v>
      </c>
      <c r="H62" s="80">
        <f>'OPEX &amp; SALES'!H75</f>
        <v>216973.33867254699</v>
      </c>
      <c r="I62" s="80">
        <f>'OPEX &amp; SALES'!I75</f>
        <v>226270.49762278984</v>
      </c>
      <c r="J62" s="80">
        <f>'OPEX &amp; SALES'!J75</f>
        <v>235321.31752770144</v>
      </c>
      <c r="K62" s="80">
        <f>'OPEX &amp; SALES'!K75</f>
        <v>244734.1702288095</v>
      </c>
      <c r="L62" s="80">
        <f>'OPEX &amp; SALES'!L75</f>
        <v>253828.11753785814</v>
      </c>
      <c r="M62" s="80">
        <f>'OPEX &amp; SALES'!M75</f>
        <v>264704.47851948038</v>
      </c>
      <c r="N62" s="80">
        <f>'OPEX &amp; SALES'!N75</f>
        <v>275292.65766025957</v>
      </c>
      <c r="O62" s="80">
        <f>'OPEX &amp; SALES'!O75</f>
        <v>286304.36396666995</v>
      </c>
      <c r="P62" s="80">
        <f>'OPEX &amp; SALES'!P75</f>
        <v>296942.99607034947</v>
      </c>
      <c r="Q62" s="80">
        <f>'OPEX &amp; SALES'!Q75</f>
        <v>309666.80006635026</v>
      </c>
      <c r="R62" s="80">
        <f>'OPEX &amp; SALES'!R75</f>
        <v>322053.47206900432</v>
      </c>
    </row>
    <row r="63" spans="1:18">
      <c r="A63" s="7" t="s">
        <v>200</v>
      </c>
      <c r="C63" s="97" t="s">
        <v>60</v>
      </c>
      <c r="D63" s="80">
        <f t="shared" ref="D63:R63" si="18">D51</f>
        <v>859.27868852461688</v>
      </c>
      <c r="E63" s="80">
        <f t="shared" si="18"/>
        <v>84462.595716091339</v>
      </c>
      <c r="F63" s="80">
        <f t="shared" si="18"/>
        <v>161072.88571399363</v>
      </c>
      <c r="G63" s="80">
        <f t="shared" si="18"/>
        <v>211021.12794654074</v>
      </c>
      <c r="H63" s="80">
        <f t="shared" si="18"/>
        <v>449937.99797983712</v>
      </c>
      <c r="I63" s="80">
        <f t="shared" si="18"/>
        <v>711276.72625036736</v>
      </c>
      <c r="J63" s="80">
        <f t="shared" si="18"/>
        <v>985668.86181916134</v>
      </c>
      <c r="K63" s="80">
        <f t="shared" si="18"/>
        <v>1230294.4710290618</v>
      </c>
      <c r="L63" s="80">
        <f t="shared" si="18"/>
        <v>1487350.5866712483</v>
      </c>
      <c r="M63" s="80">
        <f t="shared" si="18"/>
        <v>1754997.2301954534</v>
      </c>
      <c r="N63" s="80">
        <f t="shared" si="18"/>
        <v>2036025.9741404054</v>
      </c>
      <c r="O63" s="80">
        <f t="shared" si="18"/>
        <v>2330172.5345098223</v>
      </c>
      <c r="P63" s="80">
        <f t="shared" si="18"/>
        <v>2615328.1670003058</v>
      </c>
      <c r="Q63" s="80">
        <f t="shared" si="18"/>
        <v>2910165.0513193896</v>
      </c>
      <c r="R63" s="80">
        <f t="shared" si="18"/>
        <v>3218764.6367476759</v>
      </c>
    </row>
    <row r="64" spans="1:18">
      <c r="A64" s="29" t="s">
        <v>201</v>
      </c>
      <c r="C64" s="99" t="s">
        <v>60</v>
      </c>
      <c r="D64" s="103">
        <f>SUM(D60:D63)</f>
        <v>45949.945355191274</v>
      </c>
      <c r="E64" s="103">
        <f t="shared" ref="E64:R64" si="19">SUM(E60:E63)</f>
        <v>170212.93194009134</v>
      </c>
      <c r="F64" s="103">
        <f t="shared" si="19"/>
        <v>214050.84475473216</v>
      </c>
      <c r="G64" s="103">
        <f t="shared" si="19"/>
        <v>469470.6940059812</v>
      </c>
      <c r="H64" s="103">
        <f t="shared" si="19"/>
        <v>732070.12159818935</v>
      </c>
      <c r="I64" s="103">
        <f t="shared" si="19"/>
        <v>1005498.0181245855</v>
      </c>
      <c r="J64" s="103">
        <f t="shared" si="19"/>
        <v>1291659.0053683482</v>
      </c>
      <c r="K64" s="103">
        <f t="shared" si="19"/>
        <v>1548524.2203202161</v>
      </c>
      <c r="L64" s="103">
        <f t="shared" si="19"/>
        <v>1817405.266537156</v>
      </c>
      <c r="M64" s="103">
        <f t="shared" si="19"/>
        <v>2099194.527028766</v>
      </c>
      <c r="N64" s="103">
        <f t="shared" si="19"/>
        <v>2393991.1628470505</v>
      </c>
      <c r="O64" s="103">
        <f t="shared" si="19"/>
        <v>2702456.3307647333</v>
      </c>
      <c r="P64" s="103">
        <f t="shared" si="19"/>
        <v>3001921.2468035892</v>
      </c>
      <c r="Q64" s="103">
        <f t="shared" si="19"/>
        <v>3313323.3798024631</v>
      </c>
      <c r="R64" s="103">
        <f t="shared" si="19"/>
        <v>3638049.2983700726</v>
      </c>
    </row>
    <row r="65" spans="1:18">
      <c r="A65" s="9" t="s">
        <v>311</v>
      </c>
      <c r="B65" s="17"/>
      <c r="C65" s="34"/>
      <c r="D65" s="85">
        <f>ROUND(D58+D64,0)</f>
        <v>370950</v>
      </c>
      <c r="E65" s="85">
        <f t="shared" ref="E65:R65" si="20">ROUND(E58+E64,0)</f>
        <v>870213</v>
      </c>
      <c r="F65" s="85">
        <f t="shared" si="20"/>
        <v>897801</v>
      </c>
      <c r="G65" s="85">
        <f t="shared" si="20"/>
        <v>1118221</v>
      </c>
      <c r="H65" s="85">
        <f t="shared" si="20"/>
        <v>1345820</v>
      </c>
      <c r="I65" s="85">
        <f t="shared" si="20"/>
        <v>1584248</v>
      </c>
      <c r="J65" s="85">
        <f t="shared" si="20"/>
        <v>1835409</v>
      </c>
      <c r="K65" s="85">
        <f t="shared" si="20"/>
        <v>2057274</v>
      </c>
      <c r="L65" s="85">
        <f t="shared" si="20"/>
        <v>2291155</v>
      </c>
      <c r="M65" s="85">
        <f t="shared" si="20"/>
        <v>2537945</v>
      </c>
      <c r="N65" s="85">
        <f t="shared" si="20"/>
        <v>2797741</v>
      </c>
      <c r="O65" s="85">
        <f t="shared" si="20"/>
        <v>3071206</v>
      </c>
      <c r="P65" s="85">
        <f t="shared" si="20"/>
        <v>3335671</v>
      </c>
      <c r="Q65" s="85">
        <f t="shared" si="20"/>
        <v>3612073</v>
      </c>
      <c r="R65" s="85">
        <f t="shared" si="20"/>
        <v>3901799</v>
      </c>
    </row>
    <row r="66" spans="1:18">
      <c r="D66" s="101"/>
      <c r="E66" s="101"/>
      <c r="F66" s="101"/>
      <c r="G66" s="101"/>
      <c r="H66" s="101"/>
      <c r="I66" s="101"/>
      <c r="J66" s="101"/>
      <c r="K66" s="101"/>
      <c r="L66" s="101"/>
      <c r="M66" s="101"/>
      <c r="N66" s="101"/>
      <c r="O66" s="101"/>
      <c r="P66" s="101"/>
      <c r="Q66" s="101"/>
      <c r="R66" s="101"/>
    </row>
    <row r="67" spans="1:18">
      <c r="A67" s="7" t="s">
        <v>202</v>
      </c>
      <c r="C67" s="97" t="s">
        <v>60</v>
      </c>
      <c r="D67" s="80">
        <f>D42</f>
        <v>20000</v>
      </c>
      <c r="E67" s="80">
        <f>D67+E42</f>
        <v>20000</v>
      </c>
      <c r="F67" s="80">
        <f>E67</f>
        <v>20000</v>
      </c>
      <c r="G67" s="80">
        <f t="shared" ref="G67:R67" si="21">F67</f>
        <v>20000</v>
      </c>
      <c r="H67" s="80">
        <f t="shared" si="21"/>
        <v>20000</v>
      </c>
      <c r="I67" s="80">
        <f t="shared" si="21"/>
        <v>20000</v>
      </c>
      <c r="J67" s="80">
        <f t="shared" si="21"/>
        <v>20000</v>
      </c>
      <c r="K67" s="80">
        <f t="shared" si="21"/>
        <v>20000</v>
      </c>
      <c r="L67" s="80">
        <f t="shared" si="21"/>
        <v>20000</v>
      </c>
      <c r="M67" s="80">
        <f t="shared" si="21"/>
        <v>20000</v>
      </c>
      <c r="N67" s="80">
        <f t="shared" si="21"/>
        <v>20000</v>
      </c>
      <c r="O67" s="80">
        <f t="shared" si="21"/>
        <v>20000</v>
      </c>
      <c r="P67" s="80">
        <f t="shared" si="21"/>
        <v>20000</v>
      </c>
      <c r="Q67" s="80">
        <f t="shared" si="21"/>
        <v>20000</v>
      </c>
      <c r="R67" s="80">
        <f t="shared" si="21"/>
        <v>20000</v>
      </c>
    </row>
    <row r="68" spans="1:18">
      <c r="A68" s="7" t="s">
        <v>203</v>
      </c>
      <c r="C68" s="97" t="s">
        <v>60</v>
      </c>
      <c r="D68" s="80">
        <v>0</v>
      </c>
      <c r="E68" s="80">
        <f>D68+D69</f>
        <v>-100453.33333333334</v>
      </c>
      <c r="F68" s="80">
        <f t="shared" ref="F68:R68" si="22">E68+E69</f>
        <v>-154205.01445333334</v>
      </c>
      <c r="G68" s="80">
        <f t="shared" si="22"/>
        <v>-179522.11032138369</v>
      </c>
      <c r="H68" s="80">
        <f t="shared" si="22"/>
        <v>90362.315105976944</v>
      </c>
      <c r="I68" s="80">
        <f t="shared" si="22"/>
        <v>389711.93815593584</v>
      </c>
      <c r="J68" s="80">
        <f t="shared" si="22"/>
        <v>701352.21279455977</v>
      </c>
      <c r="K68" s="80">
        <f t="shared" si="22"/>
        <v>1025774.7650853954</v>
      </c>
      <c r="L68" s="80">
        <f t="shared" si="22"/>
        <v>1320832.0076862192</v>
      </c>
      <c r="M68" s="80">
        <f t="shared" si="22"/>
        <v>1627968.2066577426</v>
      </c>
      <c r="N68" s="80">
        <f t="shared" si="22"/>
        <v>1947666.5202547938</v>
      </c>
      <c r="O68" s="80">
        <f t="shared" si="22"/>
        <v>2280429.4330623932</v>
      </c>
      <c r="P68" s="80">
        <f t="shared" si="22"/>
        <v>2626779.5290489634</v>
      </c>
      <c r="Q68" s="80">
        <f t="shared" si="22"/>
        <v>2922775.5408467064</v>
      </c>
      <c r="R68" s="80">
        <f t="shared" si="22"/>
        <v>3231670.7181163593</v>
      </c>
    </row>
    <row r="69" spans="1:18">
      <c r="A69" s="7" t="s">
        <v>204</v>
      </c>
      <c r="C69" s="97" t="s">
        <v>60</v>
      </c>
      <c r="D69" s="80">
        <f t="shared" ref="D69:R69" si="23">D20</f>
        <v>-100453.33333333334</v>
      </c>
      <c r="E69" s="80">
        <f t="shared" si="23"/>
        <v>-53751.681120000008</v>
      </c>
      <c r="F69" s="80">
        <f t="shared" si="23"/>
        <v>-25317.095868050354</v>
      </c>
      <c r="G69" s="80">
        <f t="shared" si="23"/>
        <v>269884.42542736063</v>
      </c>
      <c r="H69" s="80">
        <f t="shared" si="23"/>
        <v>299349.6230499589</v>
      </c>
      <c r="I69" s="80">
        <f t="shared" si="23"/>
        <v>311640.27463862393</v>
      </c>
      <c r="J69" s="80">
        <f t="shared" si="23"/>
        <v>324422.55229083559</v>
      </c>
      <c r="K69" s="80">
        <f t="shared" si="23"/>
        <v>295057.24260082381</v>
      </c>
      <c r="L69" s="80">
        <f t="shared" si="23"/>
        <v>307136.19897152344</v>
      </c>
      <c r="M69" s="80">
        <f t="shared" si="23"/>
        <v>319698.31359705119</v>
      </c>
      <c r="N69" s="80">
        <f t="shared" si="23"/>
        <v>332762.91280759964</v>
      </c>
      <c r="O69" s="80">
        <f t="shared" si="23"/>
        <v>346350.09598657035</v>
      </c>
      <c r="P69" s="80">
        <f t="shared" si="23"/>
        <v>295996.01179774315</v>
      </c>
      <c r="Q69" s="80">
        <f t="shared" si="23"/>
        <v>308895.17726965301</v>
      </c>
      <c r="R69" s="80">
        <f t="shared" si="23"/>
        <v>322287.20936043921</v>
      </c>
    </row>
    <row r="70" spans="1:18">
      <c r="A70" s="29" t="s">
        <v>205</v>
      </c>
      <c r="C70" s="99" t="s">
        <v>60</v>
      </c>
      <c r="D70" s="103">
        <f>SUM(D67:D69)</f>
        <v>-80453.333333333343</v>
      </c>
      <c r="E70" s="103">
        <f t="shared" ref="E70:R70" si="24">SUM(E67:E69)</f>
        <v>-134205.01445333334</v>
      </c>
      <c r="F70" s="103">
        <f t="shared" si="24"/>
        <v>-159522.11032138369</v>
      </c>
      <c r="G70" s="103">
        <f t="shared" si="24"/>
        <v>110362.31510597694</v>
      </c>
      <c r="H70" s="103">
        <f t="shared" si="24"/>
        <v>409711.93815593584</v>
      </c>
      <c r="I70" s="103">
        <f t="shared" si="24"/>
        <v>721352.21279455977</v>
      </c>
      <c r="J70" s="103">
        <f t="shared" si="24"/>
        <v>1045774.7650853954</v>
      </c>
      <c r="K70" s="103">
        <f t="shared" si="24"/>
        <v>1340832.0076862192</v>
      </c>
      <c r="L70" s="103">
        <f t="shared" si="24"/>
        <v>1647968.2066577426</v>
      </c>
      <c r="M70" s="103">
        <f t="shared" si="24"/>
        <v>1967666.5202547938</v>
      </c>
      <c r="N70" s="103">
        <f t="shared" si="24"/>
        <v>2300429.4330623932</v>
      </c>
      <c r="O70" s="103">
        <f t="shared" si="24"/>
        <v>2646779.5290489634</v>
      </c>
      <c r="P70" s="103">
        <f t="shared" si="24"/>
        <v>2942775.5408467064</v>
      </c>
      <c r="Q70" s="103">
        <f t="shared" si="24"/>
        <v>3251670.7181163593</v>
      </c>
      <c r="R70" s="103">
        <f t="shared" si="24"/>
        <v>3573957.9274767986</v>
      </c>
    </row>
    <row r="71" spans="1:18">
      <c r="D71" s="101"/>
      <c r="E71" s="101"/>
      <c r="F71" s="101"/>
      <c r="G71" s="101"/>
      <c r="H71" s="101"/>
      <c r="I71" s="101"/>
      <c r="J71" s="101"/>
      <c r="K71" s="101"/>
      <c r="L71" s="101"/>
      <c r="M71" s="101"/>
      <c r="N71" s="101"/>
      <c r="O71" s="101"/>
      <c r="P71" s="101"/>
      <c r="Q71" s="101"/>
      <c r="R71" s="101"/>
    </row>
    <row r="72" spans="1:18">
      <c r="A72" s="7" t="s">
        <v>206</v>
      </c>
      <c r="C72" s="97" t="s">
        <v>60</v>
      </c>
      <c r="D72" s="80">
        <f>'CAPEX | Finance'!D45+'CAPEX | Finance'!D52</f>
        <v>300000</v>
      </c>
      <c r="E72" s="80">
        <f>'CAPEX | Finance'!E45+'CAPEX | Finance'!E52</f>
        <v>600000</v>
      </c>
      <c r="F72" s="80">
        <f>'CAPEX | Finance'!F45+'CAPEX | Finance'!F52</f>
        <v>550000</v>
      </c>
      <c r="G72" s="80">
        <f>'CAPEX | Finance'!G45+'CAPEX | Finance'!G52</f>
        <v>500000</v>
      </c>
      <c r="H72" s="80">
        <f>'CAPEX | Finance'!H45+'CAPEX | Finance'!H52</f>
        <v>450000</v>
      </c>
      <c r="I72" s="80">
        <f>'CAPEX | Finance'!I45+'CAPEX | Finance'!I52</f>
        <v>400000</v>
      </c>
      <c r="J72" s="80">
        <f>'CAPEX | Finance'!J45+'CAPEX | Finance'!J52</f>
        <v>350000</v>
      </c>
      <c r="K72" s="80">
        <f>'CAPEX | Finance'!K45+'CAPEX | Finance'!K52</f>
        <v>300000</v>
      </c>
      <c r="L72" s="80">
        <f>'CAPEX | Finance'!L45+'CAPEX | Finance'!L52</f>
        <v>250000</v>
      </c>
      <c r="M72" s="80">
        <f>'CAPEX | Finance'!M45+'CAPEX | Finance'!M52</f>
        <v>200000</v>
      </c>
      <c r="N72" s="80">
        <f>'CAPEX | Finance'!N45+'CAPEX | Finance'!N52</f>
        <v>150000</v>
      </c>
      <c r="O72" s="80">
        <f>'CAPEX | Finance'!O45+'CAPEX | Finance'!O52</f>
        <v>99999.999999999985</v>
      </c>
      <c r="P72" s="80">
        <f>'CAPEX | Finance'!P45+'CAPEX | Finance'!P52</f>
        <v>89999.999999999985</v>
      </c>
      <c r="Q72" s="80">
        <f>'CAPEX | Finance'!Q45+'CAPEX | Finance'!Q52</f>
        <v>79999.999999999985</v>
      </c>
      <c r="R72" s="80">
        <f>'CAPEX | Finance'!R45+'CAPEX | Finance'!R52</f>
        <v>69999.999999999985</v>
      </c>
    </row>
    <row r="73" spans="1:18">
      <c r="A73" s="7" t="s">
        <v>207</v>
      </c>
      <c r="C73" s="97" t="s">
        <v>60</v>
      </c>
      <c r="D73" s="80">
        <f>'CAPEX | Finance'!D17-D17</f>
        <v>150000</v>
      </c>
      <c r="E73" s="80">
        <f>'CAPEX | Finance'!E17-E17+D73</f>
        <v>400000</v>
      </c>
      <c r="F73" s="80">
        <f>'CAPEX | Finance'!F17-F17+E73</f>
        <v>493750</v>
      </c>
      <c r="G73" s="80">
        <f>'CAPEX | Finance'!G17-G17+F73</f>
        <v>468750</v>
      </c>
      <c r="H73" s="80">
        <f>'CAPEX | Finance'!H17-H17+G73</f>
        <v>443750</v>
      </c>
      <c r="I73" s="80">
        <f>'CAPEX | Finance'!I17-I17+H73</f>
        <v>418750</v>
      </c>
      <c r="J73" s="80">
        <f>'CAPEX | Finance'!J17-J17+I73</f>
        <v>393750</v>
      </c>
      <c r="K73" s="80">
        <f>'CAPEX | Finance'!K17-K17+J73</f>
        <v>368750</v>
      </c>
      <c r="L73" s="80">
        <f>'CAPEX | Finance'!L17-L17+K73</f>
        <v>343750</v>
      </c>
      <c r="M73" s="80">
        <f>'CAPEX | Finance'!M17-M17+L73</f>
        <v>318750</v>
      </c>
      <c r="N73" s="80">
        <f>'CAPEX | Finance'!N17-N17+M73</f>
        <v>293750</v>
      </c>
      <c r="O73" s="80">
        <f>'CAPEX | Finance'!O17-O17+N73</f>
        <v>268750</v>
      </c>
      <c r="P73" s="80">
        <f>'CAPEX | Finance'!P17-P17+O73</f>
        <v>243750</v>
      </c>
      <c r="Q73" s="80">
        <f>'CAPEX | Finance'!Q17-Q17+P73</f>
        <v>218750</v>
      </c>
      <c r="R73" s="80">
        <f>'CAPEX | Finance'!R17-R17+Q73</f>
        <v>193750</v>
      </c>
    </row>
    <row r="74" spans="1:18">
      <c r="A74" s="7" t="s">
        <v>208</v>
      </c>
      <c r="C74" s="97" t="s">
        <v>60</v>
      </c>
      <c r="D74" s="80">
        <f>'OPEX &amp; SALES'!D77+'OPEX &amp; SALES'!D78</f>
        <v>1403.2786885245901</v>
      </c>
      <c r="E74" s="80">
        <f>'OPEX &amp; SALES'!E77+'OPEX &amp; SALES'!E78</f>
        <v>4417.9463934246587</v>
      </c>
      <c r="F74" s="80">
        <f>'OPEX &amp; SALES'!F77+'OPEX &amp; SALES'!F78</f>
        <v>13572.955076115863</v>
      </c>
      <c r="G74" s="80">
        <f>'OPEX &amp; SALES'!G77+'OPEX &amp; SALES'!G78</f>
        <v>39108.378900004223</v>
      </c>
      <c r="H74" s="80">
        <f>'OPEX &amp; SALES'!H77+'OPEX &amp; SALES'!H78</f>
        <v>42358.18344225343</v>
      </c>
      <c r="I74" s="80">
        <f>'OPEX &amp; SALES'!I77+'OPEX &amp; SALES'!I78</f>
        <v>44145.805330025614</v>
      </c>
      <c r="J74" s="80">
        <f>'OPEX &amp; SALES'!J77+'OPEX &amp; SALES'!J78</f>
        <v>45884.240282952655</v>
      </c>
      <c r="K74" s="80">
        <f>'OPEX &amp; SALES'!K77+'OPEX &amp; SALES'!K78</f>
        <v>47692.212633996802</v>
      </c>
      <c r="L74" s="80">
        <f>'OPEX &amp; SALES'!L77+'OPEX &amp; SALES'!L78</f>
        <v>49437.059879413078</v>
      </c>
      <c r="M74" s="80">
        <f>'OPEX &amp; SALES'!M77+'OPEX &amp; SALES'!M78</f>
        <v>51528.006773972025</v>
      </c>
      <c r="N74" s="80">
        <f>'OPEX &amp; SALES'!N77+'OPEX &amp; SALES'!N78</f>
        <v>53561.729784656956</v>
      </c>
      <c r="O74" s="80">
        <f>'OPEX &amp; SALES'!O77+'OPEX &amp; SALES'!O78</f>
        <v>55676.801715769259</v>
      </c>
      <c r="P74" s="80">
        <f>'OPEX &amp; SALES'!P77+'OPEX &amp; SALES'!P78</f>
        <v>59145.705956882492</v>
      </c>
      <c r="Q74" s="80">
        <f>'OPEX &amp; SALES'!Q77+'OPEX &amp; SALES'!Q78</f>
        <v>61652.661686103434</v>
      </c>
      <c r="R74" s="80">
        <f>'OPEX &amp; SALES'!R77+'OPEX &amp; SALES'!R78</f>
        <v>64091.370893273597</v>
      </c>
    </row>
    <row r="75" spans="1:18">
      <c r="A75" s="29" t="s">
        <v>209</v>
      </c>
      <c r="C75" s="99" t="s">
        <v>60</v>
      </c>
      <c r="D75" s="103">
        <f>SUM(D72:D74)</f>
        <v>451403.27868852462</v>
      </c>
      <c r="E75" s="103">
        <f t="shared" ref="E75:R75" si="25">SUM(E72:E74)</f>
        <v>1004417.9463934246</v>
      </c>
      <c r="F75" s="103">
        <f>SUM(F72:F74)</f>
        <v>1057322.9550761159</v>
      </c>
      <c r="G75" s="103">
        <f t="shared" si="25"/>
        <v>1007858.3789000042</v>
      </c>
      <c r="H75" s="103">
        <f t="shared" si="25"/>
        <v>936108.18344225339</v>
      </c>
      <c r="I75" s="103">
        <f t="shared" si="25"/>
        <v>862895.80533002561</v>
      </c>
      <c r="J75" s="103">
        <f t="shared" si="25"/>
        <v>789634.24028295267</v>
      </c>
      <c r="K75" s="103">
        <f t="shared" si="25"/>
        <v>716442.21263399685</v>
      </c>
      <c r="L75" s="103">
        <f t="shared" si="25"/>
        <v>643187.05987941311</v>
      </c>
      <c r="M75" s="103">
        <f t="shared" si="25"/>
        <v>570278.00677397207</v>
      </c>
      <c r="N75" s="103">
        <f t="shared" si="25"/>
        <v>497311.72978465696</v>
      </c>
      <c r="O75" s="103">
        <f t="shared" si="25"/>
        <v>424426.80171576928</v>
      </c>
      <c r="P75" s="103">
        <f t="shared" si="25"/>
        <v>392895.70595688251</v>
      </c>
      <c r="Q75" s="103">
        <f t="shared" si="25"/>
        <v>360402.66168610344</v>
      </c>
      <c r="R75" s="103">
        <f t="shared" si="25"/>
        <v>327841.37089327362</v>
      </c>
    </row>
    <row r="76" spans="1:18">
      <c r="A76" s="9" t="s">
        <v>310</v>
      </c>
      <c r="B76" s="17"/>
      <c r="C76" s="34"/>
      <c r="D76" s="85">
        <f>ROUND(D70+D75,0)</f>
        <v>370950</v>
      </c>
      <c r="E76" s="85">
        <f t="shared" ref="E76:R76" si="26">ROUND(E70+E75,0)</f>
        <v>870213</v>
      </c>
      <c r="F76" s="85">
        <f t="shared" si="26"/>
        <v>897801</v>
      </c>
      <c r="G76" s="85">
        <f t="shared" si="26"/>
        <v>1118221</v>
      </c>
      <c r="H76" s="85">
        <f t="shared" si="26"/>
        <v>1345820</v>
      </c>
      <c r="I76" s="85">
        <f t="shared" si="26"/>
        <v>1584248</v>
      </c>
      <c r="J76" s="85">
        <f t="shared" si="26"/>
        <v>1835409</v>
      </c>
      <c r="K76" s="85">
        <f t="shared" si="26"/>
        <v>2057274</v>
      </c>
      <c r="L76" s="85">
        <f t="shared" si="26"/>
        <v>2291155</v>
      </c>
      <c r="M76" s="85">
        <f t="shared" si="26"/>
        <v>2537945</v>
      </c>
      <c r="N76" s="85">
        <f t="shared" si="26"/>
        <v>2797741</v>
      </c>
      <c r="O76" s="85">
        <f t="shared" si="26"/>
        <v>3071206</v>
      </c>
      <c r="P76" s="85">
        <f t="shared" si="26"/>
        <v>3335671</v>
      </c>
      <c r="Q76" s="85">
        <f t="shared" si="26"/>
        <v>3612073</v>
      </c>
      <c r="R76" s="85">
        <f t="shared" si="26"/>
        <v>3901799</v>
      </c>
    </row>
    <row r="78" spans="1:18">
      <c r="A78" s="7" t="s">
        <v>212</v>
      </c>
      <c r="D78" s="72" t="str">
        <f t="shared" ref="D78:R78" si="27">IF(D65=D76,"OK","!")</f>
        <v>OK</v>
      </c>
      <c r="E78" s="72" t="str">
        <f t="shared" si="27"/>
        <v>OK</v>
      </c>
      <c r="F78" s="72" t="str">
        <f t="shared" si="27"/>
        <v>OK</v>
      </c>
      <c r="G78" s="72" t="str">
        <f t="shared" si="27"/>
        <v>OK</v>
      </c>
      <c r="H78" s="72" t="str">
        <f t="shared" si="27"/>
        <v>OK</v>
      </c>
      <c r="I78" s="72" t="str">
        <f t="shared" si="27"/>
        <v>OK</v>
      </c>
      <c r="J78" s="72" t="str">
        <f t="shared" si="27"/>
        <v>OK</v>
      </c>
      <c r="K78" s="72" t="str">
        <f t="shared" si="27"/>
        <v>OK</v>
      </c>
      <c r="L78" s="72" t="str">
        <f t="shared" si="27"/>
        <v>OK</v>
      </c>
      <c r="M78" s="72" t="str">
        <f t="shared" si="27"/>
        <v>OK</v>
      </c>
      <c r="N78" s="72" t="str">
        <f t="shared" si="27"/>
        <v>OK</v>
      </c>
      <c r="O78" s="72" t="str">
        <f t="shared" si="27"/>
        <v>OK</v>
      </c>
      <c r="P78" s="72" t="str">
        <f t="shared" si="27"/>
        <v>OK</v>
      </c>
      <c r="Q78" s="72" t="str">
        <f t="shared" si="27"/>
        <v>OK</v>
      </c>
      <c r="R78" s="72" t="str">
        <f t="shared" si="27"/>
        <v>OK</v>
      </c>
    </row>
    <row r="79" spans="1:18">
      <c r="A79" s="7" t="s">
        <v>323</v>
      </c>
      <c r="D79" s="28"/>
      <c r="E79" s="28">
        <f t="shared" ref="E79:R79" si="28">IF(E20&gt;0,E20/((D65+E65)/2),0)</f>
        <v>0</v>
      </c>
      <c r="F79" s="28">
        <f t="shared" si="28"/>
        <v>0</v>
      </c>
      <c r="G79" s="28">
        <f t="shared" si="28"/>
        <v>0.26773956378190378</v>
      </c>
      <c r="H79" s="28">
        <f t="shared" si="28"/>
        <v>0.24297454713615471</v>
      </c>
      <c r="I79" s="28">
        <f t="shared" si="28"/>
        <v>0.21271880013612238</v>
      </c>
      <c r="J79" s="28">
        <f t="shared" si="28"/>
        <v>0.18973982027486125</v>
      </c>
      <c r="K79" s="28">
        <f t="shared" si="28"/>
        <v>0.15159582354937395</v>
      </c>
      <c r="L79" s="28">
        <f t="shared" si="28"/>
        <v>0.14126306257801308</v>
      </c>
      <c r="M79" s="28">
        <f t="shared" si="28"/>
        <v>0.13240492580275878</v>
      </c>
      <c r="N79" s="28">
        <f t="shared" si="28"/>
        <v>0.12473107030945961</v>
      </c>
      <c r="O79" s="28">
        <f t="shared" si="28"/>
        <v>0.11802801967254785</v>
      </c>
      <c r="P79" s="28">
        <f t="shared" si="28"/>
        <v>9.2399467571405894E-2</v>
      </c>
      <c r="Q79" s="28">
        <f t="shared" si="28"/>
        <v>8.8919562168569541E-2</v>
      </c>
      <c r="R79" s="28">
        <f t="shared" si="28"/>
        <v>8.5784588654275504E-2</v>
      </c>
    </row>
    <row r="81" spans="1:18">
      <c r="A81" s="43" t="s">
        <v>328</v>
      </c>
      <c r="B81" s="44"/>
      <c r="C81" s="44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6"/>
    </row>
    <row r="82" spans="1:18" ht="26">
      <c r="A82" s="7" t="s">
        <v>329</v>
      </c>
      <c r="B82" s="108" t="s">
        <v>323</v>
      </c>
      <c r="C82" s="108" t="s">
        <v>326</v>
      </c>
      <c r="D82" s="108" t="s">
        <v>327</v>
      </c>
    </row>
    <row r="83" spans="1:18">
      <c r="A83" s="98"/>
      <c r="B83" s="28">
        <f t="array" ref="B83:B97">TRANSPOSE(D79:R79)</f>
        <v>0</v>
      </c>
      <c r="C83" s="28">
        <f t="array" ref="C83:C97">TRANSPOSE(D13:R13)</f>
        <v>0</v>
      </c>
      <c r="D83" s="28">
        <f t="array" ref="D83:D97">TRANSPOSE(D21:R21)</f>
        <v>0</v>
      </c>
    </row>
    <row r="84" spans="1:18">
      <c r="A84" s="98"/>
      <c r="B84" s="28">
        <v>0</v>
      </c>
      <c r="C84" s="28">
        <v>0</v>
      </c>
      <c r="D84" s="28">
        <v>0</v>
      </c>
    </row>
    <row r="85" spans="1:18">
      <c r="A85" s="98"/>
      <c r="B85" s="28">
        <v>0</v>
      </c>
      <c r="C85" s="28">
        <v>-0.19347567229959209</v>
      </c>
      <c r="D85" s="28">
        <v>-0.15516923584668013</v>
      </c>
    </row>
    <row r="86" spans="1:18">
      <c r="A86" s="80">
        <v>1</v>
      </c>
      <c r="B86" s="28">
        <v>0.26773956378190378</v>
      </c>
      <c r="C86" s="28">
        <v>0.32145008230154493</v>
      </c>
      <c r="D86" s="28">
        <v>0.33484406776563069</v>
      </c>
    </row>
    <row r="87" spans="1:18">
      <c r="A87" s="80">
        <v>2</v>
      </c>
      <c r="B87" s="28">
        <v>0.24297454713615471</v>
      </c>
      <c r="C87" s="28">
        <v>0.3287835392964728</v>
      </c>
      <c r="D87" s="28">
        <v>0.33926086723569232</v>
      </c>
    </row>
    <row r="88" spans="1:18">
      <c r="A88" s="80">
        <v>3</v>
      </c>
      <c r="B88" s="28">
        <v>0.21271880013612238</v>
      </c>
      <c r="C88" s="28">
        <v>0.33023652201733877</v>
      </c>
      <c r="D88" s="28">
        <v>0.33960595063189797</v>
      </c>
    </row>
    <row r="89" spans="1:18">
      <c r="A89" s="80">
        <v>4</v>
      </c>
      <c r="B89" s="28">
        <v>0.18973982027486125</v>
      </c>
      <c r="C89" s="28">
        <v>0.33163362078740233</v>
      </c>
      <c r="D89" s="28">
        <v>0.33993776158978806</v>
      </c>
    </row>
    <row r="90" spans="1:18">
      <c r="A90" s="80">
        <v>5</v>
      </c>
      <c r="B90" s="28">
        <v>0.15159582354937395</v>
      </c>
      <c r="C90" s="28">
        <v>0.33297698498938644</v>
      </c>
      <c r="D90" s="28">
        <v>0.29727700293456866</v>
      </c>
    </row>
    <row r="91" spans="1:18">
      <c r="A91" s="80">
        <v>6</v>
      </c>
      <c r="B91" s="28">
        <v>0.14126306257801308</v>
      </c>
      <c r="C91" s="28">
        <v>0.33426868133744808</v>
      </c>
      <c r="D91" s="28">
        <v>0.29754502992679144</v>
      </c>
    </row>
    <row r="92" spans="1:18">
      <c r="A92" s="80">
        <v>7</v>
      </c>
      <c r="B92" s="28">
        <v>0.13240492580275878</v>
      </c>
      <c r="C92" s="28">
        <v>0.33551069705673831</v>
      </c>
      <c r="D92" s="28">
        <v>0.2978027481885443</v>
      </c>
    </row>
    <row r="93" spans="1:18">
      <c r="A93" s="80">
        <v>8</v>
      </c>
      <c r="B93" s="28">
        <v>0.12473107030945961</v>
      </c>
      <c r="C93" s="28">
        <v>0.33670494294067083</v>
      </c>
      <c r="D93" s="28">
        <v>0.29805055420946008</v>
      </c>
    </row>
    <row r="94" spans="1:18">
      <c r="A94" s="80">
        <v>9</v>
      </c>
      <c r="B94" s="28">
        <v>0.11802801967254785</v>
      </c>
      <c r="C94" s="28">
        <v>0.3378532562906062</v>
      </c>
      <c r="D94" s="28">
        <v>0.29828882922957173</v>
      </c>
    </row>
    <row r="95" spans="1:18">
      <c r="A95" s="80">
        <v>10</v>
      </c>
      <c r="B95" s="28">
        <v>9.2399467571405894E-2</v>
      </c>
      <c r="C95" s="28">
        <v>0.30612047746507398</v>
      </c>
      <c r="D95" s="28">
        <v>0.24511743164059932</v>
      </c>
    </row>
    <row r="96" spans="1:18">
      <c r="A96" s="80">
        <v>11</v>
      </c>
      <c r="B96" s="28">
        <v>8.8919562168569541E-2</v>
      </c>
      <c r="C96" s="28">
        <v>0.30804140206924541</v>
      </c>
      <c r="D96" s="28">
        <v>0.24596092995750507</v>
      </c>
    </row>
    <row r="97" spans="1:4">
      <c r="A97" s="80">
        <v>12</v>
      </c>
      <c r="B97" s="28">
        <v>8.5784588654275504E-2</v>
      </c>
      <c r="C97" s="28">
        <v>0.3098648634063389</v>
      </c>
      <c r="D97" s="28">
        <v>0.2467542998678032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1:R193"/>
  <sheetViews>
    <sheetView zoomScale="80" zoomScaleNormal="80" workbookViewId="0">
      <selection activeCell="D88" sqref="D88:M88"/>
    </sheetView>
  </sheetViews>
  <sheetFormatPr baseColWidth="10" defaultColWidth="9.1640625" defaultRowHeight="15"/>
  <cols>
    <col min="1" max="1" width="50.5" style="1" customWidth="1"/>
    <col min="2" max="2" width="15" style="1" customWidth="1"/>
    <col min="3" max="3" width="12.83203125" style="1" customWidth="1"/>
    <col min="4" max="4" width="13.1640625" style="1" bestFit="1" customWidth="1"/>
    <col min="5" max="5" width="13.5" style="1" customWidth="1"/>
    <col min="6" max="6" width="12.83203125" style="1" customWidth="1"/>
    <col min="7" max="7" width="11" style="1" customWidth="1"/>
    <col min="8" max="18" width="12.1640625" style="1" bestFit="1" customWidth="1"/>
    <col min="19" max="16384" width="9.1640625" style="1"/>
  </cols>
  <sheetData>
    <row r="1" spans="1:18">
      <c r="A1" s="37" t="s">
        <v>167</v>
      </c>
      <c r="B1" s="38" t="s">
        <v>105</v>
      </c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2" spans="1:18">
      <c r="A2" s="43" t="s">
        <v>244</v>
      </c>
      <c r="B2" s="44"/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>
      <c r="A3" s="7" t="s">
        <v>221</v>
      </c>
      <c r="C3" s="6" t="s">
        <v>60</v>
      </c>
      <c r="D3" s="18">
        <f>'ОПУ-Баланс-ОДДС'!D24</f>
        <v>-119140.72131147541</v>
      </c>
      <c r="E3" s="18">
        <f>'ОПУ-Баланс-ОДДС'!E24</f>
        <v>-61487.349639099935</v>
      </c>
      <c r="F3" s="18">
        <f>'ОПУ-Баланс-ОДДС'!F24</f>
        <v>-69140.046226097693</v>
      </c>
      <c r="G3" s="18">
        <f>'ОПУ-Баланс-ОДДС'!G24</f>
        <v>89948.242232547113</v>
      </c>
      <c r="H3" s="18">
        <f>'ОПУ-Баланс-ОДДС'!H24</f>
        <v>278916.87003329641</v>
      </c>
      <c r="I3" s="18">
        <f>'ОПУ-Баланс-ОДДС'!I24</f>
        <v>301338.72827053024</v>
      </c>
      <c r="J3" s="18">
        <f>'ОПУ-Баланс-ОДДС'!J24</f>
        <v>314392.13556879398</v>
      </c>
      <c r="K3" s="18">
        <f>'ОПУ-Баланс-ОДДС'!K24</f>
        <v>284625.60920990043</v>
      </c>
      <c r="L3" s="18">
        <f>'ОПУ-Баланс-ОДДС'!L24</f>
        <v>297056.11564218649</v>
      </c>
      <c r="M3" s="18">
        <f>'ОПУ-Баланс-ОДДС'!M24</f>
        <v>307646.6435242052</v>
      </c>
      <c r="N3" s="18">
        <f>'ОПУ-Баланс-ОДДС'!N24</f>
        <v>321028.74394495203</v>
      </c>
      <c r="O3" s="18">
        <f>'ОПУ-Баланс-ОДДС'!O24</f>
        <v>334146.5603694169</v>
      </c>
      <c r="P3" s="18">
        <f>'ОПУ-Баланс-ОДДС'!P24</f>
        <v>285155.63249048358</v>
      </c>
      <c r="Q3" s="18">
        <f>'ОПУ-Баланс-ОДДС'!Q24</f>
        <v>294836.88431908388</v>
      </c>
      <c r="R3" s="18">
        <f>'ОПУ-Баланс-ОДДС'!R24</f>
        <v>308599.58542828634</v>
      </c>
    </row>
    <row r="4" spans="1:18">
      <c r="A4" s="7" t="s">
        <v>222</v>
      </c>
      <c r="C4" s="6" t="s">
        <v>60</v>
      </c>
      <c r="D4" s="18">
        <f>'CAPEX | Finance'!D17</f>
        <v>150000</v>
      </c>
      <c r="E4" s="18">
        <f>'CAPEX | Finance'!E17</f>
        <v>250000</v>
      </c>
      <c r="F4" s="18">
        <f>'CAPEX | Finance'!F17</f>
        <v>100000</v>
      </c>
      <c r="G4" s="18">
        <f>'CAPEX | Finance'!G17</f>
        <v>0</v>
      </c>
      <c r="H4" s="18">
        <f>'CAPEX | Finance'!H17</f>
        <v>0</v>
      </c>
      <c r="I4" s="18">
        <f>'CAPEX | Finance'!I17</f>
        <v>0</v>
      </c>
      <c r="J4" s="18">
        <f>'CAPEX | Finance'!J17</f>
        <v>0</v>
      </c>
      <c r="K4" s="18">
        <f>'CAPEX | Finance'!K17</f>
        <v>0</v>
      </c>
      <c r="L4" s="18">
        <f>'CAPEX | Finance'!L17</f>
        <v>0</v>
      </c>
      <c r="M4" s="18">
        <f>'CAPEX | Finance'!M17</f>
        <v>0</v>
      </c>
      <c r="N4" s="18">
        <f>'CAPEX | Finance'!N17</f>
        <v>0</v>
      </c>
      <c r="O4" s="18">
        <f>'CAPEX | Finance'!O17</f>
        <v>0</v>
      </c>
      <c r="P4" s="18">
        <f>'CAPEX | Finance'!P17</f>
        <v>0</v>
      </c>
      <c r="Q4" s="18">
        <f>'CAPEX | Finance'!Q17</f>
        <v>0</v>
      </c>
      <c r="R4" s="18">
        <f>'CAPEX | Finance'!R17</f>
        <v>0</v>
      </c>
    </row>
    <row r="5" spans="1:18">
      <c r="A5" s="7" t="s">
        <v>223</v>
      </c>
      <c r="C5" s="6" t="s">
        <v>60</v>
      </c>
      <c r="D5" s="18">
        <f>'ОПУ-Баланс-ОДДС'!D38-'CAPEX | Finance'!B4</f>
        <v>-450000</v>
      </c>
      <c r="E5" s="18">
        <f>'ОПУ-Баланс-ОДДС'!E38</f>
        <v>-450000</v>
      </c>
      <c r="F5" s="18">
        <f>'ОПУ-Баланс-ОДДС'!F39</f>
        <v>0</v>
      </c>
      <c r="G5" s="18">
        <f>'ОПУ-Баланс-ОДДС'!G39</f>
        <v>0</v>
      </c>
      <c r="H5" s="18">
        <f>'ОПУ-Баланс-ОДДС'!H39</f>
        <v>0</v>
      </c>
      <c r="I5" s="18">
        <f>'ОПУ-Баланс-ОДДС'!I39</f>
        <v>0</v>
      </c>
      <c r="J5" s="18">
        <f>'ОПУ-Баланс-ОДДС'!J39</f>
        <v>0</v>
      </c>
      <c r="K5" s="18">
        <f>'ОПУ-Баланс-ОДДС'!K39</f>
        <v>0</v>
      </c>
      <c r="L5" s="18">
        <f>'ОПУ-Баланс-ОДДС'!L39</f>
        <v>0</v>
      </c>
      <c r="M5" s="18">
        <f>'ОПУ-Баланс-ОДДС'!M39</f>
        <v>0</v>
      </c>
      <c r="N5" s="18">
        <f>'ОПУ-Баланс-ОДДС'!N39</f>
        <v>0</v>
      </c>
      <c r="O5" s="18">
        <f>'ОПУ-Баланс-ОДДС'!O39</f>
        <v>0</v>
      </c>
      <c r="P5" s="18">
        <f>'ОПУ-Баланс-ОДДС'!P39</f>
        <v>0</v>
      </c>
      <c r="Q5" s="18">
        <f>'ОПУ-Баланс-ОДДС'!Q39</f>
        <v>0</v>
      </c>
      <c r="R5" s="18">
        <f>'ОПУ-Баланс-ОДДС'!R39</f>
        <v>0</v>
      </c>
    </row>
    <row r="6" spans="1:18">
      <c r="A6" s="7" t="s">
        <v>108</v>
      </c>
      <c r="C6" s="6" t="s">
        <v>60</v>
      </c>
      <c r="D6" s="18">
        <f>'ОПУ-Баланс-ОДДС'!D47</f>
        <v>0</v>
      </c>
      <c r="E6" s="18">
        <f>'ОПУ-Баланс-ОДДС'!E47</f>
        <v>45090.666666666657</v>
      </c>
      <c r="F6" s="18">
        <f>'ОПУ-Баланс-ОДДС'!F47</f>
        <v>85750.336223999999</v>
      </c>
      <c r="G6" s="18">
        <f>'ОПУ-Баланс-ОДДС'!G47</f>
        <v>0</v>
      </c>
      <c r="H6" s="18">
        <f>'ОПУ-Баланс-ОДДС'!H47</f>
        <v>0</v>
      </c>
      <c r="I6" s="18">
        <f>'ОПУ-Баланс-ОДДС'!I47</f>
        <v>0</v>
      </c>
      <c r="J6" s="18">
        <f>'ОПУ-Баланс-ОДДС'!J47</f>
        <v>0</v>
      </c>
      <c r="K6" s="18">
        <f>'ОПУ-Баланс-ОДДС'!K47</f>
        <v>0</v>
      </c>
      <c r="L6" s="18">
        <f>'ОПУ-Баланс-ОДДС'!L47</f>
        <v>0</v>
      </c>
      <c r="M6" s="18">
        <f>'ОПУ-Баланс-ОДДС'!M47</f>
        <v>0</v>
      </c>
      <c r="N6" s="18">
        <f>'ОПУ-Баланс-ОДДС'!N47</f>
        <v>0</v>
      </c>
      <c r="O6" s="18">
        <f>'ОПУ-Баланс-ОДДС'!O47</f>
        <v>0</v>
      </c>
      <c r="P6" s="18">
        <f>'ОПУ-Баланс-ОДДС'!P47</f>
        <v>0</v>
      </c>
      <c r="Q6" s="18">
        <f>'ОПУ-Баланс-ОДДС'!Q47</f>
        <v>0</v>
      </c>
      <c r="R6" s="18">
        <f>'ОПУ-Баланс-ОДДС'!R47</f>
        <v>0</v>
      </c>
    </row>
    <row r="7" spans="1:18">
      <c r="A7" s="74" t="s">
        <v>224</v>
      </c>
      <c r="C7" s="53" t="s">
        <v>60</v>
      </c>
      <c r="D7" s="55">
        <f>SUM(D3:D6)</f>
        <v>-419140.72131147538</v>
      </c>
      <c r="E7" s="55">
        <f t="shared" ref="E7:R7" si="0">SUM(E3:E6)</f>
        <v>-216396.68297243328</v>
      </c>
      <c r="F7" s="55">
        <f t="shared" si="0"/>
        <v>116610.28999790231</v>
      </c>
      <c r="G7" s="55">
        <f t="shared" si="0"/>
        <v>89948.242232547113</v>
      </c>
      <c r="H7" s="55">
        <f t="shared" si="0"/>
        <v>278916.87003329641</v>
      </c>
      <c r="I7" s="55">
        <f t="shared" si="0"/>
        <v>301338.72827053024</v>
      </c>
      <c r="J7" s="55">
        <f t="shared" si="0"/>
        <v>314392.13556879398</v>
      </c>
      <c r="K7" s="55">
        <f t="shared" si="0"/>
        <v>284625.60920990043</v>
      </c>
      <c r="L7" s="55">
        <f t="shared" si="0"/>
        <v>297056.11564218649</v>
      </c>
      <c r="M7" s="55">
        <f t="shared" si="0"/>
        <v>307646.6435242052</v>
      </c>
      <c r="N7" s="55">
        <f t="shared" si="0"/>
        <v>321028.74394495203</v>
      </c>
      <c r="O7" s="55">
        <f t="shared" si="0"/>
        <v>334146.5603694169</v>
      </c>
      <c r="P7" s="55">
        <f t="shared" si="0"/>
        <v>285155.63249048358</v>
      </c>
      <c r="Q7" s="55">
        <f t="shared" si="0"/>
        <v>294836.88431908388</v>
      </c>
      <c r="R7" s="55">
        <f t="shared" si="0"/>
        <v>308599.58542828634</v>
      </c>
    </row>
    <row r="8" spans="1:18">
      <c r="A8" s="7" t="s">
        <v>225</v>
      </c>
      <c r="C8" s="6" t="s">
        <v>60</v>
      </c>
      <c r="D8" s="18">
        <f>D5</f>
        <v>-450000</v>
      </c>
      <c r="E8" s="18">
        <f>D8+E5</f>
        <v>-900000</v>
      </c>
      <c r="F8" s="18">
        <f>E8</f>
        <v>-900000</v>
      </c>
      <c r="G8" s="18">
        <f t="shared" ref="G8:R8" si="1">F8</f>
        <v>-900000</v>
      </c>
      <c r="H8" s="18">
        <f t="shared" si="1"/>
        <v>-900000</v>
      </c>
      <c r="I8" s="18">
        <f t="shared" si="1"/>
        <v>-900000</v>
      </c>
      <c r="J8" s="18">
        <f t="shared" si="1"/>
        <v>-900000</v>
      </c>
      <c r="K8" s="18">
        <f t="shared" si="1"/>
        <v>-900000</v>
      </c>
      <c r="L8" s="18">
        <f t="shared" si="1"/>
        <v>-900000</v>
      </c>
      <c r="M8" s="18">
        <f t="shared" si="1"/>
        <v>-900000</v>
      </c>
      <c r="N8" s="18">
        <f t="shared" si="1"/>
        <v>-900000</v>
      </c>
      <c r="O8" s="18">
        <f t="shared" si="1"/>
        <v>-900000</v>
      </c>
      <c r="P8" s="18">
        <f t="shared" si="1"/>
        <v>-900000</v>
      </c>
      <c r="Q8" s="18">
        <f t="shared" si="1"/>
        <v>-900000</v>
      </c>
      <c r="R8" s="18">
        <f t="shared" si="1"/>
        <v>-900000</v>
      </c>
    </row>
    <row r="9" spans="1:18">
      <c r="A9" s="9" t="s">
        <v>226</v>
      </c>
      <c r="B9" s="17"/>
      <c r="C9" s="34" t="s">
        <v>58</v>
      </c>
      <c r="D9" s="10">
        <f>D7</f>
        <v>-419140.72131147538</v>
      </c>
      <c r="E9" s="10">
        <f>D9+E7</f>
        <v>-635537.40428390866</v>
      </c>
      <c r="F9" s="10">
        <f t="shared" ref="F9:R9" si="2">E9+F7</f>
        <v>-518927.11428600637</v>
      </c>
      <c r="G9" s="10">
        <f>F9+G7</f>
        <v>-428978.87205345929</v>
      </c>
      <c r="H9" s="10">
        <f t="shared" si="2"/>
        <v>-150062.00202016288</v>
      </c>
      <c r="I9" s="10">
        <f t="shared" si="2"/>
        <v>151276.72625036736</v>
      </c>
      <c r="J9" s="10">
        <f t="shared" si="2"/>
        <v>465668.86181916134</v>
      </c>
      <c r="K9" s="10">
        <f t="shared" si="2"/>
        <v>750294.47102906182</v>
      </c>
      <c r="L9" s="10">
        <f t="shared" si="2"/>
        <v>1047350.5866712483</v>
      </c>
      <c r="M9" s="10">
        <f t="shared" si="2"/>
        <v>1354997.2301954534</v>
      </c>
      <c r="N9" s="10">
        <f t="shared" si="2"/>
        <v>1676025.9741404054</v>
      </c>
      <c r="O9" s="10">
        <f t="shared" si="2"/>
        <v>2010172.5345098223</v>
      </c>
      <c r="P9" s="10">
        <f t="shared" si="2"/>
        <v>2295328.1670003058</v>
      </c>
      <c r="Q9" s="10">
        <f t="shared" si="2"/>
        <v>2590165.0513193896</v>
      </c>
      <c r="R9" s="10">
        <f t="shared" si="2"/>
        <v>2898764.6367476759</v>
      </c>
    </row>
    <row r="10" spans="1:18">
      <c r="A10" s="7" t="s">
        <v>227</v>
      </c>
      <c r="C10" s="6" t="s">
        <v>278</v>
      </c>
      <c r="D10" s="70" t="str">
        <f>IFERROR(IF((D9/C9)&lt;0,D$1,0),"")</f>
        <v/>
      </c>
      <c r="E10" s="80">
        <f t="shared" ref="E10:R10" si="3">IFERROR(IF((E9/D9)&lt;0,E$1,0),"")</f>
        <v>0</v>
      </c>
      <c r="F10" s="80">
        <f t="shared" si="3"/>
        <v>0</v>
      </c>
      <c r="G10" s="80">
        <f t="shared" si="3"/>
        <v>0</v>
      </c>
      <c r="H10" s="80">
        <f t="shared" si="3"/>
        <v>0</v>
      </c>
      <c r="I10" s="80">
        <f t="shared" si="3"/>
        <v>2029</v>
      </c>
      <c r="J10" s="80">
        <f t="shared" si="3"/>
        <v>0</v>
      </c>
      <c r="K10" s="80">
        <f t="shared" si="3"/>
        <v>0</v>
      </c>
      <c r="L10" s="80">
        <f t="shared" si="3"/>
        <v>0</v>
      </c>
      <c r="M10" s="80">
        <f t="shared" si="3"/>
        <v>0</v>
      </c>
      <c r="N10" s="80">
        <f t="shared" si="3"/>
        <v>0</v>
      </c>
      <c r="O10" s="80">
        <f t="shared" si="3"/>
        <v>0</v>
      </c>
      <c r="P10" s="80">
        <f t="shared" si="3"/>
        <v>0</v>
      </c>
      <c r="Q10" s="80">
        <f t="shared" si="3"/>
        <v>0</v>
      </c>
      <c r="R10" s="80">
        <f t="shared" si="3"/>
        <v>0</v>
      </c>
    </row>
    <row r="11" spans="1:18">
      <c r="A11" s="7" t="s">
        <v>228</v>
      </c>
      <c r="C11" s="6" t="s">
        <v>278</v>
      </c>
      <c r="D11" s="70" t="str">
        <f>IFERROR(IF(D10&gt;0,(1-D9/D7)+D10-$D$1,0),"")</f>
        <v/>
      </c>
      <c r="E11" s="79">
        <f t="shared" ref="E11:R11" si="4">IFERROR(IF(E10&gt;0,(1-E9/E7)+E10-$D$1,0),"")</f>
        <v>0</v>
      </c>
      <c r="F11" s="79">
        <f t="shared" si="4"/>
        <v>0</v>
      </c>
      <c r="G11" s="79">
        <f t="shared" si="4"/>
        <v>0</v>
      </c>
      <c r="H11" s="79">
        <f t="shared" si="4"/>
        <v>0</v>
      </c>
      <c r="I11" s="79">
        <f t="shared" si="4"/>
        <v>5.4979844538449925</v>
      </c>
      <c r="J11" s="79">
        <f t="shared" si="4"/>
        <v>0</v>
      </c>
      <c r="K11" s="79">
        <f t="shared" si="4"/>
        <v>0</v>
      </c>
      <c r="L11" s="79">
        <f t="shared" si="4"/>
        <v>0</v>
      </c>
      <c r="M11" s="79">
        <f t="shared" si="4"/>
        <v>0</v>
      </c>
      <c r="N11" s="79">
        <f t="shared" si="4"/>
        <v>0</v>
      </c>
      <c r="O11" s="79">
        <f t="shared" si="4"/>
        <v>0</v>
      </c>
      <c r="P11" s="79">
        <f t="shared" si="4"/>
        <v>0</v>
      </c>
      <c r="Q11" s="79">
        <f t="shared" si="4"/>
        <v>0</v>
      </c>
      <c r="R11" s="79">
        <f t="shared" si="4"/>
        <v>0</v>
      </c>
    </row>
    <row r="12" spans="1:18">
      <c r="A12" s="7"/>
    </row>
    <row r="13" spans="1:18">
      <c r="A13" s="7" t="s">
        <v>229</v>
      </c>
      <c r="B13" s="28">
        <f>Предпоссылки!$B$33</f>
        <v>0.18774444444444444</v>
      </c>
      <c r="C13" s="6" t="s">
        <v>7</v>
      </c>
    </row>
    <row r="14" spans="1:18">
      <c r="A14" s="7" t="s">
        <v>230</v>
      </c>
      <c r="C14" s="6" t="s">
        <v>278</v>
      </c>
      <c r="D14" s="79">
        <v>0.5</v>
      </c>
      <c r="E14" s="79">
        <v>1.5</v>
      </c>
      <c r="F14" s="79">
        <v>2.5</v>
      </c>
      <c r="G14" s="79">
        <v>3.5</v>
      </c>
      <c r="H14" s="79">
        <v>4.5</v>
      </c>
      <c r="I14" s="79">
        <v>5.5</v>
      </c>
      <c r="J14" s="79">
        <v>6.5</v>
      </c>
      <c r="K14" s="79">
        <v>7.5</v>
      </c>
      <c r="L14" s="79">
        <v>8.5</v>
      </c>
      <c r="M14" s="79">
        <v>9.5</v>
      </c>
      <c r="N14" s="79">
        <v>10.5</v>
      </c>
      <c r="O14" s="79">
        <v>11.5</v>
      </c>
      <c r="P14" s="79">
        <v>12.5</v>
      </c>
      <c r="Q14" s="79">
        <v>13.5</v>
      </c>
      <c r="R14" s="79">
        <v>14.5</v>
      </c>
    </row>
    <row r="15" spans="1:18">
      <c r="A15" s="7" t="s">
        <v>231</v>
      </c>
      <c r="C15" s="6" t="s">
        <v>278</v>
      </c>
      <c r="D15" s="18">
        <f>1/(1+$B$13)^D14</f>
        <v>0.91756850054292038</v>
      </c>
      <c r="E15" s="18">
        <f t="shared" ref="E15:R15" si="5">1/(1+$B$13)^E14</f>
        <v>0.77253023984642066</v>
      </c>
      <c r="F15" s="18">
        <f t="shared" si="5"/>
        <v>0.65041789373114178</v>
      </c>
      <c r="G15" s="18">
        <f t="shared" si="5"/>
        <v>0.54760760765786465</v>
      </c>
      <c r="H15" s="18">
        <f t="shared" si="5"/>
        <v>0.4610483426963134</v>
      </c>
      <c r="I15" s="18">
        <f t="shared" si="5"/>
        <v>0.38817133168066648</v>
      </c>
      <c r="J15" s="18">
        <f t="shared" si="5"/>
        <v>0.32681384745371689</v>
      </c>
      <c r="K15" s="18">
        <f t="shared" si="5"/>
        <v>0.27515502091578364</v>
      </c>
      <c r="L15" s="18">
        <f t="shared" si="5"/>
        <v>0.23166180418927126</v>
      </c>
      <c r="M15" s="18">
        <f t="shared" si="5"/>
        <v>0.19504347528026428</v>
      </c>
      <c r="N15" s="18">
        <f t="shared" si="5"/>
        <v>0.16421333409940206</v>
      </c>
      <c r="O15" s="18">
        <f t="shared" si="5"/>
        <v>0.13825645311791898</v>
      </c>
      <c r="P15" s="18">
        <f t="shared" si="5"/>
        <v>0.11640252561449534</v>
      </c>
      <c r="Q15" s="18">
        <f t="shared" si="5"/>
        <v>9.8003005746696167E-2</v>
      </c>
      <c r="R15" s="18">
        <f t="shared" si="5"/>
        <v>8.2511862046667883E-2</v>
      </c>
    </row>
    <row r="16" spans="1:18">
      <c r="A16" s="73"/>
    </row>
    <row r="17" spans="1:18">
      <c r="A17" s="74" t="s">
        <v>232</v>
      </c>
      <c r="C17" s="6" t="s">
        <v>60</v>
      </c>
      <c r="D17" s="18">
        <f>D7*D15</f>
        <v>-384590.32317024854</v>
      </c>
      <c r="E17" s="18">
        <f t="shared" ref="E17:R17" si="6">E7*E15</f>
        <v>-167172.98139866375</v>
      </c>
      <c r="F17" s="18">
        <f t="shared" si="6"/>
        <v>75845.419207813247</v>
      </c>
      <c r="G17" s="18">
        <f t="shared" si="6"/>
        <v>49256.341741995231</v>
      </c>
      <c r="H17" s="18">
        <f t="shared" si="6"/>
        <v>128594.16067889435</v>
      </c>
      <c r="I17" s="18">
        <f t="shared" si="6"/>
        <v>116971.05543973022</v>
      </c>
      <c r="J17" s="18">
        <f t="shared" si="6"/>
        <v>102747.70343442811</v>
      </c>
      <c r="K17" s="18">
        <f t="shared" si="6"/>
        <v>78316.165455317809</v>
      </c>
      <c r="L17" s="18">
        <f t="shared" si="6"/>
        <v>68816.555695125731</v>
      </c>
      <c r="M17" s="18">
        <f t="shared" si="6"/>
        <v>60004.470511269596</v>
      </c>
      <c r="N17" s="18">
        <f t="shared" si="6"/>
        <v>52717.200384943804</v>
      </c>
      <c r="O17" s="18">
        <f t="shared" si="6"/>
        <v>46197.918258228172</v>
      </c>
      <c r="P17" s="18">
        <f t="shared" si="6"/>
        <v>33192.83581509113</v>
      </c>
      <c r="Q17" s="18">
        <f t="shared" si="6"/>
        <v>28894.900868261171</v>
      </c>
      <c r="R17" s="18">
        <f t="shared" si="6"/>
        <v>25463.126420517663</v>
      </c>
    </row>
    <row r="18" spans="1:18">
      <c r="A18" s="7" t="s">
        <v>233</v>
      </c>
      <c r="C18" s="6" t="s">
        <v>60</v>
      </c>
      <c r="D18" s="18">
        <f>D5*D15</f>
        <v>-412905.82524431415</v>
      </c>
      <c r="E18" s="18">
        <f>D18+(E5*E15)</f>
        <v>-760544.43317520339</v>
      </c>
      <c r="F18" s="18">
        <f t="shared" ref="F18:R18" si="7">E18+F5*F15</f>
        <v>-760544.43317520339</v>
      </c>
      <c r="G18" s="18">
        <f t="shared" si="7"/>
        <v>-760544.43317520339</v>
      </c>
      <c r="H18" s="18">
        <f t="shared" si="7"/>
        <v>-760544.43317520339</v>
      </c>
      <c r="I18" s="18">
        <f t="shared" si="7"/>
        <v>-760544.43317520339</v>
      </c>
      <c r="J18" s="18">
        <f t="shared" si="7"/>
        <v>-760544.43317520339</v>
      </c>
      <c r="K18" s="18">
        <f t="shared" si="7"/>
        <v>-760544.43317520339</v>
      </c>
      <c r="L18" s="18">
        <f t="shared" si="7"/>
        <v>-760544.43317520339</v>
      </c>
      <c r="M18" s="18">
        <f t="shared" si="7"/>
        <v>-760544.43317520339</v>
      </c>
      <c r="N18" s="18">
        <f t="shared" si="7"/>
        <v>-760544.43317520339</v>
      </c>
      <c r="O18" s="18">
        <f t="shared" si="7"/>
        <v>-760544.43317520339</v>
      </c>
      <c r="P18" s="18">
        <f t="shared" si="7"/>
        <v>-760544.43317520339</v>
      </c>
      <c r="Q18" s="18">
        <f t="shared" si="7"/>
        <v>-760544.43317520339</v>
      </c>
      <c r="R18" s="18">
        <f t="shared" si="7"/>
        <v>-760544.43317520339</v>
      </c>
    </row>
    <row r="19" spans="1:18">
      <c r="A19" s="9" t="s">
        <v>226</v>
      </c>
      <c r="B19" s="17"/>
      <c r="C19" s="34" t="s">
        <v>58</v>
      </c>
      <c r="D19" s="10">
        <f>D17</f>
        <v>-384590.32317024854</v>
      </c>
      <c r="E19" s="10">
        <f>D19+E17</f>
        <v>-551763.30456891225</v>
      </c>
      <c r="F19" s="10">
        <f t="shared" ref="F19:R19" si="8">E19+F17</f>
        <v>-475917.88536109903</v>
      </c>
      <c r="G19" s="10">
        <f t="shared" si="8"/>
        <v>-426661.54361910379</v>
      </c>
      <c r="H19" s="10">
        <f t="shared" si="8"/>
        <v>-298067.38294020947</v>
      </c>
      <c r="I19" s="10">
        <f t="shared" si="8"/>
        <v>-181096.32750047924</v>
      </c>
      <c r="J19" s="10">
        <f t="shared" si="8"/>
        <v>-78348.624066051125</v>
      </c>
      <c r="K19" s="10">
        <f t="shared" si="8"/>
        <v>-32.458610733316164</v>
      </c>
      <c r="L19" s="10">
        <f t="shared" si="8"/>
        <v>68784.097084392415</v>
      </c>
      <c r="M19" s="10">
        <f t="shared" si="8"/>
        <v>128788.56759566201</v>
      </c>
      <c r="N19" s="10">
        <f t="shared" si="8"/>
        <v>181505.76798060583</v>
      </c>
      <c r="O19" s="10">
        <f t="shared" si="8"/>
        <v>227703.68623883399</v>
      </c>
      <c r="P19" s="10">
        <f t="shared" si="8"/>
        <v>260896.52205392512</v>
      </c>
      <c r="Q19" s="10">
        <f t="shared" si="8"/>
        <v>289791.42292218626</v>
      </c>
      <c r="R19" s="10">
        <f t="shared" si="8"/>
        <v>315254.54934270395</v>
      </c>
    </row>
    <row r="20" spans="1:18">
      <c r="A20" s="7" t="s">
        <v>227</v>
      </c>
      <c r="C20" s="6" t="s">
        <v>278</v>
      </c>
      <c r="D20" s="70" t="str">
        <f>IFERROR(IF((D19/C19)&lt;0,D$1,0),"")</f>
        <v/>
      </c>
      <c r="E20" s="80">
        <f t="shared" ref="E20" si="9">IFERROR(IF((E19/D19)&lt;0,E$1,0),"")</f>
        <v>0</v>
      </c>
      <c r="F20" s="80">
        <f t="shared" ref="F20" si="10">IFERROR(IF((F19/E19)&lt;0,F$1,0),"")</f>
        <v>0</v>
      </c>
      <c r="G20" s="80">
        <f t="shared" ref="G20" si="11">IFERROR(IF((G19/F19)&lt;0,G$1,0),"")</f>
        <v>0</v>
      </c>
      <c r="H20" s="80">
        <f t="shared" ref="H20" si="12">IFERROR(IF((H19/G19)&lt;0,H$1,0),"")</f>
        <v>0</v>
      </c>
      <c r="I20" s="80">
        <f t="shared" ref="I20" si="13">IFERROR(IF((I19/H19)&lt;0,I$1,0),"")</f>
        <v>0</v>
      </c>
      <c r="J20" s="80">
        <f t="shared" ref="J20" si="14">IFERROR(IF((J19/I19)&lt;0,J$1,0),"")</f>
        <v>0</v>
      </c>
      <c r="K20" s="80">
        <f t="shared" ref="K20" si="15">IFERROR(IF((K19/J19)&lt;0,K$1,0),"")</f>
        <v>0</v>
      </c>
      <c r="L20" s="80">
        <f t="shared" ref="L20" si="16">IFERROR(IF((L19/K19)&lt;0,L$1,0),"")</f>
        <v>2032</v>
      </c>
      <c r="M20" s="80">
        <f t="shared" ref="M20" si="17">IFERROR(IF((M19/L19)&lt;0,M$1,0),"")</f>
        <v>0</v>
      </c>
      <c r="N20" s="80">
        <f t="shared" ref="N20" si="18">IFERROR(IF((N19/M19)&lt;0,N$1,0),"")</f>
        <v>0</v>
      </c>
      <c r="O20" s="80">
        <f t="shared" ref="O20" si="19">IFERROR(IF((O19/N19)&lt;0,O$1,0),"")</f>
        <v>0</v>
      </c>
      <c r="P20" s="80">
        <f t="shared" ref="P20" si="20">IFERROR(IF((P19/O19)&lt;0,P$1,0),"")</f>
        <v>0</v>
      </c>
      <c r="Q20" s="80">
        <f t="shared" ref="Q20" si="21">IFERROR(IF((Q19/P19)&lt;0,Q$1,0),"")</f>
        <v>0</v>
      </c>
      <c r="R20" s="80">
        <f t="shared" ref="R20" si="22">IFERROR(IF((R19/Q19)&lt;0,R$1,0),"")</f>
        <v>0</v>
      </c>
    </row>
    <row r="21" spans="1:18">
      <c r="A21" s="7" t="s">
        <v>228</v>
      </c>
      <c r="C21" s="6" t="s">
        <v>278</v>
      </c>
      <c r="D21" s="70" t="str">
        <f>IFERROR(IF(D20&gt;0,(1-D19/D17)+D20-$D$1,0),"")</f>
        <v/>
      </c>
      <c r="E21" s="79">
        <f t="shared" ref="E21" si="23">IFERROR(IF(E20&gt;0,(1-E19/E17)+E20-$D$1,0),"")</f>
        <v>0</v>
      </c>
      <c r="F21" s="79">
        <f t="shared" ref="F21" si="24">IFERROR(IF(F20&gt;0,(1-F19/F17)+F20-$D$1,0),"")</f>
        <v>0</v>
      </c>
      <c r="G21" s="79">
        <f t="shared" ref="G21" si="25">IFERROR(IF(G20&gt;0,(1-G19/G17)+G20-$D$1,0),"")</f>
        <v>0</v>
      </c>
      <c r="H21" s="79">
        <f t="shared" ref="H21" si="26">IFERROR(IF(H20&gt;0,(1-H19/H17)+H20-$D$1,0),"")</f>
        <v>0</v>
      </c>
      <c r="I21" s="79">
        <f t="shared" ref="I21" si="27">IFERROR(IF(I20&gt;0,(1-I19/I17)+I20-$D$1,0),"")</f>
        <v>0</v>
      </c>
      <c r="J21" s="79">
        <f t="shared" ref="J21" si="28">IFERROR(IF(J20&gt;0,(1-J19/J17)+J20-$D$1,0),"")</f>
        <v>0</v>
      </c>
      <c r="K21" s="79">
        <f t="shared" ref="K21" si="29">IFERROR(IF(K20&gt;0,(1-K19/K17)+K20-$D$1,0),"")</f>
        <v>0</v>
      </c>
      <c r="L21" s="79">
        <f t="shared" ref="L21" si="30">IFERROR(IF(L20&gt;0,(1-L19/L17)+L20-$D$1,0),"")</f>
        <v>8.0004716686328265</v>
      </c>
      <c r="M21" s="79">
        <f t="shared" ref="M21" si="31">IFERROR(IF(M20&gt;0,(1-M19/M17)+M20-$D$1,0),"")</f>
        <v>0</v>
      </c>
      <c r="N21" s="79">
        <f t="shared" ref="N21" si="32">IFERROR(IF(N20&gt;0,(1-N19/N17)+N20-$D$1,0),"")</f>
        <v>0</v>
      </c>
      <c r="O21" s="79">
        <f t="shared" ref="O21" si="33">IFERROR(IF(O20&gt;0,(1-O19/O17)+O20-$D$1,0),"")</f>
        <v>0</v>
      </c>
      <c r="P21" s="79">
        <f t="shared" ref="P21" si="34">IFERROR(IF(P20&gt;0,(1-P19/P17)+P20-$D$1,0),"")</f>
        <v>0</v>
      </c>
      <c r="Q21" s="79">
        <f t="shared" ref="Q21" si="35">IFERROR(IF(Q20&gt;0,(1-Q19/Q17)+Q20-$D$1,0),"")</f>
        <v>0</v>
      </c>
      <c r="R21" s="79">
        <f t="shared" ref="R21" si="36">IFERROR(IF(R20&gt;0,(1-R19/R17)+R20-$D$1,0),"")</f>
        <v>0</v>
      </c>
    </row>
    <row r="22" spans="1:18">
      <c r="A22" s="75"/>
    </row>
    <row r="23" spans="1:18">
      <c r="A23" s="74" t="s">
        <v>234</v>
      </c>
      <c r="B23" s="18">
        <f>SUM(D17:R17)</f>
        <v>315254.54934270395</v>
      </c>
      <c r="C23" s="6" t="s">
        <v>60</v>
      </c>
    </row>
    <row r="24" spans="1:18">
      <c r="A24" s="74" t="s">
        <v>235</v>
      </c>
      <c r="B24" s="28">
        <f>IRR(D7:R7)</f>
        <v>0.27991813695697787</v>
      </c>
      <c r="C24" s="6" t="s">
        <v>7</v>
      </c>
    </row>
    <row r="25" spans="1:18">
      <c r="A25" s="15" t="s">
        <v>236</v>
      </c>
      <c r="B25" s="28">
        <f>MIRR(D7:R7,B13,Предпоссылки!$B$36)</f>
        <v>0.23159793444286914</v>
      </c>
      <c r="C25" s="6" t="s">
        <v>7</v>
      </c>
    </row>
    <row r="26" spans="1:18">
      <c r="A26" s="74" t="s">
        <v>237</v>
      </c>
      <c r="B26" s="28">
        <f>IF(B23&gt;0,B23/-F18,"не окупается")</f>
        <v>0.4145116782020809</v>
      </c>
      <c r="C26" s="6" t="s">
        <v>7</v>
      </c>
    </row>
    <row r="27" spans="1:18">
      <c r="A27" s="74" t="s">
        <v>238</v>
      </c>
      <c r="B27" s="18">
        <f>SUM(D11:R11)</f>
        <v>5.4979844538449925</v>
      </c>
      <c r="C27" s="6" t="s">
        <v>132</v>
      </c>
    </row>
    <row r="28" spans="1:18">
      <c r="A28" s="74" t="s">
        <v>239</v>
      </c>
      <c r="B28" s="18">
        <f>SUM(D21:R21)</f>
        <v>8.0004716686328265</v>
      </c>
      <c r="C28" s="6" t="s">
        <v>132</v>
      </c>
    </row>
    <row r="30" spans="1:18" ht="26">
      <c r="A30" s="43" t="s">
        <v>281</v>
      </c>
      <c r="B30" s="44"/>
      <c r="C30" s="44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/>
    </row>
    <row r="31" spans="1:18">
      <c r="A31" s="74" t="s">
        <v>269</v>
      </c>
      <c r="C31" s="53" t="s">
        <v>60</v>
      </c>
      <c r="D31" s="55">
        <f>D32+D38</f>
        <v>-150000</v>
      </c>
      <c r="E31" s="55">
        <f t="shared" ref="E31:R31" si="37">E32+E38</f>
        <v>-250000</v>
      </c>
      <c r="F31" s="55">
        <f t="shared" si="37"/>
        <v>-86792.549922897277</v>
      </c>
      <c r="G31" s="55">
        <f t="shared" si="37"/>
        <v>107108.2846426584</v>
      </c>
      <c r="H31" s="55">
        <f t="shared" si="37"/>
        <v>118299.76095523642</v>
      </c>
      <c r="I31" s="55">
        <f t="shared" si="37"/>
        <v>123115.0847267791</v>
      </c>
      <c r="J31" s="55">
        <f t="shared" si="37"/>
        <v>128123.02144918365</v>
      </c>
      <c r="K31" s="55">
        <f t="shared" si="37"/>
        <v>175990.15408879606</v>
      </c>
      <c r="L31" s="55">
        <f t="shared" si="37"/>
        <v>183153.09358568132</v>
      </c>
      <c r="M31" s="55">
        <f t="shared" si="37"/>
        <v>190602.55066244199</v>
      </c>
      <c r="N31" s="55">
        <f t="shared" si="37"/>
        <v>198349.98602227305</v>
      </c>
      <c r="O31" s="55">
        <f t="shared" si="37"/>
        <v>206407.31879649707</v>
      </c>
      <c r="P31" s="55">
        <f t="shared" si="37"/>
        <v>275788.93658389396</v>
      </c>
      <c r="Q31" s="55">
        <f t="shared" si="37"/>
        <v>286161.1690472496</v>
      </c>
      <c r="R31" s="55">
        <f t="shared" si="37"/>
        <v>296971.39080913959</v>
      </c>
    </row>
    <row r="32" spans="1:18">
      <c r="A32" s="75" t="s">
        <v>270</v>
      </c>
      <c r="C32" s="6" t="s">
        <v>60</v>
      </c>
      <c r="D32" s="18">
        <f>SUM(D33:D37)</f>
        <v>0</v>
      </c>
      <c r="E32" s="18">
        <f t="shared" ref="E32:R32" si="38">SUM(E33:E37)</f>
        <v>0</v>
      </c>
      <c r="F32" s="18">
        <f t="shared" si="38"/>
        <v>13207.450077102727</v>
      </c>
      <c r="G32" s="18">
        <f t="shared" si="38"/>
        <v>107108.2846426584</v>
      </c>
      <c r="H32" s="18">
        <f t="shared" si="38"/>
        <v>118299.76095523642</v>
      </c>
      <c r="I32" s="18">
        <f t="shared" si="38"/>
        <v>123115.0847267791</v>
      </c>
      <c r="J32" s="18">
        <f t="shared" si="38"/>
        <v>128123.02144918365</v>
      </c>
      <c r="K32" s="18">
        <f t="shared" si="38"/>
        <v>175990.15408879606</v>
      </c>
      <c r="L32" s="18">
        <f t="shared" si="38"/>
        <v>183153.09358568132</v>
      </c>
      <c r="M32" s="18">
        <f t="shared" si="38"/>
        <v>190602.55066244199</v>
      </c>
      <c r="N32" s="18">
        <f t="shared" si="38"/>
        <v>198349.98602227305</v>
      </c>
      <c r="O32" s="18">
        <f t="shared" si="38"/>
        <v>206407.31879649707</v>
      </c>
      <c r="P32" s="18">
        <f t="shared" si="38"/>
        <v>275788.93658389396</v>
      </c>
      <c r="Q32" s="18">
        <f t="shared" si="38"/>
        <v>286161.1690472496</v>
      </c>
      <c r="R32" s="18">
        <f t="shared" si="38"/>
        <v>296971.39080913959</v>
      </c>
    </row>
    <row r="33" spans="1:18">
      <c r="A33" s="15" t="s">
        <v>271</v>
      </c>
      <c r="C33" s="6" t="s">
        <v>60</v>
      </c>
      <c r="D33" s="18">
        <f>Налоги!D8</f>
        <v>0</v>
      </c>
      <c r="E33" s="18">
        <f>Налоги!E8</f>
        <v>0</v>
      </c>
      <c r="F33" s="18">
        <f>Налоги!F8</f>
        <v>4271.5548595176588</v>
      </c>
      <c r="G33" s="18">
        <f>Налоги!G8</f>
        <v>75254.909837441766</v>
      </c>
      <c r="H33" s="18">
        <f>Налоги!H8</f>
        <v>83214.389102137487</v>
      </c>
      <c r="I33" s="18">
        <f>Налоги!I8</f>
        <v>86609.631332889563</v>
      </c>
      <c r="J33" s="18">
        <f>Налоги!J8</f>
        <v>90140.683252871866</v>
      </c>
      <c r="K33" s="18">
        <f>Налоги!K8</f>
        <v>93812.977249653268</v>
      </c>
      <c r="L33" s="18">
        <f>Налоги!L8</f>
        <v>97632.163006306117</v>
      </c>
      <c r="M33" s="18">
        <f>Налоги!M8</f>
        <v>101604.1161932251</v>
      </c>
      <c r="N33" s="18">
        <f>Налоги!N8</f>
        <v>105734.94750762086</v>
      </c>
      <c r="O33" s="18">
        <f>Налоги!O8</f>
        <v>110031.01207459213</v>
      </c>
      <c r="P33" s="18">
        <f>Налоги!P8</f>
        <v>113918.45872545052</v>
      </c>
      <c r="Q33" s="18">
        <f>Налоги!Q8</f>
        <v>118541.86374113508</v>
      </c>
      <c r="R33" s="18">
        <f>Налоги!R8</f>
        <v>123350.2049574471</v>
      </c>
    </row>
    <row r="34" spans="1:18">
      <c r="A34" s="15" t="s">
        <v>66</v>
      </c>
      <c r="C34" s="6" t="s">
        <v>60</v>
      </c>
      <c r="D34" s="18">
        <f>Налоги!D43</f>
        <v>0</v>
      </c>
      <c r="E34" s="18">
        <f>Налоги!E43</f>
        <v>0</v>
      </c>
      <c r="F34" s="18">
        <f>Налоги!F43</f>
        <v>0</v>
      </c>
      <c r="G34" s="18">
        <f>Налоги!G43</f>
        <v>14204.443443545299</v>
      </c>
      <c r="H34" s="18">
        <f>Налоги!H43</f>
        <v>15755.243318418892</v>
      </c>
      <c r="I34" s="18">
        <f>Налоги!I43</f>
        <v>16402.119717822312</v>
      </c>
      <c r="J34" s="18">
        <f>Налоги!J43</f>
        <v>17074.871173201875</v>
      </c>
      <c r="K34" s="18">
        <f>Налоги!K43</f>
        <v>60433.411135108494</v>
      </c>
      <c r="L34" s="18">
        <f>Налоги!L43</f>
        <v>62907.414247179506</v>
      </c>
      <c r="M34" s="18">
        <f>Налоги!M43</f>
        <v>65480.377483733377</v>
      </c>
      <c r="N34" s="18">
        <f>Налоги!N43</f>
        <v>68156.259249749332</v>
      </c>
      <c r="O34" s="18">
        <f>Налоги!O43</f>
        <v>70939.176286405986</v>
      </c>
      <c r="P34" s="18">
        <f>Налоги!P43</f>
        <v>98665.337265914393</v>
      </c>
      <c r="Q34" s="18">
        <f>Налоги!Q43</f>
        <v>102965.05908988434</v>
      </c>
      <c r="R34" s="18">
        <f>Налоги!R43</f>
        <v>107429.06978681308</v>
      </c>
    </row>
    <row r="35" spans="1:18">
      <c r="A35" s="15" t="s">
        <v>69</v>
      </c>
      <c r="C35" s="6" t="s">
        <v>60</v>
      </c>
      <c r="D35" s="18">
        <f>Налоги!D29</f>
        <v>0</v>
      </c>
      <c r="E35" s="18">
        <f>Налоги!E29</f>
        <v>0</v>
      </c>
      <c r="F35" s="18">
        <f>Налоги!F29</f>
        <v>0</v>
      </c>
      <c r="G35" s="18">
        <f>Налоги!G29</f>
        <v>0</v>
      </c>
      <c r="H35" s="18">
        <f>Налоги!H29</f>
        <v>0</v>
      </c>
      <c r="I35" s="18">
        <f>Налоги!I29</f>
        <v>0</v>
      </c>
      <c r="J35" s="18">
        <f>Налоги!J29</f>
        <v>0</v>
      </c>
      <c r="K35" s="18">
        <f>Налоги!K29</f>
        <v>0</v>
      </c>
      <c r="L35" s="18">
        <f>Налоги!L29</f>
        <v>0</v>
      </c>
      <c r="M35" s="18">
        <f>Налоги!M29</f>
        <v>0</v>
      </c>
      <c r="N35" s="18">
        <f>Налоги!N29</f>
        <v>0</v>
      </c>
      <c r="O35" s="18">
        <f>Налоги!O29</f>
        <v>0</v>
      </c>
      <c r="P35" s="18">
        <f>Налоги!P29</f>
        <v>7727.5</v>
      </c>
      <c r="Q35" s="18">
        <f>Налоги!Q29</f>
        <v>6957.5</v>
      </c>
      <c r="R35" s="18">
        <f>Налоги!R29</f>
        <v>6187.5</v>
      </c>
    </row>
    <row r="36" spans="1:18">
      <c r="A36" s="15" t="s">
        <v>272</v>
      </c>
      <c r="C36" s="6" t="s">
        <v>60</v>
      </c>
      <c r="D36" s="18">
        <f>'OPEX &amp; SALES'!D60</f>
        <v>0</v>
      </c>
      <c r="E36" s="18">
        <f>'OPEX &amp; SALES'!E60</f>
        <v>0</v>
      </c>
      <c r="F36" s="18">
        <f>'OPEX &amp; SALES'!F60</f>
        <v>3296.7380414391509</v>
      </c>
      <c r="G36" s="18">
        <f>'OPEX &amp; SALES'!G60</f>
        <v>6511.2562305195197</v>
      </c>
      <c r="H36" s="18">
        <f>'OPEX &amp; SALES'!H60</f>
        <v>7131.5037312411732</v>
      </c>
      <c r="I36" s="18">
        <f>'OPEX &amp; SALES'!I60</f>
        <v>7416.7638804908211</v>
      </c>
      <c r="J36" s="18">
        <f>'OPEX &amp; SALES'!J60</f>
        <v>7713.4344357104537</v>
      </c>
      <c r="K36" s="18">
        <f>'OPEX &amp; SALES'!K60</f>
        <v>8021.9718131388709</v>
      </c>
      <c r="L36" s="18">
        <f>'OPEX &amp; SALES'!L60</f>
        <v>8342.8506856644271</v>
      </c>
      <c r="M36" s="18">
        <f>'OPEX &amp; SALES'!M60</f>
        <v>8676.5647130910038</v>
      </c>
      <c r="N36" s="18">
        <f>'OPEX &amp; SALES'!N60</f>
        <v>9023.6273016146442</v>
      </c>
      <c r="O36" s="18">
        <f>'OPEX &amp; SALES'!O60</f>
        <v>9384.5723936792292</v>
      </c>
      <c r="P36" s="18">
        <f>'OPEX &amp; SALES'!P60</f>
        <v>38782.98022903649</v>
      </c>
      <c r="Q36" s="18">
        <f>'OPEX &amp; SALES'!Q60</f>
        <v>40334.299438197952</v>
      </c>
      <c r="R36" s="18">
        <f>'OPEX &amp; SALES'!R60</f>
        <v>41947.671415725868</v>
      </c>
    </row>
    <row r="37" spans="1:18">
      <c r="A37" s="15" t="s">
        <v>75</v>
      </c>
      <c r="C37" s="6" t="s">
        <v>60</v>
      </c>
      <c r="D37" s="18">
        <f>'OPEX &amp; SALES'!D59*0.13</f>
        <v>0</v>
      </c>
      <c r="E37" s="18">
        <f>'OPEX &amp; SALES'!E59*0.13</f>
        <v>0</v>
      </c>
      <c r="F37" s="18">
        <f>'OPEX &amp; SALES'!F59*0.13</f>
        <v>5639.1571761459163</v>
      </c>
      <c r="G37" s="18">
        <f>'OPEX &amp; SALES'!G59*0.13</f>
        <v>11137.675131151811</v>
      </c>
      <c r="H37" s="18">
        <f>'OPEX &amp; SALES'!H59*0.13</f>
        <v>12198.62480343885</v>
      </c>
      <c r="I37" s="18">
        <f>'OPEX &amp; SALES'!I59*0.13</f>
        <v>12686.569795576404</v>
      </c>
      <c r="J37" s="18">
        <f>'OPEX &amp; SALES'!J59*0.13</f>
        <v>13194.032587399461</v>
      </c>
      <c r="K37" s="18">
        <f>'OPEX &amp; SALES'!K59*0.13</f>
        <v>13721.793890895438</v>
      </c>
      <c r="L37" s="18">
        <f>'OPEX &amp; SALES'!L59*0.13</f>
        <v>14270.665646531259</v>
      </c>
      <c r="M37" s="18">
        <f>'OPEX &amp; SALES'!M59*0.13</f>
        <v>14841.492272392508</v>
      </c>
      <c r="N37" s="18">
        <f>'OPEX &amp; SALES'!N59*0.13</f>
        <v>15435.15196328821</v>
      </c>
      <c r="O37" s="18">
        <f>'OPEX &amp; SALES'!O59*0.13</f>
        <v>16052.558041819735</v>
      </c>
      <c r="P37" s="18">
        <f>'OPEX &amp; SALES'!P59*0.13</f>
        <v>16694.660363492527</v>
      </c>
      <c r="Q37" s="18">
        <f>'OPEX &amp; SALES'!Q59*0.13</f>
        <v>17362.44677803223</v>
      </c>
      <c r="R37" s="18">
        <f>'OPEX &amp; SALES'!R59*0.13</f>
        <v>18056.944649153516</v>
      </c>
    </row>
    <row r="38" spans="1:18">
      <c r="A38" s="75" t="s">
        <v>273</v>
      </c>
      <c r="C38" s="6" t="s">
        <v>60</v>
      </c>
      <c r="D38" s="18">
        <f>-'CAPEX | Finance'!D17</f>
        <v>-150000</v>
      </c>
      <c r="E38" s="18">
        <f>-'CAPEX | Finance'!E17</f>
        <v>-250000</v>
      </c>
      <c r="F38" s="18">
        <f>-'CAPEX | Finance'!F17</f>
        <v>-100000</v>
      </c>
      <c r="G38" s="18">
        <f>-'CAPEX | Finance'!G17</f>
        <v>0</v>
      </c>
      <c r="H38" s="18">
        <f>-'CAPEX | Finance'!H17</f>
        <v>0</v>
      </c>
      <c r="I38" s="18">
        <f>-'CAPEX | Finance'!I17</f>
        <v>0</v>
      </c>
      <c r="J38" s="18">
        <f>-'CAPEX | Finance'!J17</f>
        <v>0</v>
      </c>
      <c r="K38" s="18">
        <f>-'CAPEX | Finance'!K17</f>
        <v>0</v>
      </c>
      <c r="L38" s="18">
        <f>-'CAPEX | Finance'!L17</f>
        <v>0</v>
      </c>
      <c r="M38" s="18">
        <f>-'CAPEX | Finance'!M17</f>
        <v>0</v>
      </c>
      <c r="N38" s="18">
        <f>-'CAPEX | Finance'!N17</f>
        <v>0</v>
      </c>
      <c r="O38" s="18">
        <f>-'CAPEX | Finance'!O17</f>
        <v>0</v>
      </c>
      <c r="P38" s="18">
        <f>-'CAPEX | Finance'!P17</f>
        <v>0</v>
      </c>
      <c r="Q38" s="18">
        <f>-'CAPEX | Finance'!Q17</f>
        <v>0</v>
      </c>
      <c r="R38" s="18">
        <f>-'CAPEX | Finance'!R17</f>
        <v>0</v>
      </c>
    </row>
    <row r="39" spans="1:18">
      <c r="A39" s="75" t="s">
        <v>292</v>
      </c>
      <c r="C39" s="6"/>
      <c r="D39" s="18">
        <f>D38</f>
        <v>-150000</v>
      </c>
      <c r="E39" s="18">
        <f>D39+E38</f>
        <v>-400000</v>
      </c>
      <c r="F39" s="18">
        <f t="shared" ref="F39:R39" si="39">E39+F38</f>
        <v>-500000</v>
      </c>
      <c r="G39" s="18">
        <f t="shared" si="39"/>
        <v>-500000</v>
      </c>
      <c r="H39" s="18">
        <f t="shared" si="39"/>
        <v>-500000</v>
      </c>
      <c r="I39" s="18">
        <f t="shared" si="39"/>
        <v>-500000</v>
      </c>
      <c r="J39" s="18">
        <f t="shared" si="39"/>
        <v>-500000</v>
      </c>
      <c r="K39" s="18">
        <f t="shared" si="39"/>
        <v>-500000</v>
      </c>
      <c r="L39" s="18">
        <f t="shared" si="39"/>
        <v>-500000</v>
      </c>
      <c r="M39" s="18">
        <f t="shared" si="39"/>
        <v>-500000</v>
      </c>
      <c r="N39" s="18">
        <f t="shared" si="39"/>
        <v>-500000</v>
      </c>
      <c r="O39" s="18">
        <f t="shared" si="39"/>
        <v>-500000</v>
      </c>
      <c r="P39" s="18">
        <f t="shared" si="39"/>
        <v>-500000</v>
      </c>
      <c r="Q39" s="18">
        <f t="shared" si="39"/>
        <v>-500000</v>
      </c>
      <c r="R39" s="18">
        <f t="shared" si="39"/>
        <v>-500000</v>
      </c>
    </row>
    <row r="40" spans="1:18">
      <c r="A40" s="9" t="s">
        <v>274</v>
      </c>
      <c r="B40" s="17"/>
      <c r="C40" s="34" t="s">
        <v>58</v>
      </c>
      <c r="D40" s="10">
        <f>D31</f>
        <v>-150000</v>
      </c>
      <c r="E40" s="10">
        <f>D40+E31</f>
        <v>-400000</v>
      </c>
      <c r="F40" s="10">
        <f t="shared" ref="F40:R40" si="40">E40+F31</f>
        <v>-486792.54992289725</v>
      </c>
      <c r="G40" s="10">
        <f t="shared" si="40"/>
        <v>-379684.26528023882</v>
      </c>
      <c r="H40" s="10">
        <f t="shared" si="40"/>
        <v>-261384.5043250024</v>
      </c>
      <c r="I40" s="10">
        <f t="shared" si="40"/>
        <v>-138269.41959822329</v>
      </c>
      <c r="J40" s="10">
        <f t="shared" si="40"/>
        <v>-10146.39814903964</v>
      </c>
      <c r="K40" s="10">
        <f t="shared" si="40"/>
        <v>165843.7559397564</v>
      </c>
      <c r="L40" s="10">
        <f t="shared" si="40"/>
        <v>348996.84952543769</v>
      </c>
      <c r="M40" s="10">
        <f t="shared" si="40"/>
        <v>539599.40018787968</v>
      </c>
      <c r="N40" s="10">
        <f t="shared" si="40"/>
        <v>737949.38621015276</v>
      </c>
      <c r="O40" s="10">
        <f t="shared" si="40"/>
        <v>944356.70500664983</v>
      </c>
      <c r="P40" s="10">
        <f t="shared" si="40"/>
        <v>1220145.6415905438</v>
      </c>
      <c r="Q40" s="10">
        <f t="shared" si="40"/>
        <v>1506306.8106377935</v>
      </c>
      <c r="R40" s="10">
        <f t="shared" si="40"/>
        <v>1803278.2014469332</v>
      </c>
    </row>
    <row r="41" spans="1:18">
      <c r="A41" s="75" t="s">
        <v>227</v>
      </c>
      <c r="C41" s="6" t="s">
        <v>278</v>
      </c>
      <c r="D41" s="70" t="str">
        <f>IFERROR(IF((D40/C40)&lt;0,D$1,0),"")</f>
        <v/>
      </c>
      <c r="E41" s="80">
        <f t="shared" ref="E41" si="41">IFERROR(IF((E40/D40)&lt;0,E$1,0),"")</f>
        <v>0</v>
      </c>
      <c r="F41" s="80">
        <f t="shared" ref="F41" si="42">IFERROR(IF((F40/E40)&lt;0,F$1,0),"")</f>
        <v>0</v>
      </c>
      <c r="G41" s="80">
        <f t="shared" ref="G41" si="43">IFERROR(IF((G40/F40)&lt;0,G$1,0),"")</f>
        <v>0</v>
      </c>
      <c r="H41" s="80">
        <f t="shared" ref="H41" si="44">IFERROR(IF((H40/G40)&lt;0,H$1,0),"")</f>
        <v>0</v>
      </c>
      <c r="I41" s="80">
        <f t="shared" ref="I41" si="45">IFERROR(IF((I40/H40)&lt;0,I$1,0),"")</f>
        <v>0</v>
      </c>
      <c r="J41" s="80">
        <f t="shared" ref="J41" si="46">IFERROR(IF((J40/I40)&lt;0,J$1,0),"")</f>
        <v>0</v>
      </c>
      <c r="K41" s="80">
        <f t="shared" ref="K41" si="47">IFERROR(IF((K40/J40)&lt;0,K$1,0),"")</f>
        <v>2031</v>
      </c>
      <c r="L41" s="80">
        <f t="shared" ref="L41" si="48">IFERROR(IF((L40/K40)&lt;0,L$1,0),"")</f>
        <v>0</v>
      </c>
      <c r="M41" s="80">
        <f t="shared" ref="M41" si="49">IFERROR(IF((M40/L40)&lt;0,M$1,0),"")</f>
        <v>0</v>
      </c>
      <c r="N41" s="80">
        <f t="shared" ref="N41" si="50">IFERROR(IF((N40/M40)&lt;0,N$1,0),"")</f>
        <v>0</v>
      </c>
      <c r="O41" s="80">
        <f t="shared" ref="O41" si="51">IFERROR(IF((O40/N40)&lt;0,O$1,0),"")</f>
        <v>0</v>
      </c>
      <c r="P41" s="80">
        <f t="shared" ref="P41" si="52">IFERROR(IF((P40/O40)&lt;0,P$1,0),"")</f>
        <v>0</v>
      </c>
      <c r="Q41" s="80">
        <f t="shared" ref="Q41" si="53">IFERROR(IF((Q40/P40)&lt;0,Q$1,0),"")</f>
        <v>0</v>
      </c>
      <c r="R41" s="80">
        <f t="shared" ref="R41" si="54">IFERROR(IF((R40/Q40)&lt;0,R$1,0),"")</f>
        <v>0</v>
      </c>
    </row>
    <row r="42" spans="1:18">
      <c r="A42" s="75" t="s">
        <v>228</v>
      </c>
      <c r="C42" s="6" t="s">
        <v>278</v>
      </c>
      <c r="D42" s="79" t="str">
        <f t="shared" ref="D42:I42" si="55">IFERROR(IF(D41&gt;0,(1-D40/D39)+D41-$D$1,0),"")</f>
        <v/>
      </c>
      <c r="E42" s="79">
        <f t="shared" si="55"/>
        <v>0</v>
      </c>
      <c r="F42" s="79">
        <f t="shared" si="55"/>
        <v>0</v>
      </c>
      <c r="G42" s="79">
        <f t="shared" si="55"/>
        <v>0</v>
      </c>
      <c r="H42" s="79">
        <f t="shared" si="55"/>
        <v>0</v>
      </c>
      <c r="I42" s="79">
        <f t="shared" si="55"/>
        <v>0</v>
      </c>
      <c r="J42" s="79">
        <f>IFERROR(IF(J41&gt;0,(1-J40/J39)+J41-$D$1,0),"")</f>
        <v>0</v>
      </c>
      <c r="K42" s="79">
        <f t="shared" ref="K42:R42" si="56">IFERROR(IF(K41&gt;0,(1-K40/K39)+K41-$D$1,0),"")</f>
        <v>8.3316875118794087</v>
      </c>
      <c r="L42" s="79">
        <f t="shared" si="56"/>
        <v>0</v>
      </c>
      <c r="M42" s="79">
        <f t="shared" si="56"/>
        <v>0</v>
      </c>
      <c r="N42" s="79">
        <f t="shared" si="56"/>
        <v>0</v>
      </c>
      <c r="O42" s="79">
        <f t="shared" si="56"/>
        <v>0</v>
      </c>
      <c r="P42" s="79">
        <f t="shared" si="56"/>
        <v>0</v>
      </c>
      <c r="Q42" s="79">
        <f t="shared" si="56"/>
        <v>0</v>
      </c>
      <c r="R42" s="79">
        <f t="shared" si="56"/>
        <v>0</v>
      </c>
    </row>
    <row r="43" spans="1:18">
      <c r="A43" s="75"/>
    </row>
    <row r="44" spans="1:18">
      <c r="A44" s="75" t="s">
        <v>229</v>
      </c>
      <c r="B44" s="28">
        <f>B13</f>
        <v>0.18774444444444444</v>
      </c>
      <c r="C44" s="6" t="s">
        <v>7</v>
      </c>
    </row>
    <row r="45" spans="1:18">
      <c r="A45" s="75" t="s">
        <v>230</v>
      </c>
      <c r="C45" s="6" t="s">
        <v>278</v>
      </c>
      <c r="D45" s="79">
        <v>0.5</v>
      </c>
      <c r="E45" s="79">
        <v>1.5</v>
      </c>
      <c r="F45" s="79">
        <v>2.5</v>
      </c>
      <c r="G45" s="79">
        <v>3.5</v>
      </c>
      <c r="H45" s="79">
        <v>4.5</v>
      </c>
      <c r="I45" s="79">
        <v>5.5</v>
      </c>
      <c r="J45" s="79">
        <v>6.5</v>
      </c>
      <c r="K45" s="79">
        <v>7.5</v>
      </c>
      <c r="L45" s="79">
        <v>8.5</v>
      </c>
      <c r="M45" s="79">
        <v>9.5</v>
      </c>
      <c r="N45" s="79">
        <v>10.5</v>
      </c>
      <c r="O45" s="79">
        <v>11.5</v>
      </c>
      <c r="P45" s="79">
        <v>12.5</v>
      </c>
      <c r="Q45" s="79">
        <v>13.5</v>
      </c>
      <c r="R45" s="79">
        <v>14.5</v>
      </c>
    </row>
    <row r="46" spans="1:18">
      <c r="A46" s="75" t="s">
        <v>231</v>
      </c>
      <c r="C46" s="6" t="s">
        <v>278</v>
      </c>
      <c r="D46" s="18">
        <f>1/(1+$B$13)^D45</f>
        <v>0.91756850054292038</v>
      </c>
      <c r="E46" s="18">
        <f t="shared" ref="E46:R46" si="57">1/(1+$B$13)^E45</f>
        <v>0.77253023984642066</v>
      </c>
      <c r="F46" s="18">
        <f t="shared" si="57"/>
        <v>0.65041789373114178</v>
      </c>
      <c r="G46" s="18">
        <f t="shared" si="57"/>
        <v>0.54760760765786465</v>
      </c>
      <c r="H46" s="18">
        <f t="shared" si="57"/>
        <v>0.4610483426963134</v>
      </c>
      <c r="I46" s="18">
        <f t="shared" si="57"/>
        <v>0.38817133168066648</v>
      </c>
      <c r="J46" s="18">
        <f t="shared" si="57"/>
        <v>0.32681384745371689</v>
      </c>
      <c r="K46" s="18">
        <f t="shared" si="57"/>
        <v>0.27515502091578364</v>
      </c>
      <c r="L46" s="18">
        <f t="shared" si="57"/>
        <v>0.23166180418927126</v>
      </c>
      <c r="M46" s="18">
        <f t="shared" si="57"/>
        <v>0.19504347528026428</v>
      </c>
      <c r="N46" s="18">
        <f t="shared" si="57"/>
        <v>0.16421333409940206</v>
      </c>
      <c r="O46" s="18">
        <f t="shared" si="57"/>
        <v>0.13825645311791898</v>
      </c>
      <c r="P46" s="18">
        <f t="shared" si="57"/>
        <v>0.11640252561449534</v>
      </c>
      <c r="Q46" s="18">
        <f t="shared" si="57"/>
        <v>9.8003005746696167E-2</v>
      </c>
      <c r="R46" s="18">
        <f t="shared" si="57"/>
        <v>8.2511862046667883E-2</v>
      </c>
    </row>
    <row r="47" spans="1:18">
      <c r="A47" s="82"/>
    </row>
    <row r="48" spans="1:18">
      <c r="A48" s="7" t="s">
        <v>232</v>
      </c>
      <c r="C48" s="6" t="s">
        <v>60</v>
      </c>
      <c r="D48" s="18">
        <f>D31*D46</f>
        <v>-137635.27508143807</v>
      </c>
      <c r="E48" s="18">
        <f t="shared" ref="E48:R48" si="58">E31*E46</f>
        <v>-193132.55996160518</v>
      </c>
      <c r="F48" s="18">
        <f t="shared" si="58"/>
        <v>-56451.427512405819</v>
      </c>
      <c r="G48" s="18">
        <f t="shared" si="58"/>
        <v>58653.311513503773</v>
      </c>
      <c r="H48" s="18">
        <f t="shared" si="58"/>
        <v>54541.908729781797</v>
      </c>
      <c r="I48" s="18">
        <f t="shared" si="58"/>
        <v>47789.746388371925</v>
      </c>
      <c r="J48" s="18">
        <f t="shared" si="58"/>
        <v>41872.377587202805</v>
      </c>
      <c r="K48" s="18">
        <f t="shared" si="58"/>
        <v>48424.574529274665</v>
      </c>
      <c r="L48" s="18">
        <f t="shared" si="58"/>
        <v>42429.576102905383</v>
      </c>
      <c r="M48" s="18">
        <f t="shared" si="58"/>
        <v>37175.783878485323</v>
      </c>
      <c r="N48" s="18">
        <f t="shared" si="58"/>
        <v>32571.712523287253</v>
      </c>
      <c r="O48" s="18">
        <f t="shared" si="58"/>
        <v>28537.143794383253</v>
      </c>
      <c r="P48" s="18">
        <f t="shared" si="58"/>
        <v>32102.528754901145</v>
      </c>
      <c r="Q48" s="18">
        <f t="shared" si="58"/>
        <v>28044.654694618897</v>
      </c>
      <c r="R48" s="18">
        <f t="shared" si="58"/>
        <v>24503.662430250821</v>
      </c>
    </row>
    <row r="49" spans="1:18">
      <c r="A49" s="9" t="s">
        <v>275</v>
      </c>
      <c r="B49" s="17"/>
      <c r="C49" s="34" t="s">
        <v>58</v>
      </c>
      <c r="D49" s="10">
        <f>D48</f>
        <v>-137635.27508143807</v>
      </c>
      <c r="E49" s="10">
        <f>D49+E48</f>
        <v>-330767.83504304325</v>
      </c>
      <c r="F49" s="10">
        <f t="shared" ref="F49:R49" si="59">E49+F48</f>
        <v>-387219.26255544904</v>
      </c>
      <c r="G49" s="10">
        <f t="shared" si="59"/>
        <v>-328565.95104194526</v>
      </c>
      <c r="H49" s="10">
        <f t="shared" si="59"/>
        <v>-274024.04231216345</v>
      </c>
      <c r="I49" s="10">
        <f t="shared" si="59"/>
        <v>-226234.29592379153</v>
      </c>
      <c r="J49" s="10">
        <f t="shared" si="59"/>
        <v>-184361.91833658871</v>
      </c>
      <c r="K49" s="10">
        <f t="shared" si="59"/>
        <v>-135937.34380731406</v>
      </c>
      <c r="L49" s="10">
        <f t="shared" si="59"/>
        <v>-93507.767704408674</v>
      </c>
      <c r="M49" s="10">
        <f t="shared" si="59"/>
        <v>-56331.983825923351</v>
      </c>
      <c r="N49" s="10">
        <f t="shared" si="59"/>
        <v>-23760.271302636098</v>
      </c>
      <c r="O49" s="10">
        <f t="shared" si="59"/>
        <v>4776.8724917471554</v>
      </c>
      <c r="P49" s="10">
        <f t="shared" si="59"/>
        <v>36879.401246648296</v>
      </c>
      <c r="Q49" s="10">
        <f t="shared" si="59"/>
        <v>64924.055941267194</v>
      </c>
      <c r="R49" s="10">
        <f t="shared" si="59"/>
        <v>89427.718371518014</v>
      </c>
    </row>
    <row r="50" spans="1:18">
      <c r="A50" s="7" t="s">
        <v>227</v>
      </c>
      <c r="C50" s="6" t="s">
        <v>278</v>
      </c>
      <c r="D50" s="70" t="str">
        <f>IFERROR(IF((D49/C49)&lt;0,D$1,0),"")</f>
        <v/>
      </c>
      <c r="E50" s="80">
        <f t="shared" ref="E50" si="60">IFERROR(IF((E49/D49)&lt;0,E$1,0),"")</f>
        <v>0</v>
      </c>
      <c r="F50" s="80">
        <f t="shared" ref="F50" si="61">IFERROR(IF((F49/E49)&lt;0,F$1,0),"")</f>
        <v>0</v>
      </c>
      <c r="G50" s="80">
        <f t="shared" ref="G50" si="62">IFERROR(IF((G49/F49)&lt;0,G$1,0),"")</f>
        <v>0</v>
      </c>
      <c r="H50" s="80">
        <f t="shared" ref="H50" si="63">IFERROR(IF((H49/G49)&lt;0,H$1,0),"")</f>
        <v>0</v>
      </c>
      <c r="I50" s="80">
        <f t="shared" ref="I50" si="64">IFERROR(IF((I49/H49)&lt;0,I$1,0),"")</f>
        <v>0</v>
      </c>
      <c r="J50" s="80">
        <f t="shared" ref="J50" si="65">IFERROR(IF((J49/I49)&lt;0,J$1,0),"")</f>
        <v>0</v>
      </c>
      <c r="K50" s="80">
        <f t="shared" ref="K50" si="66">IFERROR(IF((K49/J49)&lt;0,K$1,0),"")</f>
        <v>0</v>
      </c>
      <c r="L50" s="80">
        <f t="shared" ref="L50" si="67">IFERROR(IF((L49/K49)&lt;0,L$1,0),"")</f>
        <v>0</v>
      </c>
      <c r="M50" s="80">
        <f t="shared" ref="M50" si="68">IFERROR(IF((M49/L49)&lt;0,M$1,0),"")</f>
        <v>0</v>
      </c>
      <c r="N50" s="80">
        <f t="shared" ref="N50" si="69">IFERROR(IF((N49/M49)&lt;0,N$1,0),"")</f>
        <v>0</v>
      </c>
      <c r="O50" s="80">
        <f t="shared" ref="O50" si="70">IFERROR(IF((O49/N49)&lt;0,O$1,0),"")</f>
        <v>2035</v>
      </c>
      <c r="P50" s="80">
        <f t="shared" ref="P50" si="71">IFERROR(IF((P49/O49)&lt;0,P$1,0),"")</f>
        <v>0</v>
      </c>
      <c r="Q50" s="80">
        <f t="shared" ref="Q50" si="72">IFERROR(IF((Q49/P49)&lt;0,Q$1,0),"")</f>
        <v>0</v>
      </c>
      <c r="R50" s="80">
        <f t="shared" ref="R50" si="73">IFERROR(IF((R49/Q49)&lt;0,R$1,0),"")</f>
        <v>0</v>
      </c>
    </row>
    <row r="51" spans="1:18">
      <c r="A51" s="7" t="s">
        <v>228</v>
      </c>
      <c r="C51" s="6" t="s">
        <v>278</v>
      </c>
      <c r="D51" s="1" t="str">
        <f>IFERROR(IF(D50&gt;0,(1-D49/D48)+D50-$D$1,0),"")</f>
        <v/>
      </c>
      <c r="E51" s="79">
        <f>IFERROR(IF(E50&gt;0,(1-E49/E48)+E50-$D$1,0),"")</f>
        <v>0</v>
      </c>
      <c r="F51" s="79">
        <f t="shared" ref="F51:R51" si="74">IFERROR(IF(F50&gt;0,(1-F49/F48)+F50-$D$1,0),"")</f>
        <v>0</v>
      </c>
      <c r="G51" s="79">
        <f t="shared" si="74"/>
        <v>0</v>
      </c>
      <c r="H51" s="79">
        <f t="shared" si="74"/>
        <v>0</v>
      </c>
      <c r="I51" s="79">
        <f t="shared" si="74"/>
        <v>0</v>
      </c>
      <c r="J51" s="79">
        <f t="shared" si="74"/>
        <v>0</v>
      </c>
      <c r="K51" s="79">
        <f t="shared" si="74"/>
        <v>0</v>
      </c>
      <c r="L51" s="79">
        <f t="shared" si="74"/>
        <v>0</v>
      </c>
      <c r="M51" s="79">
        <f t="shared" si="74"/>
        <v>0</v>
      </c>
      <c r="N51" s="79">
        <f t="shared" si="74"/>
        <v>0</v>
      </c>
      <c r="O51" s="79">
        <f t="shared" si="74"/>
        <v>11.832608598598199</v>
      </c>
      <c r="P51" s="79">
        <f t="shared" si="74"/>
        <v>0</v>
      </c>
      <c r="Q51" s="79">
        <f t="shared" si="74"/>
        <v>0</v>
      </c>
      <c r="R51" s="79">
        <f t="shared" si="74"/>
        <v>0</v>
      </c>
    </row>
    <row r="52" spans="1:18">
      <c r="A52" s="75"/>
    </row>
    <row r="53" spans="1:18">
      <c r="A53" s="74" t="s">
        <v>234</v>
      </c>
      <c r="B53" s="18">
        <f>SUM(D48:R48)</f>
        <v>89427.718371518014</v>
      </c>
    </row>
    <row r="54" spans="1:18">
      <c r="A54" s="74" t="s">
        <v>235</v>
      </c>
      <c r="B54" s="28">
        <f>IRR(D31:R31)</f>
        <v>0.22540699383906393</v>
      </c>
    </row>
    <row r="55" spans="1:18">
      <c r="A55" s="15" t="s">
        <v>236</v>
      </c>
      <c r="B55" s="87">
        <f>MIRR(D31:R31,B44,Предпоссылки!$B$36)</f>
        <v>0.20971541503620128</v>
      </c>
    </row>
    <row r="56" spans="1:18">
      <c r="A56" s="74" t="s">
        <v>276</v>
      </c>
      <c r="B56" s="88">
        <f>SUM(D32:R32)/-SUM(D38:R38)</f>
        <v>4.6065564028938653</v>
      </c>
    </row>
    <row r="57" spans="1:18" ht="27">
      <c r="A57" s="83" t="s">
        <v>277</v>
      </c>
      <c r="B57" s="88">
        <f>B53/-SUM(D38:R38)</f>
        <v>0.17885543674303603</v>
      </c>
    </row>
    <row r="58" spans="1:18">
      <c r="A58" s="74" t="s">
        <v>238</v>
      </c>
      <c r="B58" s="18">
        <f>SUM(D42:R42)</f>
        <v>8.3316875118794087</v>
      </c>
    </row>
    <row r="59" spans="1:18">
      <c r="A59" s="74" t="s">
        <v>239</v>
      </c>
      <c r="B59" s="18">
        <f>SUM(D51:R51)</f>
        <v>11.832608598598199</v>
      </c>
    </row>
    <row r="61" spans="1:18">
      <c r="A61" s="43" t="s">
        <v>280</v>
      </c>
      <c r="B61" s="44"/>
      <c r="C61" s="44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6"/>
    </row>
    <row r="62" spans="1:18">
      <c r="A62" s="74" t="s">
        <v>269</v>
      </c>
      <c r="C62" s="53" t="s">
        <v>60</v>
      </c>
      <c r="D62" s="103">
        <f>D63</f>
        <v>0</v>
      </c>
      <c r="E62" s="103">
        <f t="shared" ref="E62:R62" si="75">E63</f>
        <v>0</v>
      </c>
      <c r="F62" s="103">
        <f t="shared" si="75"/>
        <v>7568.2929009568097</v>
      </c>
      <c r="G62" s="103">
        <f t="shared" si="75"/>
        <v>81766.166067961283</v>
      </c>
      <c r="H62" s="103">
        <f t="shared" si="75"/>
        <v>90345.892833378661</v>
      </c>
      <c r="I62" s="103">
        <f t="shared" si="75"/>
        <v>94026.395213380383</v>
      </c>
      <c r="J62" s="103">
        <f t="shared" si="75"/>
        <v>97854.117688582322</v>
      </c>
      <c r="K62" s="103">
        <f t="shared" si="75"/>
        <v>126719.29482430741</v>
      </c>
      <c r="L62" s="103">
        <f t="shared" si="75"/>
        <v>131878.06661727975</v>
      </c>
      <c r="M62" s="103">
        <f t="shared" si="75"/>
        <v>137243.18928197102</v>
      </c>
      <c r="N62" s="103">
        <f t="shared" si="75"/>
        <v>142822.91685324995</v>
      </c>
      <c r="O62" s="103">
        <f t="shared" si="75"/>
        <v>148625.83352737973</v>
      </c>
      <c r="P62" s="103">
        <f t="shared" si="75"/>
        <v>180327.73338894302</v>
      </c>
      <c r="Q62" s="103">
        <f t="shared" si="75"/>
        <v>187706.37972450064</v>
      </c>
      <c r="R62" s="103">
        <f t="shared" si="75"/>
        <v>195378.01591348063</v>
      </c>
    </row>
    <row r="63" spans="1:18">
      <c r="A63" s="75" t="s">
        <v>270</v>
      </c>
      <c r="C63" s="6" t="s">
        <v>60</v>
      </c>
      <c r="D63" s="80">
        <f>SUM(D64:D66)</f>
        <v>0</v>
      </c>
      <c r="E63" s="80">
        <f t="shared" ref="E63:R63" si="76">SUM(E64:E66)</f>
        <v>0</v>
      </c>
      <c r="F63" s="80">
        <f t="shared" si="76"/>
        <v>7568.2929009568097</v>
      </c>
      <c r="G63" s="80">
        <f t="shared" si="76"/>
        <v>81766.166067961283</v>
      </c>
      <c r="H63" s="80">
        <f t="shared" si="76"/>
        <v>90345.892833378661</v>
      </c>
      <c r="I63" s="80">
        <f t="shared" si="76"/>
        <v>94026.395213380383</v>
      </c>
      <c r="J63" s="80">
        <f t="shared" si="76"/>
        <v>97854.117688582322</v>
      </c>
      <c r="K63" s="80">
        <f t="shared" si="76"/>
        <v>126719.29482430741</v>
      </c>
      <c r="L63" s="80">
        <f t="shared" si="76"/>
        <v>131878.06661727975</v>
      </c>
      <c r="M63" s="80">
        <f t="shared" si="76"/>
        <v>137243.18928197102</v>
      </c>
      <c r="N63" s="80">
        <f t="shared" si="76"/>
        <v>142822.91685324995</v>
      </c>
      <c r="O63" s="80">
        <f t="shared" si="76"/>
        <v>148625.83352737973</v>
      </c>
      <c r="P63" s="80">
        <f t="shared" si="76"/>
        <v>180327.73338894302</v>
      </c>
      <c r="Q63" s="80">
        <f t="shared" si="76"/>
        <v>187706.37972450064</v>
      </c>
      <c r="R63" s="80">
        <f t="shared" si="76"/>
        <v>195378.01591348063</v>
      </c>
    </row>
    <row r="64" spans="1:18">
      <c r="A64" s="15" t="s">
        <v>271</v>
      </c>
      <c r="C64" s="6" t="s">
        <v>60</v>
      </c>
      <c r="D64" s="80">
        <f>D33</f>
        <v>0</v>
      </c>
      <c r="E64" s="80">
        <f t="shared" ref="E64:R64" si="77">E33</f>
        <v>0</v>
      </c>
      <c r="F64" s="80">
        <f t="shared" si="77"/>
        <v>4271.5548595176588</v>
      </c>
      <c r="G64" s="80">
        <f t="shared" si="77"/>
        <v>75254.909837441766</v>
      </c>
      <c r="H64" s="80">
        <f t="shared" si="77"/>
        <v>83214.389102137487</v>
      </c>
      <c r="I64" s="80">
        <f t="shared" si="77"/>
        <v>86609.631332889563</v>
      </c>
      <c r="J64" s="80">
        <f t="shared" si="77"/>
        <v>90140.683252871866</v>
      </c>
      <c r="K64" s="80">
        <f t="shared" si="77"/>
        <v>93812.977249653268</v>
      </c>
      <c r="L64" s="80">
        <f t="shared" si="77"/>
        <v>97632.163006306117</v>
      </c>
      <c r="M64" s="80">
        <f t="shared" si="77"/>
        <v>101604.1161932251</v>
      </c>
      <c r="N64" s="80">
        <f t="shared" si="77"/>
        <v>105734.94750762086</v>
      </c>
      <c r="O64" s="80">
        <f t="shared" si="77"/>
        <v>110031.01207459213</v>
      </c>
      <c r="P64" s="80">
        <f t="shared" si="77"/>
        <v>113918.45872545052</v>
      </c>
      <c r="Q64" s="80">
        <f t="shared" si="77"/>
        <v>118541.86374113508</v>
      </c>
      <c r="R64" s="80">
        <f t="shared" si="77"/>
        <v>123350.2049574471</v>
      </c>
    </row>
    <row r="65" spans="1:18">
      <c r="A65" s="15" t="s">
        <v>66</v>
      </c>
      <c r="C65" s="6" t="s">
        <v>60</v>
      </c>
      <c r="D65" s="80">
        <f>IF(Налоги!D39&gt;0,Налоги!D46*'Эффективность проекта'!D34,Налоги!D47*'Эффективность проекта'!D34)</f>
        <v>0</v>
      </c>
      <c r="E65" s="80">
        <f>IF(Налоги!E39&gt;0,Налоги!E46*'Эффективность проекта'!E34,Налоги!E47*'Эффективность проекта'!E34)</f>
        <v>0</v>
      </c>
      <c r="F65" s="80">
        <f>IF(Налоги!F39&gt;0,Налоги!F46*'Эффективность проекта'!F34,Налоги!F47*'Эффективность проекта'!F34)</f>
        <v>0</v>
      </c>
      <c r="G65" s="80">
        <f>IF(Налоги!G39&gt;0,Налоги!G46*'Эффективность проекта'!G34,Налоги!G47*'Эффективность проекта'!G34)</f>
        <v>0</v>
      </c>
      <c r="H65" s="80">
        <f>IF(Налоги!H39&gt;0,Налоги!H46*'Эффективность проекта'!H34,Налоги!H47*'Эффективность проекта'!H34)</f>
        <v>0</v>
      </c>
      <c r="I65" s="80">
        <f>IF(Налоги!I39&gt;0,Налоги!I46*'Эффективность проекта'!I34,Налоги!I47*'Эффективность проекта'!I34)</f>
        <v>0</v>
      </c>
      <c r="J65" s="80">
        <f>IF(Налоги!J39&gt;0,Налоги!J46*'Эффективность проекта'!J34,Налоги!J47*'Эффективность проекта'!J34)</f>
        <v>0</v>
      </c>
      <c r="K65" s="80">
        <f>IF(Налоги!K39&gt;0,Налоги!K46*'Эффективность проекта'!K34,Налоги!K47*'Эффективность проекта'!K34)</f>
        <v>24884.345761515266</v>
      </c>
      <c r="L65" s="80">
        <f>IF(Налоги!L39&gt;0,Налоги!L46*'Эффективность проекта'!L34,Налоги!L47*'Эффективность проекта'!L34)</f>
        <v>25903.05292530921</v>
      </c>
      <c r="M65" s="80">
        <f>IF(Налоги!M39&gt;0,Налоги!M46*'Эффективность проекта'!M34,Налоги!M47*'Эффективность проекта'!M34)</f>
        <v>26962.508375654921</v>
      </c>
      <c r="N65" s="80">
        <f>IF(Налоги!N39&gt;0,Налоги!N46*'Эффективность проекта'!N34,Налоги!N47*'Эффективность проекта'!N34)</f>
        <v>28064.342044014433</v>
      </c>
      <c r="O65" s="80">
        <f>IF(Налоги!O39&gt;0,Налоги!O46*'Эффективность проекта'!O34,Налоги!O47*'Эффективность проекта'!O34)</f>
        <v>29210.249059108348</v>
      </c>
      <c r="P65" s="80">
        <f>IF(Налоги!P39&gt;0,Налоги!P46*'Эффективность проекта'!P34,Налоги!P47*'Эффективность проекта'!P34)</f>
        <v>27626.294434456031</v>
      </c>
      <c r="Q65" s="80">
        <f>IF(Налоги!Q39&gt;0,Налоги!Q46*'Эффективность проекта'!Q34,Налоги!Q47*'Эффективность проекта'!Q34)</f>
        <v>28830.216545167616</v>
      </c>
      <c r="R65" s="80">
        <f>IF(Налоги!R39&gt;0,Налоги!R46*'Эффективность проекта'!R34,Налоги!R47*'Эффективность проекта'!R34)</f>
        <v>30080.139540307664</v>
      </c>
    </row>
    <row r="66" spans="1:18">
      <c r="A66" s="15" t="s">
        <v>272</v>
      </c>
      <c r="C66" s="6" t="s">
        <v>60</v>
      </c>
      <c r="D66" s="80">
        <f>Налоги!D22</f>
        <v>0</v>
      </c>
      <c r="E66" s="80">
        <f>Налоги!E22</f>
        <v>0</v>
      </c>
      <c r="F66" s="80">
        <f>Налоги!F22</f>
        <v>3296.7380414391509</v>
      </c>
      <c r="G66" s="80">
        <f>Налоги!G22</f>
        <v>6511.2562305195197</v>
      </c>
      <c r="H66" s="80">
        <f>Налоги!H22</f>
        <v>7131.5037312411732</v>
      </c>
      <c r="I66" s="80">
        <f>Налоги!I22</f>
        <v>7416.7638804908211</v>
      </c>
      <c r="J66" s="80">
        <f>Налоги!J22</f>
        <v>7713.4344357104537</v>
      </c>
      <c r="K66" s="80">
        <f>Налоги!K22</f>
        <v>8021.9718131388709</v>
      </c>
      <c r="L66" s="80">
        <f>Налоги!L22</f>
        <v>8342.8506856644271</v>
      </c>
      <c r="M66" s="80">
        <f>Налоги!M22</f>
        <v>8676.5647130910038</v>
      </c>
      <c r="N66" s="80">
        <f>Налоги!N22</f>
        <v>9023.6273016146442</v>
      </c>
      <c r="O66" s="80">
        <f>Налоги!O22</f>
        <v>9384.5723936792292</v>
      </c>
      <c r="P66" s="80">
        <f>Налоги!P22</f>
        <v>38782.98022903649</v>
      </c>
      <c r="Q66" s="80">
        <f>Налоги!Q22</f>
        <v>40334.299438197952</v>
      </c>
      <c r="R66" s="80">
        <f>Налоги!R22</f>
        <v>41947.671415725868</v>
      </c>
    </row>
    <row r="67" spans="1:18">
      <c r="A67" s="9" t="s">
        <v>274</v>
      </c>
      <c r="B67" s="17"/>
      <c r="C67" s="34" t="s">
        <v>58</v>
      </c>
      <c r="D67" s="85">
        <f>D62</f>
        <v>0</v>
      </c>
      <c r="E67" s="85">
        <f t="shared" ref="E67:R67" si="78">D67+E62</f>
        <v>0</v>
      </c>
      <c r="F67" s="85">
        <f t="shared" si="78"/>
        <v>7568.2929009568097</v>
      </c>
      <c r="G67" s="85">
        <f t="shared" si="78"/>
        <v>89334.458968918087</v>
      </c>
      <c r="H67" s="85">
        <f t="shared" si="78"/>
        <v>179680.35180229676</v>
      </c>
      <c r="I67" s="85">
        <f t="shared" si="78"/>
        <v>273706.74701567716</v>
      </c>
      <c r="J67" s="85">
        <f t="shared" si="78"/>
        <v>371560.8647042595</v>
      </c>
      <c r="K67" s="85">
        <f t="shared" si="78"/>
        <v>498280.15952856687</v>
      </c>
      <c r="L67" s="85">
        <f t="shared" si="78"/>
        <v>630158.22614584665</v>
      </c>
      <c r="M67" s="85">
        <f t="shared" si="78"/>
        <v>767401.41542781773</v>
      </c>
      <c r="N67" s="85">
        <f t="shared" si="78"/>
        <v>910224.33228106773</v>
      </c>
      <c r="O67" s="85">
        <f t="shared" si="78"/>
        <v>1058850.1658084474</v>
      </c>
      <c r="P67" s="85">
        <f t="shared" si="78"/>
        <v>1239177.8991973903</v>
      </c>
      <c r="Q67" s="85">
        <f t="shared" si="78"/>
        <v>1426884.278921891</v>
      </c>
      <c r="R67" s="85">
        <f t="shared" si="78"/>
        <v>1622262.2948353717</v>
      </c>
    </row>
    <row r="68" spans="1:18">
      <c r="A68" s="75"/>
    </row>
    <row r="69" spans="1:18">
      <c r="A69" s="75" t="s">
        <v>229</v>
      </c>
      <c r="B69" s="28">
        <f>B13</f>
        <v>0.18774444444444444</v>
      </c>
      <c r="C69" s="6" t="s">
        <v>7</v>
      </c>
    </row>
    <row r="70" spans="1:18">
      <c r="A70" s="75" t="s">
        <v>230</v>
      </c>
      <c r="C70" s="6" t="s">
        <v>278</v>
      </c>
      <c r="D70" s="79">
        <v>0.5</v>
      </c>
      <c r="E70" s="79">
        <v>1.5</v>
      </c>
      <c r="F70" s="79">
        <v>2.5</v>
      </c>
      <c r="G70" s="79">
        <v>3.5</v>
      </c>
      <c r="H70" s="79">
        <v>4.5</v>
      </c>
      <c r="I70" s="79">
        <v>5.5</v>
      </c>
      <c r="J70" s="79">
        <v>6.5</v>
      </c>
      <c r="K70" s="79">
        <v>7.5</v>
      </c>
      <c r="L70" s="79">
        <v>8.5</v>
      </c>
      <c r="M70" s="79">
        <v>9.5</v>
      </c>
      <c r="N70" s="79">
        <v>10.5</v>
      </c>
      <c r="O70" s="79">
        <v>11.5</v>
      </c>
      <c r="P70" s="79">
        <v>12.5</v>
      </c>
      <c r="Q70" s="79">
        <v>13.5</v>
      </c>
      <c r="R70" s="79">
        <v>14.5</v>
      </c>
    </row>
    <row r="71" spans="1:18">
      <c r="A71" s="75" t="s">
        <v>231</v>
      </c>
      <c r="C71" s="6" t="s">
        <v>278</v>
      </c>
      <c r="D71" s="18">
        <f>1/(1+$B$13)^D70</f>
        <v>0.91756850054292038</v>
      </c>
      <c r="E71" s="18">
        <f t="shared" ref="E71:R71" si="79">1/(1+$B$13)^E70</f>
        <v>0.77253023984642066</v>
      </c>
      <c r="F71" s="18">
        <f t="shared" si="79"/>
        <v>0.65041789373114178</v>
      </c>
      <c r="G71" s="18">
        <f t="shared" si="79"/>
        <v>0.54760760765786465</v>
      </c>
      <c r="H71" s="18">
        <f t="shared" si="79"/>
        <v>0.4610483426963134</v>
      </c>
      <c r="I71" s="18">
        <f t="shared" si="79"/>
        <v>0.38817133168066648</v>
      </c>
      <c r="J71" s="18">
        <f t="shared" si="79"/>
        <v>0.32681384745371689</v>
      </c>
      <c r="K71" s="18">
        <f t="shared" si="79"/>
        <v>0.27515502091578364</v>
      </c>
      <c r="L71" s="18">
        <f t="shared" si="79"/>
        <v>0.23166180418927126</v>
      </c>
      <c r="M71" s="18">
        <f t="shared" si="79"/>
        <v>0.19504347528026428</v>
      </c>
      <c r="N71" s="18">
        <f t="shared" si="79"/>
        <v>0.16421333409940206</v>
      </c>
      <c r="O71" s="18">
        <f t="shared" si="79"/>
        <v>0.13825645311791898</v>
      </c>
      <c r="P71" s="18">
        <f t="shared" si="79"/>
        <v>0.11640252561449534</v>
      </c>
      <c r="Q71" s="18">
        <f t="shared" si="79"/>
        <v>9.8003005746696167E-2</v>
      </c>
      <c r="R71" s="18">
        <f t="shared" si="79"/>
        <v>8.2511862046667883E-2</v>
      </c>
    </row>
    <row r="72" spans="1:18">
      <c r="A72" s="82"/>
    </row>
    <row r="73" spans="1:18">
      <c r="A73" s="7" t="s">
        <v>232</v>
      </c>
      <c r="D73" s="80">
        <f t="shared" ref="D73:R73" si="80">D62*D71</f>
        <v>0</v>
      </c>
      <c r="E73" s="80">
        <f t="shared" si="80"/>
        <v>0</v>
      </c>
      <c r="F73" s="80">
        <f t="shared" si="80"/>
        <v>4922.5531277806813</v>
      </c>
      <c r="G73" s="80">
        <f t="shared" si="80"/>
        <v>44775.774587831947</v>
      </c>
      <c r="H73" s="80">
        <f t="shared" si="80"/>
        <v>41653.824160247968</v>
      </c>
      <c r="I73" s="80">
        <f t="shared" si="80"/>
        <v>36498.35104311051</v>
      </c>
      <c r="J73" s="80">
        <f t="shared" si="80"/>
        <v>31980.080690994404</v>
      </c>
      <c r="K73" s="80">
        <f t="shared" si="80"/>
        <v>34867.450217815662</v>
      </c>
      <c r="L73" s="80">
        <f t="shared" si="80"/>
        <v>30551.110845551932</v>
      </c>
      <c r="M73" s="80">
        <f t="shared" si="80"/>
        <v>26768.388596102744</v>
      </c>
      <c r="N73" s="80">
        <f t="shared" si="80"/>
        <v>23453.427362273855</v>
      </c>
      <c r="O73" s="80">
        <f t="shared" si="80"/>
        <v>20548.480585189805</v>
      </c>
      <c r="P73" s="80">
        <f t="shared" si="80"/>
        <v>20990.603604810327</v>
      </c>
      <c r="Q73" s="80">
        <f t="shared" si="80"/>
        <v>18395.789410831771</v>
      </c>
      <c r="R73" s="80">
        <f t="shared" si="80"/>
        <v>16121.003896004797</v>
      </c>
    </row>
    <row r="74" spans="1:18">
      <c r="A74" s="9" t="s">
        <v>275</v>
      </c>
      <c r="B74" s="17"/>
      <c r="C74" s="34"/>
      <c r="D74" s="85">
        <f>D73</f>
        <v>0</v>
      </c>
      <c r="E74" s="85">
        <f>D74+E73</f>
        <v>0</v>
      </c>
      <c r="F74" s="85">
        <f t="shared" ref="F74:R74" si="81">E74+F73</f>
        <v>4922.5531277806813</v>
      </c>
      <c r="G74" s="85">
        <f t="shared" si="81"/>
        <v>49698.327715612628</v>
      </c>
      <c r="H74" s="85">
        <f t="shared" si="81"/>
        <v>91352.151875860596</v>
      </c>
      <c r="I74" s="85">
        <f t="shared" si="81"/>
        <v>127850.50291897111</v>
      </c>
      <c r="J74" s="85">
        <f t="shared" si="81"/>
        <v>159830.58360996551</v>
      </c>
      <c r="K74" s="85">
        <f t="shared" si="81"/>
        <v>194698.03382778118</v>
      </c>
      <c r="L74" s="85">
        <f t="shared" si="81"/>
        <v>225249.14467333312</v>
      </c>
      <c r="M74" s="85">
        <f t="shared" si="81"/>
        <v>252017.53326943587</v>
      </c>
      <c r="N74" s="85">
        <f t="shared" si="81"/>
        <v>275470.96063170972</v>
      </c>
      <c r="O74" s="85">
        <f t="shared" si="81"/>
        <v>296019.44121689955</v>
      </c>
      <c r="P74" s="85">
        <f t="shared" si="81"/>
        <v>317010.04482170986</v>
      </c>
      <c r="Q74" s="85">
        <f t="shared" si="81"/>
        <v>335405.83423254162</v>
      </c>
      <c r="R74" s="85">
        <f t="shared" si="81"/>
        <v>351526.83812854643</v>
      </c>
    </row>
    <row r="75" spans="1:18">
      <c r="A75" s="7" t="s">
        <v>227</v>
      </c>
      <c r="D75" s="70" t="str">
        <f>IFERROR(IF((D74/C74)&lt;0,D$1,0),"")</f>
        <v/>
      </c>
      <c r="E75" s="80" t="str">
        <f t="shared" ref="E75" si="82">IFERROR(IF((E74/D74)&lt;0,E$1,0),"")</f>
        <v/>
      </c>
      <c r="F75" s="80" t="str">
        <f t="shared" ref="F75" si="83">IFERROR(IF((F74/E74)&lt;0,F$1,0),"")</f>
        <v/>
      </c>
      <c r="G75" s="80">
        <f t="shared" ref="G75" si="84">IFERROR(IF((G74/F74)&lt;0,G$1,0),"")</f>
        <v>0</v>
      </c>
      <c r="H75" s="80">
        <f t="shared" ref="H75" si="85">IFERROR(IF((H74/G74)&lt;0,H$1,0),"")</f>
        <v>0</v>
      </c>
      <c r="I75" s="80">
        <f t="shared" ref="I75" si="86">IFERROR(IF((I74/H74)&lt;0,I$1,0),"")</f>
        <v>0</v>
      </c>
      <c r="J75" s="80">
        <f t="shared" ref="J75" si="87">IFERROR(IF((J74/I74)&lt;0,J$1,0),"")</f>
        <v>0</v>
      </c>
      <c r="K75" s="80">
        <f t="shared" ref="K75" si="88">IFERROR(IF((K74/J74)&lt;0,K$1,0),"")</f>
        <v>0</v>
      </c>
      <c r="L75" s="80">
        <f t="shared" ref="L75" si="89">IFERROR(IF((L74/K74)&lt;0,L$1,0),"")</f>
        <v>0</v>
      </c>
      <c r="M75" s="80">
        <f t="shared" ref="M75" si="90">IFERROR(IF((M74/L74)&lt;0,M$1,0),"")</f>
        <v>0</v>
      </c>
      <c r="N75" s="80">
        <f t="shared" ref="N75" si="91">IFERROR(IF((N74/M74)&lt;0,N$1,0),"")</f>
        <v>0</v>
      </c>
      <c r="O75" s="80">
        <f t="shared" ref="O75" si="92">IFERROR(IF((O74/N74)&lt;0,O$1,0),"")</f>
        <v>0</v>
      </c>
      <c r="P75" s="80">
        <f t="shared" ref="P75" si="93">IFERROR(IF((P74/O74)&lt;0,P$1,0),"")</f>
        <v>0</v>
      </c>
      <c r="Q75" s="80">
        <f t="shared" ref="Q75" si="94">IFERROR(IF((Q74/P74)&lt;0,Q$1,0),"")</f>
        <v>0</v>
      </c>
      <c r="R75" s="80">
        <f t="shared" ref="R75" si="95">IFERROR(IF((R74/Q74)&lt;0,R$1,0),"")</f>
        <v>0</v>
      </c>
    </row>
    <row r="76" spans="1:18">
      <c r="A76" s="7" t="s">
        <v>228</v>
      </c>
      <c r="D76" s="1" t="str">
        <f t="shared" ref="D76" si="96">IFERROR(-IF(D75&gt;0,(1-D74/D72)+D75-$D$1,0),"")</f>
        <v/>
      </c>
      <c r="E76" s="79" t="str">
        <f t="shared" ref="E76" si="97">IFERROR(-IF(E75&gt;0,(1-E74/E72)+E75-$D$1,0),"")</f>
        <v/>
      </c>
      <c r="F76" s="79" t="str">
        <f t="shared" ref="F76" si="98">IFERROR(-IF(F75&gt;0,(1-F74/F72)+F75-$D$1,0),"")</f>
        <v/>
      </c>
      <c r="G76" s="79">
        <f t="shared" ref="G76" si="99">IFERROR(-IF(G75&gt;0,(1-G74/G72)+G75-$D$1,0),"")</f>
        <v>0</v>
      </c>
      <c r="H76" s="79">
        <f t="shared" ref="H76" si="100">IFERROR(-IF(H75&gt;0,(1-H74/H72)+H75-$D$1,0),"")</f>
        <v>0</v>
      </c>
      <c r="I76" s="79">
        <f>IFERROR(-IF(I75&gt;0,(1-I74/I72)+I75-$D$1,0),"")</f>
        <v>0</v>
      </c>
      <c r="J76" s="79">
        <f t="shared" ref="J76" si="101">IFERROR(-IF(J75&gt;0,(1-J74/J72)+J75-$D$1,0),"")</f>
        <v>0</v>
      </c>
      <c r="K76" s="79">
        <f t="shared" ref="K76" si="102">IFERROR(-IF(K75&gt;0,(1-K74/K72)+K75-$D$1,0),"")</f>
        <v>0</v>
      </c>
      <c r="L76" s="79">
        <f t="shared" ref="L76" si="103">IFERROR(-IF(L75&gt;0,(1-L74/L72)+L75-$D$1,0),"")</f>
        <v>0</v>
      </c>
      <c r="M76" s="79">
        <f t="shared" ref="M76" si="104">IFERROR(-IF(M75&gt;0,(1-M74/M72)+M75-$D$1,0),"")</f>
        <v>0</v>
      </c>
      <c r="N76" s="79">
        <f t="shared" ref="N76" si="105">IFERROR(-IF(N75&gt;0,(1-N74/N72)+N75-$D$1,0),"")</f>
        <v>0</v>
      </c>
      <c r="O76" s="79">
        <f t="shared" ref="O76" si="106">IFERROR(-IF(O75&gt;0,(1-O74/O72)+O75-$D$1,0),"")</f>
        <v>0</v>
      </c>
      <c r="P76" s="79">
        <f t="shared" ref="P76" si="107">IFERROR(-IF(P75&gt;0,(1-P74/P72)+P75-$D$1,0),"")</f>
        <v>0</v>
      </c>
      <c r="Q76" s="79">
        <f t="shared" ref="Q76" si="108">IFERROR(-IF(Q75&gt;0,(1-Q74/Q72)+Q75-$D$1,0),"")</f>
        <v>0</v>
      </c>
      <c r="R76" s="79">
        <f t="shared" ref="R76" si="109">IFERROR(-IF(R75&gt;0,(1-R74/R72)+R75-$D$1,0),"")</f>
        <v>0</v>
      </c>
    </row>
    <row r="77" spans="1:18">
      <c r="A77" s="7"/>
    </row>
    <row r="78" spans="1:18">
      <c r="A78" s="74" t="s">
        <v>234</v>
      </c>
      <c r="B78" s="18">
        <f>SUM(D73:R73)</f>
        <v>351526.83812854643</v>
      </c>
    </row>
    <row r="79" spans="1:18">
      <c r="A79" s="74" t="s">
        <v>235</v>
      </c>
      <c r="B79" s="89" t="s">
        <v>290</v>
      </c>
    </row>
    <row r="80" spans="1:18">
      <c r="A80" s="15" t="s">
        <v>236</v>
      </c>
      <c r="B80" s="89" t="s">
        <v>290</v>
      </c>
    </row>
    <row r="81" spans="1:18">
      <c r="A81" s="74" t="s">
        <v>276</v>
      </c>
      <c r="B81" s="89" t="s">
        <v>290</v>
      </c>
    </row>
    <row r="82" spans="1:18" ht="27">
      <c r="A82" s="83" t="s">
        <v>277</v>
      </c>
      <c r="B82" s="89" t="s">
        <v>290</v>
      </c>
    </row>
    <row r="83" spans="1:18">
      <c r="A83" s="74" t="s">
        <v>238</v>
      </c>
      <c r="B83" s="89" t="s">
        <v>290</v>
      </c>
    </row>
    <row r="84" spans="1:18">
      <c r="A84" s="74" t="s">
        <v>239</v>
      </c>
      <c r="B84" s="89" t="s">
        <v>290</v>
      </c>
    </row>
    <row r="86" spans="1:18">
      <c r="A86" s="43" t="s">
        <v>291</v>
      </c>
      <c r="B86" s="44"/>
      <c r="C86" s="44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6"/>
    </row>
    <row r="87" spans="1:18">
      <c r="A87" s="74" t="s">
        <v>269</v>
      </c>
      <c r="C87" s="53" t="s">
        <v>60</v>
      </c>
      <c r="D87" s="103">
        <f>D88+D92</f>
        <v>-150000</v>
      </c>
      <c r="E87" s="103">
        <f t="shared" ref="E87" si="110">E88+E92</f>
        <v>-250000</v>
      </c>
      <c r="F87" s="103">
        <f t="shared" ref="F87" si="111">F88+F92</f>
        <v>-96898.463553119742</v>
      </c>
      <c r="G87" s="103">
        <f t="shared" ref="G87" si="112">G88+G92</f>
        <v>20330.164765678797</v>
      </c>
      <c r="H87" s="103">
        <f t="shared" ref="H87" si="113">H88+H92</f>
        <v>22464.48696031026</v>
      </c>
      <c r="I87" s="103">
        <f t="shared" ref="I87" si="114">I88+I92</f>
        <v>23379.733105389336</v>
      </c>
      <c r="J87" s="103">
        <f t="shared" ref="J87" si="115">J88+J92</f>
        <v>24331.589096271578</v>
      </c>
      <c r="K87" s="103">
        <f t="shared" ref="K87" si="116">K88+K92</f>
        <v>43096.052013585722</v>
      </c>
      <c r="L87" s="103">
        <f t="shared" ref="L87" si="117">L88+L92</f>
        <v>44853.227427462487</v>
      </c>
      <c r="M87" s="103">
        <f t="shared" ref="M87" si="118">M88+M92</f>
        <v>46680.689857894336</v>
      </c>
      <c r="N87" s="103">
        <f t="shared" ref="N87" si="119">N88+N92</f>
        <v>48581.250785543416</v>
      </c>
      <c r="O87" s="103">
        <f t="shared" ref="O87" si="120">O88+O92</f>
        <v>50557.834150298491</v>
      </c>
      <c r="P87" s="103">
        <f t="shared" ref="P87" si="121">P88+P92</f>
        <v>87948.60603137924</v>
      </c>
      <c r="Q87" s="103">
        <f t="shared" ref="Q87" si="122">Q88+Q92</f>
        <v>90641.688272634448</v>
      </c>
      <c r="R87" s="103">
        <f t="shared" ref="R87" si="123">R88+R92</f>
        <v>93467.74980353986</v>
      </c>
    </row>
    <row r="88" spans="1:18">
      <c r="A88" s="75" t="s">
        <v>270</v>
      </c>
      <c r="C88" s="6" t="s">
        <v>60</v>
      </c>
      <c r="D88" s="80">
        <f>SUM(D89:D91)</f>
        <v>0</v>
      </c>
      <c r="E88" s="80">
        <f t="shared" ref="E88" si="124">SUM(E89:E91)</f>
        <v>0</v>
      </c>
      <c r="F88" s="80">
        <f t="shared" ref="F88" si="125">SUM(F89:F91)</f>
        <v>3101.5364468802541</v>
      </c>
      <c r="G88" s="80">
        <f t="shared" ref="G88" si="126">SUM(G89:G91)</f>
        <v>20330.164765678797</v>
      </c>
      <c r="H88" s="80">
        <f t="shared" ref="H88" si="127">SUM(H89:H91)</f>
        <v>22464.48696031026</v>
      </c>
      <c r="I88" s="80">
        <f t="shared" ref="I88" si="128">SUM(I89:I91)</f>
        <v>23379.733105389336</v>
      </c>
      <c r="J88" s="80">
        <f t="shared" ref="J88" si="129">SUM(J89:J91)</f>
        <v>24331.589096271578</v>
      </c>
      <c r="K88" s="80">
        <f t="shared" ref="K88" si="130">SUM(K89:K91)</f>
        <v>43096.052013585722</v>
      </c>
      <c r="L88" s="80">
        <f t="shared" ref="L88" si="131">SUM(L89:L91)</f>
        <v>44853.227427462487</v>
      </c>
      <c r="M88" s="80">
        <f t="shared" ref="M88" si="132">SUM(M89:M91)</f>
        <v>46680.689857894336</v>
      </c>
      <c r="N88" s="80">
        <f t="shared" ref="N88" si="133">SUM(N89:N91)</f>
        <v>48581.250785543416</v>
      </c>
      <c r="O88" s="80">
        <f t="shared" ref="O88" si="134">SUM(O89:O91)</f>
        <v>50557.834150298491</v>
      </c>
      <c r="P88" s="80">
        <f t="shared" ref="P88" si="135">SUM(P89:P91)</f>
        <v>87948.60603137924</v>
      </c>
      <c r="Q88" s="80">
        <f t="shared" ref="Q88" si="136">SUM(Q89:Q91)</f>
        <v>90641.688272634448</v>
      </c>
      <c r="R88" s="80">
        <f t="shared" ref="R88" si="137">SUM(R89:R91)</f>
        <v>93467.74980353986</v>
      </c>
    </row>
    <row r="89" spans="1:18">
      <c r="A89" s="15" t="s">
        <v>66</v>
      </c>
      <c r="C89" s="6" t="s">
        <v>60</v>
      </c>
      <c r="D89" s="80">
        <f t="shared" ref="D89:R89" si="138">D34-D65</f>
        <v>0</v>
      </c>
      <c r="E89" s="80">
        <f t="shared" si="138"/>
        <v>0</v>
      </c>
      <c r="F89" s="80">
        <f t="shared" si="138"/>
        <v>0</v>
      </c>
      <c r="G89" s="80">
        <f t="shared" si="138"/>
        <v>14204.443443545299</v>
      </c>
      <c r="H89" s="80">
        <f t="shared" si="138"/>
        <v>15755.243318418892</v>
      </c>
      <c r="I89" s="80">
        <f t="shared" si="138"/>
        <v>16402.119717822312</v>
      </c>
      <c r="J89" s="80">
        <f t="shared" si="138"/>
        <v>17074.871173201875</v>
      </c>
      <c r="K89" s="80">
        <f t="shared" si="138"/>
        <v>35549.065373593228</v>
      </c>
      <c r="L89" s="80">
        <f t="shared" si="138"/>
        <v>37004.361321870296</v>
      </c>
      <c r="M89" s="80">
        <f t="shared" si="138"/>
        <v>38517.869108078456</v>
      </c>
      <c r="N89" s="80">
        <f t="shared" si="138"/>
        <v>40091.917205734899</v>
      </c>
      <c r="O89" s="80">
        <f t="shared" si="138"/>
        <v>41728.927227297638</v>
      </c>
      <c r="P89" s="80">
        <f t="shared" si="138"/>
        <v>71039.042831458355</v>
      </c>
      <c r="Q89" s="80">
        <f t="shared" si="138"/>
        <v>74134.842544716725</v>
      </c>
      <c r="R89" s="80">
        <f t="shared" si="138"/>
        <v>77348.930246505421</v>
      </c>
    </row>
    <row r="90" spans="1:18">
      <c r="A90" s="15" t="s">
        <v>69</v>
      </c>
      <c r="C90" s="6" t="s">
        <v>60</v>
      </c>
      <c r="D90" s="80">
        <f t="shared" ref="D90:R90" si="139">D35</f>
        <v>0</v>
      </c>
      <c r="E90" s="80">
        <f t="shared" si="139"/>
        <v>0</v>
      </c>
      <c r="F90" s="80">
        <f t="shared" si="139"/>
        <v>0</v>
      </c>
      <c r="G90" s="80">
        <f t="shared" si="139"/>
        <v>0</v>
      </c>
      <c r="H90" s="80">
        <f t="shared" si="139"/>
        <v>0</v>
      </c>
      <c r="I90" s="80">
        <f t="shared" si="139"/>
        <v>0</v>
      </c>
      <c r="J90" s="80">
        <f t="shared" si="139"/>
        <v>0</v>
      </c>
      <c r="K90" s="80">
        <f t="shared" si="139"/>
        <v>0</v>
      </c>
      <c r="L90" s="80">
        <f t="shared" si="139"/>
        <v>0</v>
      </c>
      <c r="M90" s="80">
        <f t="shared" si="139"/>
        <v>0</v>
      </c>
      <c r="N90" s="80">
        <f t="shared" si="139"/>
        <v>0</v>
      </c>
      <c r="O90" s="80">
        <f t="shared" si="139"/>
        <v>0</v>
      </c>
      <c r="P90" s="80">
        <f t="shared" si="139"/>
        <v>7727.5</v>
      </c>
      <c r="Q90" s="80">
        <f t="shared" si="139"/>
        <v>6957.5</v>
      </c>
      <c r="R90" s="80">
        <f t="shared" si="139"/>
        <v>6187.5</v>
      </c>
    </row>
    <row r="91" spans="1:18">
      <c r="A91" s="15" t="s">
        <v>75</v>
      </c>
      <c r="C91" s="6" t="s">
        <v>60</v>
      </c>
      <c r="D91" s="80">
        <f>D37*Предпоссылки!D$56</f>
        <v>0</v>
      </c>
      <c r="E91" s="80">
        <f>E37*Предпоссылки!E$56</f>
        <v>0</v>
      </c>
      <c r="F91" s="80">
        <f>F37*Предпоссылки!F$56</f>
        <v>3101.5364468802541</v>
      </c>
      <c r="G91" s="80">
        <f>G37*Предпоссылки!G$56</f>
        <v>6125.7213221334969</v>
      </c>
      <c r="H91" s="80">
        <f>H37*Предпоссылки!H$56</f>
        <v>6709.2436418913676</v>
      </c>
      <c r="I91" s="80">
        <f>I37*Предпоссылки!I$56</f>
        <v>6977.613387567023</v>
      </c>
      <c r="J91" s="80">
        <f>J37*Предпоссылки!J$56</f>
        <v>7256.7179230697038</v>
      </c>
      <c r="K91" s="80">
        <f>K37*Предпоссылки!K$56</f>
        <v>7546.9866399924913</v>
      </c>
      <c r="L91" s="80">
        <f>L37*Предпоссылки!L$56</f>
        <v>7848.866105592193</v>
      </c>
      <c r="M91" s="80">
        <f>M37*Предпоссылки!M$56</f>
        <v>8162.8207498158799</v>
      </c>
      <c r="N91" s="80">
        <f>N37*Предпоссылки!N$56</f>
        <v>8489.3335798085154</v>
      </c>
      <c r="O91" s="80">
        <f>O37*Предпоссылки!O$56</f>
        <v>8828.9069230008554</v>
      </c>
      <c r="P91" s="80">
        <f>P37*Предпоссылки!P$56</f>
        <v>9182.0631999208908</v>
      </c>
      <c r="Q91" s="80">
        <f>Q37*Предпоссылки!Q$56</f>
        <v>9549.3457279177273</v>
      </c>
      <c r="R91" s="80">
        <f>R37*Предпоссылки!R$56</f>
        <v>9931.3195570344342</v>
      </c>
    </row>
    <row r="92" spans="1:18">
      <c r="A92" s="75" t="s">
        <v>273</v>
      </c>
      <c r="B92" s="15"/>
      <c r="C92" s="6" t="s">
        <v>60</v>
      </c>
      <c r="D92" s="80">
        <f>-'CAPEX | Finance'!D17</f>
        <v>-150000</v>
      </c>
      <c r="E92" s="80">
        <f>-'CAPEX | Finance'!E17</f>
        <v>-250000</v>
      </c>
      <c r="F92" s="80">
        <f>-'CAPEX | Finance'!F17</f>
        <v>-100000</v>
      </c>
      <c r="G92" s="80">
        <f>-'CAPEX | Finance'!G17</f>
        <v>0</v>
      </c>
      <c r="H92" s="80">
        <f>-'CAPEX | Finance'!H17</f>
        <v>0</v>
      </c>
      <c r="I92" s="80">
        <f>-'CAPEX | Finance'!I17</f>
        <v>0</v>
      </c>
      <c r="J92" s="80">
        <f>-'CAPEX | Finance'!J17</f>
        <v>0</v>
      </c>
      <c r="K92" s="80">
        <f>-'CAPEX | Finance'!K17</f>
        <v>0</v>
      </c>
      <c r="L92" s="80">
        <f>-'CAPEX | Finance'!L17</f>
        <v>0</v>
      </c>
      <c r="M92" s="80">
        <f>-'CAPEX | Finance'!M17</f>
        <v>0</v>
      </c>
      <c r="N92" s="80">
        <f>-'CAPEX | Finance'!N17</f>
        <v>0</v>
      </c>
      <c r="O92" s="80">
        <f>-'CAPEX | Finance'!O17</f>
        <v>0</v>
      </c>
      <c r="P92" s="80">
        <f>-'CAPEX | Finance'!P17</f>
        <v>0</v>
      </c>
      <c r="Q92" s="80">
        <f>-'CAPEX | Finance'!Q17</f>
        <v>0</v>
      </c>
      <c r="R92" s="80">
        <f>-'CAPEX | Finance'!R17</f>
        <v>0</v>
      </c>
    </row>
    <row r="93" spans="1:18">
      <c r="A93" s="75" t="s">
        <v>292</v>
      </c>
      <c r="B93" s="15"/>
      <c r="C93" s="6"/>
      <c r="D93" s="80">
        <f>D92</f>
        <v>-150000</v>
      </c>
      <c r="E93" s="80">
        <f>D93+E92</f>
        <v>-400000</v>
      </c>
      <c r="F93" s="80">
        <f t="shared" ref="F93:R93" si="140">E93+F92</f>
        <v>-500000</v>
      </c>
      <c r="G93" s="80">
        <f t="shared" si="140"/>
        <v>-500000</v>
      </c>
      <c r="H93" s="80">
        <f t="shared" si="140"/>
        <v>-500000</v>
      </c>
      <c r="I93" s="80">
        <f t="shared" si="140"/>
        <v>-500000</v>
      </c>
      <c r="J93" s="80">
        <f t="shared" si="140"/>
        <v>-500000</v>
      </c>
      <c r="K93" s="80">
        <f t="shared" si="140"/>
        <v>-500000</v>
      </c>
      <c r="L93" s="80">
        <f t="shared" si="140"/>
        <v>-500000</v>
      </c>
      <c r="M93" s="80">
        <f t="shared" si="140"/>
        <v>-500000</v>
      </c>
      <c r="N93" s="80">
        <f t="shared" si="140"/>
        <v>-500000</v>
      </c>
      <c r="O93" s="80">
        <f t="shared" si="140"/>
        <v>-500000</v>
      </c>
      <c r="P93" s="80">
        <f t="shared" si="140"/>
        <v>-500000</v>
      </c>
      <c r="Q93" s="80">
        <f t="shared" si="140"/>
        <v>-500000</v>
      </c>
      <c r="R93" s="80">
        <f t="shared" si="140"/>
        <v>-500000</v>
      </c>
    </row>
    <row r="94" spans="1:18">
      <c r="A94" s="9" t="s">
        <v>274</v>
      </c>
      <c r="B94" s="17"/>
      <c r="C94" s="34" t="s">
        <v>58</v>
      </c>
      <c r="D94" s="85">
        <f>D87</f>
        <v>-150000</v>
      </c>
      <c r="E94" s="85">
        <f>D94+E87</f>
        <v>-400000</v>
      </c>
      <c r="F94" s="85">
        <f t="shared" ref="F94:R94" si="141">E94+F87</f>
        <v>-496898.46355311974</v>
      </c>
      <c r="G94" s="85">
        <f t="shared" si="141"/>
        <v>-476568.29878744093</v>
      </c>
      <c r="H94" s="85">
        <f t="shared" si="141"/>
        <v>-454103.81182713067</v>
      </c>
      <c r="I94" s="85">
        <f t="shared" si="141"/>
        <v>-430724.07872174133</v>
      </c>
      <c r="J94" s="85">
        <f t="shared" si="141"/>
        <v>-406392.48962546978</v>
      </c>
      <c r="K94" s="85">
        <f t="shared" si="141"/>
        <v>-363296.43761188409</v>
      </c>
      <c r="L94" s="85">
        <f t="shared" si="141"/>
        <v>-318443.21018442162</v>
      </c>
      <c r="M94" s="85">
        <f t="shared" si="141"/>
        <v>-271762.5203265273</v>
      </c>
      <c r="N94" s="85">
        <f t="shared" si="141"/>
        <v>-223181.26954098389</v>
      </c>
      <c r="O94" s="85">
        <f t="shared" si="141"/>
        <v>-172623.43539068539</v>
      </c>
      <c r="P94" s="85">
        <f t="shared" si="141"/>
        <v>-84674.829359306153</v>
      </c>
      <c r="Q94" s="85">
        <f t="shared" si="141"/>
        <v>5966.8589133282949</v>
      </c>
      <c r="R94" s="85">
        <f t="shared" si="141"/>
        <v>99434.608716868155</v>
      </c>
    </row>
    <row r="95" spans="1:18">
      <c r="A95" s="75" t="s">
        <v>227</v>
      </c>
      <c r="B95" s="15"/>
      <c r="C95" s="6" t="s">
        <v>278</v>
      </c>
      <c r="D95" s="70" t="str">
        <f>IFERROR(IF((D94/C94)&lt;0,D$1,0),"")</f>
        <v/>
      </c>
      <c r="E95" s="80">
        <f t="shared" ref="E95" si="142">IFERROR(IF((E94/D94)&lt;0,E$1,0),"")</f>
        <v>0</v>
      </c>
      <c r="F95" s="80">
        <f t="shared" ref="F95" si="143">IFERROR(IF((F94/E94)&lt;0,F$1,0),"")</f>
        <v>0</v>
      </c>
      <c r="G95" s="80">
        <f t="shared" ref="G95" si="144">IFERROR(IF((G94/F94)&lt;0,G$1,0),"")</f>
        <v>0</v>
      </c>
      <c r="H95" s="80">
        <f t="shared" ref="H95" si="145">IFERROR(IF((H94/G94)&lt;0,H$1,0),"")</f>
        <v>0</v>
      </c>
      <c r="I95" s="80">
        <f t="shared" ref="I95" si="146">IFERROR(IF((I94/H94)&lt;0,I$1,0),"")</f>
        <v>0</v>
      </c>
      <c r="J95" s="80">
        <f t="shared" ref="J95" si="147">IFERROR(IF((J94/I94)&lt;0,J$1,0),"")</f>
        <v>0</v>
      </c>
      <c r="K95" s="80">
        <f t="shared" ref="K95" si="148">IFERROR(IF((K94/J94)&lt;0,K$1,0),"")</f>
        <v>0</v>
      </c>
      <c r="L95" s="80">
        <f t="shared" ref="L95" si="149">IFERROR(IF((L94/K94)&lt;0,L$1,0),"")</f>
        <v>0</v>
      </c>
      <c r="M95" s="80">
        <f t="shared" ref="M95" si="150">IFERROR(IF((M94/L94)&lt;0,M$1,0),"")</f>
        <v>0</v>
      </c>
      <c r="N95" s="80">
        <f t="shared" ref="N95" si="151">IFERROR(IF((N94/M94)&lt;0,N$1,0),"")</f>
        <v>0</v>
      </c>
      <c r="O95" s="80">
        <f t="shared" ref="O95" si="152">IFERROR(IF((O94/N94)&lt;0,O$1,0),"")</f>
        <v>0</v>
      </c>
      <c r="P95" s="80">
        <f t="shared" ref="P95" si="153">IFERROR(IF((P94/O94)&lt;0,P$1,0),"")</f>
        <v>0</v>
      </c>
      <c r="Q95" s="80">
        <f t="shared" ref="Q95" si="154">IFERROR(IF((Q94/P94)&lt;0,Q$1,0),"")</f>
        <v>2037</v>
      </c>
      <c r="R95" s="80">
        <f t="shared" ref="R95" si="155">IFERROR(IF((R94/Q94)&lt;0,R$1,0),"")</f>
        <v>0</v>
      </c>
    </row>
    <row r="96" spans="1:18">
      <c r="A96" s="75" t="s">
        <v>228</v>
      </c>
      <c r="B96" s="15"/>
      <c r="C96" s="6" t="s">
        <v>278</v>
      </c>
      <c r="D96" s="1" t="str">
        <f>IFERROR(IF(D95&gt;0,(1-D94/D93)+D95-$D$1,0),"")</f>
        <v/>
      </c>
      <c r="E96" s="79">
        <f>IFERROR(IF(E95&gt;0,(1-E94/E93)+E95-$D$1,0),"")</f>
        <v>0</v>
      </c>
      <c r="F96" s="79">
        <f t="shared" ref="F96" si="156">IFERROR(IF(F95&gt;0,(1-F94/F93)+F95-$D$1,0),"")</f>
        <v>0</v>
      </c>
      <c r="G96" s="79">
        <f t="shared" ref="G96" si="157">IFERROR(IF(G95&gt;0,(1-G94/G93)+G95-$D$1,0),"")</f>
        <v>0</v>
      </c>
      <c r="H96" s="79">
        <f t="shared" ref="H96" si="158">IFERROR(IF(H95&gt;0,(1-H94/H93)+H95-$D$1,0),"")</f>
        <v>0</v>
      </c>
      <c r="I96" s="79">
        <f t="shared" ref="I96" si="159">IFERROR(IF(I95&gt;0,(1-I94/I93)+I95-$D$1,0),"")</f>
        <v>0</v>
      </c>
      <c r="J96" s="79">
        <f t="shared" ref="J96" si="160">IFERROR(IF(J95&gt;0,(1-J94/J93)+J95-$D$1,0),"")</f>
        <v>0</v>
      </c>
      <c r="K96" s="79">
        <f t="shared" ref="K96" si="161">IFERROR(IF(K95&gt;0,(1-K94/K93)+K95-$D$1,0),"")</f>
        <v>0</v>
      </c>
      <c r="L96" s="79">
        <f t="shared" ref="L96" si="162">IFERROR(IF(L95&gt;0,(1-L94/L93)+L95-$D$1,0),"")</f>
        <v>0</v>
      </c>
      <c r="M96" s="79">
        <f t="shared" ref="M96" si="163">IFERROR(IF(M95&gt;0,(1-M94/M93)+M95-$D$1,0),"")</f>
        <v>0</v>
      </c>
      <c r="N96" s="79">
        <f t="shared" ref="N96" si="164">IFERROR(IF(N95&gt;0,(1-N94/N93)+N95-$D$1,0),"")</f>
        <v>0</v>
      </c>
      <c r="O96" s="79">
        <f t="shared" ref="O96" si="165">IFERROR(IF(O95&gt;0,(1-O94/O93)+O95-$D$1,0),"")</f>
        <v>0</v>
      </c>
      <c r="P96" s="79">
        <f t="shared" ref="P96" si="166">IFERROR(IF(P95&gt;0,(1-P94/P93)+P95-$D$1,0),"")</f>
        <v>0</v>
      </c>
      <c r="Q96" s="79">
        <f t="shared" ref="Q96" si="167">IFERROR(IF(Q95&gt;0,(1-Q94/Q93)+Q95-$D$1,0),"")</f>
        <v>14.011933717826651</v>
      </c>
      <c r="R96" s="79">
        <f t="shared" ref="R96" si="168">IFERROR(IF(R95&gt;0,(1-R94/R93)+R95-$D$1,0),"")</f>
        <v>0</v>
      </c>
    </row>
    <row r="97" spans="1:18">
      <c r="A97" s="75"/>
    </row>
    <row r="98" spans="1:18">
      <c r="A98" s="75" t="s">
        <v>229</v>
      </c>
      <c r="B98" s="28">
        <f>Предпоссылки!$B$33</f>
        <v>0.18774444444444444</v>
      </c>
      <c r="C98" s="6" t="s">
        <v>7</v>
      </c>
    </row>
    <row r="99" spans="1:18">
      <c r="A99" s="75" t="s">
        <v>230</v>
      </c>
      <c r="C99" s="6" t="s">
        <v>278</v>
      </c>
      <c r="D99" s="79">
        <v>0.5</v>
      </c>
      <c r="E99" s="79">
        <v>1.5</v>
      </c>
      <c r="F99" s="79">
        <v>2.5</v>
      </c>
      <c r="G99" s="79">
        <v>3.5</v>
      </c>
      <c r="H99" s="79">
        <v>4.5</v>
      </c>
      <c r="I99" s="79">
        <v>5.5</v>
      </c>
      <c r="J99" s="79">
        <v>6.5</v>
      </c>
      <c r="K99" s="79">
        <v>7.5</v>
      </c>
      <c r="L99" s="79">
        <v>8.5</v>
      </c>
      <c r="M99" s="79">
        <v>9.5</v>
      </c>
      <c r="N99" s="79">
        <v>10.5</v>
      </c>
      <c r="O99" s="79">
        <v>11.5</v>
      </c>
      <c r="P99" s="79">
        <v>12.5</v>
      </c>
      <c r="Q99" s="79">
        <v>13.5</v>
      </c>
      <c r="R99" s="79">
        <v>14.5</v>
      </c>
    </row>
    <row r="100" spans="1:18">
      <c r="A100" s="75" t="s">
        <v>231</v>
      </c>
      <c r="C100" s="6" t="s">
        <v>278</v>
      </c>
      <c r="D100" s="18">
        <f>1/(1+$B$13)^D99</f>
        <v>0.91756850054292038</v>
      </c>
      <c r="E100" s="18">
        <f t="shared" ref="E100:R100" si="169">1/(1+$B$13)^E99</f>
        <v>0.77253023984642066</v>
      </c>
      <c r="F100" s="18">
        <f t="shared" si="169"/>
        <v>0.65041789373114178</v>
      </c>
      <c r="G100" s="18">
        <f t="shared" si="169"/>
        <v>0.54760760765786465</v>
      </c>
      <c r="H100" s="18">
        <f t="shared" si="169"/>
        <v>0.4610483426963134</v>
      </c>
      <c r="I100" s="18">
        <f t="shared" si="169"/>
        <v>0.38817133168066648</v>
      </c>
      <c r="J100" s="18">
        <f t="shared" si="169"/>
        <v>0.32681384745371689</v>
      </c>
      <c r="K100" s="18">
        <f t="shared" si="169"/>
        <v>0.27515502091578364</v>
      </c>
      <c r="L100" s="18">
        <f t="shared" si="169"/>
        <v>0.23166180418927126</v>
      </c>
      <c r="M100" s="18">
        <f t="shared" si="169"/>
        <v>0.19504347528026428</v>
      </c>
      <c r="N100" s="18">
        <f t="shared" si="169"/>
        <v>0.16421333409940206</v>
      </c>
      <c r="O100" s="18">
        <f t="shared" si="169"/>
        <v>0.13825645311791898</v>
      </c>
      <c r="P100" s="18">
        <f t="shared" si="169"/>
        <v>0.11640252561449534</v>
      </c>
      <c r="Q100" s="18">
        <f t="shared" si="169"/>
        <v>9.8003005746696167E-2</v>
      </c>
      <c r="R100" s="18">
        <f t="shared" si="169"/>
        <v>8.2511862046667883E-2</v>
      </c>
    </row>
    <row r="101" spans="1:18">
      <c r="A101" s="82"/>
    </row>
    <row r="102" spans="1:18">
      <c r="A102" s="7" t="s">
        <v>232</v>
      </c>
      <c r="D102" s="80">
        <f>D87*D100</f>
        <v>-137635.27508143807</v>
      </c>
      <c r="E102" s="80">
        <f t="shared" ref="E102:R102" si="170">E87*E100</f>
        <v>-193132.55996160518</v>
      </c>
      <c r="F102" s="80">
        <f t="shared" si="170"/>
        <v>-63024.494570003953</v>
      </c>
      <c r="G102" s="80">
        <f t="shared" si="170"/>
        <v>11132.952890623579</v>
      </c>
      <c r="H102" s="80">
        <f t="shared" si="170"/>
        <v>10357.214482573989</v>
      </c>
      <c r="I102" s="80">
        <f t="shared" si="170"/>
        <v>9075.3421338575426</v>
      </c>
      <c r="J102" s="80">
        <f t="shared" si="170"/>
        <v>7951.9002472154207</v>
      </c>
      <c r="K102" s="80">
        <f t="shared" si="170"/>
        <v>11858.095093185879</v>
      </c>
      <c r="L102" s="80">
        <f t="shared" si="170"/>
        <v>10390.779589557666</v>
      </c>
      <c r="M102" s="80">
        <f t="shared" si="170"/>
        <v>9104.763978363897</v>
      </c>
      <c r="N102" s="80">
        <f t="shared" si="170"/>
        <v>7977.6891662132793</v>
      </c>
      <c r="O102" s="80">
        <f t="shared" si="170"/>
        <v>6989.9468269442668</v>
      </c>
      <c r="P102" s="80">
        <f t="shared" si="170"/>
        <v>10237.43986632678</v>
      </c>
      <c r="Q102" s="80">
        <f t="shared" si="170"/>
        <v>8883.1578966732359</v>
      </c>
      <c r="R102" s="80">
        <f t="shared" si="170"/>
        <v>7712.1980776021501</v>
      </c>
    </row>
    <row r="103" spans="1:18">
      <c r="A103" s="9" t="s">
        <v>275</v>
      </c>
      <c r="B103" s="17"/>
      <c r="C103" s="34"/>
      <c r="D103" s="85">
        <f>D102</f>
        <v>-137635.27508143807</v>
      </c>
      <c r="E103" s="85">
        <f>D103+E102</f>
        <v>-330767.83504304325</v>
      </c>
      <c r="F103" s="85">
        <f t="shared" ref="F103" si="171">E103+F102</f>
        <v>-393792.32961304719</v>
      </c>
      <c r="G103" s="85">
        <f t="shared" ref="G103" si="172">F103+G102</f>
        <v>-382659.37672242359</v>
      </c>
      <c r="H103" s="85">
        <f t="shared" ref="H103" si="173">G103+H102</f>
        <v>-372302.16223984963</v>
      </c>
      <c r="I103" s="85">
        <f t="shared" ref="I103" si="174">H103+I102</f>
        <v>-363226.82010599208</v>
      </c>
      <c r="J103" s="85">
        <f t="shared" ref="J103" si="175">I103+J102</f>
        <v>-355274.91985877667</v>
      </c>
      <c r="K103" s="85">
        <f t="shared" ref="K103" si="176">J103+K102</f>
        <v>-343416.82476559078</v>
      </c>
      <c r="L103" s="85">
        <f t="shared" ref="L103" si="177">K103+L102</f>
        <v>-333026.04517603311</v>
      </c>
      <c r="M103" s="85">
        <f t="shared" ref="M103" si="178">L103+M102</f>
        <v>-323921.28119766922</v>
      </c>
      <c r="N103" s="85">
        <f t="shared" ref="N103" si="179">M103+N102</f>
        <v>-315943.59203145595</v>
      </c>
      <c r="O103" s="85">
        <f t="shared" ref="O103" si="180">N103+O102</f>
        <v>-308953.6452045117</v>
      </c>
      <c r="P103" s="85">
        <f t="shared" ref="P103" si="181">O103+P102</f>
        <v>-298716.2053381849</v>
      </c>
      <c r="Q103" s="85">
        <f t="shared" ref="Q103" si="182">P103+Q102</f>
        <v>-289833.04744151165</v>
      </c>
      <c r="R103" s="85">
        <f t="shared" ref="R103" si="183">Q103+R102</f>
        <v>-282120.84936390951</v>
      </c>
    </row>
    <row r="104" spans="1:18">
      <c r="A104" s="7" t="s">
        <v>227</v>
      </c>
      <c r="C104" s="6" t="s">
        <v>278</v>
      </c>
      <c r="D104" s="70" t="str">
        <f>IFERROR(IF((D103/C103)&lt;0,D$1,0),"")</f>
        <v/>
      </c>
      <c r="E104" s="80">
        <f t="shared" ref="E104" si="184">IFERROR(IF((E103/D103)&lt;0,E$1,0),"")</f>
        <v>0</v>
      </c>
      <c r="F104" s="80">
        <f t="shared" ref="F104" si="185">IFERROR(IF((F103/E103)&lt;0,F$1,0),"")</f>
        <v>0</v>
      </c>
      <c r="G104" s="80">
        <f t="shared" ref="G104" si="186">IFERROR(IF((G103/F103)&lt;0,G$1,0),"")</f>
        <v>0</v>
      </c>
      <c r="H104" s="80">
        <f t="shared" ref="H104" si="187">IFERROR(IF((H103/G103)&lt;0,H$1,0),"")</f>
        <v>0</v>
      </c>
      <c r="I104" s="80">
        <f t="shared" ref="I104" si="188">IFERROR(IF((I103/H103)&lt;0,I$1,0),"")</f>
        <v>0</v>
      </c>
      <c r="J104" s="80">
        <f t="shared" ref="J104" si="189">IFERROR(IF((J103/I103)&lt;0,J$1,0),"")</f>
        <v>0</v>
      </c>
      <c r="K104" s="80">
        <f t="shared" ref="K104" si="190">IFERROR(IF((K103/J103)&lt;0,K$1,0),"")</f>
        <v>0</v>
      </c>
      <c r="L104" s="80">
        <f t="shared" ref="L104" si="191">IFERROR(IF((L103/K103)&lt;0,L$1,0),"")</f>
        <v>0</v>
      </c>
      <c r="M104" s="80">
        <f t="shared" ref="M104" si="192">IFERROR(IF((M103/L103)&lt;0,M$1,0),"")</f>
        <v>0</v>
      </c>
      <c r="N104" s="80">
        <f t="shared" ref="N104" si="193">IFERROR(IF((N103/M103)&lt;0,N$1,0),"")</f>
        <v>0</v>
      </c>
      <c r="O104" s="80">
        <f t="shared" ref="O104" si="194">IFERROR(IF((O103/N103)&lt;0,O$1,0),"")</f>
        <v>0</v>
      </c>
      <c r="P104" s="80">
        <f t="shared" ref="P104" si="195">IFERROR(IF((P103/O103)&lt;0,P$1,0),"")</f>
        <v>0</v>
      </c>
      <c r="Q104" s="80">
        <f t="shared" ref="Q104" si="196">IFERROR(IF((Q103/P103)&lt;0,Q$1,0),"")</f>
        <v>0</v>
      </c>
      <c r="R104" s="80">
        <f t="shared" ref="R104" si="197">IFERROR(IF((R103/Q103)&lt;0,R$1,0),"")</f>
        <v>0</v>
      </c>
    </row>
    <row r="105" spans="1:18">
      <c r="A105" s="7" t="s">
        <v>228</v>
      </c>
      <c r="C105" s="6" t="s">
        <v>278</v>
      </c>
      <c r="D105" s="1" t="str">
        <f>IFERROR(IF(D104&gt;0,(1-D103/D102)+D104-$D$1,0),"")</f>
        <v/>
      </c>
      <c r="E105" s="79">
        <f>IFERROR(IF(E104&gt;0,(1-E103/E102)+E104-$D$1,0),"")</f>
        <v>0</v>
      </c>
      <c r="F105" s="79">
        <f t="shared" ref="F105" si="198">IFERROR(IF(F104&gt;0,(1-F103/F102)+F104-$D$1,0),"")</f>
        <v>0</v>
      </c>
      <c r="G105" s="79">
        <f t="shared" ref="G105" si="199">IFERROR(IF(G104&gt;0,(1-G103/G102)+G104-$D$1,0),"")</f>
        <v>0</v>
      </c>
      <c r="H105" s="79">
        <f t="shared" ref="H105" si="200">IFERROR(IF(H104&gt;0,(1-H103/H102)+H104-$D$1,0),"")</f>
        <v>0</v>
      </c>
      <c r="I105" s="79">
        <f t="shared" ref="I105" si="201">IFERROR(IF(I104&gt;0,(1-I103/I102)+I104-$D$1,0),"")</f>
        <v>0</v>
      </c>
      <c r="J105" s="79">
        <f t="shared" ref="J105" si="202">IFERROR(IF(J104&gt;0,(1-J103/J102)+J104-$D$1,0),"")</f>
        <v>0</v>
      </c>
      <c r="K105" s="79">
        <f t="shared" ref="K105" si="203">IFERROR(IF(K104&gt;0,(1-K103/K102)+K104-$D$1,0),"")</f>
        <v>0</v>
      </c>
      <c r="L105" s="79">
        <f t="shared" ref="L105" si="204">IFERROR(IF(L104&gt;0,(1-L103/L102)+L104-$D$1,0),"")</f>
        <v>0</v>
      </c>
      <c r="M105" s="79">
        <f t="shared" ref="M105" si="205">IFERROR(IF(M104&gt;0,(1-M103/M102)+M104-$D$1,0),"")</f>
        <v>0</v>
      </c>
      <c r="N105" s="79">
        <f t="shared" ref="N105" si="206">IFERROR(IF(N104&gt;0,(1-N103/N102)+N104-$D$1,0),"")</f>
        <v>0</v>
      </c>
      <c r="O105" s="79">
        <f t="shared" ref="O105" si="207">IFERROR(IF(O104&gt;0,(1-O103/O102)+O104-$D$1,0),"")</f>
        <v>0</v>
      </c>
      <c r="P105" s="79">
        <f t="shared" ref="P105" si="208">IFERROR(IF(P104&gt;0,(1-P103/P102)+P104-$D$1,0),"")</f>
        <v>0</v>
      </c>
      <c r="Q105" s="79">
        <f t="shared" ref="Q105" si="209">IFERROR(IF(Q104&gt;0,(1-Q103/Q102)+Q104-$D$1,0),"")</f>
        <v>0</v>
      </c>
      <c r="R105" s="79">
        <f t="shared" ref="R105" si="210">IFERROR(IF(R104&gt;0,(1-R103/R102)+R104-$D$1,0),"")</f>
        <v>0</v>
      </c>
    </row>
    <row r="106" spans="1:18">
      <c r="A106" s="7"/>
    </row>
    <row r="107" spans="1:18">
      <c r="A107" s="74" t="s">
        <v>234</v>
      </c>
      <c r="B107" s="18">
        <f>SUM(D102:R102)</f>
        <v>-282120.84936390951</v>
      </c>
    </row>
    <row r="108" spans="1:18">
      <c r="A108" s="74" t="s">
        <v>235</v>
      </c>
      <c r="B108" s="28">
        <f>IRR(D87:R87)</f>
        <v>2.00199286012952E-2</v>
      </c>
    </row>
    <row r="109" spans="1:18">
      <c r="A109" s="15" t="s">
        <v>236</v>
      </c>
      <c r="B109" s="28">
        <f>MIRR(D87:R87,B98,Предпоссылки!$B$36)</f>
        <v>8.8926859338784636E-2</v>
      </c>
    </row>
    <row r="110" spans="1:18">
      <c r="A110" s="74" t="s">
        <v>276</v>
      </c>
      <c r="B110" s="88">
        <f>SUM(D88:R88)/-SUM(D92:R92)</f>
        <v>1.1988692174337365</v>
      </c>
    </row>
    <row r="111" spans="1:18" ht="27">
      <c r="A111" s="83" t="s">
        <v>277</v>
      </c>
      <c r="B111" s="88">
        <f>B107/SUM(D92:R92)</f>
        <v>0.56424169872781904</v>
      </c>
    </row>
    <row r="112" spans="1:18">
      <c r="A112" s="74" t="s">
        <v>238</v>
      </c>
      <c r="B112" s="88">
        <f>SUM(D96:R96)</f>
        <v>14.011933717826651</v>
      </c>
    </row>
    <row r="113" spans="1:18">
      <c r="A113" s="74" t="s">
        <v>239</v>
      </c>
      <c r="B113" s="88">
        <f>SUM(D105:R105)</f>
        <v>0</v>
      </c>
    </row>
    <row r="115" spans="1:18">
      <c r="A115" s="43" t="s">
        <v>294</v>
      </c>
      <c r="B115" s="44"/>
      <c r="C115" s="44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6"/>
    </row>
    <row r="116" spans="1:18">
      <c r="A116" s="74" t="s">
        <v>269</v>
      </c>
      <c r="D116" s="55">
        <f>D117+D119</f>
        <v>0</v>
      </c>
      <c r="E116" s="55">
        <f t="shared" ref="E116:R116" si="211">E117+E119</f>
        <v>0</v>
      </c>
      <c r="F116" s="55">
        <f t="shared" si="211"/>
        <v>2537.6207292656622</v>
      </c>
      <c r="G116" s="55">
        <f t="shared" si="211"/>
        <v>5011.953809018315</v>
      </c>
      <c r="H116" s="55">
        <f t="shared" si="211"/>
        <v>5489.3811615474824</v>
      </c>
      <c r="I116" s="55">
        <f t="shared" si="211"/>
        <v>5708.9564080093824</v>
      </c>
      <c r="J116" s="55">
        <f t="shared" si="211"/>
        <v>5937.3146643297578</v>
      </c>
      <c r="K116" s="55">
        <f t="shared" si="211"/>
        <v>6174.8072509029471</v>
      </c>
      <c r="L116" s="55">
        <f t="shared" si="211"/>
        <v>6421.7995409390669</v>
      </c>
      <c r="M116" s="55">
        <f t="shared" si="211"/>
        <v>6678.6715225766293</v>
      </c>
      <c r="N116" s="55">
        <f t="shared" si="211"/>
        <v>6945.8183834796946</v>
      </c>
      <c r="O116" s="55">
        <f t="shared" si="211"/>
        <v>7223.6511188188806</v>
      </c>
      <c r="P116" s="55">
        <f t="shared" si="211"/>
        <v>7512.5971635716369</v>
      </c>
      <c r="Q116" s="55">
        <f t="shared" si="211"/>
        <v>7813.1010501145038</v>
      </c>
      <c r="R116" s="55">
        <f t="shared" si="211"/>
        <v>8125.6250921190822</v>
      </c>
    </row>
    <row r="117" spans="1:18">
      <c r="A117" s="75" t="s">
        <v>270</v>
      </c>
      <c r="D117" s="18">
        <f>D118</f>
        <v>0</v>
      </c>
      <c r="E117" s="18">
        <f t="shared" ref="E117:R117" si="212">E118</f>
        <v>0</v>
      </c>
      <c r="F117" s="18">
        <f t="shared" si="212"/>
        <v>2537.6207292656622</v>
      </c>
      <c r="G117" s="18">
        <f t="shared" si="212"/>
        <v>5011.953809018315</v>
      </c>
      <c r="H117" s="18">
        <f t="shared" si="212"/>
        <v>5489.3811615474824</v>
      </c>
      <c r="I117" s="18">
        <f t="shared" si="212"/>
        <v>5708.9564080093824</v>
      </c>
      <c r="J117" s="18">
        <f t="shared" si="212"/>
        <v>5937.3146643297578</v>
      </c>
      <c r="K117" s="18">
        <f t="shared" si="212"/>
        <v>6174.8072509029471</v>
      </c>
      <c r="L117" s="18">
        <f t="shared" si="212"/>
        <v>6421.7995409390669</v>
      </c>
      <c r="M117" s="18">
        <f t="shared" si="212"/>
        <v>6678.6715225766293</v>
      </c>
      <c r="N117" s="18">
        <f t="shared" si="212"/>
        <v>6945.8183834796946</v>
      </c>
      <c r="O117" s="18">
        <f t="shared" si="212"/>
        <v>7223.6511188188806</v>
      </c>
      <c r="P117" s="18">
        <f t="shared" si="212"/>
        <v>7512.5971635716369</v>
      </c>
      <c r="Q117" s="18">
        <f t="shared" si="212"/>
        <v>7813.1010501145038</v>
      </c>
      <c r="R117" s="18">
        <f t="shared" si="212"/>
        <v>8125.6250921190822</v>
      </c>
    </row>
    <row r="118" spans="1:18">
      <c r="A118" s="15" t="s">
        <v>75</v>
      </c>
      <c r="D118" s="18">
        <f>D37*Предпоссылки!D57</f>
        <v>0</v>
      </c>
      <c r="E118" s="18">
        <f>E37*Предпоссылки!E57</f>
        <v>0</v>
      </c>
      <c r="F118" s="18">
        <f>F37*Предпоссылки!F57</f>
        <v>2537.6207292656622</v>
      </c>
      <c r="G118" s="18">
        <f>G37*Предпоссылки!G57</f>
        <v>5011.953809018315</v>
      </c>
      <c r="H118" s="18">
        <f>H37*Предпоссылки!H57</f>
        <v>5489.3811615474824</v>
      </c>
      <c r="I118" s="18">
        <f>I37*Предпоссылки!I57</f>
        <v>5708.9564080093824</v>
      </c>
      <c r="J118" s="18">
        <f>J37*Предпоссылки!J57</f>
        <v>5937.3146643297578</v>
      </c>
      <c r="K118" s="18">
        <f>K37*Предпоссылки!K57</f>
        <v>6174.8072509029471</v>
      </c>
      <c r="L118" s="18">
        <f>L37*Предпоссылки!L57</f>
        <v>6421.7995409390669</v>
      </c>
      <c r="M118" s="18">
        <f>M37*Предпоссылки!M57</f>
        <v>6678.6715225766293</v>
      </c>
      <c r="N118" s="18">
        <f>N37*Предпоссылки!N57</f>
        <v>6945.8183834796946</v>
      </c>
      <c r="O118" s="18">
        <f>O37*Предпоссылки!O57</f>
        <v>7223.6511188188806</v>
      </c>
      <c r="P118" s="18">
        <f>P37*Предпоссылки!P57</f>
        <v>7512.5971635716369</v>
      </c>
      <c r="Q118" s="18">
        <f>Q37*Предпоссылки!Q57</f>
        <v>7813.1010501145038</v>
      </c>
      <c r="R118" s="18">
        <f>R37*Предпоссылки!R57</f>
        <v>8125.6250921190822</v>
      </c>
    </row>
    <row r="119" spans="1:18">
      <c r="A119" s="75" t="s">
        <v>273</v>
      </c>
      <c r="D119" s="18">
        <v>0</v>
      </c>
      <c r="E119" s="18">
        <f>D119</f>
        <v>0</v>
      </c>
      <c r="F119" s="18">
        <f t="shared" ref="F119:R119" si="213">E119</f>
        <v>0</v>
      </c>
      <c r="G119" s="18">
        <f t="shared" si="213"/>
        <v>0</v>
      </c>
      <c r="H119" s="18">
        <f t="shared" si="213"/>
        <v>0</v>
      </c>
      <c r="I119" s="18">
        <f t="shared" si="213"/>
        <v>0</v>
      </c>
      <c r="J119" s="18">
        <f t="shared" si="213"/>
        <v>0</v>
      </c>
      <c r="K119" s="18">
        <f t="shared" si="213"/>
        <v>0</v>
      </c>
      <c r="L119" s="18">
        <f t="shared" si="213"/>
        <v>0</v>
      </c>
      <c r="M119" s="18">
        <f t="shared" si="213"/>
        <v>0</v>
      </c>
      <c r="N119" s="18">
        <f t="shared" si="213"/>
        <v>0</v>
      </c>
      <c r="O119" s="18">
        <f t="shared" si="213"/>
        <v>0</v>
      </c>
      <c r="P119" s="18">
        <f t="shared" si="213"/>
        <v>0</v>
      </c>
      <c r="Q119" s="18">
        <f t="shared" si="213"/>
        <v>0</v>
      </c>
      <c r="R119" s="18">
        <f t="shared" si="213"/>
        <v>0</v>
      </c>
    </row>
    <row r="120" spans="1:18">
      <c r="A120" s="9" t="s">
        <v>274</v>
      </c>
      <c r="B120" s="17"/>
      <c r="C120" s="34"/>
      <c r="D120" s="10">
        <f>D116</f>
        <v>0</v>
      </c>
      <c r="E120" s="10">
        <f>D120+E116</f>
        <v>0</v>
      </c>
      <c r="F120" s="10">
        <f t="shared" ref="F120:R120" si="214">E120+F116</f>
        <v>2537.6207292656622</v>
      </c>
      <c r="G120" s="10">
        <f t="shared" si="214"/>
        <v>7549.5745382839777</v>
      </c>
      <c r="H120" s="10">
        <f t="shared" si="214"/>
        <v>13038.95569983146</v>
      </c>
      <c r="I120" s="10">
        <f t="shared" si="214"/>
        <v>18747.912107840843</v>
      </c>
      <c r="J120" s="10">
        <f t="shared" si="214"/>
        <v>24685.226772170601</v>
      </c>
      <c r="K120" s="10">
        <f t="shared" si="214"/>
        <v>30860.034023073549</v>
      </c>
      <c r="L120" s="10">
        <f t="shared" si="214"/>
        <v>37281.833564012617</v>
      </c>
      <c r="M120" s="10">
        <f t="shared" si="214"/>
        <v>43960.505086589248</v>
      </c>
      <c r="N120" s="10">
        <f t="shared" si="214"/>
        <v>50906.323470068943</v>
      </c>
      <c r="O120" s="10">
        <f t="shared" si="214"/>
        <v>58129.974588887824</v>
      </c>
      <c r="P120" s="10">
        <f t="shared" si="214"/>
        <v>65642.571752459466</v>
      </c>
      <c r="Q120" s="10">
        <f t="shared" si="214"/>
        <v>73455.672802573972</v>
      </c>
      <c r="R120" s="10">
        <f t="shared" si="214"/>
        <v>81581.297894693053</v>
      </c>
    </row>
    <row r="121" spans="1:18">
      <c r="A121" s="75" t="s">
        <v>227</v>
      </c>
      <c r="C121" s="6" t="s">
        <v>295</v>
      </c>
      <c r="D121" s="70" t="str">
        <f>IFERROR(IF((D120/C120)&lt;0,D$1,0),"")</f>
        <v/>
      </c>
      <c r="E121" s="80" t="str">
        <f t="shared" ref="E121" si="215">IFERROR(IF((E120/D120)&lt;0,E$1,0),"")</f>
        <v/>
      </c>
      <c r="F121" s="80" t="str">
        <f t="shared" ref="F121" si="216">IFERROR(IF((F120/E120)&lt;0,F$1,0),"")</f>
        <v/>
      </c>
      <c r="G121" s="80">
        <f t="shared" ref="G121" si="217">IFERROR(IF((G120/F120)&lt;0,G$1,0),"")</f>
        <v>0</v>
      </c>
      <c r="H121" s="80">
        <f t="shared" ref="H121" si="218">IFERROR(IF((H120/G120)&lt;0,H$1,0),"")</f>
        <v>0</v>
      </c>
      <c r="I121" s="80">
        <f t="shared" ref="I121" si="219">IFERROR(IF((I120/H120)&lt;0,I$1,0),"")</f>
        <v>0</v>
      </c>
      <c r="J121" s="80">
        <f t="shared" ref="J121" si="220">IFERROR(IF((J120/I120)&lt;0,J$1,0),"")</f>
        <v>0</v>
      </c>
      <c r="K121" s="80">
        <f t="shared" ref="K121" si="221">IFERROR(IF((K120/J120)&lt;0,K$1,0),"")</f>
        <v>0</v>
      </c>
      <c r="L121" s="80">
        <f t="shared" ref="L121" si="222">IFERROR(IF((L120/K120)&lt;0,L$1,0),"")</f>
        <v>0</v>
      </c>
      <c r="M121" s="80">
        <f t="shared" ref="M121" si="223">IFERROR(IF((M120/L120)&lt;0,M$1,0),"")</f>
        <v>0</v>
      </c>
      <c r="N121" s="80">
        <f t="shared" ref="N121" si="224">IFERROR(IF((N120/M120)&lt;0,N$1,0),"")</f>
        <v>0</v>
      </c>
      <c r="O121" s="80">
        <f t="shared" ref="O121" si="225">IFERROR(IF((O120/N120)&lt;0,O$1,0),"")</f>
        <v>0</v>
      </c>
      <c r="P121" s="80">
        <f t="shared" ref="P121" si="226">IFERROR(IF((P120/O120)&lt;0,P$1,0),"")</f>
        <v>0</v>
      </c>
      <c r="Q121" s="80">
        <f t="shared" ref="Q121" si="227">IFERROR(IF((Q120/P120)&lt;0,Q$1,0),"")</f>
        <v>0</v>
      </c>
      <c r="R121" s="80">
        <f t="shared" ref="R121" si="228">IFERROR(IF((R120/Q120)&lt;0,R$1,0),"")</f>
        <v>0</v>
      </c>
    </row>
    <row r="122" spans="1:18">
      <c r="A122" s="75" t="s">
        <v>228</v>
      </c>
      <c r="C122" s="6" t="s">
        <v>132</v>
      </c>
      <c r="D122" s="1" t="str">
        <f>IFERROR(IF(D121&gt;0,(1-D120/D119)+D121-$D$1,0),"")</f>
        <v/>
      </c>
      <c r="E122" s="79" t="str">
        <f>IFERROR(IF(E121&gt;0,(1-E120/E119)+E121-$D$1,0),"")</f>
        <v/>
      </c>
      <c r="F122" s="79" t="str">
        <f t="shared" ref="F122" si="229">IFERROR(IF(F121&gt;0,(1-F120/F119)+F121-$D$1,0),"")</f>
        <v/>
      </c>
      <c r="G122" s="79">
        <f t="shared" ref="G122" si="230">IFERROR(IF(G121&gt;0,(1-G120/G119)+G121-$D$1,0),"")</f>
        <v>0</v>
      </c>
      <c r="H122" s="79">
        <f t="shared" ref="H122" si="231">IFERROR(IF(H121&gt;0,(1-H120/H119)+H121-$D$1,0),"")</f>
        <v>0</v>
      </c>
      <c r="I122" s="79">
        <f t="shared" ref="I122" si="232">IFERROR(IF(I121&gt;0,(1-I120/I119)+I121-$D$1,0),"")</f>
        <v>0</v>
      </c>
      <c r="J122" s="79">
        <f t="shared" ref="J122" si="233">IFERROR(IF(J121&gt;0,(1-J120/J119)+J121-$D$1,0),"")</f>
        <v>0</v>
      </c>
      <c r="K122" s="79">
        <f t="shared" ref="K122" si="234">IFERROR(IF(K121&gt;0,(1-K120/K119)+K121-$D$1,0),"")</f>
        <v>0</v>
      </c>
      <c r="L122" s="79">
        <f t="shared" ref="L122" si="235">IFERROR(IF(L121&gt;0,(1-L120/L119)+L121-$D$1,0),"")</f>
        <v>0</v>
      </c>
      <c r="M122" s="79">
        <f t="shared" ref="M122" si="236">IFERROR(IF(M121&gt;0,(1-M120/M119)+M121-$D$1,0),"")</f>
        <v>0</v>
      </c>
      <c r="N122" s="79">
        <f t="shared" ref="N122" si="237">IFERROR(IF(N121&gt;0,(1-N120/N119)+N121-$D$1,0),"")</f>
        <v>0</v>
      </c>
      <c r="O122" s="79">
        <f t="shared" ref="O122" si="238">IFERROR(IF(O121&gt;0,(1-O120/O119)+O121-$D$1,0),"")</f>
        <v>0</v>
      </c>
      <c r="P122" s="79">
        <f t="shared" ref="P122" si="239">IFERROR(IF(P121&gt;0,(1-P120/P119)+P121-$D$1,0),"")</f>
        <v>0</v>
      </c>
      <c r="Q122" s="79">
        <f t="shared" ref="Q122" si="240">IFERROR(IF(Q121&gt;0,(1-Q120/Q119)+Q121-$D$1,0),"")</f>
        <v>0</v>
      </c>
      <c r="R122" s="79">
        <f t="shared" ref="R122" si="241">IFERROR(IF(R121&gt;0,(1-R120/R119)+R121-$D$1,0),"")</f>
        <v>0</v>
      </c>
    </row>
    <row r="123" spans="1:18">
      <c r="A123" s="75"/>
    </row>
    <row r="124" spans="1:18">
      <c r="A124" s="75" t="s">
        <v>229</v>
      </c>
      <c r="B124" s="28">
        <f>Предпоссылки!$B$33</f>
        <v>0.18774444444444444</v>
      </c>
      <c r="C124" s="6" t="s">
        <v>7</v>
      </c>
    </row>
    <row r="125" spans="1:18">
      <c r="A125" s="75" t="s">
        <v>230</v>
      </c>
      <c r="C125" s="6" t="s">
        <v>278</v>
      </c>
      <c r="D125" s="79">
        <v>0.5</v>
      </c>
      <c r="E125" s="79">
        <v>1.5</v>
      </c>
      <c r="F125" s="79">
        <v>2.5</v>
      </c>
      <c r="G125" s="79">
        <v>3.5</v>
      </c>
      <c r="H125" s="79">
        <v>4.5</v>
      </c>
      <c r="I125" s="79">
        <v>5.5</v>
      </c>
      <c r="J125" s="79">
        <v>6.5</v>
      </c>
      <c r="K125" s="79">
        <v>7.5</v>
      </c>
      <c r="L125" s="79">
        <v>8.5</v>
      </c>
      <c r="M125" s="79">
        <v>9.5</v>
      </c>
      <c r="N125" s="79">
        <v>10.5</v>
      </c>
      <c r="O125" s="79">
        <v>11.5</v>
      </c>
      <c r="P125" s="79">
        <v>12.5</v>
      </c>
      <c r="Q125" s="79">
        <v>13.5</v>
      </c>
      <c r="R125" s="79">
        <v>14.5</v>
      </c>
    </row>
    <row r="126" spans="1:18">
      <c r="A126" s="75" t="s">
        <v>231</v>
      </c>
      <c r="C126" s="6" t="s">
        <v>278</v>
      </c>
      <c r="D126" s="18">
        <f>1/(1+$B$13)^D125</f>
        <v>0.91756850054292038</v>
      </c>
      <c r="E126" s="18">
        <f t="shared" ref="E126:R126" si="242">1/(1+$B$13)^E125</f>
        <v>0.77253023984642066</v>
      </c>
      <c r="F126" s="18">
        <f t="shared" si="242"/>
        <v>0.65041789373114178</v>
      </c>
      <c r="G126" s="18">
        <f t="shared" si="242"/>
        <v>0.54760760765786465</v>
      </c>
      <c r="H126" s="18">
        <f t="shared" si="242"/>
        <v>0.4610483426963134</v>
      </c>
      <c r="I126" s="18">
        <f t="shared" si="242"/>
        <v>0.38817133168066648</v>
      </c>
      <c r="J126" s="18">
        <f t="shared" si="242"/>
        <v>0.32681384745371689</v>
      </c>
      <c r="K126" s="18">
        <f t="shared" si="242"/>
        <v>0.27515502091578364</v>
      </c>
      <c r="L126" s="18">
        <f t="shared" si="242"/>
        <v>0.23166180418927126</v>
      </c>
      <c r="M126" s="18">
        <f t="shared" si="242"/>
        <v>0.19504347528026428</v>
      </c>
      <c r="N126" s="18">
        <f t="shared" si="242"/>
        <v>0.16421333409940206</v>
      </c>
      <c r="O126" s="18">
        <f t="shared" si="242"/>
        <v>0.13825645311791898</v>
      </c>
      <c r="P126" s="18">
        <f t="shared" si="242"/>
        <v>0.11640252561449534</v>
      </c>
      <c r="Q126" s="18">
        <f t="shared" si="242"/>
        <v>9.8003005746696167E-2</v>
      </c>
      <c r="R126" s="18">
        <f t="shared" si="242"/>
        <v>8.2511862046667883E-2</v>
      </c>
    </row>
    <row r="127" spans="1:18">
      <c r="A127" s="75"/>
    </row>
    <row r="128" spans="1:18">
      <c r="A128" s="75" t="s">
        <v>232</v>
      </c>
      <c r="D128" s="18">
        <f>D116*D126</f>
        <v>0</v>
      </c>
      <c r="E128" s="18">
        <f t="shared" ref="E128:R128" si="243">E116*E126</f>
        <v>0</v>
      </c>
      <c r="F128" s="18">
        <f t="shared" si="243"/>
        <v>1650.5139298174561</v>
      </c>
      <c r="G128" s="18">
        <f t="shared" si="243"/>
        <v>2744.5840350482417</v>
      </c>
      <c r="H128" s="18">
        <f t="shared" si="243"/>
        <v>2530.8700869598306</v>
      </c>
      <c r="I128" s="18">
        <f t="shared" si="243"/>
        <v>2216.053211403876</v>
      </c>
      <c r="J128" s="18">
        <f t="shared" si="243"/>
        <v>1940.3966489929817</v>
      </c>
      <c r="K128" s="18">
        <f t="shared" si="243"/>
        <v>1699.029218273133</v>
      </c>
      <c r="L128" s="18">
        <f t="shared" si="243"/>
        <v>1487.6856677957783</v>
      </c>
      <c r="M128" s="18">
        <f t="shared" si="243"/>
        <v>1302.6313040186799</v>
      </c>
      <c r="N128" s="18">
        <f t="shared" si="243"/>
        <v>1140.5959948001198</v>
      </c>
      <c r="O128" s="18">
        <f t="shared" si="243"/>
        <v>998.71638224918559</v>
      </c>
      <c r="P128" s="18">
        <f t="shared" si="243"/>
        <v>874.48528376403249</v>
      </c>
      <c r="Q128" s="18">
        <f t="shared" si="243"/>
        <v>765.70738711388958</v>
      </c>
      <c r="R128" s="18">
        <f t="shared" si="243"/>
        <v>670.4604566438727</v>
      </c>
    </row>
    <row r="129" spans="1:18">
      <c r="A129" s="9" t="s">
        <v>275</v>
      </c>
      <c r="B129" s="17"/>
      <c r="C129" s="34"/>
      <c r="D129" s="10">
        <f>D128</f>
        <v>0</v>
      </c>
      <c r="E129" s="10">
        <f>D129+E128</f>
        <v>0</v>
      </c>
      <c r="F129" s="10">
        <f t="shared" ref="F129:R129" si="244">E129+F128</f>
        <v>1650.5139298174561</v>
      </c>
      <c r="G129" s="10">
        <f t="shared" si="244"/>
        <v>4395.0979648656976</v>
      </c>
      <c r="H129" s="10">
        <f t="shared" si="244"/>
        <v>6925.9680518255282</v>
      </c>
      <c r="I129" s="10">
        <f t="shared" si="244"/>
        <v>9142.0212632294042</v>
      </c>
      <c r="J129" s="10">
        <f t="shared" si="244"/>
        <v>11082.417912222387</v>
      </c>
      <c r="K129" s="10">
        <f t="shared" si="244"/>
        <v>12781.44713049552</v>
      </c>
      <c r="L129" s="10">
        <f t="shared" si="244"/>
        <v>14269.132798291299</v>
      </c>
      <c r="M129" s="10">
        <f t="shared" si="244"/>
        <v>15571.764102309979</v>
      </c>
      <c r="N129" s="10">
        <f t="shared" si="244"/>
        <v>16712.360097110097</v>
      </c>
      <c r="O129" s="10">
        <f t="shared" si="244"/>
        <v>17711.076479359283</v>
      </c>
      <c r="P129" s="10">
        <f t="shared" si="244"/>
        <v>18585.561763123314</v>
      </c>
      <c r="Q129" s="10">
        <f t="shared" si="244"/>
        <v>19351.269150237204</v>
      </c>
      <c r="R129" s="10">
        <f t="shared" si="244"/>
        <v>20021.729606881076</v>
      </c>
    </row>
    <row r="130" spans="1:18">
      <c r="A130" s="75" t="s">
        <v>227</v>
      </c>
      <c r="C130" s="6" t="s">
        <v>278</v>
      </c>
      <c r="D130" s="70" t="str">
        <f>IFERROR(IF((D129/C129)&lt;0,D$1,0),"")</f>
        <v/>
      </c>
      <c r="E130" s="80" t="str">
        <f t="shared" ref="E130" si="245">IFERROR(IF((E129/D129)&lt;0,E$1,0),"")</f>
        <v/>
      </c>
      <c r="F130" s="80" t="str">
        <f t="shared" ref="F130" si="246">IFERROR(IF((F129/E129)&lt;0,F$1,0),"")</f>
        <v/>
      </c>
      <c r="G130" s="80">
        <f t="shared" ref="G130" si="247">IFERROR(IF((G129/F129)&lt;0,G$1,0),"")</f>
        <v>0</v>
      </c>
      <c r="H130" s="80">
        <f t="shared" ref="H130" si="248">IFERROR(IF((H129/G129)&lt;0,H$1,0),"")</f>
        <v>0</v>
      </c>
      <c r="I130" s="80">
        <f t="shared" ref="I130" si="249">IFERROR(IF((I129/H129)&lt;0,I$1,0),"")</f>
        <v>0</v>
      </c>
      <c r="J130" s="80">
        <f t="shared" ref="J130" si="250">IFERROR(IF((J129/I129)&lt;0,J$1,0),"")</f>
        <v>0</v>
      </c>
      <c r="K130" s="80">
        <f t="shared" ref="K130" si="251">IFERROR(IF((K129/J129)&lt;0,K$1,0),"")</f>
        <v>0</v>
      </c>
      <c r="L130" s="80">
        <f t="shared" ref="L130" si="252">IFERROR(IF((L129/K129)&lt;0,L$1,0),"")</f>
        <v>0</v>
      </c>
      <c r="M130" s="80">
        <f t="shared" ref="M130" si="253">IFERROR(IF((M129/L129)&lt;0,M$1,0),"")</f>
        <v>0</v>
      </c>
      <c r="N130" s="80">
        <f t="shared" ref="N130" si="254">IFERROR(IF((N129/M129)&lt;0,N$1,0),"")</f>
        <v>0</v>
      </c>
      <c r="O130" s="80">
        <f t="shared" ref="O130" si="255">IFERROR(IF((O129/N129)&lt;0,O$1,0),"")</f>
        <v>0</v>
      </c>
      <c r="P130" s="80">
        <f t="shared" ref="P130" si="256">IFERROR(IF((P129/O129)&lt;0,P$1,0),"")</f>
        <v>0</v>
      </c>
      <c r="Q130" s="80">
        <f t="shared" ref="Q130" si="257">IFERROR(IF((Q129/P129)&lt;0,Q$1,0),"")</f>
        <v>0</v>
      </c>
      <c r="R130" s="80">
        <f t="shared" ref="R130" si="258">IFERROR(IF((R129/Q129)&lt;0,R$1,0),"")</f>
        <v>0</v>
      </c>
    </row>
    <row r="131" spans="1:18">
      <c r="A131" s="75" t="s">
        <v>228</v>
      </c>
      <c r="C131" s="6" t="s">
        <v>278</v>
      </c>
      <c r="D131" s="1" t="str">
        <f>IFERROR(IF(D130&gt;0,(1-D129/D128)+D130-$D$1,0),"")</f>
        <v/>
      </c>
      <c r="E131" s="79" t="str">
        <f>IFERROR(IF(E130&gt;0,(1-E129/E128)+E130-$D$1,0),"")</f>
        <v/>
      </c>
      <c r="F131" s="79" t="str">
        <f t="shared" ref="F131" si="259">IFERROR(IF(F130&gt;0,(1-F129/F128)+F130-$D$1,0),"")</f>
        <v/>
      </c>
      <c r="G131" s="79">
        <f t="shared" ref="G131" si="260">IFERROR(IF(G130&gt;0,(1-G129/G128)+G130-$D$1,0),"")</f>
        <v>0</v>
      </c>
      <c r="H131" s="79">
        <f t="shared" ref="H131" si="261">IFERROR(IF(H130&gt;0,(1-H129/H128)+H130-$D$1,0),"")</f>
        <v>0</v>
      </c>
      <c r="I131" s="79">
        <f t="shared" ref="I131" si="262">IFERROR(IF(I130&gt;0,(1-I129/I128)+I130-$D$1,0),"")</f>
        <v>0</v>
      </c>
      <c r="J131" s="79">
        <f t="shared" ref="J131" si="263">IFERROR(IF(J130&gt;0,(1-J129/J128)+J130-$D$1,0),"")</f>
        <v>0</v>
      </c>
      <c r="K131" s="79">
        <f t="shared" ref="K131" si="264">IFERROR(IF(K130&gt;0,(1-K129/K128)+K130-$D$1,0),"")</f>
        <v>0</v>
      </c>
      <c r="L131" s="79">
        <f t="shared" ref="L131" si="265">IFERROR(IF(L130&gt;0,(1-L129/L128)+L130-$D$1,0),"")</f>
        <v>0</v>
      </c>
      <c r="M131" s="79">
        <f t="shared" ref="M131" si="266">IFERROR(IF(M130&gt;0,(1-M129/M128)+M130-$D$1,0),"")</f>
        <v>0</v>
      </c>
      <c r="N131" s="79">
        <f t="shared" ref="N131" si="267">IFERROR(IF(N130&gt;0,(1-N129/N128)+N130-$D$1,0),"")</f>
        <v>0</v>
      </c>
      <c r="O131" s="79">
        <f t="shared" ref="O131" si="268">IFERROR(IF(O130&gt;0,(1-O129/O128)+O130-$D$1,0),"")</f>
        <v>0</v>
      </c>
      <c r="P131" s="79">
        <f t="shared" ref="P131" si="269">IFERROR(IF(P130&gt;0,(1-P129/P128)+P130-$D$1,0),"")</f>
        <v>0</v>
      </c>
      <c r="Q131" s="79">
        <f t="shared" ref="Q131" si="270">IFERROR(IF(Q130&gt;0,(1-Q129/Q128)+Q130-$D$1,0),"")</f>
        <v>0</v>
      </c>
      <c r="R131" s="79">
        <f t="shared" ref="R131" si="271">IFERROR(IF(R130&gt;0,(1-R129/R128)+R130-$D$1,0),"")</f>
        <v>0</v>
      </c>
    </row>
    <row r="132" spans="1:18">
      <c r="A132" s="75"/>
    </row>
    <row r="133" spans="1:18">
      <c r="A133" s="75"/>
    </row>
    <row r="134" spans="1:18">
      <c r="A134" s="74" t="s">
        <v>234</v>
      </c>
      <c r="B134" s="18">
        <f>SUM(D128:R128)</f>
        <v>20021.729606881076</v>
      </c>
    </row>
    <row r="135" spans="1:18">
      <c r="A135" s="74" t="s">
        <v>235</v>
      </c>
      <c r="B135" s="89" t="s">
        <v>290</v>
      </c>
    </row>
    <row r="136" spans="1:18">
      <c r="A136" s="15" t="s">
        <v>236</v>
      </c>
      <c r="B136" s="89" t="s">
        <v>290</v>
      </c>
    </row>
    <row r="137" spans="1:18">
      <c r="A137" s="74" t="s">
        <v>276</v>
      </c>
      <c r="B137" s="89" t="s">
        <v>290</v>
      </c>
    </row>
    <row r="138" spans="1:18" ht="27">
      <c r="A138" s="83" t="s">
        <v>277</v>
      </c>
      <c r="B138" s="89" t="s">
        <v>290</v>
      </c>
    </row>
    <row r="139" spans="1:18">
      <c r="A139" s="74" t="s">
        <v>238</v>
      </c>
      <c r="B139" s="89" t="s">
        <v>290</v>
      </c>
    </row>
    <row r="140" spans="1:18">
      <c r="A140" s="74" t="s">
        <v>239</v>
      </c>
      <c r="B140" s="89" t="s">
        <v>290</v>
      </c>
      <c r="L140" s="129"/>
    </row>
    <row r="142" spans="1:18">
      <c r="F142" s="100"/>
    </row>
    <row r="144" spans="1:18">
      <c r="A144" s="43" t="s">
        <v>313</v>
      </c>
      <c r="B144" s="44"/>
      <c r="C144" s="44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6"/>
    </row>
    <row r="145" spans="1:18">
      <c r="A145" s="104" t="s">
        <v>320</v>
      </c>
      <c r="C145" s="6" t="s">
        <v>60</v>
      </c>
      <c r="D145" s="18">
        <f t="shared" ref="D145:R145" si="272">D31</f>
        <v>-150000</v>
      </c>
      <c r="E145" s="18">
        <f t="shared" si="272"/>
        <v>-250000</v>
      </c>
      <c r="F145" s="18">
        <f t="shared" si="272"/>
        <v>-86792.549922897277</v>
      </c>
      <c r="G145" s="18">
        <f t="shared" si="272"/>
        <v>107108.2846426584</v>
      </c>
      <c r="H145" s="18">
        <f t="shared" si="272"/>
        <v>118299.76095523642</v>
      </c>
      <c r="I145" s="18">
        <f t="shared" si="272"/>
        <v>123115.0847267791</v>
      </c>
      <c r="J145" s="18">
        <f t="shared" si="272"/>
        <v>128123.02144918365</v>
      </c>
      <c r="K145" s="18">
        <f t="shared" si="272"/>
        <v>175990.15408879606</v>
      </c>
      <c r="L145" s="18">
        <f t="shared" si="272"/>
        <v>183153.09358568132</v>
      </c>
      <c r="M145" s="18">
        <f t="shared" si="272"/>
        <v>190602.55066244199</v>
      </c>
      <c r="N145" s="18">
        <f t="shared" si="272"/>
        <v>198349.98602227305</v>
      </c>
      <c r="O145" s="18">
        <f t="shared" si="272"/>
        <v>206407.31879649707</v>
      </c>
      <c r="P145" s="18">
        <f t="shared" si="272"/>
        <v>275788.93658389396</v>
      </c>
      <c r="Q145" s="18">
        <f t="shared" si="272"/>
        <v>286161.1690472496</v>
      </c>
      <c r="R145" s="18">
        <f t="shared" si="272"/>
        <v>296971.39080913959</v>
      </c>
    </row>
    <row r="146" spans="1:18">
      <c r="C146" s="6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</row>
    <row r="147" spans="1:18">
      <c r="A147" s="104" t="s">
        <v>314</v>
      </c>
      <c r="C147" s="6" t="s">
        <v>60</v>
      </c>
      <c r="D147" s="18">
        <f>D148+D154</f>
        <v>-150000</v>
      </c>
      <c r="E147" s="18">
        <f t="shared" ref="E147:R147" si="273">E148+E154</f>
        <v>-250000</v>
      </c>
      <c r="F147" s="18">
        <f t="shared" si="273"/>
        <v>-69467.842062828218</v>
      </c>
      <c r="G147" s="18">
        <f t="shared" si="273"/>
        <v>189440.9982993798</v>
      </c>
      <c r="H147" s="18">
        <f t="shared" si="273"/>
        <v>207641.48926108802</v>
      </c>
      <c r="I147" s="18">
        <f t="shared" si="273"/>
        <v>215103.02383153146</v>
      </c>
      <c r="J147" s="18">
        <f t="shared" si="273"/>
        <v>222886.11978479277</v>
      </c>
      <c r="K147" s="18">
        <f t="shared" si="273"/>
        <v>231003.63957618433</v>
      </c>
      <c r="L147" s="18">
        <f t="shared" si="273"/>
        <v>239468.96015923179</v>
      </c>
      <c r="M147" s="18">
        <f t="shared" si="273"/>
        <v>248295.99356560112</v>
      </c>
      <c r="N147" s="18">
        <f t="shared" si="273"/>
        <v>257499.20830822518</v>
      </c>
      <c r="O147" s="18">
        <f t="shared" si="273"/>
        <v>267093.65164055402</v>
      </c>
      <c r="P147" s="18">
        <f t="shared" si="273"/>
        <v>275788.93658389396</v>
      </c>
      <c r="Q147" s="18">
        <f t="shared" si="273"/>
        <v>286161.1690472496</v>
      </c>
      <c r="R147" s="18">
        <f t="shared" si="273"/>
        <v>296971.39080913959</v>
      </c>
    </row>
    <row r="148" spans="1:18">
      <c r="A148" s="75" t="s">
        <v>270</v>
      </c>
      <c r="C148" s="6" t="s">
        <v>60</v>
      </c>
      <c r="D148" s="18">
        <f>SUM(D149:D153)</f>
        <v>0</v>
      </c>
      <c r="E148" s="18">
        <f t="shared" ref="E148:R148" si="274">SUM(E149:E153)</f>
        <v>0</v>
      </c>
      <c r="F148" s="18">
        <f t="shared" si="274"/>
        <v>30532.157937171785</v>
      </c>
      <c r="G148" s="18">
        <f t="shared" si="274"/>
        <v>189440.9982993798</v>
      </c>
      <c r="H148" s="18">
        <f t="shared" si="274"/>
        <v>207641.48926108802</v>
      </c>
      <c r="I148" s="18">
        <f t="shared" si="274"/>
        <v>215103.02383153146</v>
      </c>
      <c r="J148" s="18">
        <f t="shared" si="274"/>
        <v>222886.11978479277</v>
      </c>
      <c r="K148" s="18">
        <f t="shared" si="274"/>
        <v>231003.63957618433</v>
      </c>
      <c r="L148" s="18">
        <f t="shared" si="274"/>
        <v>239468.96015923179</v>
      </c>
      <c r="M148" s="18">
        <f t="shared" si="274"/>
        <v>248295.99356560112</v>
      </c>
      <c r="N148" s="18">
        <f t="shared" si="274"/>
        <v>257499.20830822518</v>
      </c>
      <c r="O148" s="18">
        <f t="shared" si="274"/>
        <v>267093.65164055402</v>
      </c>
      <c r="P148" s="18">
        <f t="shared" si="274"/>
        <v>275788.93658389396</v>
      </c>
      <c r="Q148" s="18">
        <f t="shared" si="274"/>
        <v>286161.1690472496</v>
      </c>
      <c r="R148" s="18">
        <f t="shared" si="274"/>
        <v>296971.39080913959</v>
      </c>
    </row>
    <row r="149" spans="1:18">
      <c r="A149" s="15" t="s">
        <v>271</v>
      </c>
      <c r="C149" s="6" t="s">
        <v>60</v>
      </c>
      <c r="D149" s="18">
        <f t="shared" ref="D149:R149" si="275">D33</f>
        <v>0</v>
      </c>
      <c r="E149" s="18">
        <f t="shared" si="275"/>
        <v>0</v>
      </c>
      <c r="F149" s="18">
        <f t="shared" si="275"/>
        <v>4271.5548595176588</v>
      </c>
      <c r="G149" s="18">
        <f t="shared" si="275"/>
        <v>75254.909837441766</v>
      </c>
      <c r="H149" s="18">
        <f t="shared" si="275"/>
        <v>83214.389102137487</v>
      </c>
      <c r="I149" s="18">
        <f t="shared" si="275"/>
        <v>86609.631332889563</v>
      </c>
      <c r="J149" s="18">
        <f t="shared" si="275"/>
        <v>90140.683252871866</v>
      </c>
      <c r="K149" s="18">
        <f t="shared" si="275"/>
        <v>93812.977249653268</v>
      </c>
      <c r="L149" s="18">
        <f t="shared" si="275"/>
        <v>97632.163006306117</v>
      </c>
      <c r="M149" s="18">
        <f t="shared" si="275"/>
        <v>101604.1161932251</v>
      </c>
      <c r="N149" s="18">
        <f t="shared" si="275"/>
        <v>105734.94750762086</v>
      </c>
      <c r="O149" s="18">
        <f t="shared" si="275"/>
        <v>110031.01207459213</v>
      </c>
      <c r="P149" s="18">
        <f t="shared" si="275"/>
        <v>113918.45872545052</v>
      </c>
      <c r="Q149" s="18">
        <f t="shared" si="275"/>
        <v>118541.86374113508</v>
      </c>
      <c r="R149" s="18">
        <f t="shared" si="275"/>
        <v>123350.2049574471</v>
      </c>
    </row>
    <row r="150" spans="1:18">
      <c r="A150" s="15" t="s">
        <v>66</v>
      </c>
      <c r="C150" s="6" t="s">
        <v>60</v>
      </c>
      <c r="D150" s="18">
        <f>'ОПУ-Баланс-ОДДС (без льгот)'!D18</f>
        <v>0</v>
      </c>
      <c r="E150" s="18">
        <f>'ОПУ-Баланс-ОДДС (без льгот)'!E18</f>
        <v>0</v>
      </c>
      <c r="F150" s="18">
        <f>'ОПУ-Баланс-ОДДС (без льгот)'!F18</f>
        <v>0</v>
      </c>
      <c r="G150" s="18">
        <f>'ОПУ-Баланс-ОДДС (без льгот)'!G18</f>
        <v>62517.237256879744</v>
      </c>
      <c r="H150" s="18">
        <f>'ОПУ-Баланс-ОДДС (без льгот)'!H18</f>
        <v>70002.631581369118</v>
      </c>
      <c r="I150" s="18">
        <f>'ОПУ-Баланс-ОДДС (без льгот)'!I18</f>
        <v>73217.445177957212</v>
      </c>
      <c r="J150" s="18">
        <f>'ОПУ-Баланс-ОДДС (без льгот)'!J18</f>
        <v>76553.15131840884</v>
      </c>
      <c r="K150" s="18">
        <f>'ОПУ-Баланс-ОДДС (без льгот)'!K18</f>
        <v>80014.585704478523</v>
      </c>
      <c r="L150" s="18">
        <f>'ОПУ-Баланс-ОДДС (без льгот)'!L18</f>
        <v>83606.777465991006</v>
      </c>
      <c r="M150" s="18">
        <f>'ОПУ-Баланс-ОДДС (без льгот)'!M18</f>
        <v>87334.956897963973</v>
      </c>
      <c r="N150" s="18">
        <f>'ОПУ-Баланс-ОДДС (без льгот)'!N18</f>
        <v>91204.563507215818</v>
      </c>
      <c r="O150" s="18">
        <f>'ОПУ-Баланс-ОДДС (без льгот)'!O18</f>
        <v>95221.25438083781</v>
      </c>
      <c r="P150" s="18">
        <f>'ОПУ-Баланс-ОДДС (без льгот)'!P18</f>
        <v>98665.337265914393</v>
      </c>
      <c r="Q150" s="18">
        <f>'ОПУ-Баланс-ОДДС (без льгот)'!Q18</f>
        <v>102965.05908988434</v>
      </c>
      <c r="R150" s="18">
        <f>'ОПУ-Баланс-ОДДС (без льгот)'!R18</f>
        <v>107429.06978681308</v>
      </c>
    </row>
    <row r="151" spans="1:18">
      <c r="A151" s="15" t="s">
        <v>69</v>
      </c>
      <c r="C151" s="6" t="s">
        <v>60</v>
      </c>
      <c r="D151" s="18">
        <f>-'ОПУ-Баланс-ОДДС (без льгот)'!D30</f>
        <v>0</v>
      </c>
      <c r="E151" s="18">
        <f>-'ОПУ-Баланс-ОДДС (без льгот)'!E30</f>
        <v>0</v>
      </c>
      <c r="F151" s="18">
        <f>-'ОПУ-Баланс-ОДДС (без льгот)'!F30</f>
        <v>7521.25</v>
      </c>
      <c r="G151" s="18">
        <f>-'ОПУ-Баланс-ОДДС (без льгот)'!G30</f>
        <v>14657.5</v>
      </c>
      <c r="H151" s="18">
        <f>-'ОПУ-Баланс-ОДДС (без льгот)'!H30</f>
        <v>13887.5</v>
      </c>
      <c r="I151" s="18">
        <f>-'ОПУ-Баланс-ОДДС (без льгот)'!I30</f>
        <v>13117.5</v>
      </c>
      <c r="J151" s="18">
        <f>-'ОПУ-Баланс-ОДДС (без льгот)'!J30</f>
        <v>12347.5</v>
      </c>
      <c r="K151" s="18">
        <f>-'ОПУ-Баланс-ОДДС (без льгот)'!K30</f>
        <v>11577.5</v>
      </c>
      <c r="L151" s="18">
        <f>-'ОПУ-Баланс-ОДДС (без льгот)'!L30</f>
        <v>10807.5</v>
      </c>
      <c r="M151" s="18">
        <f>-'ОПУ-Баланс-ОДДС (без льгот)'!M30</f>
        <v>10037.5</v>
      </c>
      <c r="N151" s="18">
        <f>-'ОПУ-Баланс-ОДДС (без льгот)'!N30</f>
        <v>9267.5</v>
      </c>
      <c r="O151" s="18">
        <f>-'ОПУ-Баланс-ОДДС (без льгот)'!O30</f>
        <v>8497.5</v>
      </c>
      <c r="P151" s="18">
        <f>-'ОПУ-Баланс-ОДДС (без льгот)'!P30</f>
        <v>7727.5</v>
      </c>
      <c r="Q151" s="18">
        <f>-'ОПУ-Баланс-ОДДС (без льгот)'!Q30</f>
        <v>6957.5</v>
      </c>
      <c r="R151" s="18">
        <f>-'ОПУ-Баланс-ОДДС (без льгот)'!R30</f>
        <v>6187.5</v>
      </c>
    </row>
    <row r="152" spans="1:18">
      <c r="A152" s="15" t="s">
        <v>272</v>
      </c>
      <c r="C152" s="6" t="s">
        <v>60</v>
      </c>
      <c r="D152" s="18">
        <f>Налоги!D17*Налоги!D18</f>
        <v>0</v>
      </c>
      <c r="E152" s="18">
        <f>Налоги!E17*Налоги!E18</f>
        <v>0</v>
      </c>
      <c r="F152" s="18">
        <f>Налоги!F17*Налоги!F18</f>
        <v>13100.195901508208</v>
      </c>
      <c r="G152" s="18">
        <f>Налоги!G17*Налоги!G18</f>
        <v>25873.676073906518</v>
      </c>
      <c r="H152" s="18">
        <f>Налоги!H17*Налоги!H18</f>
        <v>28338.343774142562</v>
      </c>
      <c r="I152" s="18">
        <f>Налоги!I17*Налоги!I18</f>
        <v>29471.877525108266</v>
      </c>
      <c r="J152" s="18">
        <f>Налоги!J17*Налоги!J18</f>
        <v>30650.752626112597</v>
      </c>
      <c r="K152" s="18">
        <f>Налоги!K17*Налоги!K18</f>
        <v>31876.782731157098</v>
      </c>
      <c r="L152" s="18">
        <f>Налоги!L17*Налоги!L18</f>
        <v>33151.854040403392</v>
      </c>
      <c r="M152" s="18">
        <f>Налоги!M17*Налоги!M18</f>
        <v>34477.928202019524</v>
      </c>
      <c r="N152" s="18">
        <f>Налоги!N17*Налоги!N18</f>
        <v>35857.045330100307</v>
      </c>
      <c r="O152" s="18">
        <f>Налоги!O17*Налоги!O18</f>
        <v>37291.327143304312</v>
      </c>
      <c r="P152" s="18">
        <f>Налоги!P17*Налоги!P18</f>
        <v>38782.98022903649</v>
      </c>
      <c r="Q152" s="18">
        <f>Налоги!Q17*Налоги!Q18</f>
        <v>40334.299438197952</v>
      </c>
      <c r="R152" s="18">
        <f>Налоги!R17*Налоги!R18</f>
        <v>41947.671415725868</v>
      </c>
    </row>
    <row r="153" spans="1:18">
      <c r="A153" s="15" t="s">
        <v>75</v>
      </c>
      <c r="C153" s="6" t="s">
        <v>60</v>
      </c>
      <c r="D153" s="18">
        <f>'Эффективность проекта'!D37</f>
        <v>0</v>
      </c>
      <c r="E153" s="18">
        <f>'Эффективность проекта'!E37</f>
        <v>0</v>
      </c>
      <c r="F153" s="18">
        <f>'Эффективность проекта'!F37</f>
        <v>5639.1571761459163</v>
      </c>
      <c r="G153" s="18">
        <f>'Эффективность проекта'!G37</f>
        <v>11137.675131151811</v>
      </c>
      <c r="H153" s="18">
        <f>'Эффективность проекта'!H37</f>
        <v>12198.62480343885</v>
      </c>
      <c r="I153" s="18">
        <f>'Эффективность проекта'!I37</f>
        <v>12686.569795576404</v>
      </c>
      <c r="J153" s="18">
        <f>'Эффективность проекта'!J37</f>
        <v>13194.032587399461</v>
      </c>
      <c r="K153" s="18">
        <f>'Эффективность проекта'!K37</f>
        <v>13721.793890895438</v>
      </c>
      <c r="L153" s="18">
        <f>'Эффективность проекта'!L37</f>
        <v>14270.665646531259</v>
      </c>
      <c r="M153" s="18">
        <f>'Эффективность проекта'!M37</f>
        <v>14841.492272392508</v>
      </c>
      <c r="N153" s="18">
        <f>'Эффективность проекта'!N37</f>
        <v>15435.15196328821</v>
      </c>
      <c r="O153" s="18">
        <f>'Эффективность проекта'!O37</f>
        <v>16052.558041819735</v>
      </c>
      <c r="P153" s="18">
        <f>'Эффективность проекта'!P37</f>
        <v>16694.660363492527</v>
      </c>
      <c r="Q153" s="18">
        <f>'Эффективность проекта'!Q37</f>
        <v>17362.44677803223</v>
      </c>
      <c r="R153" s="18">
        <f>'Эффективность проекта'!R37</f>
        <v>18056.944649153516</v>
      </c>
    </row>
    <row r="154" spans="1:18">
      <c r="A154" s="75" t="s">
        <v>273</v>
      </c>
      <c r="C154" s="6" t="s">
        <v>60</v>
      </c>
      <c r="D154" s="18">
        <f>D92</f>
        <v>-150000</v>
      </c>
      <c r="E154" s="18">
        <f t="shared" ref="E154:R154" si="276">E92</f>
        <v>-250000</v>
      </c>
      <c r="F154" s="18">
        <f t="shared" si="276"/>
        <v>-100000</v>
      </c>
      <c r="G154" s="18">
        <f t="shared" si="276"/>
        <v>0</v>
      </c>
      <c r="H154" s="18">
        <f t="shared" si="276"/>
        <v>0</v>
      </c>
      <c r="I154" s="18">
        <f t="shared" si="276"/>
        <v>0</v>
      </c>
      <c r="J154" s="18">
        <f t="shared" si="276"/>
        <v>0</v>
      </c>
      <c r="K154" s="18">
        <f t="shared" si="276"/>
        <v>0</v>
      </c>
      <c r="L154" s="18">
        <f t="shared" si="276"/>
        <v>0</v>
      </c>
      <c r="M154" s="18">
        <f t="shared" si="276"/>
        <v>0</v>
      </c>
      <c r="N154" s="18">
        <f t="shared" si="276"/>
        <v>0</v>
      </c>
      <c r="O154" s="18">
        <f t="shared" si="276"/>
        <v>0</v>
      </c>
      <c r="P154" s="18">
        <f t="shared" si="276"/>
        <v>0</v>
      </c>
      <c r="Q154" s="18">
        <f t="shared" si="276"/>
        <v>0</v>
      </c>
      <c r="R154" s="18">
        <f t="shared" si="276"/>
        <v>0</v>
      </c>
    </row>
    <row r="156" spans="1:18">
      <c r="A156" s="1" t="s">
        <v>316</v>
      </c>
      <c r="C156" s="6" t="s">
        <v>60</v>
      </c>
      <c r="D156" s="18">
        <f t="shared" ref="D156:R156" si="277">D147*D46</f>
        <v>-137635.27508143807</v>
      </c>
      <c r="E156" s="18">
        <f t="shared" si="277"/>
        <v>-193132.55996160518</v>
      </c>
      <c r="F156" s="18">
        <f t="shared" si="277"/>
        <v>-45183.127516552348</v>
      </c>
      <c r="G156" s="18">
        <f t="shared" si="277"/>
        <v>103739.33187104098</v>
      </c>
      <c r="H156" s="18">
        <f t="shared" si="277"/>
        <v>95732.764498818986</v>
      </c>
      <c r="I156" s="18">
        <f t="shared" si="277"/>
        <v>83496.827209223702</v>
      </c>
      <c r="J156" s="18">
        <f t="shared" si="277"/>
        <v>72842.270350898136</v>
      </c>
      <c r="K156" s="18">
        <f t="shared" si="277"/>
        <v>63561.811279207148</v>
      </c>
      <c r="L156" s="18">
        <f t="shared" si="277"/>
        <v>55475.811357816354</v>
      </c>
      <c r="M156" s="18">
        <f t="shared" si="277"/>
        <v>48428.513483200979</v>
      </c>
      <c r="N156" s="18">
        <f t="shared" si="277"/>
        <v>42284.803524250106</v>
      </c>
      <c r="O156" s="18">
        <f t="shared" si="277"/>
        <v>36927.420926136037</v>
      </c>
      <c r="P156" s="18">
        <f t="shared" si="277"/>
        <v>32102.528754901145</v>
      </c>
      <c r="Q156" s="18">
        <f t="shared" si="277"/>
        <v>28044.654694618897</v>
      </c>
      <c r="R156" s="18">
        <f t="shared" si="277"/>
        <v>24503.662430250821</v>
      </c>
    </row>
    <row r="157" spans="1:18">
      <c r="A157" s="1" t="s">
        <v>275</v>
      </c>
      <c r="C157" s="6" t="s">
        <v>60</v>
      </c>
      <c r="D157" s="18">
        <f>D156</f>
        <v>-137635.27508143807</v>
      </c>
      <c r="E157" s="18">
        <f>D157+E156</f>
        <v>-330767.83504304325</v>
      </c>
      <c r="F157" s="18">
        <f t="shared" ref="F157:R157" si="278">E157+F156</f>
        <v>-375950.96255959559</v>
      </c>
      <c r="G157" s="18">
        <f t="shared" si="278"/>
        <v>-272211.63068855461</v>
      </c>
      <c r="H157" s="18">
        <f t="shared" si="278"/>
        <v>-176478.86618973562</v>
      </c>
      <c r="I157" s="18">
        <f t="shared" si="278"/>
        <v>-92982.038980511919</v>
      </c>
      <c r="J157" s="18">
        <f t="shared" si="278"/>
        <v>-20139.768629613784</v>
      </c>
      <c r="K157" s="18">
        <f t="shared" si="278"/>
        <v>43422.042649593364</v>
      </c>
      <c r="L157" s="18">
        <f t="shared" si="278"/>
        <v>98897.854007409711</v>
      </c>
      <c r="M157" s="18">
        <f t="shared" si="278"/>
        <v>147326.36749061069</v>
      </c>
      <c r="N157" s="18">
        <f t="shared" si="278"/>
        <v>189611.1710148608</v>
      </c>
      <c r="O157" s="18">
        <f t="shared" si="278"/>
        <v>226538.59194099682</v>
      </c>
      <c r="P157" s="18">
        <f t="shared" si="278"/>
        <v>258641.12069589796</v>
      </c>
      <c r="Q157" s="18">
        <f t="shared" si="278"/>
        <v>286685.77539051685</v>
      </c>
      <c r="R157" s="18">
        <f t="shared" si="278"/>
        <v>311189.43782076769</v>
      </c>
    </row>
    <row r="159" spans="1:18">
      <c r="A159" s="9" t="s">
        <v>318</v>
      </c>
      <c r="B159" s="105">
        <f>SUM(D156:R156)</f>
        <v>311189.43782076769</v>
      </c>
      <c r="C159" s="53" t="s">
        <v>60</v>
      </c>
    </row>
    <row r="160" spans="1:18">
      <c r="A160" s="15" t="s">
        <v>336</v>
      </c>
      <c r="B160" s="105">
        <f>B159-B53</f>
        <v>221761.71944924968</v>
      </c>
      <c r="C160" s="53" t="s">
        <v>60</v>
      </c>
    </row>
    <row r="162" spans="1:18">
      <c r="A162" s="104" t="s">
        <v>319</v>
      </c>
      <c r="C162" s="53" t="s">
        <v>60</v>
      </c>
      <c r="D162" s="18">
        <f t="shared" ref="D162:R162" si="279">D62</f>
        <v>0</v>
      </c>
      <c r="E162" s="18">
        <f t="shared" si="279"/>
        <v>0</v>
      </c>
      <c r="F162" s="18">
        <f t="shared" si="279"/>
        <v>7568.2929009568097</v>
      </c>
      <c r="G162" s="18">
        <f t="shared" si="279"/>
        <v>81766.166067961283</v>
      </c>
      <c r="H162" s="18">
        <f t="shared" si="279"/>
        <v>90345.892833378661</v>
      </c>
      <c r="I162" s="18">
        <f t="shared" si="279"/>
        <v>94026.395213380383</v>
      </c>
      <c r="J162" s="18">
        <f t="shared" si="279"/>
        <v>97854.117688582322</v>
      </c>
      <c r="K162" s="18">
        <f t="shared" si="279"/>
        <v>126719.29482430741</v>
      </c>
      <c r="L162" s="18">
        <f t="shared" si="279"/>
        <v>131878.06661727975</v>
      </c>
      <c r="M162" s="18">
        <f t="shared" si="279"/>
        <v>137243.18928197102</v>
      </c>
      <c r="N162" s="18">
        <f t="shared" si="279"/>
        <v>142822.91685324995</v>
      </c>
      <c r="O162" s="18">
        <f t="shared" si="279"/>
        <v>148625.83352737973</v>
      </c>
      <c r="P162" s="18">
        <f t="shared" si="279"/>
        <v>180327.73338894302</v>
      </c>
      <c r="Q162" s="18">
        <f t="shared" si="279"/>
        <v>187706.37972450064</v>
      </c>
      <c r="R162" s="18">
        <f t="shared" si="279"/>
        <v>195378.01591348063</v>
      </c>
    </row>
    <row r="164" spans="1:18">
      <c r="A164" s="104" t="s">
        <v>317</v>
      </c>
      <c r="C164" s="53" t="s">
        <v>60</v>
      </c>
      <c r="D164" s="18">
        <f>D165</f>
        <v>0</v>
      </c>
      <c r="E164" s="18">
        <f t="shared" ref="E164:R164" si="280">E165</f>
        <v>0</v>
      </c>
      <c r="F164" s="18">
        <f t="shared" si="280"/>
        <v>17371.750761025869</v>
      </c>
      <c r="G164" s="18">
        <f t="shared" si="280"/>
        <v>121134.10183354981</v>
      </c>
      <c r="H164" s="18">
        <f t="shared" si="280"/>
        <v>133953.57498231818</v>
      </c>
      <c r="I164" s="18">
        <f t="shared" si="280"/>
        <v>139511.09131494412</v>
      </c>
      <c r="J164" s="18">
        <f t="shared" si="280"/>
        <v>145288.4443008753</v>
      </c>
      <c r="K164" s="18">
        <f t="shared" si="280"/>
        <v>148093.84397806434</v>
      </c>
      <c r="L164" s="18">
        <f t="shared" si="280"/>
        <v>154193.91473718698</v>
      </c>
      <c r="M164" s="18">
        <f t="shared" si="280"/>
        <v>160535.83232667454</v>
      </c>
      <c r="N164" s="18">
        <f t="shared" si="280"/>
        <v>167129.27061974161</v>
      </c>
      <c r="O164" s="18">
        <f t="shared" si="280"/>
        <v>173984.29044453104</v>
      </c>
      <c r="P164" s="18">
        <f t="shared" si="280"/>
        <v>180327.73338894302</v>
      </c>
      <c r="Q164" s="18">
        <f t="shared" si="280"/>
        <v>187706.37972450064</v>
      </c>
      <c r="R164" s="18">
        <f t="shared" si="280"/>
        <v>195378.01591348063</v>
      </c>
    </row>
    <row r="165" spans="1:18">
      <c r="A165" s="75" t="s">
        <v>270</v>
      </c>
      <c r="C165" s="6" t="s">
        <v>60</v>
      </c>
      <c r="D165" s="18">
        <f>SUM(D166:D168)</f>
        <v>0</v>
      </c>
      <c r="E165" s="18">
        <f t="shared" ref="E165:R165" si="281">SUM(E166:E168)</f>
        <v>0</v>
      </c>
      <c r="F165" s="18">
        <f t="shared" si="281"/>
        <v>17371.750761025869</v>
      </c>
      <c r="G165" s="18">
        <f t="shared" si="281"/>
        <v>121134.10183354981</v>
      </c>
      <c r="H165" s="18">
        <f t="shared" si="281"/>
        <v>133953.57498231818</v>
      </c>
      <c r="I165" s="18">
        <f t="shared" si="281"/>
        <v>139511.09131494412</v>
      </c>
      <c r="J165" s="18">
        <f t="shared" si="281"/>
        <v>145288.4443008753</v>
      </c>
      <c r="K165" s="18">
        <f t="shared" si="281"/>
        <v>148093.84397806434</v>
      </c>
      <c r="L165" s="18">
        <f t="shared" si="281"/>
        <v>154193.91473718698</v>
      </c>
      <c r="M165" s="18">
        <f t="shared" si="281"/>
        <v>160535.83232667454</v>
      </c>
      <c r="N165" s="18">
        <f t="shared" si="281"/>
        <v>167129.27061974161</v>
      </c>
      <c r="O165" s="18">
        <f t="shared" si="281"/>
        <v>173984.29044453104</v>
      </c>
      <c r="P165" s="18">
        <f t="shared" si="281"/>
        <v>180327.73338894302</v>
      </c>
      <c r="Q165" s="18">
        <f t="shared" si="281"/>
        <v>187706.37972450064</v>
      </c>
      <c r="R165" s="18">
        <f t="shared" si="281"/>
        <v>195378.01591348063</v>
      </c>
    </row>
    <row r="166" spans="1:18">
      <c r="A166" s="15" t="s">
        <v>271</v>
      </c>
      <c r="C166" s="6" t="s">
        <v>60</v>
      </c>
      <c r="D166" s="18">
        <f t="shared" ref="D166:R166" si="282">D64</f>
        <v>0</v>
      </c>
      <c r="E166" s="18">
        <f t="shared" si="282"/>
        <v>0</v>
      </c>
      <c r="F166" s="18">
        <f t="shared" si="282"/>
        <v>4271.5548595176588</v>
      </c>
      <c r="G166" s="18">
        <f t="shared" si="282"/>
        <v>75254.909837441766</v>
      </c>
      <c r="H166" s="18">
        <f t="shared" si="282"/>
        <v>83214.389102137487</v>
      </c>
      <c r="I166" s="18">
        <f t="shared" si="282"/>
        <v>86609.631332889563</v>
      </c>
      <c r="J166" s="18">
        <f t="shared" si="282"/>
        <v>90140.683252871866</v>
      </c>
      <c r="K166" s="18">
        <f t="shared" si="282"/>
        <v>93812.977249653268</v>
      </c>
      <c r="L166" s="18">
        <f t="shared" si="282"/>
        <v>97632.163006306117</v>
      </c>
      <c r="M166" s="18">
        <f t="shared" si="282"/>
        <v>101604.1161932251</v>
      </c>
      <c r="N166" s="18">
        <f t="shared" si="282"/>
        <v>105734.94750762086</v>
      </c>
      <c r="O166" s="18">
        <f t="shared" si="282"/>
        <v>110031.01207459213</v>
      </c>
      <c r="P166" s="18">
        <f t="shared" si="282"/>
        <v>113918.45872545052</v>
      </c>
      <c r="Q166" s="18">
        <f t="shared" si="282"/>
        <v>118541.86374113508</v>
      </c>
      <c r="R166" s="18">
        <f t="shared" si="282"/>
        <v>123350.2049574471</v>
      </c>
    </row>
    <row r="167" spans="1:18">
      <c r="A167" s="15" t="s">
        <v>66</v>
      </c>
      <c r="C167" s="6" t="s">
        <v>60</v>
      </c>
      <c r="D167" s="18">
        <f>IF('ОПУ-Баланс-ОДДС (без льгот)'!D17&gt;0,'ОПУ-Баланс-ОДДС (без льгот)'!D17*Налоги!D34,0)</f>
        <v>0</v>
      </c>
      <c r="E167" s="18">
        <f>IF('ОПУ-Баланс-ОДДС (без льгот)'!E17&gt;0,'ОПУ-Баланс-ОДДС (без льгот)'!E17*Налоги!E34,0)</f>
        <v>0</v>
      </c>
      <c r="F167" s="18">
        <f>IF('ОПУ-Баланс-ОДДС (без льгот)'!F17&gt;0,'ОПУ-Баланс-ОДДС (без льгот)'!F17*Налоги!F34,0)</f>
        <v>0</v>
      </c>
      <c r="G167" s="18">
        <f>IF('ОПУ-Баланс-ОДДС (без льгот)'!G17&gt;0,'ОПУ-Баланс-ОДДС (без льгот)'!G17*Налоги!G34,0)</f>
        <v>20005.515922201517</v>
      </c>
      <c r="H167" s="18">
        <f>IF('ОПУ-Баланс-ОДДС (без льгот)'!H17&gt;0,'ОПУ-Баланс-ОДДС (без льгот)'!H17*Налоги!H34,0)</f>
        <v>22400.842106038119</v>
      </c>
      <c r="I167" s="18">
        <f>IF('ОПУ-Баланс-ОДДС (без льгот)'!I17&gt;0,'ОПУ-Баланс-ОДДС (без льгот)'!I17*Налоги!I34,0)</f>
        <v>23429.582456946308</v>
      </c>
      <c r="J167" s="18">
        <f>IF('ОПУ-Баланс-ОДДС (без льгот)'!J17&gt;0,'ОПУ-Баланс-ОДДС (без льгот)'!J17*Налоги!J34,0)</f>
        <v>24497.008421890831</v>
      </c>
      <c r="K167" s="18">
        <f>IF('ОПУ-Баланс-ОДДС (без льгот)'!K17&gt;0,'ОПУ-Баланс-ОДДС (без льгот)'!K17*Налоги!K34,0)</f>
        <v>22404.083997253987</v>
      </c>
      <c r="L167" s="18">
        <f>IF('ОПУ-Баланс-ОДДС (без льгот)'!L17&gt;0,'ОПУ-Баланс-ОДДС (без льгот)'!L17*Налоги!L34,0)</f>
        <v>23409.897690477483</v>
      </c>
      <c r="M167" s="18">
        <f>IF('ОПУ-Баланс-ОДДС (без льгот)'!M17&gt;0,'ОПУ-Баланс-ОДДС (без льгот)'!M17*Налоги!M34,0)</f>
        <v>24453.787931429913</v>
      </c>
      <c r="N167" s="18">
        <f>IF('ОПУ-Баланс-ОДДС (без льгот)'!N17&gt;0,'ОПУ-Баланс-ОДДС (без льгот)'!N17*Налоги!N34,0)</f>
        <v>25537.277782020432</v>
      </c>
      <c r="O167" s="18">
        <f>IF('ОПУ-Баланс-ОДДС (без льгот)'!O17&gt;0,'ОПУ-Баланс-ОДДС (без льгот)'!O17*Налоги!O34,0)</f>
        <v>26661.951226634588</v>
      </c>
      <c r="P167" s="18">
        <f>IF('ОПУ-Баланс-ОДДС (без льгот)'!P17&gt;0,'ОПУ-Баланс-ОДДС (без льгот)'!P17*Налоги!P34,0)</f>
        <v>27626.294434456031</v>
      </c>
      <c r="Q167" s="18">
        <f>IF('ОПУ-Баланс-ОДДС (без льгот)'!Q17&gt;0,'ОПУ-Баланс-ОДДС (без льгот)'!Q17*Налоги!Q34,0)</f>
        <v>28830.216545167616</v>
      </c>
      <c r="R167" s="18">
        <f>IF('ОПУ-Баланс-ОДДС (без льгот)'!R17&gt;0,'ОПУ-Баланс-ОДДС (без льгот)'!R17*Налоги!R34,0)</f>
        <v>30080.139540307664</v>
      </c>
    </row>
    <row r="168" spans="1:18">
      <c r="A168" s="15" t="s">
        <v>272</v>
      </c>
      <c r="C168" s="6" t="s">
        <v>60</v>
      </c>
      <c r="D168" s="18">
        <f>Налоги!D17*Налоги!D18</f>
        <v>0</v>
      </c>
      <c r="E168" s="18">
        <f>Налоги!E17*Налоги!E18</f>
        <v>0</v>
      </c>
      <c r="F168" s="18">
        <f>Налоги!F17*Налоги!F18</f>
        <v>13100.195901508208</v>
      </c>
      <c r="G168" s="18">
        <f>Налоги!G17*Налоги!G18</f>
        <v>25873.676073906518</v>
      </c>
      <c r="H168" s="18">
        <f>Налоги!H17*Налоги!H18</f>
        <v>28338.343774142562</v>
      </c>
      <c r="I168" s="18">
        <f>Налоги!I17*Налоги!I18</f>
        <v>29471.877525108266</v>
      </c>
      <c r="J168" s="18">
        <f>Налоги!J17*Налоги!J18</f>
        <v>30650.752626112597</v>
      </c>
      <c r="K168" s="18">
        <f>Налоги!K17*Налоги!K18</f>
        <v>31876.782731157098</v>
      </c>
      <c r="L168" s="18">
        <f>Налоги!L17*Налоги!L18</f>
        <v>33151.854040403392</v>
      </c>
      <c r="M168" s="18">
        <f>Налоги!M17*Налоги!M18</f>
        <v>34477.928202019524</v>
      </c>
      <c r="N168" s="18">
        <f>Налоги!N17*Налоги!N18</f>
        <v>35857.045330100307</v>
      </c>
      <c r="O168" s="18">
        <f>Налоги!O17*Налоги!O18</f>
        <v>37291.327143304312</v>
      </c>
      <c r="P168" s="18">
        <f>Налоги!P17*Налоги!P18</f>
        <v>38782.98022903649</v>
      </c>
      <c r="Q168" s="18">
        <f>Налоги!Q17*Налоги!Q18</f>
        <v>40334.299438197952</v>
      </c>
      <c r="R168" s="18">
        <f>Налоги!R17*Налоги!R18</f>
        <v>41947.671415725868</v>
      </c>
    </row>
    <row r="170" spans="1:18">
      <c r="A170" s="1" t="s">
        <v>316</v>
      </c>
      <c r="C170" s="6" t="s">
        <v>60</v>
      </c>
      <c r="D170" s="18">
        <f>D164*D71</f>
        <v>0</v>
      </c>
      <c r="E170" s="18">
        <f t="shared" ref="E170:R170" si="283">E164*E71</f>
        <v>0</v>
      </c>
      <c r="F170" s="18">
        <f t="shared" si="283"/>
        <v>11298.897540408805</v>
      </c>
      <c r="G170" s="18">
        <f t="shared" si="283"/>
        <v>66333.955710854367</v>
      </c>
      <c r="H170" s="18">
        <f t="shared" si="283"/>
        <v>61759.073743844143</v>
      </c>
      <c r="I170" s="18">
        <f t="shared" si="283"/>
        <v>54154.206099944924</v>
      </c>
      <c r="J170" s="18">
        <f t="shared" si="283"/>
        <v>47482.2754725341</v>
      </c>
      <c r="K170" s="18">
        <f t="shared" si="283"/>
        <v>40748.764737283091</v>
      </c>
      <c r="L170" s="18">
        <f t="shared" si="283"/>
        <v>35720.840483023399</v>
      </c>
      <c r="M170" s="18">
        <f t="shared" si="283"/>
        <v>31311.466644004398</v>
      </c>
      <c r="N170" s="18">
        <f t="shared" si="283"/>
        <v>27444.854754069009</v>
      </c>
      <c r="O170" s="18">
        <f t="shared" si="283"/>
        <v>24054.450895098704</v>
      </c>
      <c r="P170" s="18">
        <f t="shared" si="283"/>
        <v>20990.603604810327</v>
      </c>
      <c r="Q170" s="18">
        <f t="shared" si="283"/>
        <v>18395.789410831771</v>
      </c>
      <c r="R170" s="18">
        <f t="shared" si="283"/>
        <v>16121.003896004797</v>
      </c>
    </row>
    <row r="171" spans="1:18">
      <c r="A171" s="1" t="s">
        <v>275</v>
      </c>
      <c r="C171" s="6" t="s">
        <v>60</v>
      </c>
      <c r="D171" s="18">
        <f>D170</f>
        <v>0</v>
      </c>
      <c r="E171" s="18">
        <f>D171+E170</f>
        <v>0</v>
      </c>
      <c r="F171" s="18">
        <f t="shared" ref="F171:R171" si="284">E171+F170</f>
        <v>11298.897540408805</v>
      </c>
      <c r="G171" s="18">
        <f t="shared" si="284"/>
        <v>77632.853251263179</v>
      </c>
      <c r="H171" s="18">
        <f t="shared" si="284"/>
        <v>139391.92699510732</v>
      </c>
      <c r="I171" s="18">
        <f t="shared" si="284"/>
        <v>193546.13309505224</v>
      </c>
      <c r="J171" s="18">
        <f t="shared" si="284"/>
        <v>241028.40856758633</v>
      </c>
      <c r="K171" s="18">
        <f t="shared" si="284"/>
        <v>281777.17330486944</v>
      </c>
      <c r="L171" s="18">
        <f t="shared" si="284"/>
        <v>317498.01378789282</v>
      </c>
      <c r="M171" s="18">
        <f t="shared" si="284"/>
        <v>348809.48043189722</v>
      </c>
      <c r="N171" s="18">
        <f t="shared" si="284"/>
        <v>376254.33518596622</v>
      </c>
      <c r="O171" s="18">
        <f t="shared" si="284"/>
        <v>400308.7860810649</v>
      </c>
      <c r="P171" s="18">
        <f t="shared" si="284"/>
        <v>421299.38968587521</v>
      </c>
      <c r="Q171" s="18">
        <f t="shared" si="284"/>
        <v>439695.17909670697</v>
      </c>
      <c r="R171" s="18">
        <f t="shared" si="284"/>
        <v>455816.18299271178</v>
      </c>
    </row>
    <row r="173" spans="1:18">
      <c r="A173" s="9" t="s">
        <v>324</v>
      </c>
      <c r="B173" s="105">
        <f>SUM(D170:R170)</f>
        <v>455816.18299271178</v>
      </c>
      <c r="C173" s="53" t="s">
        <v>60</v>
      </c>
    </row>
    <row r="174" spans="1:18">
      <c r="A174" s="15" t="s">
        <v>336</v>
      </c>
      <c r="B174" s="105">
        <f>B173-B78</f>
        <v>104289.34486416535</v>
      </c>
    </row>
    <row r="176" spans="1:18">
      <c r="A176" s="104" t="s">
        <v>321</v>
      </c>
      <c r="C176" s="53" t="s">
        <v>60</v>
      </c>
      <c r="D176" s="18">
        <f>D87</f>
        <v>-150000</v>
      </c>
      <c r="E176" s="18">
        <f t="shared" ref="E176:R176" si="285">E87</f>
        <v>-250000</v>
      </c>
      <c r="F176" s="18">
        <f t="shared" si="285"/>
        <v>-96898.463553119742</v>
      </c>
      <c r="G176" s="18">
        <f t="shared" si="285"/>
        <v>20330.164765678797</v>
      </c>
      <c r="H176" s="18">
        <f t="shared" si="285"/>
        <v>22464.48696031026</v>
      </c>
      <c r="I176" s="18">
        <f t="shared" si="285"/>
        <v>23379.733105389336</v>
      </c>
      <c r="J176" s="18">
        <f t="shared" si="285"/>
        <v>24331.589096271578</v>
      </c>
      <c r="K176" s="18">
        <f t="shared" si="285"/>
        <v>43096.052013585722</v>
      </c>
      <c r="L176" s="18">
        <f t="shared" si="285"/>
        <v>44853.227427462487</v>
      </c>
      <c r="M176" s="18">
        <f t="shared" si="285"/>
        <v>46680.689857894336</v>
      </c>
      <c r="N176" s="18">
        <f t="shared" si="285"/>
        <v>48581.250785543416</v>
      </c>
      <c r="O176" s="18">
        <f t="shared" si="285"/>
        <v>50557.834150298491</v>
      </c>
      <c r="P176" s="18">
        <f t="shared" si="285"/>
        <v>87948.60603137924</v>
      </c>
      <c r="Q176" s="18">
        <f t="shared" si="285"/>
        <v>90641.688272634448</v>
      </c>
      <c r="R176" s="18">
        <f t="shared" si="285"/>
        <v>93467.74980353986</v>
      </c>
    </row>
    <row r="178" spans="1:18">
      <c r="A178" s="104" t="s">
        <v>322</v>
      </c>
      <c r="C178" s="53" t="s">
        <v>60</v>
      </c>
      <c r="D178" s="18">
        <f>D179+D183</f>
        <v>-150000</v>
      </c>
      <c r="E178" s="18">
        <f t="shared" ref="E178:R178" si="286">E179+E183</f>
        <v>-250000</v>
      </c>
      <c r="F178" s="18">
        <f t="shared" si="286"/>
        <v>-89377.213553119742</v>
      </c>
      <c r="G178" s="18">
        <f t="shared" si="286"/>
        <v>63294.942656811727</v>
      </c>
      <c r="H178" s="18">
        <f t="shared" si="286"/>
        <v>68198.533117222367</v>
      </c>
      <c r="I178" s="18">
        <f t="shared" si="286"/>
        <v>69882.976108577932</v>
      </c>
      <c r="J178" s="18">
        <f t="shared" si="286"/>
        <v>71660.360819587717</v>
      </c>
      <c r="K178" s="18">
        <f t="shared" si="286"/>
        <v>76734.988347217019</v>
      </c>
      <c r="L178" s="18">
        <f t="shared" si="286"/>
        <v>78853.245881105715</v>
      </c>
      <c r="M178" s="18">
        <f t="shared" si="286"/>
        <v>81081.489716349926</v>
      </c>
      <c r="N178" s="18">
        <f t="shared" si="286"/>
        <v>83424.1193050039</v>
      </c>
      <c r="O178" s="18">
        <f t="shared" si="286"/>
        <v>85885.710077204087</v>
      </c>
      <c r="P178" s="18">
        <f t="shared" si="286"/>
        <v>87948.60603137924</v>
      </c>
      <c r="Q178" s="18">
        <f t="shared" si="286"/>
        <v>90641.688272634448</v>
      </c>
      <c r="R178" s="18">
        <f t="shared" si="286"/>
        <v>93467.74980353986</v>
      </c>
    </row>
    <row r="179" spans="1:18">
      <c r="A179" s="75" t="s">
        <v>270</v>
      </c>
      <c r="C179" s="6" t="s">
        <v>60</v>
      </c>
      <c r="D179" s="18">
        <f>SUM(D180:D182)</f>
        <v>0</v>
      </c>
      <c r="E179" s="18">
        <f t="shared" ref="E179:R179" si="287">SUM(E180:E182)</f>
        <v>0</v>
      </c>
      <c r="F179" s="18">
        <f t="shared" si="287"/>
        <v>10622.786446880255</v>
      </c>
      <c r="G179" s="18">
        <f t="shared" si="287"/>
        <v>63294.942656811727</v>
      </c>
      <c r="H179" s="18">
        <f t="shared" si="287"/>
        <v>68198.533117222367</v>
      </c>
      <c r="I179" s="18">
        <f t="shared" si="287"/>
        <v>69882.976108577932</v>
      </c>
      <c r="J179" s="18">
        <f t="shared" si="287"/>
        <v>71660.360819587717</v>
      </c>
      <c r="K179" s="18">
        <f t="shared" si="287"/>
        <v>76734.988347217019</v>
      </c>
      <c r="L179" s="18">
        <f t="shared" si="287"/>
        <v>78853.245881105715</v>
      </c>
      <c r="M179" s="18">
        <f t="shared" si="287"/>
        <v>81081.489716349926</v>
      </c>
      <c r="N179" s="18">
        <f t="shared" si="287"/>
        <v>83424.1193050039</v>
      </c>
      <c r="O179" s="18">
        <f t="shared" si="287"/>
        <v>85885.710077204087</v>
      </c>
      <c r="P179" s="18">
        <f t="shared" si="287"/>
        <v>87948.60603137924</v>
      </c>
      <c r="Q179" s="18">
        <f t="shared" si="287"/>
        <v>90641.688272634448</v>
      </c>
      <c r="R179" s="18">
        <f t="shared" si="287"/>
        <v>93467.74980353986</v>
      </c>
    </row>
    <row r="180" spans="1:18">
      <c r="A180" s="15" t="s">
        <v>66</v>
      </c>
      <c r="C180" s="6" t="s">
        <v>60</v>
      </c>
      <c r="D180" s="18">
        <f>IF('ОПУ-Баланс-ОДДС (без льгот)'!D17&gt;0,'ОПУ-Баланс-ОДДС (без льгот)'!D17*Налоги!D35,0)</f>
        <v>0</v>
      </c>
      <c r="E180" s="18">
        <f>IF('ОПУ-Баланс-ОДДС (без льгот)'!E17&gt;0,'ОПУ-Баланс-ОДДС (без льгот)'!E17*Налоги!E35,0)</f>
        <v>0</v>
      </c>
      <c r="F180" s="18">
        <f>IF('ОПУ-Баланс-ОДДС (без льгот)'!F17&gt;0,'ОПУ-Баланс-ОДДС (без льгот)'!F17*Налоги!F35,0)</f>
        <v>0</v>
      </c>
      <c r="G180" s="18">
        <f>IF('ОПУ-Баланс-ОДДС (без льгот)'!G17&gt;0,'ОПУ-Баланс-ОДДС (без льгот)'!G17*Налоги!G35,0)</f>
        <v>42511.72133467823</v>
      </c>
      <c r="H180" s="18">
        <f>IF('ОПУ-Баланс-ОДДС (без льгот)'!H17&gt;0,'ОПУ-Баланс-ОДДС (без льгот)'!H17*Налоги!H35,0)</f>
        <v>47601.789475331003</v>
      </c>
      <c r="I180" s="18">
        <f>IF('ОПУ-Баланс-ОДДС (без льгот)'!I17&gt;0,'ОПУ-Баланс-ОДДС (без льгот)'!I17*Налоги!I35,0)</f>
        <v>49787.862721010904</v>
      </c>
      <c r="J180" s="18">
        <f>IF('ОПУ-Баланс-ОДДС (без льгот)'!J17&gt;0,'ОПУ-Баланс-ОДДС (без льгот)'!J17*Налоги!J35,0)</f>
        <v>52056.142896518017</v>
      </c>
      <c r="K180" s="18">
        <f>IF('ОПУ-Баланс-ОДДС (без льгот)'!K17&gt;0,'ОПУ-Баланс-ОДДС (без льгот)'!K17*Налоги!K35,0)</f>
        <v>57610.501707224532</v>
      </c>
      <c r="L180" s="18">
        <f>IF('ОПУ-Баланс-ОДДС (без льгот)'!L17&gt;0,'ОПУ-Баланс-ОДДС (без льгот)'!L17*Налоги!L35,0)</f>
        <v>60196.879775513524</v>
      </c>
      <c r="M180" s="18">
        <f>IF('ОПУ-Баланс-ОДДС (без льгот)'!M17&gt;0,'ОПУ-Баланс-ОДДС (без льгот)'!M17*Налоги!M35,0)</f>
        <v>62881.16896653406</v>
      </c>
      <c r="N180" s="18">
        <f>IF('ОПУ-Баланс-ОДДС (без льгот)'!N17&gt;0,'ОПУ-Баланс-ОДДС (без льгот)'!N17*Налоги!N35,0)</f>
        <v>65667.285725195383</v>
      </c>
      <c r="O180" s="18">
        <f>IF('ОПУ-Баланс-ОДДС (без льгот)'!O17&gt;0,'ОПУ-Баланс-ОДДС (без льгот)'!O17*Налоги!O35,0)</f>
        <v>68559.303154203226</v>
      </c>
      <c r="P180" s="18">
        <f>IF('ОПУ-Баланс-ОДДС (без льгот)'!P17&gt;0,'ОПУ-Баланс-ОДДС (без льгот)'!P17*Налоги!P35,0)</f>
        <v>71039.042831458355</v>
      </c>
      <c r="Q180" s="18">
        <f>IF('ОПУ-Баланс-ОДДС (без льгот)'!Q17&gt;0,'ОПУ-Баланс-ОДДС (без льгот)'!Q17*Налоги!Q35,0)</f>
        <v>74134.842544716725</v>
      </c>
      <c r="R180" s="18">
        <f>IF('ОПУ-Баланс-ОДДС (без льгот)'!R17&gt;0,'ОПУ-Баланс-ОДДС (без льгот)'!R17*Налоги!R35,0)</f>
        <v>77348.930246505421</v>
      </c>
    </row>
    <row r="181" spans="1:18">
      <c r="A181" s="15" t="s">
        <v>69</v>
      </c>
      <c r="C181" s="6" t="s">
        <v>60</v>
      </c>
      <c r="D181" s="18">
        <f>-'ОПУ-Баланс-ОДДС (без льгот)'!D30</f>
        <v>0</v>
      </c>
      <c r="E181" s="18">
        <f>-'ОПУ-Баланс-ОДДС (без льгот)'!E30</f>
        <v>0</v>
      </c>
      <c r="F181" s="18">
        <f>-'ОПУ-Баланс-ОДДС (без льгот)'!F30</f>
        <v>7521.25</v>
      </c>
      <c r="G181" s="18">
        <f>-'ОПУ-Баланс-ОДДС (без льгот)'!G30</f>
        <v>14657.5</v>
      </c>
      <c r="H181" s="18">
        <f>-'ОПУ-Баланс-ОДДС (без льгот)'!H30</f>
        <v>13887.5</v>
      </c>
      <c r="I181" s="18">
        <f>-'ОПУ-Баланс-ОДДС (без льгот)'!I30</f>
        <v>13117.5</v>
      </c>
      <c r="J181" s="18">
        <f>-'ОПУ-Баланс-ОДДС (без льгот)'!J30</f>
        <v>12347.5</v>
      </c>
      <c r="K181" s="18">
        <f>-'ОПУ-Баланс-ОДДС (без льгот)'!K30</f>
        <v>11577.5</v>
      </c>
      <c r="L181" s="18">
        <f>-'ОПУ-Баланс-ОДДС (без льгот)'!L30</f>
        <v>10807.5</v>
      </c>
      <c r="M181" s="18">
        <f>-'ОПУ-Баланс-ОДДС (без льгот)'!M30</f>
        <v>10037.5</v>
      </c>
      <c r="N181" s="18">
        <f>-'ОПУ-Баланс-ОДДС (без льгот)'!N30</f>
        <v>9267.5</v>
      </c>
      <c r="O181" s="18">
        <f>-'ОПУ-Баланс-ОДДС (без льгот)'!O30</f>
        <v>8497.5</v>
      </c>
      <c r="P181" s="18">
        <f>-'ОПУ-Баланс-ОДДС (без льгот)'!P30</f>
        <v>7727.5</v>
      </c>
      <c r="Q181" s="18">
        <f>-'ОПУ-Баланс-ОДДС (без льгот)'!Q30</f>
        <v>6957.5</v>
      </c>
      <c r="R181" s="18">
        <f>-'ОПУ-Баланс-ОДДС (без льгот)'!R30</f>
        <v>6187.5</v>
      </c>
    </row>
    <row r="182" spans="1:18">
      <c r="A182" s="15" t="s">
        <v>75</v>
      </c>
      <c r="C182" s="6" t="s">
        <v>60</v>
      </c>
      <c r="D182" s="18">
        <f>D91</f>
        <v>0</v>
      </c>
      <c r="E182" s="18">
        <f t="shared" ref="E182:R182" si="288">E91</f>
        <v>0</v>
      </c>
      <c r="F182" s="18">
        <f t="shared" si="288"/>
        <v>3101.5364468802541</v>
      </c>
      <c r="G182" s="18">
        <f t="shared" si="288"/>
        <v>6125.7213221334969</v>
      </c>
      <c r="H182" s="18">
        <f t="shared" si="288"/>
        <v>6709.2436418913676</v>
      </c>
      <c r="I182" s="18">
        <f t="shared" si="288"/>
        <v>6977.613387567023</v>
      </c>
      <c r="J182" s="18">
        <f t="shared" si="288"/>
        <v>7256.7179230697038</v>
      </c>
      <c r="K182" s="18">
        <f t="shared" si="288"/>
        <v>7546.9866399924913</v>
      </c>
      <c r="L182" s="18">
        <f t="shared" si="288"/>
        <v>7848.866105592193</v>
      </c>
      <c r="M182" s="18">
        <f t="shared" si="288"/>
        <v>8162.8207498158799</v>
      </c>
      <c r="N182" s="18">
        <f t="shared" si="288"/>
        <v>8489.3335798085154</v>
      </c>
      <c r="O182" s="18">
        <f t="shared" si="288"/>
        <v>8828.9069230008554</v>
      </c>
      <c r="P182" s="18">
        <f t="shared" si="288"/>
        <v>9182.0631999208908</v>
      </c>
      <c r="Q182" s="18">
        <f t="shared" si="288"/>
        <v>9549.3457279177273</v>
      </c>
      <c r="R182" s="18">
        <f t="shared" si="288"/>
        <v>9931.3195570344342</v>
      </c>
    </row>
    <row r="183" spans="1:18">
      <c r="A183" s="75" t="s">
        <v>273</v>
      </c>
      <c r="C183" s="6" t="s">
        <v>60</v>
      </c>
      <c r="D183" s="18">
        <f>D92</f>
        <v>-150000</v>
      </c>
      <c r="E183" s="18">
        <f t="shared" ref="E183:R183" si="289">E92</f>
        <v>-250000</v>
      </c>
      <c r="F183" s="18">
        <f t="shared" si="289"/>
        <v>-100000</v>
      </c>
      <c r="G183" s="18">
        <f t="shared" si="289"/>
        <v>0</v>
      </c>
      <c r="H183" s="18">
        <f t="shared" si="289"/>
        <v>0</v>
      </c>
      <c r="I183" s="18">
        <f t="shared" si="289"/>
        <v>0</v>
      </c>
      <c r="J183" s="18">
        <f t="shared" si="289"/>
        <v>0</v>
      </c>
      <c r="K183" s="18">
        <f t="shared" si="289"/>
        <v>0</v>
      </c>
      <c r="L183" s="18">
        <f t="shared" si="289"/>
        <v>0</v>
      </c>
      <c r="M183" s="18">
        <f t="shared" si="289"/>
        <v>0</v>
      </c>
      <c r="N183" s="18">
        <f t="shared" si="289"/>
        <v>0</v>
      </c>
      <c r="O183" s="18">
        <f t="shared" si="289"/>
        <v>0</v>
      </c>
      <c r="P183" s="18">
        <f t="shared" si="289"/>
        <v>0</v>
      </c>
      <c r="Q183" s="18">
        <f t="shared" si="289"/>
        <v>0</v>
      </c>
      <c r="R183" s="18">
        <f t="shared" si="289"/>
        <v>0</v>
      </c>
    </row>
    <row r="185" spans="1:18">
      <c r="A185" s="1" t="s">
        <v>316</v>
      </c>
      <c r="C185" s="6" t="s">
        <v>60</v>
      </c>
      <c r="D185" s="18">
        <f>D178*D100</f>
        <v>-137635.27508143807</v>
      </c>
      <c r="E185" s="18">
        <f t="shared" ref="E185:R185" si="290">E178*E100</f>
        <v>-193132.55996160518</v>
      </c>
      <c r="F185" s="18">
        <f t="shared" si="290"/>
        <v>-58132.5389867786</v>
      </c>
      <c r="G185" s="18">
        <f t="shared" si="290"/>
        <v>34660.792125138396</v>
      </c>
      <c r="H185" s="18">
        <f t="shared" si="290"/>
        <v>31442.820668015018</v>
      </c>
      <c r="I185" s="18">
        <f t="shared" si="290"/>
        <v>27126.567897874895</v>
      </c>
      <c r="J185" s="18">
        <f t="shared" si="290"/>
        <v>23419.598229371051</v>
      </c>
      <c r="K185" s="18">
        <f t="shared" si="290"/>
        <v>21114.017323650914</v>
      </c>
      <c r="L185" s="18">
        <f t="shared" si="290"/>
        <v>18267.285206997174</v>
      </c>
      <c r="M185" s="18">
        <f t="shared" si="290"/>
        <v>15814.415535177899</v>
      </c>
      <c r="N185" s="18">
        <f t="shared" si="290"/>
        <v>13699.352775380983</v>
      </c>
      <c r="O185" s="18">
        <f t="shared" si="290"/>
        <v>11874.253648788148</v>
      </c>
      <c r="P185" s="18">
        <f t="shared" si="290"/>
        <v>10237.43986632678</v>
      </c>
      <c r="Q185" s="18">
        <f t="shared" si="290"/>
        <v>8883.1578966732359</v>
      </c>
      <c r="R185" s="18">
        <f t="shared" si="290"/>
        <v>7712.1980776021501</v>
      </c>
    </row>
    <row r="186" spans="1:18">
      <c r="A186" s="1" t="s">
        <v>275</v>
      </c>
      <c r="C186" s="6" t="s">
        <v>60</v>
      </c>
      <c r="D186" s="18">
        <f>D185</f>
        <v>-137635.27508143807</v>
      </c>
      <c r="E186" s="18">
        <f>D186+E185</f>
        <v>-330767.83504304325</v>
      </c>
      <c r="F186" s="18">
        <f t="shared" ref="F186" si="291">E186+F185</f>
        <v>-388900.37402982183</v>
      </c>
      <c r="G186" s="18">
        <f t="shared" ref="G186" si="292">F186+G185</f>
        <v>-354239.58190468344</v>
      </c>
      <c r="H186" s="18">
        <f t="shared" ref="H186" si="293">G186+H185</f>
        <v>-322796.76123666845</v>
      </c>
      <c r="I186" s="18">
        <f t="shared" ref="I186" si="294">H186+I185</f>
        <v>-295670.19333879353</v>
      </c>
      <c r="J186" s="18">
        <f t="shared" ref="J186" si="295">I186+J185</f>
        <v>-272250.59510942246</v>
      </c>
      <c r="K186" s="18">
        <f t="shared" ref="K186" si="296">J186+K185</f>
        <v>-251136.57778577154</v>
      </c>
      <c r="L186" s="18">
        <f t="shared" ref="L186" si="297">K186+L185</f>
        <v>-232869.29257877436</v>
      </c>
      <c r="M186" s="18">
        <f t="shared" ref="M186" si="298">L186+M185</f>
        <v>-217054.87704359647</v>
      </c>
      <c r="N186" s="18">
        <f t="shared" ref="N186" si="299">M186+N185</f>
        <v>-203355.52426821549</v>
      </c>
      <c r="O186" s="18">
        <f t="shared" ref="O186" si="300">N186+O185</f>
        <v>-191481.27061942735</v>
      </c>
      <c r="P186" s="18">
        <f t="shared" ref="P186" si="301">O186+P185</f>
        <v>-181243.83075310057</v>
      </c>
      <c r="Q186" s="18">
        <f t="shared" ref="Q186" si="302">P186+Q185</f>
        <v>-172360.67285642732</v>
      </c>
      <c r="R186" s="18">
        <f t="shared" ref="R186" si="303">Q186+R185</f>
        <v>-164648.47477882518</v>
      </c>
    </row>
    <row r="188" spans="1:18">
      <c r="A188" s="9" t="s">
        <v>325</v>
      </c>
      <c r="B188" s="105">
        <f>SUM(D185:R185)</f>
        <v>-164648.47477882518</v>
      </c>
      <c r="C188" s="53" t="s">
        <v>60</v>
      </c>
    </row>
    <row r="189" spans="1:18">
      <c r="A189" s="15" t="s">
        <v>336</v>
      </c>
      <c r="B189" s="105">
        <f>-B107+B188</f>
        <v>117472.37458508433</v>
      </c>
    </row>
    <row r="191" spans="1:18">
      <c r="A191" s="104"/>
      <c r="C191" s="53"/>
    </row>
    <row r="193" spans="1:3">
      <c r="A193" s="104"/>
      <c r="C193" s="5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79998168889431442"/>
  </sheetPr>
  <dimension ref="A2:N39"/>
  <sheetViews>
    <sheetView zoomScaleNormal="100" workbookViewId="0">
      <selection activeCell="G47" sqref="G47"/>
    </sheetView>
  </sheetViews>
  <sheetFormatPr baseColWidth="10" defaultColWidth="9.1640625" defaultRowHeight="15"/>
  <cols>
    <col min="1" max="1" width="30.5" style="1" customWidth="1"/>
    <col min="2" max="2" width="9.5" style="1" customWidth="1"/>
    <col min="3" max="3" width="14" style="1" customWidth="1"/>
    <col min="4" max="4" width="10.1640625" style="1" customWidth="1"/>
    <col min="5" max="5" width="9.6640625" style="1" customWidth="1"/>
    <col min="6" max="6" width="9.83203125" style="1" customWidth="1"/>
    <col min="7" max="8" width="9.1640625" style="1"/>
    <col min="9" max="9" width="10.33203125" style="1" customWidth="1"/>
    <col min="10" max="10" width="10.1640625" style="1" customWidth="1"/>
    <col min="11" max="13" width="9.1640625" style="1"/>
    <col min="14" max="14" width="12.33203125" style="1" bestFit="1" customWidth="1"/>
    <col min="15" max="16384" width="9.1640625" style="1"/>
  </cols>
  <sheetData>
    <row r="2" spans="1:12">
      <c r="A2" s="96" t="s">
        <v>301</v>
      </c>
      <c r="B2" s="102">
        <v>1</v>
      </c>
    </row>
    <row r="3" spans="1:12">
      <c r="A3" s="96" t="s">
        <v>312</v>
      </c>
      <c r="B3" s="102">
        <v>1</v>
      </c>
    </row>
    <row r="4" spans="1:12">
      <c r="A4" s="96" t="s">
        <v>299</v>
      </c>
      <c r="B4" s="102">
        <v>1</v>
      </c>
    </row>
    <row r="5" spans="1:12">
      <c r="A5" s="96" t="s">
        <v>302</v>
      </c>
      <c r="B5" s="102">
        <v>1</v>
      </c>
    </row>
    <row r="6" spans="1:12">
      <c r="A6" s="96" t="s">
        <v>331</v>
      </c>
      <c r="B6" s="102">
        <v>1</v>
      </c>
    </row>
    <row r="7" spans="1:12" ht="16" thickBot="1"/>
    <row r="8" spans="1:12">
      <c r="A8" s="110" t="s">
        <v>301</v>
      </c>
      <c r="B8" s="111"/>
      <c r="C8" s="120">
        <f>B2</f>
        <v>1</v>
      </c>
      <c r="D8" s="118">
        <f t="shared" ref="D8:F8" si="0">E8-0.25</f>
        <v>0</v>
      </c>
      <c r="E8" s="118">
        <f t="shared" si="0"/>
        <v>0.25</v>
      </c>
      <c r="F8" s="118">
        <f t="shared" si="0"/>
        <v>0.5</v>
      </c>
      <c r="G8" s="118">
        <f>H8-0.25</f>
        <v>0.75</v>
      </c>
      <c r="H8" s="118">
        <v>1</v>
      </c>
      <c r="I8" s="118">
        <f>H8+0.25</f>
        <v>1.25</v>
      </c>
      <c r="J8" s="118">
        <f t="shared" ref="J8:K8" si="1">I8+0.25</f>
        <v>1.5</v>
      </c>
      <c r="K8" s="118">
        <f t="shared" si="1"/>
        <v>1.75</v>
      </c>
      <c r="L8" s="119">
        <f>K8+0.25</f>
        <v>2</v>
      </c>
    </row>
    <row r="9" spans="1:12">
      <c r="A9" s="112" t="s">
        <v>234</v>
      </c>
      <c r="B9" s="6" t="s">
        <v>60</v>
      </c>
      <c r="C9" s="113">
        <f>'Эффективность проекта'!$B$23</f>
        <v>315254.54934270395</v>
      </c>
      <c r="D9" s="123" t="e">
        <f t="dataTable" ref="D9:L12" dt2D="0" dtr="1" r1="B2" ca="1"/>
        <v>#DIV/0!</v>
      </c>
      <c r="E9" s="124">
        <v>1075460.9460835455</v>
      </c>
      <c r="F9" s="124">
        <v>762196.33913442027</v>
      </c>
      <c r="G9" s="124">
        <v>529684.41864082601</v>
      </c>
      <c r="H9" s="124">
        <v>315254.54934270395</v>
      </c>
      <c r="I9" s="124">
        <v>107751.775486042</v>
      </c>
      <c r="J9" s="124">
        <v>-96369.062218725827</v>
      </c>
      <c r="K9" s="124">
        <v>-298586.67482271476</v>
      </c>
      <c r="L9" s="125">
        <v>-499627.40655142395</v>
      </c>
    </row>
    <row r="10" spans="1:12">
      <c r="A10" s="112" t="s">
        <v>235</v>
      </c>
      <c r="B10" s="6" t="s">
        <v>7</v>
      </c>
      <c r="C10" s="114">
        <f>'Эффективность проекта'!$B$24</f>
        <v>0.27991813695697787</v>
      </c>
      <c r="D10" s="122" t="e">
        <v>#VALUE!</v>
      </c>
      <c r="E10" s="92">
        <v>13.31241125055362</v>
      </c>
      <c r="F10" s="92">
        <v>0.65280981106288416</v>
      </c>
      <c r="G10" s="92">
        <v>0.38925194992502554</v>
      </c>
      <c r="H10" s="92">
        <v>0.27991813695697787</v>
      </c>
      <c r="I10" s="92">
        <v>0.21537056269915777</v>
      </c>
      <c r="J10" s="92">
        <v>0.17101061770996329</v>
      </c>
      <c r="K10" s="92">
        <v>0.13781358798571297</v>
      </c>
      <c r="L10" s="114">
        <v>0.11157942858699932</v>
      </c>
    </row>
    <row r="11" spans="1:12">
      <c r="A11" s="112" t="s">
        <v>238</v>
      </c>
      <c r="B11" s="6" t="s">
        <v>132</v>
      </c>
      <c r="C11" s="113">
        <f>'Эффективность проекта'!$B$27</f>
        <v>5.4979844538449925</v>
      </c>
      <c r="D11" s="121">
        <v>0</v>
      </c>
      <c r="E11" s="18">
        <v>1.0739062455472776</v>
      </c>
      <c r="F11" s="18">
        <v>3.781846378931732</v>
      </c>
      <c r="G11" s="18">
        <v>4.7271227697481208</v>
      </c>
      <c r="H11" s="18">
        <v>5.4979844538449925</v>
      </c>
      <c r="I11" s="18">
        <v>6.2478411947797667</v>
      </c>
      <c r="J11" s="18">
        <v>6.9862574284777565</v>
      </c>
      <c r="K11" s="18">
        <v>7.8037863013332753</v>
      </c>
      <c r="L11" s="113">
        <v>8.6017900202205055</v>
      </c>
    </row>
    <row r="12" spans="1:12" ht="28" thickBot="1">
      <c r="A12" s="115" t="s">
        <v>300</v>
      </c>
      <c r="B12" s="116" t="s">
        <v>60</v>
      </c>
      <c r="C12" s="117">
        <f>'Эффективность проекта'!$B$53</f>
        <v>89427.718371518014</v>
      </c>
      <c r="D12" s="126" t="e">
        <v>#DIV/0!</v>
      </c>
      <c r="E12" s="127">
        <v>193080.60087995391</v>
      </c>
      <c r="F12" s="127">
        <v>125293.45078829683</v>
      </c>
      <c r="G12" s="127">
        <v>102446.40793124046</v>
      </c>
      <c r="H12" s="127">
        <v>89427.718371518014</v>
      </c>
      <c r="I12" s="127">
        <v>80138.01196141688</v>
      </c>
      <c r="J12" s="127">
        <v>72658.980850277614</v>
      </c>
      <c r="K12" s="127">
        <v>66195.335342489678</v>
      </c>
      <c r="L12" s="128">
        <v>60358.00383346992</v>
      </c>
    </row>
    <row r="13" spans="1:12" ht="16" thickBot="1"/>
    <row r="14" spans="1:12">
      <c r="A14" s="110" t="s">
        <v>302</v>
      </c>
      <c r="B14" s="111"/>
      <c r="C14" s="120">
        <f>B5</f>
        <v>1</v>
      </c>
      <c r="D14" s="118">
        <f t="shared" ref="D14:F14" si="2">E14-0.25</f>
        <v>0</v>
      </c>
      <c r="E14" s="118">
        <f t="shared" si="2"/>
        <v>0.25</v>
      </c>
      <c r="F14" s="118">
        <f t="shared" si="2"/>
        <v>0.5</v>
      </c>
      <c r="G14" s="118">
        <f>H14-0.25</f>
        <v>0.75</v>
      </c>
      <c r="H14" s="118">
        <v>1</v>
      </c>
      <c r="I14" s="118">
        <f>H14+0.25</f>
        <v>1.25</v>
      </c>
      <c r="J14" s="118">
        <f t="shared" ref="J14:K14" si="3">I14+0.25</f>
        <v>1.5</v>
      </c>
      <c r="K14" s="118">
        <f t="shared" si="3"/>
        <v>1.75</v>
      </c>
      <c r="L14" s="119">
        <f>K14+0.25</f>
        <v>2</v>
      </c>
    </row>
    <row r="15" spans="1:12">
      <c r="A15" s="112" t="s">
        <v>234</v>
      </c>
      <c r="B15" s="6" t="s">
        <v>60</v>
      </c>
      <c r="C15" s="113">
        <f>'Эффективность проекта'!$B$23</f>
        <v>315254.54934270395</v>
      </c>
      <c r="D15" s="123">
        <f t="dataTable" ref="D15:L18" dt2D="0" dtr="1" r1="B5"/>
        <v>-111508.11243655218</v>
      </c>
      <c r="E15" s="124">
        <v>1303.6071902135373</v>
      </c>
      <c r="F15" s="124">
        <v>108544.31398617607</v>
      </c>
      <c r="G15" s="124">
        <v>212794.43271171919</v>
      </c>
      <c r="H15" s="124">
        <v>315254.54934270395</v>
      </c>
      <c r="I15" s="124">
        <v>416558.65189803665</v>
      </c>
      <c r="J15" s="124">
        <v>517073.0175649068</v>
      </c>
      <c r="K15" s="124">
        <v>617023.99730970745</v>
      </c>
      <c r="L15" s="125">
        <v>716558.9983156895</v>
      </c>
    </row>
    <row r="16" spans="1:12">
      <c r="A16" s="112" t="s">
        <v>235</v>
      </c>
      <c r="B16" s="6" t="s">
        <v>7</v>
      </c>
      <c r="C16" s="114">
        <f>'Эффективность проекта'!$B$24</f>
        <v>0.27991813695697787</v>
      </c>
      <c r="D16" s="122">
        <v>0.17282142743743623</v>
      </c>
      <c r="E16" s="92">
        <v>0.19321579976413505</v>
      </c>
      <c r="F16" s="92">
        <v>0.21705261124716824</v>
      </c>
      <c r="G16" s="92">
        <v>0.24541679097528002</v>
      </c>
      <c r="H16" s="92">
        <v>0.27991813695697787</v>
      </c>
      <c r="I16" s="92">
        <v>0.32304651618629476</v>
      </c>
      <c r="J16" s="92">
        <v>0.37884355756884336</v>
      </c>
      <c r="K16" s="92">
        <v>0.45424074117380298</v>
      </c>
      <c r="L16" s="114">
        <v>0.56185074578268468</v>
      </c>
    </row>
    <row r="17" spans="1:14">
      <c r="A17" s="112" t="s">
        <v>238</v>
      </c>
      <c r="B17" s="6" t="s">
        <v>132</v>
      </c>
      <c r="C17" s="113">
        <f>'Эффективность проекта'!$B$27</f>
        <v>5.4979844538449925</v>
      </c>
      <c r="D17" s="121">
        <v>7.101535530331148</v>
      </c>
      <c r="E17" s="18">
        <v>6.7005709227144052</v>
      </c>
      <c r="F17" s="18">
        <v>6.3074381130879829</v>
      </c>
      <c r="G17" s="18">
        <v>5.9097824782402313</v>
      </c>
      <c r="H17" s="18">
        <v>5.4979844538449925</v>
      </c>
      <c r="I17" s="18">
        <v>5.0853314416081048</v>
      </c>
      <c r="J17" s="18">
        <v>4.6453795147949677</v>
      </c>
      <c r="K17" s="18">
        <v>4.1975555669721416</v>
      </c>
      <c r="L17" s="113">
        <v>3.2133877043063421</v>
      </c>
    </row>
    <row r="18" spans="1:14" ht="28" thickBot="1">
      <c r="A18" s="115" t="s">
        <v>300</v>
      </c>
      <c r="B18" s="116" t="s">
        <v>60</v>
      </c>
      <c r="C18" s="117">
        <f>'Эффективность проекта'!$B$53</f>
        <v>89427.718371518014</v>
      </c>
      <c r="D18" s="126">
        <v>448994.83457774203</v>
      </c>
      <c r="E18" s="127">
        <v>364311.40851626766</v>
      </c>
      <c r="F18" s="127">
        <v>274875.0101050298</v>
      </c>
      <c r="G18" s="127">
        <v>182905.81814824283</v>
      </c>
      <c r="H18" s="127">
        <v>89427.718371518014</v>
      </c>
      <c r="I18" s="127">
        <v>-5021.6899831231567</v>
      </c>
      <c r="J18" s="127">
        <v>-100133.06098247999</v>
      </c>
      <c r="K18" s="127">
        <v>-195715.79510895978</v>
      </c>
      <c r="L18" s="128">
        <v>-291646.05363990657</v>
      </c>
    </row>
    <row r="19" spans="1:14" ht="16" thickBot="1"/>
    <row r="20" spans="1:14">
      <c r="A20" s="110" t="s">
        <v>299</v>
      </c>
      <c r="B20" s="111"/>
      <c r="C20" s="120">
        <f>B4</f>
        <v>1</v>
      </c>
      <c r="D20" s="118">
        <f t="shared" ref="D20:F20" si="4">E20-0.25</f>
        <v>0</v>
      </c>
      <c r="E20" s="118">
        <f t="shared" si="4"/>
        <v>0.25</v>
      </c>
      <c r="F20" s="118">
        <f t="shared" si="4"/>
        <v>0.5</v>
      </c>
      <c r="G20" s="118">
        <f>H20-0.25</f>
        <v>0.75</v>
      </c>
      <c r="H20" s="118">
        <v>1</v>
      </c>
      <c r="I20" s="118">
        <f>H20+0.25</f>
        <v>1.25</v>
      </c>
      <c r="J20" s="118">
        <f t="shared" ref="J20:K20" si="5">I20+0.25</f>
        <v>1.5</v>
      </c>
      <c r="K20" s="118">
        <f t="shared" si="5"/>
        <v>1.75</v>
      </c>
      <c r="L20" s="119">
        <f>K20+0.25</f>
        <v>2</v>
      </c>
    </row>
    <row r="21" spans="1:14">
      <c r="A21" s="112" t="s">
        <v>234</v>
      </c>
      <c r="B21" s="6" t="s">
        <v>60</v>
      </c>
      <c r="C21" s="113">
        <f>'Эффективность проекта'!$B$23</f>
        <v>315254.54934270395</v>
      </c>
      <c r="D21" s="123">
        <f t="dataTable" ref="D21:L24" dt2D="0" dtr="1" r1="B4" ca="1"/>
        <v>2898764.6367476759</v>
      </c>
      <c r="E21" s="124">
        <v>1738883.2815598873</v>
      </c>
      <c r="F21" s="124">
        <v>1038572.467075023</v>
      </c>
      <c r="G21" s="124">
        <v>599622.4532301093</v>
      </c>
      <c r="H21" s="124">
        <v>315254.54934270395</v>
      </c>
      <c r="I21" s="124">
        <v>125656.51739651342</v>
      </c>
      <c r="J21" s="124">
        <v>-3908.5060579968558</v>
      </c>
      <c r="K21" s="124">
        <v>-94300.159966255756</v>
      </c>
      <c r="L21" s="125">
        <v>-158437.12743234378</v>
      </c>
    </row>
    <row r="22" spans="1:14">
      <c r="A22" s="112" t="s">
        <v>235</v>
      </c>
      <c r="B22" s="6" t="s">
        <v>7</v>
      </c>
      <c r="C22" s="114">
        <f>'Эффективность проекта'!$B$24</f>
        <v>0.27991813695697787</v>
      </c>
      <c r="D22" s="122">
        <v>0.27991813695697787</v>
      </c>
      <c r="E22" s="92">
        <v>0.27991813695697787</v>
      </c>
      <c r="F22" s="92">
        <v>0.27991813695697787</v>
      </c>
      <c r="G22" s="92">
        <v>0.27991813695697787</v>
      </c>
      <c r="H22" s="92">
        <v>0.27991813695697787</v>
      </c>
      <c r="I22" s="92">
        <v>0.27991813695697787</v>
      </c>
      <c r="J22" s="92">
        <v>0.27991813695697787</v>
      </c>
      <c r="K22" s="92">
        <v>0.27991813695697787</v>
      </c>
      <c r="L22" s="114">
        <v>0.27991813695697787</v>
      </c>
    </row>
    <row r="23" spans="1:14">
      <c r="A23" s="112" t="s">
        <v>238</v>
      </c>
      <c r="B23" s="6" t="s">
        <v>132</v>
      </c>
      <c r="C23" s="113">
        <f>'Эффективность проекта'!$B$27</f>
        <v>5.4979844538449925</v>
      </c>
      <c r="D23" s="121">
        <v>5.4979844538449925</v>
      </c>
      <c r="E23" s="18">
        <v>5.4979844538449925</v>
      </c>
      <c r="F23" s="18">
        <v>5.4979844538449925</v>
      </c>
      <c r="G23" s="18">
        <v>5.4979844538449925</v>
      </c>
      <c r="H23" s="18">
        <v>5.4979844538449925</v>
      </c>
      <c r="I23" s="18">
        <v>5.4979844538449925</v>
      </c>
      <c r="J23" s="18">
        <v>5.4979844538449925</v>
      </c>
      <c r="K23" s="18">
        <v>5.4979844538449925</v>
      </c>
      <c r="L23" s="113">
        <v>5.4979844538449925</v>
      </c>
    </row>
    <row r="24" spans="1:14" ht="28" thickBot="1">
      <c r="A24" s="115" t="s">
        <v>300</v>
      </c>
      <c r="B24" s="116" t="s">
        <v>60</v>
      </c>
      <c r="C24" s="117">
        <f>'Эффективность проекта'!$B$53</f>
        <v>89427.718371518014</v>
      </c>
      <c r="D24" s="126">
        <v>1803278.2014469332</v>
      </c>
      <c r="E24" s="127">
        <v>999464.13225172018</v>
      </c>
      <c r="F24" s="127">
        <v>535907.36029868945</v>
      </c>
      <c r="G24" s="127">
        <v>259330.3952925193</v>
      </c>
      <c r="H24" s="127">
        <v>89427.718371518014</v>
      </c>
      <c r="I24" s="127">
        <v>-17489.286646166813</v>
      </c>
      <c r="J24" s="127">
        <v>-86034.605444168585</v>
      </c>
      <c r="K24" s="127">
        <v>-130533.18954166862</v>
      </c>
      <c r="L24" s="128">
        <v>-159576.37925359153</v>
      </c>
    </row>
    <row r="25" spans="1:14" ht="16" thickBot="1"/>
    <row r="26" spans="1:14">
      <c r="A26" s="110" t="s">
        <v>330</v>
      </c>
      <c r="B26" s="111"/>
      <c r="C26" s="120">
        <f>B3</f>
        <v>1</v>
      </c>
      <c r="D26" s="118">
        <f t="shared" ref="D26:F26" si="6">E26-0.25</f>
        <v>0</v>
      </c>
      <c r="E26" s="118">
        <f t="shared" si="6"/>
        <v>0.25</v>
      </c>
      <c r="F26" s="118">
        <f t="shared" si="6"/>
        <v>0.5</v>
      </c>
      <c r="G26" s="118">
        <f>H26-0.25</f>
        <v>0.75</v>
      </c>
      <c r="H26" s="118">
        <v>1</v>
      </c>
      <c r="I26" s="118">
        <f>H26+0.25</f>
        <v>1.25</v>
      </c>
      <c r="J26" s="118">
        <f t="shared" ref="J26:K26" si="7">I26+0.25</f>
        <v>1.5</v>
      </c>
      <c r="K26" s="118">
        <f t="shared" si="7"/>
        <v>1.75</v>
      </c>
      <c r="L26" s="119">
        <f>K26+0.25</f>
        <v>2</v>
      </c>
    </row>
    <row r="27" spans="1:14">
      <c r="A27" s="112" t="s">
        <v>234</v>
      </c>
      <c r="B27" s="6" t="s">
        <v>60</v>
      </c>
      <c r="C27" s="113">
        <f>'Эффективность проекта'!$B$23</f>
        <v>315254.54934270395</v>
      </c>
      <c r="D27" s="123">
        <f t="dataTable" ref="D27:L30" dt2D="0" dtr="1" r1="B3" ca="1"/>
        <v>-2480118.7682351531</v>
      </c>
      <c r="E27" s="124">
        <v>-1750674.7471241411</v>
      </c>
      <c r="F27" s="124">
        <v>-1021230.7260131293</v>
      </c>
      <c r="G27" s="124">
        <v>-326739.53029173211</v>
      </c>
      <c r="H27" s="124">
        <v>315254.54934270395</v>
      </c>
      <c r="I27" s="124">
        <v>956745.45288265706</v>
      </c>
      <c r="J27" s="124">
        <v>1597413.0218141149</v>
      </c>
      <c r="K27" s="124">
        <v>2238080.5907455739</v>
      </c>
      <c r="L27" s="125">
        <v>2878748.1596770301</v>
      </c>
    </row>
    <row r="28" spans="1:14">
      <c r="A28" s="112" t="s">
        <v>235</v>
      </c>
      <c r="B28" s="6" t="s">
        <v>7</v>
      </c>
      <c r="C28" s="114">
        <f>'Эффективность проекта'!$B$24</f>
        <v>0.27991813695697787</v>
      </c>
      <c r="D28" s="122" t="e">
        <v>#NUM!</v>
      </c>
      <c r="E28" s="92" t="e">
        <v>#NUM!</v>
      </c>
      <c r="F28" s="92" t="e">
        <v>#NUM!</v>
      </c>
      <c r="G28" s="92">
        <v>4.5519559313648372E-2</v>
      </c>
      <c r="H28" s="92">
        <v>0.27991813695697787</v>
      </c>
      <c r="I28" s="92">
        <v>0.4204104023145343</v>
      </c>
      <c r="J28" s="92">
        <v>0.53026586628981143</v>
      </c>
      <c r="K28" s="92">
        <v>0.62330094542207259</v>
      </c>
      <c r="L28" s="114">
        <v>0.70519490261710005</v>
      </c>
      <c r="N28" s="14"/>
    </row>
    <row r="29" spans="1:14">
      <c r="A29" s="112" t="s">
        <v>238</v>
      </c>
      <c r="B29" s="6" t="s">
        <v>132</v>
      </c>
      <c r="C29" s="113">
        <f>'Эффективность проекта'!$B$27</f>
        <v>5.4979844538449925</v>
      </c>
      <c r="D29" s="121">
        <v>0</v>
      </c>
      <c r="E29" s="18">
        <v>0</v>
      </c>
      <c r="F29" s="18">
        <v>0</v>
      </c>
      <c r="G29" s="18">
        <v>11.167662837144917</v>
      </c>
      <c r="H29" s="18">
        <v>5.4979844538449925</v>
      </c>
      <c r="I29" s="18">
        <v>4.5108770213300886</v>
      </c>
      <c r="J29" s="18">
        <v>4.0968656903066858</v>
      </c>
      <c r="K29" s="18">
        <v>3.7914015924836804</v>
      </c>
      <c r="L29" s="113">
        <v>3.5779215566201401</v>
      </c>
    </row>
    <row r="30" spans="1:14" ht="28" thickBot="1">
      <c r="A30" s="115" t="s">
        <v>300</v>
      </c>
      <c r="B30" s="116" t="s">
        <v>60</v>
      </c>
      <c r="C30" s="117">
        <f>'Эффективность проекта'!$B$53</f>
        <v>89427.718371518014</v>
      </c>
      <c r="D30" s="126">
        <v>-644835.77441684413</v>
      </c>
      <c r="E30" s="127">
        <v>-491870.59293630131</v>
      </c>
      <c r="F30" s="127">
        <v>-338905.41145575856</v>
      </c>
      <c r="G30" s="127">
        <v>-150987.40458560051</v>
      </c>
      <c r="H30" s="127">
        <v>89427.718371518014</v>
      </c>
      <c r="I30" s="127">
        <v>330346.0174231205</v>
      </c>
      <c r="J30" s="127">
        <v>572087.65108321724</v>
      </c>
      <c r="K30" s="127">
        <v>813829.28474331426</v>
      </c>
      <c r="L30" s="128">
        <v>1055570.9184034108</v>
      </c>
    </row>
    <row r="34" spans="3:12" ht="16" thickBot="1"/>
    <row r="35" spans="3:12" ht="16" thickBot="1">
      <c r="C35" s="137" t="s">
        <v>338</v>
      </c>
      <c r="D35" s="134">
        <v>0</v>
      </c>
      <c r="E35" s="135">
        <v>0.25</v>
      </c>
      <c r="F35" s="135">
        <v>0.5</v>
      </c>
      <c r="G35" s="135">
        <v>0.75</v>
      </c>
      <c r="H35" s="135">
        <v>1</v>
      </c>
      <c r="I35" s="135">
        <v>1.25</v>
      </c>
      <c r="J35" s="135">
        <v>1.5</v>
      </c>
      <c r="K35" s="135">
        <v>1.75</v>
      </c>
      <c r="L35" s="136">
        <v>2</v>
      </c>
    </row>
    <row r="36" spans="3:12">
      <c r="C36" s="131" t="s">
        <v>340</v>
      </c>
      <c r="D36" s="132"/>
      <c r="E36" s="133">
        <v>1075460.9460835455</v>
      </c>
      <c r="F36" s="133">
        <v>762196.33913442027</v>
      </c>
      <c r="G36" s="133">
        <v>529684.41864082601</v>
      </c>
      <c r="H36" s="133">
        <v>315254.54934270395</v>
      </c>
      <c r="I36" s="133">
        <v>107751.775486042</v>
      </c>
      <c r="J36" s="133">
        <v>-96369.062218725827</v>
      </c>
      <c r="K36" s="133">
        <v>-298586.67482271476</v>
      </c>
      <c r="L36" s="133">
        <v>-499627.40655142395</v>
      </c>
    </row>
    <row r="37" spans="3:12">
      <c r="C37" s="131" t="s">
        <v>341</v>
      </c>
      <c r="D37" s="130">
        <v>-111508.11243655218</v>
      </c>
      <c r="E37" s="124">
        <v>1303.6071902135373</v>
      </c>
      <c r="F37" s="124">
        <v>108544.31398617607</v>
      </c>
      <c r="G37" s="124">
        <v>212794.43271171919</v>
      </c>
      <c r="H37" s="124">
        <v>315254.54934270395</v>
      </c>
      <c r="I37" s="124">
        <v>416558.65189803665</v>
      </c>
      <c r="J37" s="124">
        <v>517073.0175649068</v>
      </c>
      <c r="K37" s="124">
        <v>617023.99730970745</v>
      </c>
      <c r="L37" s="124">
        <v>716558.9983156895</v>
      </c>
    </row>
    <row r="38" spans="3:12" ht="25">
      <c r="C38" s="131" t="s">
        <v>339</v>
      </c>
      <c r="D38" s="130">
        <v>2898764.6367476759</v>
      </c>
      <c r="E38" s="124">
        <v>1738883.2815598873</v>
      </c>
      <c r="F38" s="124">
        <v>1038572.467075023</v>
      </c>
      <c r="G38" s="124">
        <v>599622.4532301093</v>
      </c>
      <c r="H38" s="124">
        <v>315254.54934270395</v>
      </c>
      <c r="I38" s="124">
        <v>125656.51739651342</v>
      </c>
      <c r="J38" s="124">
        <v>-3908.5060579968558</v>
      </c>
      <c r="K38" s="124">
        <v>-94300.159966255756</v>
      </c>
      <c r="L38" s="124">
        <v>-158437.12743234378</v>
      </c>
    </row>
    <row r="39" spans="3:12">
      <c r="C39" s="131" t="s">
        <v>342</v>
      </c>
      <c r="D39" s="130">
        <v>-2480118.7682351531</v>
      </c>
      <c r="E39" s="124">
        <v>-1750674.7471241411</v>
      </c>
      <c r="F39" s="124">
        <v>-1021230.7260131293</v>
      </c>
      <c r="G39" s="124">
        <v>-326739.53029173211</v>
      </c>
      <c r="H39" s="124">
        <v>315254.54934270395</v>
      </c>
      <c r="I39" s="124">
        <v>956745.45288265706</v>
      </c>
      <c r="J39" s="124">
        <v>1597413.0218141149</v>
      </c>
      <c r="K39" s="124">
        <v>2238080.5907455739</v>
      </c>
      <c r="L39" s="124">
        <v>2878748.1596770301</v>
      </c>
    </row>
  </sheetData>
  <conditionalFormatting sqref="D8:L8">
    <cfRule type="cellIs" dxfId="4" priority="19" operator="greaterThan">
      <formula>0</formula>
    </cfRule>
  </conditionalFormatting>
  <conditionalFormatting sqref="D14:L14">
    <cfRule type="cellIs" dxfId="3" priority="5" operator="greaterThan">
      <formula>0</formula>
    </cfRule>
  </conditionalFormatting>
  <conditionalFormatting sqref="D20:L20">
    <cfRule type="cellIs" dxfId="2" priority="7" operator="greaterThan">
      <formula>0</formula>
    </cfRule>
  </conditionalFormatting>
  <conditionalFormatting sqref="D26:L26">
    <cfRule type="cellIs" dxfId="1" priority="9" operator="greaterThan">
      <formula>0</formula>
    </cfRule>
  </conditionalFormatting>
  <conditionalFormatting sqref="D35:L3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0.79998168889431442"/>
  </sheetPr>
  <dimension ref="A1:T80"/>
  <sheetViews>
    <sheetView zoomScale="90" zoomScaleNormal="90" workbookViewId="0">
      <selection activeCell="E60" sqref="E60"/>
    </sheetView>
  </sheetViews>
  <sheetFormatPr baseColWidth="10" defaultColWidth="9.1640625" defaultRowHeight="15" outlineLevelRow="1"/>
  <cols>
    <col min="1" max="1" width="50.5" style="1" customWidth="1"/>
    <col min="2" max="2" width="14.5" style="1" customWidth="1"/>
    <col min="3" max="3" width="12.83203125" style="1" customWidth="1"/>
    <col min="4" max="4" width="12" style="1" bestFit="1" customWidth="1"/>
    <col min="5" max="5" width="9.6640625" style="1" bestFit="1" customWidth="1"/>
    <col min="6" max="7" width="11" style="1" bestFit="1" customWidth="1"/>
    <col min="8" max="18" width="12.1640625" style="1" bestFit="1" customWidth="1"/>
    <col min="19" max="19" width="9.1640625" style="1"/>
    <col min="20" max="20" width="12.1640625" style="1" bestFit="1" customWidth="1"/>
    <col min="21" max="16384" width="9.1640625" style="1"/>
  </cols>
  <sheetData>
    <row r="1" spans="1:20">
      <c r="A1" s="37" t="s">
        <v>93</v>
      </c>
      <c r="B1" s="38" t="s">
        <v>105</v>
      </c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3" spans="1:20">
      <c r="A3" s="43" t="s">
        <v>55</v>
      </c>
      <c r="B3" s="47"/>
      <c r="C3" s="47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20">
      <c r="A4" s="40" t="s">
        <v>113</v>
      </c>
      <c r="B4" s="41"/>
      <c r="C4" s="41" t="s">
        <v>58</v>
      </c>
      <c r="D4" s="42">
        <f t="shared" ref="D4:R4" si="0">SUM(D5:D6)</f>
        <v>0</v>
      </c>
      <c r="E4" s="42">
        <f t="shared" si="0"/>
        <v>0</v>
      </c>
      <c r="F4" s="42">
        <f t="shared" si="0"/>
        <v>163157.95930751189</v>
      </c>
      <c r="G4" s="42">
        <f t="shared" si="0"/>
        <v>806000.31897910871</v>
      </c>
      <c r="H4" s="42">
        <f t="shared" si="0"/>
        <v>882358.24393502437</v>
      </c>
      <c r="I4" s="42">
        <f t="shared" si="0"/>
        <v>917652.57369242539</v>
      </c>
      <c r="J4" s="42">
        <f t="shared" si="0"/>
        <v>954358.67664012243</v>
      </c>
      <c r="K4" s="42">
        <f t="shared" si="0"/>
        <v>992533.02370572742</v>
      </c>
      <c r="L4" s="42">
        <f t="shared" si="0"/>
        <v>1032234.3446539565</v>
      </c>
      <c r="M4" s="42">
        <f t="shared" si="0"/>
        <v>1073523.7184401148</v>
      </c>
      <c r="N4" s="42">
        <f t="shared" si="0"/>
        <v>1116464.6671777193</v>
      </c>
      <c r="O4" s="42">
        <f t="shared" si="0"/>
        <v>1161123.253864828</v>
      </c>
      <c r="P4" s="42">
        <f t="shared" si="0"/>
        <v>1207568.1840194212</v>
      </c>
      <c r="Q4" s="42">
        <f t="shared" si="0"/>
        <v>1255870.9113801983</v>
      </c>
      <c r="R4" s="42">
        <f t="shared" si="0"/>
        <v>1306105.7478354063</v>
      </c>
    </row>
    <row r="5" spans="1:20">
      <c r="A5" s="15" t="s">
        <v>56</v>
      </c>
      <c r="B5" s="6"/>
      <c r="C5" s="6" t="s">
        <v>58</v>
      </c>
      <c r="D5" s="18">
        <f>SUM(D33:D35)</f>
        <v>0</v>
      </c>
      <c r="E5" s="18">
        <f t="shared" ref="E5:R5" si="1">SUM(E33:E35)</f>
        <v>0</v>
      </c>
      <c r="F5" s="18">
        <f t="shared" si="1"/>
        <v>163157.95930751189</v>
      </c>
      <c r="G5" s="18">
        <f t="shared" si="1"/>
        <v>806000.31897910871</v>
      </c>
      <c r="H5" s="18">
        <f t="shared" si="1"/>
        <v>882358.24393502437</v>
      </c>
      <c r="I5" s="18">
        <f t="shared" si="1"/>
        <v>917652.57369242539</v>
      </c>
      <c r="J5" s="18">
        <f t="shared" si="1"/>
        <v>954358.67664012243</v>
      </c>
      <c r="K5" s="18">
        <f t="shared" si="1"/>
        <v>992533.02370572742</v>
      </c>
      <c r="L5" s="18">
        <f t="shared" si="1"/>
        <v>1032234.3446539565</v>
      </c>
      <c r="M5" s="18">
        <f t="shared" si="1"/>
        <v>1073523.7184401148</v>
      </c>
      <c r="N5" s="18">
        <f t="shared" si="1"/>
        <v>1116464.6671777193</v>
      </c>
      <c r="O5" s="18">
        <f t="shared" si="1"/>
        <v>1161123.253864828</v>
      </c>
      <c r="P5" s="18">
        <f t="shared" si="1"/>
        <v>1207568.1840194212</v>
      </c>
      <c r="Q5" s="18">
        <f t="shared" si="1"/>
        <v>1255870.9113801983</v>
      </c>
      <c r="R5" s="18">
        <f t="shared" si="1"/>
        <v>1306105.7478354063</v>
      </c>
    </row>
    <row r="6" spans="1:20" hidden="1" outlineLevel="1">
      <c r="A6" s="15" t="s">
        <v>59</v>
      </c>
      <c r="B6" s="6" t="s">
        <v>116</v>
      </c>
      <c r="C6" s="6" t="s">
        <v>58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</row>
    <row r="7" spans="1:20" collapsed="1"/>
    <row r="8" spans="1:20" ht="17.25" customHeight="1">
      <c r="A8" s="43" t="s">
        <v>9</v>
      </c>
      <c r="B8" s="44"/>
      <c r="C8" s="44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6"/>
    </row>
    <row r="9" spans="1:20">
      <c r="A9" s="40" t="s">
        <v>82</v>
      </c>
      <c r="B9" s="41"/>
      <c r="C9" s="41" t="s">
        <v>58</v>
      </c>
      <c r="D9" s="42">
        <f>SUM(D10:D12)</f>
        <v>0</v>
      </c>
      <c r="E9" s="42">
        <f t="shared" ref="E9:R9" si="2">SUM(E10:E12)</f>
        <v>0</v>
      </c>
      <c r="F9" s="42">
        <f t="shared" si="2"/>
        <v>64434.689260601008</v>
      </c>
      <c r="G9" s="42">
        <f t="shared" si="2"/>
        <v>318805.28517694218</v>
      </c>
      <c r="H9" s="42">
        <f t="shared" si="2"/>
        <v>349007.89114107355</v>
      </c>
      <c r="I9" s="42">
        <f t="shared" si="2"/>
        <v>362968.20678671653</v>
      </c>
      <c r="J9" s="42">
        <f t="shared" si="2"/>
        <v>377486.93505818519</v>
      </c>
      <c r="K9" s="42">
        <f t="shared" si="2"/>
        <v>392586.41246051271</v>
      </c>
      <c r="L9" s="42">
        <f t="shared" si="2"/>
        <v>408289.86895893316</v>
      </c>
      <c r="M9" s="42">
        <f t="shared" si="2"/>
        <v>424621.46371729043</v>
      </c>
      <c r="N9" s="42">
        <f t="shared" si="2"/>
        <v>441606.32226598216</v>
      </c>
      <c r="O9" s="42">
        <f t="shared" si="2"/>
        <v>459270.5751566214</v>
      </c>
      <c r="P9" s="42">
        <f t="shared" si="2"/>
        <v>477641.39816288638</v>
      </c>
      <c r="Q9" s="42">
        <f t="shared" si="2"/>
        <v>496747.05408940185</v>
      </c>
      <c r="R9" s="42">
        <f t="shared" si="2"/>
        <v>516616.93625297793</v>
      </c>
      <c r="T9" s="100"/>
    </row>
    <row r="10" spans="1:20">
      <c r="A10" s="15" t="s">
        <v>84</v>
      </c>
      <c r="B10" s="6"/>
      <c r="C10" s="6" t="s">
        <v>58</v>
      </c>
      <c r="D10" s="18">
        <f>D37</f>
        <v>0</v>
      </c>
      <c r="E10" s="18">
        <f t="shared" ref="E10:R10" si="3">E37</f>
        <v>0</v>
      </c>
      <c r="F10" s="18">
        <f t="shared" si="3"/>
        <v>46574.200888139385</v>
      </c>
      <c r="G10" s="18">
        <f t="shared" si="3"/>
        <v>230076.5523874085</v>
      </c>
      <c r="H10" s="18">
        <f t="shared" si="3"/>
        <v>251873.27840305775</v>
      </c>
      <c r="I10" s="18">
        <f t="shared" si="3"/>
        <v>261948.20953918007</v>
      </c>
      <c r="J10" s="18">
        <f t="shared" si="3"/>
        <v>272426.13792074728</v>
      </c>
      <c r="K10" s="18">
        <f t="shared" si="3"/>
        <v>283323.18343757727</v>
      </c>
      <c r="L10" s="18">
        <f t="shared" si="3"/>
        <v>294656.11077508033</v>
      </c>
      <c r="M10" s="18">
        <f t="shared" si="3"/>
        <v>306442.35520608345</v>
      </c>
      <c r="N10" s="18">
        <f t="shared" si="3"/>
        <v>318700.0494143269</v>
      </c>
      <c r="O10" s="18">
        <f t="shared" si="3"/>
        <v>331448.05139089993</v>
      </c>
      <c r="P10" s="18">
        <f t="shared" si="3"/>
        <v>344705.97344653599</v>
      </c>
      <c r="Q10" s="18">
        <f t="shared" si="3"/>
        <v>358494.21238439746</v>
      </c>
      <c r="R10" s="18">
        <f t="shared" si="3"/>
        <v>372833.98087977339</v>
      </c>
    </row>
    <row r="11" spans="1:20">
      <c r="A11" s="15" t="s">
        <v>28</v>
      </c>
      <c r="B11" s="6"/>
      <c r="C11" s="6" t="s">
        <v>58</v>
      </c>
      <c r="D11" s="18">
        <f>D38</f>
        <v>0</v>
      </c>
      <c r="E11" s="18">
        <f t="shared" ref="E11:R11" si="4">E38</f>
        <v>0</v>
      </c>
      <c r="F11" s="18">
        <f t="shared" si="4"/>
        <v>3614.2751145800044</v>
      </c>
      <c r="G11" s="18">
        <f t="shared" si="4"/>
        <v>17854.519066025219</v>
      </c>
      <c r="H11" s="18">
        <f t="shared" si="4"/>
        <v>19545.999819648659</v>
      </c>
      <c r="I11" s="18">
        <f t="shared" si="4"/>
        <v>20327.839812434606</v>
      </c>
      <c r="J11" s="18">
        <f t="shared" si="4"/>
        <v>21140.953404931992</v>
      </c>
      <c r="K11" s="18">
        <f t="shared" si="4"/>
        <v>21986.591541129274</v>
      </c>
      <c r="L11" s="18">
        <f t="shared" si="4"/>
        <v>22866.055202774442</v>
      </c>
      <c r="M11" s="18">
        <f t="shared" si="4"/>
        <v>23780.697410885423</v>
      </c>
      <c r="N11" s="18">
        <f t="shared" si="4"/>
        <v>24731.925307320842</v>
      </c>
      <c r="O11" s="18">
        <f t="shared" si="4"/>
        <v>25721.202319613669</v>
      </c>
      <c r="P11" s="18">
        <f t="shared" si="4"/>
        <v>26750.050412398228</v>
      </c>
      <c r="Q11" s="18">
        <f t="shared" si="4"/>
        <v>27820.052428894163</v>
      </c>
      <c r="R11" s="18">
        <f t="shared" si="4"/>
        <v>28932.854526049923</v>
      </c>
    </row>
    <row r="12" spans="1:20">
      <c r="A12" s="15" t="s">
        <v>85</v>
      </c>
      <c r="B12" s="6"/>
      <c r="C12" s="6" t="s">
        <v>58</v>
      </c>
      <c r="D12" s="18">
        <f>D39</f>
        <v>0</v>
      </c>
      <c r="E12" s="18">
        <f t="shared" ref="E12:R12" si="5">E39</f>
        <v>0</v>
      </c>
      <c r="F12" s="18">
        <f t="shared" si="5"/>
        <v>14246.213257881614</v>
      </c>
      <c r="G12" s="18">
        <f t="shared" si="5"/>
        <v>70874.213723508481</v>
      </c>
      <c r="H12" s="18">
        <f t="shared" si="5"/>
        <v>77588.612918367173</v>
      </c>
      <c r="I12" s="18">
        <f t="shared" si="5"/>
        <v>80692.157435101864</v>
      </c>
      <c r="J12" s="18">
        <f t="shared" si="5"/>
        <v>83919.843732505935</v>
      </c>
      <c r="K12" s="18">
        <f t="shared" si="5"/>
        <v>87276.637481806189</v>
      </c>
      <c r="L12" s="18">
        <f t="shared" si="5"/>
        <v>90767.702981078415</v>
      </c>
      <c r="M12" s="18">
        <f t="shared" si="5"/>
        <v>94398.41110032158</v>
      </c>
      <c r="N12" s="18">
        <f t="shared" si="5"/>
        <v>98174.347544334436</v>
      </c>
      <c r="O12" s="18">
        <f t="shared" si="5"/>
        <v>102101.3214461078</v>
      </c>
      <c r="P12" s="18">
        <f t="shared" si="5"/>
        <v>106185.37430395212</v>
      </c>
      <c r="Q12" s="18">
        <f t="shared" si="5"/>
        <v>110432.78927611021</v>
      </c>
      <c r="R12" s="18">
        <f t="shared" si="5"/>
        <v>114850.10084715465</v>
      </c>
    </row>
    <row r="14" spans="1:20">
      <c r="A14" s="9" t="s">
        <v>83</v>
      </c>
      <c r="B14" s="34"/>
      <c r="C14" s="34" t="s">
        <v>58</v>
      </c>
      <c r="D14" s="10">
        <f>SUM(D15:D18)</f>
        <v>117120</v>
      </c>
      <c r="E14" s="10">
        <f t="shared" ref="E14:R14" si="6">SUM(E15:E18)</f>
        <v>53751.681120000008</v>
      </c>
      <c r="F14" s="10">
        <f t="shared" si="6"/>
        <v>125707.03258162791</v>
      </c>
      <c r="G14" s="10">
        <f t="shared" si="6"/>
        <v>204772.83159792723</v>
      </c>
      <c r="H14" s="10">
        <f t="shared" si="6"/>
        <v>219912.15309223958</v>
      </c>
      <c r="I14" s="10">
        <f t="shared" si="6"/>
        <v>228308.6392159292</v>
      </c>
      <c r="J14" s="10">
        <f t="shared" si="6"/>
        <v>237040.98478456636</v>
      </c>
      <c r="K14" s="10">
        <f t="shared" si="6"/>
        <v>246122.62417594899</v>
      </c>
      <c r="L14" s="10">
        <f t="shared" si="6"/>
        <v>255567.52914298698</v>
      </c>
      <c r="M14" s="10">
        <f t="shared" si="6"/>
        <v>265390.23030870646</v>
      </c>
      <c r="N14" s="10">
        <f t="shared" si="6"/>
        <v>275605.83952105476</v>
      </c>
      <c r="O14" s="10">
        <f t="shared" si="6"/>
        <v>286230.07310189691</v>
      </c>
      <c r="P14" s="10">
        <f t="shared" si="6"/>
        <v>336932.1034595439</v>
      </c>
      <c r="Q14" s="10">
        <f t="shared" si="6"/>
        <v>348930.28759792575</v>
      </c>
      <c r="R14" s="10">
        <f t="shared" si="6"/>
        <v>361439.19910184271</v>
      </c>
    </row>
    <row r="15" spans="1:20">
      <c r="A15" s="15" t="s">
        <v>118</v>
      </c>
      <c r="B15" s="6"/>
      <c r="C15" s="6" t="s">
        <v>58</v>
      </c>
      <c r="D15" s="18">
        <f t="shared" ref="D15:E15" si="7">D61</f>
        <v>0</v>
      </c>
      <c r="E15" s="18">
        <f t="shared" si="7"/>
        <v>0</v>
      </c>
      <c r="F15" s="18">
        <f>F61</f>
        <v>46674.870165638509</v>
      </c>
      <c r="G15" s="18">
        <f t="shared" ref="G15:R15" si="8">G61</f>
        <v>92185.680316302678</v>
      </c>
      <c r="H15" s="18">
        <f t="shared" si="8"/>
        <v>100967.07914230925</v>
      </c>
      <c r="I15" s="18">
        <f t="shared" si="8"/>
        <v>105005.76230800162</v>
      </c>
      <c r="J15" s="18">
        <f t="shared" si="8"/>
        <v>109205.99280032169</v>
      </c>
      <c r="K15" s="18">
        <f t="shared" si="8"/>
        <v>113574.23251233454</v>
      </c>
      <c r="L15" s="18">
        <f t="shared" si="8"/>
        <v>118117.20181282795</v>
      </c>
      <c r="M15" s="18">
        <f t="shared" si="8"/>
        <v>122841.88988534106</v>
      </c>
      <c r="N15" s="18">
        <f t="shared" si="8"/>
        <v>127755.56548075471</v>
      </c>
      <c r="O15" s="18">
        <f t="shared" si="8"/>
        <v>132865.78809998487</v>
      </c>
      <c r="P15" s="18">
        <f t="shared" si="8"/>
        <v>167203.44456359438</v>
      </c>
      <c r="Q15" s="18">
        <f t="shared" si="8"/>
        <v>173891.58234613817</v>
      </c>
      <c r="R15" s="18">
        <f t="shared" si="8"/>
        <v>180847.24563998368</v>
      </c>
    </row>
    <row r="16" spans="1:20">
      <c r="A16" s="15" t="s">
        <v>87</v>
      </c>
      <c r="B16" s="6"/>
      <c r="C16" s="6" t="s">
        <v>58</v>
      </c>
      <c r="D16" s="18">
        <f>D64</f>
        <v>17120</v>
      </c>
      <c r="E16" s="18">
        <f t="shared" ref="E16:R16" si="9">E64</f>
        <v>53751.681120000008</v>
      </c>
      <c r="F16" s="18">
        <f t="shared" si="9"/>
        <v>69032.162415989398</v>
      </c>
      <c r="G16" s="18">
        <f t="shared" si="9"/>
        <v>102587.15128162455</v>
      </c>
      <c r="H16" s="18">
        <f t="shared" si="9"/>
        <v>108945.07394993035</v>
      </c>
      <c r="I16" s="18">
        <f t="shared" si="9"/>
        <v>113302.87690792758</v>
      </c>
      <c r="J16" s="18">
        <f t="shared" si="9"/>
        <v>117834.99198424467</v>
      </c>
      <c r="K16" s="18">
        <f t="shared" si="9"/>
        <v>122548.39166361446</v>
      </c>
      <c r="L16" s="18">
        <f t="shared" si="9"/>
        <v>127450.32733015905</v>
      </c>
      <c r="M16" s="18">
        <f t="shared" si="9"/>
        <v>132548.34042336541</v>
      </c>
      <c r="N16" s="18">
        <f t="shared" si="9"/>
        <v>137850.27404030005</v>
      </c>
      <c r="O16" s="18">
        <f t="shared" si="9"/>
        <v>143364.28500191204</v>
      </c>
      <c r="P16" s="18">
        <f t="shared" si="9"/>
        <v>152001.15889594954</v>
      </c>
      <c r="Q16" s="18">
        <f t="shared" si="9"/>
        <v>158081.20525178756</v>
      </c>
      <c r="R16" s="18">
        <f t="shared" si="9"/>
        <v>164404.45346185903</v>
      </c>
    </row>
    <row r="17" spans="1:18">
      <c r="A17" s="15" t="s">
        <v>309</v>
      </c>
      <c r="B17" s="6"/>
      <c r="C17" s="6" t="s">
        <v>58</v>
      </c>
      <c r="D17" s="18">
        <f>'CAPEX | Finance'!D50+'CAPEX | Finance'!D51</f>
        <v>100000</v>
      </c>
      <c r="E17" s="18">
        <f>'CAPEX | Finance'!E50+'CAPEX | Finance'!E51</f>
        <v>0</v>
      </c>
      <c r="F17" s="18">
        <f>'CAPEX | Finance'!F50+'CAPEX | Finance'!F51</f>
        <v>10000</v>
      </c>
      <c r="G17" s="18">
        <f>'CAPEX | Finance'!G50+'CAPEX | Finance'!G51</f>
        <v>10000</v>
      </c>
      <c r="H17" s="18">
        <f>'CAPEX | Finance'!H50+'CAPEX | Finance'!H51</f>
        <v>10000</v>
      </c>
      <c r="I17" s="18">
        <f>'CAPEX | Finance'!I50+'CAPEX | Finance'!I51</f>
        <v>10000</v>
      </c>
      <c r="J17" s="18">
        <f>'CAPEX | Finance'!J50+'CAPEX | Finance'!J51</f>
        <v>10000</v>
      </c>
      <c r="K17" s="18">
        <f>'CAPEX | Finance'!K50+'CAPEX | Finance'!K51</f>
        <v>10000</v>
      </c>
      <c r="L17" s="18">
        <f>'CAPEX | Finance'!L50+'CAPEX | Finance'!L51</f>
        <v>10000</v>
      </c>
      <c r="M17" s="18">
        <f>'CAPEX | Finance'!M50+'CAPEX | Finance'!M51</f>
        <v>10000</v>
      </c>
      <c r="N17" s="18">
        <f>'CAPEX | Finance'!N50+'CAPEX | Finance'!N51</f>
        <v>10000</v>
      </c>
      <c r="O17" s="18">
        <f>'CAPEX | Finance'!O50+'CAPEX | Finance'!O51</f>
        <v>10000</v>
      </c>
      <c r="P17" s="18">
        <f>'CAPEX | Finance'!P50+'CAPEX | Finance'!P51</f>
        <v>10000</v>
      </c>
      <c r="Q17" s="18">
        <f>'CAPEX | Finance'!Q50+'CAPEX | Finance'!Q51</f>
        <v>10000</v>
      </c>
      <c r="R17" s="18">
        <f>'CAPEX | Finance'!R50+'CAPEX | Finance'!R51</f>
        <v>10000</v>
      </c>
    </row>
    <row r="18" spans="1:18">
      <c r="A18" s="15" t="s">
        <v>88</v>
      </c>
      <c r="B18" s="6"/>
      <c r="C18" s="6" t="s">
        <v>58</v>
      </c>
      <c r="D18" s="18">
        <f>D71</f>
        <v>0</v>
      </c>
      <c r="E18" s="18">
        <f t="shared" ref="E18:R18" si="10">E71</f>
        <v>0</v>
      </c>
      <c r="F18" s="18">
        <f t="shared" si="10"/>
        <v>0</v>
      </c>
      <c r="G18" s="18">
        <f t="shared" si="10"/>
        <v>0</v>
      </c>
      <c r="H18" s="18">
        <f t="shared" si="10"/>
        <v>0</v>
      </c>
      <c r="I18" s="18">
        <f t="shared" si="10"/>
        <v>0</v>
      </c>
      <c r="J18" s="18">
        <f t="shared" si="10"/>
        <v>0</v>
      </c>
      <c r="K18" s="18">
        <f t="shared" si="10"/>
        <v>0</v>
      </c>
      <c r="L18" s="18">
        <f t="shared" si="10"/>
        <v>0</v>
      </c>
      <c r="M18" s="18">
        <f t="shared" si="10"/>
        <v>0</v>
      </c>
      <c r="N18" s="18">
        <f t="shared" si="10"/>
        <v>0</v>
      </c>
      <c r="O18" s="18">
        <f t="shared" si="10"/>
        <v>0</v>
      </c>
      <c r="P18" s="18">
        <f t="shared" si="10"/>
        <v>7727.5</v>
      </c>
      <c r="Q18" s="18">
        <f t="shared" si="10"/>
        <v>6957.5</v>
      </c>
      <c r="R18" s="18">
        <f t="shared" si="10"/>
        <v>6187.5</v>
      </c>
    </row>
    <row r="20" spans="1:18">
      <c r="A20" s="43" t="s">
        <v>49</v>
      </c>
      <c r="B20" s="47"/>
      <c r="C20" s="47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18">
      <c r="A21" s="9" t="s">
        <v>50</v>
      </c>
      <c r="B21" s="34"/>
      <c r="C21" s="34" t="s">
        <v>240</v>
      </c>
      <c r="D21" s="10">
        <f>Предпоссылки!D5*D22*D23</f>
        <v>0</v>
      </c>
      <c r="E21" s="10">
        <f>Предпоссылки!E5*E22*E23</f>
        <v>0</v>
      </c>
      <c r="F21" s="85">
        <f>F22*F23</f>
        <v>20000</v>
      </c>
      <c r="G21" s="85">
        <f t="shared" ref="G21:R21" si="11">G22*G23</f>
        <v>95000</v>
      </c>
      <c r="H21" s="85">
        <f t="shared" si="11"/>
        <v>100000</v>
      </c>
      <c r="I21" s="85">
        <f t="shared" si="11"/>
        <v>100000</v>
      </c>
      <c r="J21" s="85">
        <f t="shared" si="11"/>
        <v>100000</v>
      </c>
      <c r="K21" s="85">
        <f t="shared" si="11"/>
        <v>100000</v>
      </c>
      <c r="L21" s="85">
        <f t="shared" si="11"/>
        <v>100000</v>
      </c>
      <c r="M21" s="85">
        <f t="shared" si="11"/>
        <v>100000</v>
      </c>
      <c r="N21" s="85">
        <f t="shared" si="11"/>
        <v>100000</v>
      </c>
      <c r="O21" s="85">
        <f t="shared" si="11"/>
        <v>100000</v>
      </c>
      <c r="P21" s="85">
        <f t="shared" si="11"/>
        <v>100000</v>
      </c>
      <c r="Q21" s="85">
        <f t="shared" si="11"/>
        <v>100000</v>
      </c>
      <c r="R21" s="85">
        <f t="shared" si="11"/>
        <v>100000</v>
      </c>
    </row>
    <row r="22" spans="1:18">
      <c r="A22" s="15" t="s">
        <v>279</v>
      </c>
      <c r="B22" s="6"/>
      <c r="C22" s="6" t="s">
        <v>240</v>
      </c>
      <c r="D22" s="86">
        <v>0</v>
      </c>
      <c r="E22" s="86">
        <v>0</v>
      </c>
      <c r="F22" s="86">
        <f>100000</f>
        <v>100000</v>
      </c>
      <c r="G22" s="86">
        <f t="shared" ref="G22:R22" si="12">100000</f>
        <v>100000</v>
      </c>
      <c r="H22" s="86">
        <f t="shared" si="12"/>
        <v>100000</v>
      </c>
      <c r="I22" s="86">
        <f t="shared" si="12"/>
        <v>100000</v>
      </c>
      <c r="J22" s="86">
        <f t="shared" si="12"/>
        <v>100000</v>
      </c>
      <c r="K22" s="86">
        <f t="shared" si="12"/>
        <v>100000</v>
      </c>
      <c r="L22" s="86">
        <f t="shared" si="12"/>
        <v>100000</v>
      </c>
      <c r="M22" s="86">
        <f t="shared" si="12"/>
        <v>100000</v>
      </c>
      <c r="N22" s="86">
        <f t="shared" si="12"/>
        <v>100000</v>
      </c>
      <c r="O22" s="86">
        <f t="shared" si="12"/>
        <v>100000</v>
      </c>
      <c r="P22" s="86">
        <f t="shared" si="12"/>
        <v>100000</v>
      </c>
      <c r="Q22" s="86">
        <f t="shared" si="12"/>
        <v>100000</v>
      </c>
      <c r="R22" s="86">
        <f t="shared" si="12"/>
        <v>100000</v>
      </c>
    </row>
    <row r="23" spans="1:18">
      <c r="A23" s="15" t="s">
        <v>52</v>
      </c>
      <c r="B23" s="6"/>
      <c r="C23" s="6" t="s">
        <v>7</v>
      </c>
      <c r="D23" s="12">
        <v>0</v>
      </c>
      <c r="E23" s="12">
        <v>0</v>
      </c>
      <c r="F23" s="12">
        <f>Графики!P26</f>
        <v>0.2</v>
      </c>
      <c r="G23" s="12">
        <f>Графики!U26</f>
        <v>0.95</v>
      </c>
      <c r="H23" s="12">
        <v>1</v>
      </c>
      <c r="I23" s="18">
        <f>H23</f>
        <v>1</v>
      </c>
      <c r="J23" s="18">
        <f t="shared" ref="J23:R23" si="13">I23</f>
        <v>1</v>
      </c>
      <c r="K23" s="18">
        <f t="shared" si="13"/>
        <v>1</v>
      </c>
      <c r="L23" s="18">
        <f t="shared" si="13"/>
        <v>1</v>
      </c>
      <c r="M23" s="18">
        <f t="shared" si="13"/>
        <v>1</v>
      </c>
      <c r="N23" s="18">
        <f t="shared" si="13"/>
        <v>1</v>
      </c>
      <c r="O23" s="18">
        <f t="shared" si="13"/>
        <v>1</v>
      </c>
      <c r="P23" s="18">
        <f t="shared" si="13"/>
        <v>1</v>
      </c>
      <c r="Q23" s="18">
        <f t="shared" si="13"/>
        <v>1</v>
      </c>
      <c r="R23" s="18">
        <f t="shared" si="13"/>
        <v>1</v>
      </c>
    </row>
    <row r="24" spans="1:18">
      <c r="A24" s="29" t="s">
        <v>54</v>
      </c>
      <c r="B24" s="6"/>
      <c r="C24" s="6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</row>
    <row r="25" spans="1:18">
      <c r="A25" s="15" t="s">
        <v>35</v>
      </c>
      <c r="B25" s="6"/>
      <c r="C25" s="6" t="s">
        <v>7</v>
      </c>
      <c r="D25" s="91">
        <v>0</v>
      </c>
      <c r="E25" s="91">
        <v>0</v>
      </c>
      <c r="F25" s="91">
        <v>0.33300000000000002</v>
      </c>
      <c r="G25" s="92">
        <f>F25</f>
        <v>0.33300000000000002</v>
      </c>
      <c r="H25" s="92">
        <f t="shared" ref="H25:R25" si="14">G25</f>
        <v>0.33300000000000002</v>
      </c>
      <c r="I25" s="92">
        <f t="shared" si="14"/>
        <v>0.33300000000000002</v>
      </c>
      <c r="J25" s="92">
        <f t="shared" si="14"/>
        <v>0.33300000000000002</v>
      </c>
      <c r="K25" s="92">
        <f t="shared" si="14"/>
        <v>0.33300000000000002</v>
      </c>
      <c r="L25" s="92">
        <f t="shared" si="14"/>
        <v>0.33300000000000002</v>
      </c>
      <c r="M25" s="92">
        <f t="shared" si="14"/>
        <v>0.33300000000000002</v>
      </c>
      <c r="N25" s="92">
        <f t="shared" si="14"/>
        <v>0.33300000000000002</v>
      </c>
      <c r="O25" s="92">
        <f t="shared" si="14"/>
        <v>0.33300000000000002</v>
      </c>
      <c r="P25" s="92">
        <f t="shared" si="14"/>
        <v>0.33300000000000002</v>
      </c>
      <c r="Q25" s="92">
        <f t="shared" si="14"/>
        <v>0.33300000000000002</v>
      </c>
      <c r="R25" s="92">
        <f t="shared" si="14"/>
        <v>0.33300000000000002</v>
      </c>
    </row>
    <row r="26" spans="1:18">
      <c r="A26" s="15" t="s">
        <v>37</v>
      </c>
      <c r="B26" s="6"/>
      <c r="C26" s="6" t="s">
        <v>7</v>
      </c>
      <c r="D26" s="91">
        <v>0</v>
      </c>
      <c r="E26" s="91">
        <v>0</v>
      </c>
      <c r="F26" s="91">
        <v>0.33300000000000002</v>
      </c>
      <c r="G26" s="92">
        <f t="shared" ref="G26:R27" si="15">F26</f>
        <v>0.33300000000000002</v>
      </c>
      <c r="H26" s="92">
        <f t="shared" si="15"/>
        <v>0.33300000000000002</v>
      </c>
      <c r="I26" s="92">
        <f t="shared" si="15"/>
        <v>0.33300000000000002</v>
      </c>
      <c r="J26" s="92">
        <f t="shared" si="15"/>
        <v>0.33300000000000002</v>
      </c>
      <c r="K26" s="92">
        <f t="shared" si="15"/>
        <v>0.33300000000000002</v>
      </c>
      <c r="L26" s="92">
        <f t="shared" si="15"/>
        <v>0.33300000000000002</v>
      </c>
      <c r="M26" s="92">
        <f t="shared" si="15"/>
        <v>0.33300000000000002</v>
      </c>
      <c r="N26" s="92">
        <f t="shared" si="15"/>
        <v>0.33300000000000002</v>
      </c>
      <c r="O26" s="92">
        <f t="shared" si="15"/>
        <v>0.33300000000000002</v>
      </c>
      <c r="P26" s="92">
        <f t="shared" si="15"/>
        <v>0.33300000000000002</v>
      </c>
      <c r="Q26" s="92">
        <f t="shared" si="15"/>
        <v>0.33300000000000002</v>
      </c>
      <c r="R26" s="92">
        <f t="shared" si="15"/>
        <v>0.33300000000000002</v>
      </c>
    </row>
    <row r="27" spans="1:18">
      <c r="A27" s="15" t="s">
        <v>20</v>
      </c>
      <c r="B27" s="6"/>
      <c r="C27" s="6" t="s">
        <v>7</v>
      </c>
      <c r="D27" s="91">
        <v>0</v>
      </c>
      <c r="E27" s="91">
        <v>0</v>
      </c>
      <c r="F27" s="91">
        <v>0.33300000000000002</v>
      </c>
      <c r="G27" s="92">
        <f t="shared" si="15"/>
        <v>0.33300000000000002</v>
      </c>
      <c r="H27" s="92">
        <f t="shared" si="15"/>
        <v>0.33300000000000002</v>
      </c>
      <c r="I27" s="92">
        <f t="shared" si="15"/>
        <v>0.33300000000000002</v>
      </c>
      <c r="J27" s="92">
        <f t="shared" si="15"/>
        <v>0.33300000000000002</v>
      </c>
      <c r="K27" s="92">
        <f t="shared" si="15"/>
        <v>0.33300000000000002</v>
      </c>
      <c r="L27" s="92">
        <f t="shared" si="15"/>
        <v>0.33300000000000002</v>
      </c>
      <c r="M27" s="92">
        <f t="shared" si="15"/>
        <v>0.33300000000000002</v>
      </c>
      <c r="N27" s="92">
        <f t="shared" si="15"/>
        <v>0.33300000000000002</v>
      </c>
      <c r="O27" s="92">
        <f t="shared" si="15"/>
        <v>0.33300000000000002</v>
      </c>
      <c r="P27" s="92">
        <f t="shared" si="15"/>
        <v>0.33300000000000002</v>
      </c>
      <c r="Q27" s="92">
        <f t="shared" si="15"/>
        <v>0.33300000000000002</v>
      </c>
      <c r="R27" s="92">
        <f t="shared" si="15"/>
        <v>0.33300000000000002</v>
      </c>
    </row>
    <row r="28" spans="1:18">
      <c r="A28" s="29" t="s">
        <v>190</v>
      </c>
      <c r="B28" s="6"/>
      <c r="C28" s="6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</row>
    <row r="29" spans="1:18">
      <c r="A29" s="15" t="s">
        <v>35</v>
      </c>
      <c r="B29" s="6"/>
      <c r="C29" s="6" t="s">
        <v>39</v>
      </c>
      <c r="D29" s="12">
        <v>0</v>
      </c>
      <c r="E29" s="12">
        <v>0</v>
      </c>
      <c r="F29" s="18">
        <f t="shared" ref="F29:R29" si="16">F$21*F25</f>
        <v>6660</v>
      </c>
      <c r="G29" s="18">
        <f t="shared" si="16"/>
        <v>31635</v>
      </c>
      <c r="H29" s="18">
        <f t="shared" si="16"/>
        <v>33300</v>
      </c>
      <c r="I29" s="18">
        <f t="shared" si="16"/>
        <v>33300</v>
      </c>
      <c r="J29" s="18">
        <f t="shared" si="16"/>
        <v>33300</v>
      </c>
      <c r="K29" s="18">
        <f t="shared" si="16"/>
        <v>33300</v>
      </c>
      <c r="L29" s="18">
        <f t="shared" si="16"/>
        <v>33300</v>
      </c>
      <c r="M29" s="18">
        <f t="shared" si="16"/>
        <v>33300</v>
      </c>
      <c r="N29" s="18">
        <f t="shared" si="16"/>
        <v>33300</v>
      </c>
      <c r="O29" s="18">
        <f t="shared" si="16"/>
        <v>33300</v>
      </c>
      <c r="P29" s="18">
        <f t="shared" si="16"/>
        <v>33300</v>
      </c>
      <c r="Q29" s="18">
        <f t="shared" si="16"/>
        <v>33300</v>
      </c>
      <c r="R29" s="18">
        <f t="shared" si="16"/>
        <v>33300</v>
      </c>
    </row>
    <row r="30" spans="1:18">
      <c r="A30" s="15" t="s">
        <v>37</v>
      </c>
      <c r="B30" s="6"/>
      <c r="C30" s="6" t="s">
        <v>39</v>
      </c>
      <c r="D30" s="12">
        <v>0</v>
      </c>
      <c r="E30" s="12">
        <v>0</v>
      </c>
      <c r="F30" s="18">
        <f t="shared" ref="F30:R30" si="17">F$21*F26</f>
        <v>6660</v>
      </c>
      <c r="G30" s="18">
        <f t="shared" si="17"/>
        <v>31635</v>
      </c>
      <c r="H30" s="18">
        <f t="shared" si="17"/>
        <v>33300</v>
      </c>
      <c r="I30" s="18">
        <f t="shared" si="17"/>
        <v>33300</v>
      </c>
      <c r="J30" s="18">
        <f t="shared" si="17"/>
        <v>33300</v>
      </c>
      <c r="K30" s="18">
        <f t="shared" si="17"/>
        <v>33300</v>
      </c>
      <c r="L30" s="18">
        <f t="shared" si="17"/>
        <v>33300</v>
      </c>
      <c r="M30" s="18">
        <f t="shared" si="17"/>
        <v>33300</v>
      </c>
      <c r="N30" s="18">
        <f t="shared" si="17"/>
        <v>33300</v>
      </c>
      <c r="O30" s="18">
        <f t="shared" si="17"/>
        <v>33300</v>
      </c>
      <c r="P30" s="18">
        <f t="shared" si="17"/>
        <v>33300</v>
      </c>
      <c r="Q30" s="18">
        <f t="shared" si="17"/>
        <v>33300</v>
      </c>
      <c r="R30" s="18">
        <f t="shared" si="17"/>
        <v>33300</v>
      </c>
    </row>
    <row r="31" spans="1:18">
      <c r="A31" s="15" t="s">
        <v>20</v>
      </c>
      <c r="B31" s="6"/>
      <c r="C31" s="6" t="s">
        <v>39</v>
      </c>
      <c r="D31" s="12">
        <v>0</v>
      </c>
      <c r="E31" s="12">
        <v>0</v>
      </c>
      <c r="F31" s="18">
        <f t="shared" ref="F31:R31" si="18">F$21*F27</f>
        <v>6660</v>
      </c>
      <c r="G31" s="18">
        <f t="shared" si="18"/>
        <v>31635</v>
      </c>
      <c r="H31" s="18">
        <f t="shared" si="18"/>
        <v>33300</v>
      </c>
      <c r="I31" s="18">
        <f t="shared" si="18"/>
        <v>33300</v>
      </c>
      <c r="J31" s="18">
        <f t="shared" si="18"/>
        <v>33300</v>
      </c>
      <c r="K31" s="18">
        <f t="shared" si="18"/>
        <v>33300</v>
      </c>
      <c r="L31" s="18">
        <f t="shared" si="18"/>
        <v>33300</v>
      </c>
      <c r="M31" s="18">
        <f t="shared" si="18"/>
        <v>33300</v>
      </c>
      <c r="N31" s="18">
        <f t="shared" si="18"/>
        <v>33300</v>
      </c>
      <c r="O31" s="18">
        <f t="shared" si="18"/>
        <v>33300</v>
      </c>
      <c r="P31" s="18">
        <f t="shared" si="18"/>
        <v>33300</v>
      </c>
      <c r="Q31" s="18">
        <f t="shared" si="18"/>
        <v>33300</v>
      </c>
      <c r="R31" s="18">
        <f t="shared" si="18"/>
        <v>33300</v>
      </c>
    </row>
    <row r="32" spans="1:18">
      <c r="A32" s="29" t="s">
        <v>241</v>
      </c>
      <c r="B32" s="6"/>
      <c r="C32" s="6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</row>
    <row r="33" spans="1:18">
      <c r="A33" s="15" t="s">
        <v>35</v>
      </c>
      <c r="B33" s="6"/>
      <c r="C33" s="6" t="s">
        <v>60</v>
      </c>
      <c r="D33" s="12">
        <f>D29*Предпоссылки!D61/1000</f>
        <v>0</v>
      </c>
      <c r="E33" s="12">
        <f>E29*Предпоссылки!E61/1000</f>
        <v>0</v>
      </c>
      <c r="F33" s="12">
        <f>F29*Предпоссылки!F61/1000</f>
        <v>36257.324290558194</v>
      </c>
      <c r="G33" s="12">
        <f>G29*Предпоссылки!G61/1000</f>
        <v>179111.18199535747</v>
      </c>
      <c r="H33" s="12">
        <f>H29*Предпоссылки!H61/1000</f>
        <v>196079.60976333875</v>
      </c>
      <c r="I33" s="12">
        <f>I29*Предпоссылки!I61/1000</f>
        <v>203922.79415387232</v>
      </c>
      <c r="J33" s="12">
        <f>J29*Предпоссылки!J61/1000</f>
        <v>212079.70592002719</v>
      </c>
      <c r="K33" s="12">
        <f>K29*Предпоссылки!K61/1000</f>
        <v>220562.89415682829</v>
      </c>
      <c r="L33" s="12">
        <f>L29*Предпоссылки!L61/1000</f>
        <v>229385.40992310143</v>
      </c>
      <c r="M33" s="12">
        <f>M29*Предпоссылки!M61/1000</f>
        <v>238560.82632002549</v>
      </c>
      <c r="N33" s="12">
        <f>N29*Предпоссылки!N61/1000</f>
        <v>248103.25937282652</v>
      </c>
      <c r="O33" s="12">
        <f>O29*Предпоссылки!O61/1000</f>
        <v>258027.38974773959</v>
      </c>
      <c r="P33" s="12">
        <f>P29*Предпоссылки!P61/1000</f>
        <v>268348.48533764918</v>
      </c>
      <c r="Q33" s="12">
        <f>Q29*Предпоссылки!Q61/1000</f>
        <v>279082.42475115519</v>
      </c>
      <c r="R33" s="12">
        <f>R29*Предпоссылки!R61/1000</f>
        <v>290245.72174120141</v>
      </c>
    </row>
    <row r="34" spans="1:18">
      <c r="A34" s="15" t="s">
        <v>37</v>
      </c>
      <c r="B34" s="6"/>
      <c r="C34" s="6" t="s">
        <v>60</v>
      </c>
      <c r="D34" s="12">
        <f>D30*Предпоссылки!D62/1000</f>
        <v>0</v>
      </c>
      <c r="E34" s="12">
        <f>E30*Предпоссылки!E62/1000</f>
        <v>0</v>
      </c>
      <c r="F34" s="12">
        <f>F30*Предпоссылки!F62/1000</f>
        <v>54385.986435837309</v>
      </c>
      <c r="G34" s="12">
        <f>G30*Предпоссылки!G62/1000</f>
        <v>268666.77299303631</v>
      </c>
      <c r="H34" s="12">
        <f>H30*Предпоссылки!H62/1000</f>
        <v>294119.41464500816</v>
      </c>
      <c r="I34" s="12">
        <f>I30*Предпоссылки!I62/1000</f>
        <v>305884.1912308085</v>
      </c>
      <c r="J34" s="12">
        <f>J30*Предпоссылки!J62/1000</f>
        <v>318119.55888004089</v>
      </c>
      <c r="K34" s="12">
        <f>K30*Предпоссылки!K62/1000</f>
        <v>330844.34123524249</v>
      </c>
      <c r="L34" s="12">
        <f>L30*Предпоссылки!L62/1000</f>
        <v>344078.1148846522</v>
      </c>
      <c r="M34" s="12">
        <f>M30*Предпоссылки!M62/1000</f>
        <v>357841.23948003829</v>
      </c>
      <c r="N34" s="12">
        <f>N30*Предпоссылки!N62/1000</f>
        <v>372154.88905923982</v>
      </c>
      <c r="O34" s="12">
        <f>O30*Предпоссылки!O62/1000</f>
        <v>387041.08462160936</v>
      </c>
      <c r="P34" s="12">
        <f>P30*Предпоссылки!P62/1000</f>
        <v>402522.7280064738</v>
      </c>
      <c r="Q34" s="12">
        <f>Q30*Предпоссылки!Q62/1000</f>
        <v>418623.63712673279</v>
      </c>
      <c r="R34" s="12">
        <f>R30*Предпоссылки!R62/1000</f>
        <v>435368.58261180209</v>
      </c>
    </row>
    <row r="35" spans="1:18">
      <c r="A35" s="15" t="s">
        <v>20</v>
      </c>
      <c r="B35" s="6"/>
      <c r="C35" s="6" t="s">
        <v>60</v>
      </c>
      <c r="D35" s="12">
        <f>D31*Предпоссылки!D63/1000</f>
        <v>0</v>
      </c>
      <c r="E35" s="12">
        <f>E31*Предпоссылки!E63/1000</f>
        <v>0</v>
      </c>
      <c r="F35" s="12">
        <f>F31*Предпоссылки!F63/1000</f>
        <v>72514.648581116388</v>
      </c>
      <c r="G35" s="12">
        <f>G31*Предпоссылки!G63/1000</f>
        <v>358222.36399071495</v>
      </c>
      <c r="H35" s="12">
        <f>H31*Предпоссылки!H63/1000</f>
        <v>392159.21952667751</v>
      </c>
      <c r="I35" s="12">
        <f>I31*Предпоссылки!I63/1000</f>
        <v>407845.58830774465</v>
      </c>
      <c r="J35" s="12">
        <f>J31*Предпоссылки!J63/1000</f>
        <v>424159.41184005438</v>
      </c>
      <c r="K35" s="12">
        <f>K31*Предпоссылки!K63/1000</f>
        <v>441125.78831365658</v>
      </c>
      <c r="L35" s="12">
        <f>L31*Предпоссылки!L63/1000</f>
        <v>458770.81984620285</v>
      </c>
      <c r="M35" s="12">
        <f>M31*Предпоссылки!M63/1000</f>
        <v>477121.65264005098</v>
      </c>
      <c r="N35" s="12">
        <f>N31*Предпоссылки!N63/1000</f>
        <v>496206.51874565304</v>
      </c>
      <c r="O35" s="12">
        <f>O31*Предпоссылки!O63/1000</f>
        <v>516054.77949547919</v>
      </c>
      <c r="P35" s="12">
        <f>P31*Предпоссылки!P63/1000</f>
        <v>536696.97067529836</v>
      </c>
      <c r="Q35" s="12">
        <f>Q31*Предпоссылки!Q63/1000</f>
        <v>558164.84950231039</v>
      </c>
      <c r="R35" s="12">
        <f>R31*Предпоссылки!R63/1000</f>
        <v>580491.44348240283</v>
      </c>
    </row>
    <row r="36" spans="1:18">
      <c r="A36" s="9" t="s">
        <v>86</v>
      </c>
      <c r="B36" s="34"/>
      <c r="C36" s="34" t="s">
        <v>58</v>
      </c>
      <c r="D36" s="10">
        <f t="shared" ref="D36:R36" si="19">SUM(D37:D39)</f>
        <v>0</v>
      </c>
      <c r="E36" s="10">
        <f t="shared" si="19"/>
        <v>0</v>
      </c>
      <c r="F36" s="10">
        <f t="shared" si="19"/>
        <v>64434.689260601008</v>
      </c>
      <c r="G36" s="10">
        <f t="shared" si="19"/>
        <v>318805.28517694218</v>
      </c>
      <c r="H36" s="10">
        <f t="shared" si="19"/>
        <v>349007.89114107355</v>
      </c>
      <c r="I36" s="10">
        <f t="shared" si="19"/>
        <v>362968.20678671653</v>
      </c>
      <c r="J36" s="10">
        <f t="shared" si="19"/>
        <v>377486.93505818519</v>
      </c>
      <c r="K36" s="10">
        <f t="shared" si="19"/>
        <v>392586.41246051271</v>
      </c>
      <c r="L36" s="10">
        <f t="shared" si="19"/>
        <v>408289.86895893316</v>
      </c>
      <c r="M36" s="10">
        <f t="shared" si="19"/>
        <v>424621.46371729043</v>
      </c>
      <c r="N36" s="10">
        <f t="shared" si="19"/>
        <v>441606.32226598216</v>
      </c>
      <c r="O36" s="10">
        <f t="shared" si="19"/>
        <v>459270.5751566214</v>
      </c>
      <c r="P36" s="10">
        <f t="shared" si="19"/>
        <v>477641.39816288638</v>
      </c>
      <c r="Q36" s="10">
        <f t="shared" si="19"/>
        <v>496747.05408940185</v>
      </c>
      <c r="R36" s="10">
        <f t="shared" si="19"/>
        <v>516616.93625297793</v>
      </c>
    </row>
    <row r="37" spans="1:18">
      <c r="A37" s="15" t="s">
        <v>61</v>
      </c>
      <c r="B37" s="6"/>
      <c r="C37" s="6" t="s">
        <v>60</v>
      </c>
      <c r="D37" s="18">
        <f>((SUMPRODUCT(Предпоссылки!D$65:D$70,Предпоссылки!$D$82:$D$87)*'OPEX &amp; SALES'!D29)+(SUMPRODUCT(Предпоссылки!D$65:D$70,Предпоссылки!$D$95:$D$100)*'OPEX &amp; SALES'!D30)+(SUMPRODUCT(Предпоссылки!D$65:D$70,Предпоссылки!$D$108:$D$113)*'OPEX &amp; SALES'!D31))/1000</f>
        <v>0</v>
      </c>
      <c r="E37" s="18">
        <f>((SUMPRODUCT(Предпоссылки!E$65:E$70,Предпоссылки!$D$82:$D$87)*'OPEX &amp; SALES'!E29)+(SUMPRODUCT(Предпоссылки!E$65:E$70,Предпоссылки!$D$95:$D$100)*'OPEX &amp; SALES'!E30)+(SUMPRODUCT(Предпоссылки!E$65:E$70,Предпоссылки!$D$108:$D$113)*'OPEX &amp; SALES'!E31))/1000</f>
        <v>0</v>
      </c>
      <c r="F37" s="18">
        <f>((SUMPRODUCT(Предпоссылки!F$65:F$70,Предпоссылки!$D$82:$D$87)*'OPEX &amp; SALES'!F29)+(SUMPRODUCT(Предпоссылки!F$65:F$70,Предпоссылки!$D$95:$D$100)*'OPEX &amp; SALES'!F30)+(SUMPRODUCT(Предпоссылки!F$65:F$70,Предпоссылки!$D$108:$D$113)*'OPEX &amp; SALES'!F31))/1000</f>
        <v>46574.200888139385</v>
      </c>
      <c r="G37" s="18">
        <f>((SUMPRODUCT(Предпоссылки!G$65:G$70,Предпоссылки!$D$82:$D$87)*'OPEX &amp; SALES'!G29)+(SUMPRODUCT(Предпоссылки!G$65:G$70,Предпоссылки!$D$95:$D$100)*'OPEX &amp; SALES'!G30)+(SUMPRODUCT(Предпоссылки!G$65:G$70,Предпоссылки!$D$108:$D$113)*'OPEX &amp; SALES'!G31))/1000</f>
        <v>230076.5523874085</v>
      </c>
      <c r="H37" s="18">
        <f>((SUMPRODUCT(Предпоссылки!H$65:H$70,Предпоссылки!$D$82:$D$87)*'OPEX &amp; SALES'!H29)+(SUMPRODUCT(Предпоссылки!H$65:H$70,Предпоссылки!$D$95:$D$100)*'OPEX &amp; SALES'!H30)+(SUMPRODUCT(Предпоссылки!H$65:H$70,Предпоссылки!$D$108:$D$113)*'OPEX &amp; SALES'!H31))/1000</f>
        <v>251873.27840305775</v>
      </c>
      <c r="I37" s="18">
        <f>((SUMPRODUCT(Предпоссылки!I$65:I$70,Предпоссылки!$D$82:$D$87)*'OPEX &amp; SALES'!I29)+(SUMPRODUCT(Предпоссылки!I$65:I$70,Предпоссылки!$D$95:$D$100)*'OPEX &amp; SALES'!I30)+(SUMPRODUCT(Предпоссылки!I$65:I$70,Предпоссылки!$D$108:$D$113)*'OPEX &amp; SALES'!I31))/1000</f>
        <v>261948.20953918007</v>
      </c>
      <c r="J37" s="18">
        <f>((SUMPRODUCT(Предпоссылки!J$65:J$70,Предпоссылки!$D$82:$D$87)*'OPEX &amp; SALES'!J29)+(SUMPRODUCT(Предпоссылки!J$65:J$70,Предпоссылки!$D$95:$D$100)*'OPEX &amp; SALES'!J30)+(SUMPRODUCT(Предпоссылки!J$65:J$70,Предпоссылки!$D$108:$D$113)*'OPEX &amp; SALES'!J31))/1000</f>
        <v>272426.13792074728</v>
      </c>
      <c r="K37" s="18">
        <f>((SUMPRODUCT(Предпоссылки!K$65:K$70,Предпоссылки!$D$82:$D$87)*'OPEX &amp; SALES'!K29)+(SUMPRODUCT(Предпоссылки!K$65:K$70,Предпоссылки!$D$95:$D$100)*'OPEX &amp; SALES'!K30)+(SUMPRODUCT(Предпоссылки!K$65:K$70,Предпоссылки!$D$108:$D$113)*'OPEX &amp; SALES'!K31))/1000</f>
        <v>283323.18343757727</v>
      </c>
      <c r="L37" s="18">
        <f>((SUMPRODUCT(Предпоссылки!L$65:L$70,Предпоссылки!$D$82:$D$87)*'OPEX &amp; SALES'!L29)+(SUMPRODUCT(Предпоссылки!L$65:L$70,Предпоссылки!$D$95:$D$100)*'OPEX &amp; SALES'!L30)+(SUMPRODUCT(Предпоссылки!L$65:L$70,Предпоссылки!$D$108:$D$113)*'OPEX &amp; SALES'!L31))/1000</f>
        <v>294656.11077508033</v>
      </c>
      <c r="M37" s="18">
        <f>((SUMPRODUCT(Предпоссылки!M$65:M$70,Предпоссылки!$D$82:$D$87)*'OPEX &amp; SALES'!M29)+(SUMPRODUCT(Предпоссылки!M$65:M$70,Предпоссылки!$D$95:$D$100)*'OPEX &amp; SALES'!M30)+(SUMPRODUCT(Предпоссылки!M$65:M$70,Предпоссылки!$D$108:$D$113)*'OPEX &amp; SALES'!M31))/1000</f>
        <v>306442.35520608345</v>
      </c>
      <c r="N37" s="18">
        <f>((SUMPRODUCT(Предпоссылки!N$65:N$70,Предпоссылки!$D$82:$D$87)*'OPEX &amp; SALES'!N29)+(SUMPRODUCT(Предпоссылки!N$65:N$70,Предпоссылки!$D$95:$D$100)*'OPEX &amp; SALES'!N30)+(SUMPRODUCT(Предпоссылки!N$65:N$70,Предпоссылки!$D$108:$D$113)*'OPEX &amp; SALES'!N31))/1000</f>
        <v>318700.0494143269</v>
      </c>
      <c r="O37" s="18">
        <f>((SUMPRODUCT(Предпоссылки!O$65:O$70,Предпоссылки!$D$82:$D$87)*'OPEX &amp; SALES'!O29)+(SUMPRODUCT(Предпоссылки!O$65:O$70,Предпоссылки!$D$95:$D$100)*'OPEX &amp; SALES'!O30)+(SUMPRODUCT(Предпоссылки!O$65:O$70,Предпоссылки!$D$108:$D$113)*'OPEX &amp; SALES'!O31))/1000</f>
        <v>331448.05139089993</v>
      </c>
      <c r="P37" s="18">
        <f>((SUMPRODUCT(Предпоссылки!P$65:P$70,Предпоссылки!$D$82:$D$87)*'OPEX &amp; SALES'!P29)+(SUMPRODUCT(Предпоссылки!P$65:P$70,Предпоссылки!$D$95:$D$100)*'OPEX &amp; SALES'!P30)+(SUMPRODUCT(Предпоссылки!P$65:P$70,Предпоссылки!$D$108:$D$113)*'OPEX &amp; SALES'!P31))/1000</f>
        <v>344705.97344653599</v>
      </c>
      <c r="Q37" s="18">
        <f>((SUMPRODUCT(Предпоссылки!Q$65:Q$70,Предпоссылки!$D$82:$D$87)*'OPEX &amp; SALES'!Q29)+(SUMPRODUCT(Предпоссылки!Q$65:Q$70,Предпоссылки!$D$95:$D$100)*'OPEX &amp; SALES'!Q30)+(SUMPRODUCT(Предпоссылки!Q$65:Q$70,Предпоссылки!$D$108:$D$113)*'OPEX &amp; SALES'!Q31))/1000</f>
        <v>358494.21238439746</v>
      </c>
      <c r="R37" s="18">
        <f>((SUMPRODUCT(Предпоссылки!R$65:R$70,Предпоссылки!$D$82:$D$87)*'OPEX &amp; SALES'!R29)+(SUMPRODUCT(Предпоссылки!R$65:R$70,Предпоссылки!$D$95:$D$100)*'OPEX &amp; SALES'!R30)+(SUMPRODUCT(Предпоссылки!R$65:R$70,Предпоссылки!$D$108:$D$113)*'OPEX &amp; SALES'!R31))/1000</f>
        <v>372833.98087977339</v>
      </c>
    </row>
    <row r="38" spans="1:18">
      <c r="A38" s="15" t="s">
        <v>62</v>
      </c>
      <c r="B38" s="6"/>
      <c r="C38" s="6" t="s">
        <v>60</v>
      </c>
      <c r="D38" s="18">
        <f>((SUMPRODUCT(Предпоссылки!D$72:D$74,Предпоссылки!$D$88:$D$90)*'OPEX &amp; SALES'!D29)+(SUMPRODUCT(Предпоссылки!D$72:D$74,Предпоссылки!$D$101:$D$103)*'OPEX &amp; SALES'!D30)+(SUMPRODUCT(Предпоссылки!D$72:D$74,Предпоссылки!$D$114:$D$116)*'OPEX &amp; SALES'!D31))/1000</f>
        <v>0</v>
      </c>
      <c r="E38" s="18">
        <f>((SUMPRODUCT(Предпоссылки!E$72:E$74,Предпоссылки!$D$88:$D$90)*'OPEX &amp; SALES'!E29)+(SUMPRODUCT(Предпоссылки!E$72:E$74,Предпоссылки!$D$101:$D$103)*'OPEX &amp; SALES'!E30)+(SUMPRODUCT(Предпоссылки!E$72:E$74,Предпоссылки!$D$114:$D$116)*'OPEX &amp; SALES'!E31))/1000</f>
        <v>0</v>
      </c>
      <c r="F38" s="18">
        <f>((SUMPRODUCT(Предпоссылки!F$72:F$74,Предпоссылки!$D$88:$D$90)*'OPEX &amp; SALES'!F29)+(SUMPRODUCT(Предпоссылки!F$72:F$74,Предпоссылки!$D$101:$D$103)*'OPEX &amp; SALES'!F30)+(SUMPRODUCT(Предпоссылки!F$72:F$74,Предпоссылки!$D$114:$D$116)*'OPEX &amp; SALES'!F31))/1000</f>
        <v>3614.2751145800044</v>
      </c>
      <c r="G38" s="18">
        <f>((SUMPRODUCT(Предпоссылки!G$72:G$74,Предпоссылки!$D$88:$D$90)*'OPEX &amp; SALES'!G29)+(SUMPRODUCT(Предпоссылки!G$72:G$74,Предпоссылки!$D$101:$D$103)*'OPEX &amp; SALES'!G30)+(SUMPRODUCT(Предпоссылки!G$72:G$74,Предпоссылки!$D$114:$D$116)*'OPEX &amp; SALES'!G31))/1000</f>
        <v>17854.519066025219</v>
      </c>
      <c r="H38" s="18">
        <f>((SUMPRODUCT(Предпоссылки!H$72:H$74,Предпоссылки!$D$88:$D$90)*'OPEX &amp; SALES'!H29)+(SUMPRODUCT(Предпоссылки!H$72:H$74,Предпоссылки!$D$101:$D$103)*'OPEX &amp; SALES'!H30)+(SUMPRODUCT(Предпоссылки!H$72:H$74,Предпоссылки!$D$114:$D$116)*'OPEX &amp; SALES'!H31))/1000</f>
        <v>19545.999819648659</v>
      </c>
      <c r="I38" s="18">
        <f>((SUMPRODUCT(Предпоссылки!I$72:I$74,Предпоссылки!$D$88:$D$90)*'OPEX &amp; SALES'!I29)+(SUMPRODUCT(Предпоссылки!I$72:I$74,Предпоссылки!$D$101:$D$103)*'OPEX &amp; SALES'!I30)+(SUMPRODUCT(Предпоссылки!I$72:I$74,Предпоссылки!$D$114:$D$116)*'OPEX &amp; SALES'!I31))/1000</f>
        <v>20327.839812434606</v>
      </c>
      <c r="J38" s="18">
        <f>((SUMPRODUCT(Предпоссылки!J$72:J$74,Предпоссылки!$D$88:$D$90)*'OPEX &amp; SALES'!J29)+(SUMPRODUCT(Предпоссылки!J$72:J$74,Предпоссылки!$D$101:$D$103)*'OPEX &amp; SALES'!J30)+(SUMPRODUCT(Предпоссылки!J$72:J$74,Предпоссылки!$D$114:$D$116)*'OPEX &amp; SALES'!J31))/1000</f>
        <v>21140.953404931992</v>
      </c>
      <c r="K38" s="18">
        <f>((SUMPRODUCT(Предпоссылки!K$72:K$74,Предпоссылки!$D$88:$D$90)*'OPEX &amp; SALES'!K29)+(SUMPRODUCT(Предпоссылки!K$72:K$74,Предпоссылки!$D$101:$D$103)*'OPEX &amp; SALES'!K30)+(SUMPRODUCT(Предпоссылки!K$72:K$74,Предпоссылки!$D$114:$D$116)*'OPEX &amp; SALES'!K31))/1000</f>
        <v>21986.591541129274</v>
      </c>
      <c r="L38" s="18">
        <f>((SUMPRODUCT(Предпоссылки!L$72:L$74,Предпоссылки!$D$88:$D$90)*'OPEX &amp; SALES'!L29)+(SUMPRODUCT(Предпоссылки!L$72:L$74,Предпоссылки!$D$101:$D$103)*'OPEX &amp; SALES'!L30)+(SUMPRODUCT(Предпоссылки!L$72:L$74,Предпоссылки!$D$114:$D$116)*'OPEX &amp; SALES'!L31))/1000</f>
        <v>22866.055202774442</v>
      </c>
      <c r="M38" s="18">
        <f>((SUMPRODUCT(Предпоссылки!M$72:M$74,Предпоссылки!$D$88:$D$90)*'OPEX &amp; SALES'!M29)+(SUMPRODUCT(Предпоссылки!M$72:M$74,Предпоссылки!$D$101:$D$103)*'OPEX &amp; SALES'!M30)+(SUMPRODUCT(Предпоссылки!M$72:M$74,Предпоссылки!$D$114:$D$116)*'OPEX &amp; SALES'!M31))/1000</f>
        <v>23780.697410885423</v>
      </c>
      <c r="N38" s="18">
        <f>((SUMPRODUCT(Предпоссылки!N$72:N$74,Предпоссылки!$D$88:$D$90)*'OPEX &amp; SALES'!N29)+(SUMPRODUCT(Предпоссылки!N$72:N$74,Предпоссылки!$D$101:$D$103)*'OPEX &amp; SALES'!N30)+(SUMPRODUCT(Предпоссылки!N$72:N$74,Предпоссылки!$D$114:$D$116)*'OPEX &amp; SALES'!N31))/1000</f>
        <v>24731.925307320842</v>
      </c>
      <c r="O38" s="18">
        <f>((SUMPRODUCT(Предпоссылки!O$72:O$74,Предпоссылки!$D$88:$D$90)*'OPEX &amp; SALES'!O29)+(SUMPRODUCT(Предпоссылки!O$72:O$74,Предпоссылки!$D$101:$D$103)*'OPEX &amp; SALES'!O30)+(SUMPRODUCT(Предпоссылки!O$72:O$74,Предпоссылки!$D$114:$D$116)*'OPEX &amp; SALES'!O31))/1000</f>
        <v>25721.202319613669</v>
      </c>
      <c r="P38" s="18">
        <f>((SUMPRODUCT(Предпоссылки!P$72:P$74,Предпоссылки!$D$88:$D$90)*'OPEX &amp; SALES'!P29)+(SUMPRODUCT(Предпоссылки!P$72:P$74,Предпоссылки!$D$101:$D$103)*'OPEX &amp; SALES'!P30)+(SUMPRODUCT(Предпоссылки!P$72:P$74,Предпоссылки!$D$114:$D$116)*'OPEX &amp; SALES'!P31))/1000</f>
        <v>26750.050412398228</v>
      </c>
      <c r="Q38" s="18">
        <f>((SUMPRODUCT(Предпоссылки!Q$72:Q$74,Предпоссылки!$D$88:$D$90)*'OPEX &amp; SALES'!Q29)+(SUMPRODUCT(Предпоссылки!Q$72:Q$74,Предпоссылки!$D$101:$D$103)*'OPEX &amp; SALES'!Q30)+(SUMPRODUCT(Предпоссылки!Q$72:Q$74,Предпоссылки!$D$114:$D$116)*'OPEX &amp; SALES'!Q31))/1000</f>
        <v>27820.052428894163</v>
      </c>
      <c r="R38" s="18">
        <f>((SUMPRODUCT(Предпоссылки!R$72:R$74,Предпоссылки!$D$88:$D$90)*'OPEX &amp; SALES'!R29)+(SUMPRODUCT(Предпоссылки!R$72:R$74,Предпоссылки!$D$101:$D$103)*'OPEX &amp; SALES'!R30)+(SUMPRODUCT(Предпоссылки!R$72:R$74,Предпоссылки!$D$114:$D$116)*'OPEX &amp; SALES'!R31))/1000</f>
        <v>28932.854526049923</v>
      </c>
    </row>
    <row r="39" spans="1:18">
      <c r="A39" s="15" t="s">
        <v>63</v>
      </c>
      <c r="B39" s="6"/>
      <c r="C39" s="6" t="s">
        <v>60</v>
      </c>
      <c r="D39" s="18">
        <f>((SUMPRODUCT(Предпоссылки!D$76:D$78,Предпоссылки!$D$91:$D$93)*'OPEX &amp; SALES'!D29)+(SUMPRODUCT(Предпоссылки!D$76:D$78,Предпоссылки!$D$104:$D$106)*'OPEX &amp; SALES'!D30)+(SUMPRODUCT(Предпоссылки!D$76:D$78,Предпоссылки!$D$117:$D$119)*'OPEX &amp; SALES'!D31))/1000</f>
        <v>0</v>
      </c>
      <c r="E39" s="18">
        <f>((SUMPRODUCT(Предпоссылки!E$76:E$78,Предпоссылки!$D$91:$D$93)*'OPEX &amp; SALES'!E29)+(SUMPRODUCT(Предпоссылки!E$76:E$78,Предпоссылки!$D$104:$D$106)*'OPEX &amp; SALES'!E30)+(SUMPRODUCT(Предпоссылки!E$76:E$78,Предпоссылки!$D$117:$D$119)*'OPEX &amp; SALES'!E31))/1000</f>
        <v>0</v>
      </c>
      <c r="F39" s="18">
        <f>((SUMPRODUCT(Предпоссылки!F$76:F$78,Предпоссылки!$D$91:$D$93)*'OPEX &amp; SALES'!F29)+(SUMPRODUCT(Предпоссылки!F$76:F$78,Предпоссылки!$D$104:$D$106)*'OPEX &amp; SALES'!F30)+(SUMPRODUCT(Предпоссылки!F$76:F$78,Предпоссылки!$D$117:$D$119)*'OPEX &amp; SALES'!F31))/1000</f>
        <v>14246.213257881614</v>
      </c>
      <c r="G39" s="18">
        <f>((SUMPRODUCT(Предпоссылки!G$76:G$78,Предпоссылки!$D$91:$D$93)*'OPEX &amp; SALES'!G29)+(SUMPRODUCT(Предпоссылки!G$76:G$78,Предпоссылки!$D$104:$D$106)*'OPEX &amp; SALES'!G30)+(SUMPRODUCT(Предпоссылки!G$76:G$78,Предпоссылки!$D$117:$D$119)*'OPEX &amp; SALES'!G31))/1000</f>
        <v>70874.213723508481</v>
      </c>
      <c r="H39" s="18">
        <f>((SUMPRODUCT(Предпоссылки!H$76:H$78,Предпоссылки!$D$91:$D$93)*'OPEX &amp; SALES'!H29)+(SUMPRODUCT(Предпоссылки!H$76:H$78,Предпоссылки!$D$104:$D$106)*'OPEX &amp; SALES'!H30)+(SUMPRODUCT(Предпоссылки!H$76:H$78,Предпоссылки!$D$117:$D$119)*'OPEX &amp; SALES'!H31))/1000</f>
        <v>77588.612918367173</v>
      </c>
      <c r="I39" s="18">
        <f>((SUMPRODUCT(Предпоссылки!I$76:I$78,Предпоссылки!$D$91:$D$93)*'OPEX &amp; SALES'!I29)+(SUMPRODUCT(Предпоссылки!I$76:I$78,Предпоссылки!$D$104:$D$106)*'OPEX &amp; SALES'!I30)+(SUMPRODUCT(Предпоссылки!I$76:I$78,Предпоссылки!$D$117:$D$119)*'OPEX &amp; SALES'!I31))/1000</f>
        <v>80692.157435101864</v>
      </c>
      <c r="J39" s="18">
        <f>((SUMPRODUCT(Предпоссылки!J$76:J$78,Предпоссылки!$D$91:$D$93)*'OPEX &amp; SALES'!J29)+(SUMPRODUCT(Предпоссылки!J$76:J$78,Предпоссылки!$D$104:$D$106)*'OPEX &amp; SALES'!J30)+(SUMPRODUCT(Предпоссылки!J$76:J$78,Предпоссылки!$D$117:$D$119)*'OPEX &amp; SALES'!J31))/1000</f>
        <v>83919.843732505935</v>
      </c>
      <c r="K39" s="18">
        <f>((SUMPRODUCT(Предпоссылки!K$76:K$78,Предпоссылки!$D$91:$D$93)*'OPEX &amp; SALES'!K29)+(SUMPRODUCT(Предпоссылки!K$76:K$78,Предпоссылки!$D$104:$D$106)*'OPEX &amp; SALES'!K30)+(SUMPRODUCT(Предпоссылки!K$76:K$78,Предпоссылки!$D$117:$D$119)*'OPEX &amp; SALES'!K31))/1000</f>
        <v>87276.637481806189</v>
      </c>
      <c r="L39" s="18">
        <f>((SUMPRODUCT(Предпоссылки!L$76:L$78,Предпоссылки!$D$91:$D$93)*'OPEX &amp; SALES'!L29)+(SUMPRODUCT(Предпоссылки!L$76:L$78,Предпоссылки!$D$104:$D$106)*'OPEX &amp; SALES'!L30)+(SUMPRODUCT(Предпоссылки!L$76:L$78,Предпоссылки!$D$117:$D$119)*'OPEX &amp; SALES'!L31))/1000</f>
        <v>90767.702981078415</v>
      </c>
      <c r="M39" s="18">
        <f>((SUMPRODUCT(Предпоссылки!M$76:M$78,Предпоссылки!$D$91:$D$93)*'OPEX &amp; SALES'!M29)+(SUMPRODUCT(Предпоссылки!M$76:M$78,Предпоссылки!$D$104:$D$106)*'OPEX &amp; SALES'!M30)+(SUMPRODUCT(Предпоссылки!M$76:M$78,Предпоссылки!$D$117:$D$119)*'OPEX &amp; SALES'!M31))/1000</f>
        <v>94398.41110032158</v>
      </c>
      <c r="N39" s="18">
        <f>((SUMPRODUCT(Предпоссылки!N$76:N$78,Предпоссылки!$D$91:$D$93)*'OPEX &amp; SALES'!N29)+(SUMPRODUCT(Предпоссылки!N$76:N$78,Предпоссылки!$D$104:$D$106)*'OPEX &amp; SALES'!N30)+(SUMPRODUCT(Предпоссылки!N$76:N$78,Предпоссылки!$D$117:$D$119)*'OPEX &amp; SALES'!N31))/1000</f>
        <v>98174.347544334436</v>
      </c>
      <c r="O39" s="18">
        <f>((SUMPRODUCT(Предпоссылки!O$76:O$78,Предпоссылки!$D$91:$D$93)*'OPEX &amp; SALES'!O29)+(SUMPRODUCT(Предпоссылки!O$76:O$78,Предпоссылки!$D$104:$D$106)*'OPEX &amp; SALES'!O30)+(SUMPRODUCT(Предпоссылки!O$76:O$78,Предпоссылки!$D$117:$D$119)*'OPEX &amp; SALES'!O31))/1000</f>
        <v>102101.3214461078</v>
      </c>
      <c r="P39" s="18">
        <f>((SUMPRODUCT(Предпоссылки!P$76:P$78,Предпоссылки!$D$91:$D$93)*'OPEX &amp; SALES'!P29)+(SUMPRODUCT(Предпоссылки!P$76:P$78,Предпоссылки!$D$104:$D$106)*'OPEX &amp; SALES'!P30)+(SUMPRODUCT(Предпоссылки!P$76:P$78,Предпоссылки!$D$117:$D$119)*'OPEX &amp; SALES'!P31))/1000</f>
        <v>106185.37430395212</v>
      </c>
      <c r="Q39" s="18">
        <f>((SUMPRODUCT(Предпоссылки!Q$76:Q$78,Предпоссылки!$D$91:$D$93)*'OPEX &amp; SALES'!Q29)+(SUMPRODUCT(Предпоссылки!Q$76:Q$78,Предпоссылки!$D$104:$D$106)*'OPEX &amp; SALES'!Q30)+(SUMPRODUCT(Предпоссылки!Q$76:Q$78,Предпоссылки!$D$117:$D$119)*'OPEX &amp; SALES'!Q31))/1000</f>
        <v>110432.78927611021</v>
      </c>
      <c r="R39" s="18">
        <f>((SUMPRODUCT(Предпоссылки!R$76:R$78,Предпоссылки!$D$91:$D$93)*'OPEX &amp; SALES'!R29)+(SUMPRODUCT(Предпоссылки!R$76:R$78,Предпоссылки!$D$104:$D$106)*'OPEX &amp; SALES'!R30)+(SUMPRODUCT(Предпоссылки!R$76:R$78,Предпоссылки!$D$117:$D$119)*'OPEX &amp; SALES'!R31))/1000</f>
        <v>114850.10084715465</v>
      </c>
    </row>
    <row r="41" spans="1:18">
      <c r="A41" s="43" t="s">
        <v>89</v>
      </c>
      <c r="B41" s="49" t="s">
        <v>116</v>
      </c>
      <c r="C41" s="47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6"/>
    </row>
    <row r="42" spans="1:18" hidden="1" outlineLevel="1">
      <c r="A42" s="9" t="s">
        <v>53</v>
      </c>
      <c r="B42" s="34"/>
      <c r="C42" s="34" t="s">
        <v>91</v>
      </c>
      <c r="D42" s="10">
        <f>Предпоссылки!D5*D43*D44</f>
        <v>0</v>
      </c>
      <c r="E42" s="10">
        <f>Предпоссылки!E5*E43*E44</f>
        <v>0</v>
      </c>
      <c r="F42" s="10">
        <f>Предпоссылки!F5*F43*F44</f>
        <v>0</v>
      </c>
      <c r="G42" s="10">
        <f>Предпоссылки!G5*G43*G44</f>
        <v>0</v>
      </c>
      <c r="H42" s="10">
        <f>Предпоссылки!H5*H43*H44</f>
        <v>0</v>
      </c>
      <c r="I42" s="10">
        <f>Предпоссылки!I5*I43*I44</f>
        <v>0</v>
      </c>
      <c r="J42" s="10">
        <f>Предпоссылки!J5*J43*J44</f>
        <v>0</v>
      </c>
      <c r="K42" s="10">
        <f>Предпоссылки!K5*K43*K44</f>
        <v>0</v>
      </c>
      <c r="L42" s="10">
        <f>Предпоссылки!L5*L43*L44</f>
        <v>0</v>
      </c>
      <c r="M42" s="10">
        <f>Предпоссылки!M5*M43*M44</f>
        <v>0</v>
      </c>
      <c r="N42" s="10">
        <f>Предпоссылки!N5*N43*N44</f>
        <v>0</v>
      </c>
      <c r="O42" s="10">
        <f>Предпоссылки!O5*O43*O44</f>
        <v>0</v>
      </c>
      <c r="P42" s="10">
        <f>Предпоссылки!P5*P43*P44</f>
        <v>0</v>
      </c>
      <c r="Q42" s="10">
        <f>Предпоссылки!Q5*Q43*Q44</f>
        <v>0</v>
      </c>
      <c r="R42" s="10">
        <f>Предпоссылки!R5*R43*R44</f>
        <v>0</v>
      </c>
    </row>
    <row r="43" spans="1:18" hidden="1" outlineLevel="1">
      <c r="A43" s="15" t="s">
        <v>51</v>
      </c>
      <c r="B43" s="6"/>
      <c r="C43" s="6" t="s">
        <v>90</v>
      </c>
      <c r="D43" s="31">
        <v>0</v>
      </c>
      <c r="E43" s="31">
        <v>0</v>
      </c>
      <c r="F43" s="31">
        <v>0</v>
      </c>
      <c r="G43" s="30">
        <f>F43*2</f>
        <v>0</v>
      </c>
      <c r="H43" s="30">
        <f>G43</f>
        <v>0</v>
      </c>
      <c r="I43" s="30">
        <f t="shared" ref="I43:R44" si="20">H43</f>
        <v>0</v>
      </c>
      <c r="J43" s="30">
        <f t="shared" si="20"/>
        <v>0</v>
      </c>
      <c r="K43" s="30">
        <f t="shared" si="20"/>
        <v>0</v>
      </c>
      <c r="L43" s="30">
        <f t="shared" si="20"/>
        <v>0</v>
      </c>
      <c r="M43" s="30">
        <f t="shared" si="20"/>
        <v>0</v>
      </c>
      <c r="N43" s="30">
        <f t="shared" si="20"/>
        <v>0</v>
      </c>
      <c r="O43" s="30">
        <f t="shared" si="20"/>
        <v>0</v>
      </c>
      <c r="P43" s="30">
        <f t="shared" si="20"/>
        <v>0</v>
      </c>
      <c r="Q43" s="30">
        <f t="shared" si="20"/>
        <v>0</v>
      </c>
      <c r="R43" s="30">
        <f t="shared" si="20"/>
        <v>0</v>
      </c>
    </row>
    <row r="44" spans="1:18" hidden="1" outlineLevel="1">
      <c r="A44" s="15" t="s">
        <v>52</v>
      </c>
      <c r="B44" s="6"/>
      <c r="C44" s="6" t="s">
        <v>7</v>
      </c>
      <c r="D44" s="31">
        <v>0</v>
      </c>
      <c r="E44" s="31">
        <v>0</v>
      </c>
      <c r="F44" s="31">
        <v>0.25</v>
      </c>
      <c r="G44" s="31">
        <v>0.9</v>
      </c>
      <c r="H44" s="31">
        <v>1</v>
      </c>
      <c r="I44" s="30">
        <f>H44</f>
        <v>1</v>
      </c>
      <c r="J44" s="30">
        <f t="shared" si="20"/>
        <v>1</v>
      </c>
      <c r="K44" s="30">
        <f t="shared" si="20"/>
        <v>1</v>
      </c>
      <c r="L44" s="30">
        <f t="shared" si="20"/>
        <v>1</v>
      </c>
      <c r="M44" s="30">
        <f t="shared" si="20"/>
        <v>1</v>
      </c>
      <c r="N44" s="30">
        <f t="shared" si="20"/>
        <v>1</v>
      </c>
      <c r="O44" s="30">
        <f t="shared" si="20"/>
        <v>1</v>
      </c>
      <c r="P44" s="30">
        <f t="shared" si="20"/>
        <v>1</v>
      </c>
      <c r="Q44" s="30">
        <f t="shared" si="20"/>
        <v>1</v>
      </c>
      <c r="R44" s="30">
        <f t="shared" si="20"/>
        <v>1</v>
      </c>
    </row>
    <row r="45" spans="1:18" hidden="1" outlineLevel="1"/>
    <row r="46" spans="1:18" hidden="1" outlineLevel="1">
      <c r="A46" s="9" t="s">
        <v>114</v>
      </c>
      <c r="B46" s="34"/>
      <c r="C46" s="34" t="s">
        <v>58</v>
      </c>
      <c r="D46" s="10">
        <f t="shared" ref="D46:R46" si="21">SUM(D47:D49)</f>
        <v>0</v>
      </c>
      <c r="E46" s="10">
        <f t="shared" si="21"/>
        <v>0</v>
      </c>
      <c r="F46" s="10">
        <f t="shared" si="21"/>
        <v>0</v>
      </c>
      <c r="G46" s="10">
        <f t="shared" si="21"/>
        <v>0</v>
      </c>
      <c r="H46" s="10">
        <f t="shared" si="21"/>
        <v>0</v>
      </c>
      <c r="I46" s="10">
        <f t="shared" si="21"/>
        <v>0</v>
      </c>
      <c r="J46" s="10">
        <f t="shared" si="21"/>
        <v>0</v>
      </c>
      <c r="K46" s="10">
        <f t="shared" si="21"/>
        <v>0</v>
      </c>
      <c r="L46" s="10">
        <f t="shared" si="21"/>
        <v>0</v>
      </c>
      <c r="M46" s="10">
        <f t="shared" si="21"/>
        <v>0</v>
      </c>
      <c r="N46" s="10">
        <f t="shared" si="21"/>
        <v>0</v>
      </c>
      <c r="O46" s="10">
        <f t="shared" si="21"/>
        <v>0</v>
      </c>
      <c r="P46" s="10">
        <f t="shared" si="21"/>
        <v>0</v>
      </c>
      <c r="Q46" s="10">
        <f t="shared" si="21"/>
        <v>0</v>
      </c>
      <c r="R46" s="10">
        <f t="shared" si="21"/>
        <v>0</v>
      </c>
    </row>
    <row r="47" spans="1:18" hidden="1" outlineLevel="1">
      <c r="A47" s="15" t="s">
        <v>61</v>
      </c>
      <c r="B47" s="6"/>
      <c r="C47" s="6" t="s">
        <v>60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 spans="1:18" hidden="1" outlineLevel="1">
      <c r="A48" s="15" t="s">
        <v>62</v>
      </c>
      <c r="B48" s="6"/>
      <c r="C48" s="6" t="s">
        <v>60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 spans="1:18" hidden="1" outlineLevel="1">
      <c r="A49" s="15" t="s">
        <v>63</v>
      </c>
      <c r="B49" s="6"/>
      <c r="C49" s="6" t="s">
        <v>60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 collapsed="1"/>
    <row r="51" spans="1:18">
      <c r="A51" s="43" t="s">
        <v>40</v>
      </c>
      <c r="B51" s="47"/>
      <c r="C51" s="47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6"/>
    </row>
    <row r="52" spans="1:18">
      <c r="A52" s="9" t="s">
        <v>111</v>
      </c>
      <c r="B52" s="34"/>
      <c r="C52" s="34" t="s">
        <v>47</v>
      </c>
      <c r="D52" s="10">
        <f>SUM(D53:D54)</f>
        <v>0</v>
      </c>
      <c r="E52" s="10">
        <f t="shared" ref="E52:R52" si="22">SUM(E53:E54)</f>
        <v>0</v>
      </c>
      <c r="F52" s="10">
        <f t="shared" si="22"/>
        <v>50</v>
      </c>
      <c r="G52" s="10">
        <f t="shared" si="22"/>
        <v>95</v>
      </c>
      <c r="H52" s="10">
        <f t="shared" si="22"/>
        <v>100</v>
      </c>
      <c r="I52" s="10">
        <f t="shared" si="22"/>
        <v>100</v>
      </c>
      <c r="J52" s="10">
        <f t="shared" si="22"/>
        <v>100</v>
      </c>
      <c r="K52" s="10">
        <f t="shared" si="22"/>
        <v>100</v>
      </c>
      <c r="L52" s="10">
        <f t="shared" si="22"/>
        <v>100</v>
      </c>
      <c r="M52" s="10">
        <f t="shared" si="22"/>
        <v>100</v>
      </c>
      <c r="N52" s="10">
        <f t="shared" si="22"/>
        <v>100</v>
      </c>
      <c r="O52" s="10">
        <f t="shared" si="22"/>
        <v>100</v>
      </c>
      <c r="P52" s="10">
        <f t="shared" si="22"/>
        <v>100</v>
      </c>
      <c r="Q52" s="10">
        <f t="shared" si="22"/>
        <v>100</v>
      </c>
      <c r="R52" s="10">
        <f t="shared" si="22"/>
        <v>100</v>
      </c>
    </row>
    <row r="53" spans="1:18">
      <c r="A53" s="15" t="s">
        <v>110</v>
      </c>
      <c r="B53" s="6">
        <v>14</v>
      </c>
      <c r="C53" s="6" t="s">
        <v>47</v>
      </c>
      <c r="D53" s="12">
        <v>0</v>
      </c>
      <c r="E53" s="12">
        <v>0</v>
      </c>
      <c r="F53" s="18">
        <f>ROUND(($B$53*0.5),0)</f>
        <v>7</v>
      </c>
      <c r="G53" s="18">
        <f t="shared" ref="G53:R53" si="23">ROUND(($B$53*G23),0)</f>
        <v>13</v>
      </c>
      <c r="H53" s="18">
        <f t="shared" si="23"/>
        <v>14</v>
      </c>
      <c r="I53" s="18">
        <f t="shared" si="23"/>
        <v>14</v>
      </c>
      <c r="J53" s="18">
        <f t="shared" si="23"/>
        <v>14</v>
      </c>
      <c r="K53" s="18">
        <f t="shared" si="23"/>
        <v>14</v>
      </c>
      <c r="L53" s="18">
        <f t="shared" si="23"/>
        <v>14</v>
      </c>
      <c r="M53" s="18">
        <f t="shared" si="23"/>
        <v>14</v>
      </c>
      <c r="N53" s="18">
        <f t="shared" si="23"/>
        <v>14</v>
      </c>
      <c r="O53" s="18">
        <f t="shared" si="23"/>
        <v>14</v>
      </c>
      <c r="P53" s="18">
        <f t="shared" si="23"/>
        <v>14</v>
      </c>
      <c r="Q53" s="18">
        <f t="shared" si="23"/>
        <v>14</v>
      </c>
      <c r="R53" s="18">
        <f t="shared" si="23"/>
        <v>14</v>
      </c>
    </row>
    <row r="54" spans="1:18">
      <c r="A54" s="15" t="s">
        <v>109</v>
      </c>
      <c r="B54" s="6">
        <v>86</v>
      </c>
      <c r="C54" s="6" t="s">
        <v>47</v>
      </c>
      <c r="D54" s="12">
        <v>0</v>
      </c>
      <c r="E54" s="12">
        <f>D54</f>
        <v>0</v>
      </c>
      <c r="F54" s="18">
        <f>ROUND(($B$54*0.5),0)</f>
        <v>43</v>
      </c>
      <c r="G54" s="18">
        <f t="shared" ref="G54:R54" si="24">ROUND(($B$54*G23),0)</f>
        <v>82</v>
      </c>
      <c r="H54" s="18">
        <f t="shared" si="24"/>
        <v>86</v>
      </c>
      <c r="I54" s="18">
        <f t="shared" si="24"/>
        <v>86</v>
      </c>
      <c r="J54" s="18">
        <f t="shared" si="24"/>
        <v>86</v>
      </c>
      <c r="K54" s="18">
        <f t="shared" si="24"/>
        <v>86</v>
      </c>
      <c r="L54" s="18">
        <f t="shared" si="24"/>
        <v>86</v>
      </c>
      <c r="M54" s="18">
        <f t="shared" si="24"/>
        <v>86</v>
      </c>
      <c r="N54" s="18">
        <f t="shared" si="24"/>
        <v>86</v>
      </c>
      <c r="O54" s="18">
        <f t="shared" si="24"/>
        <v>86</v>
      </c>
      <c r="P54" s="18">
        <f t="shared" si="24"/>
        <v>86</v>
      </c>
      <c r="Q54" s="18">
        <f t="shared" si="24"/>
        <v>86</v>
      </c>
      <c r="R54" s="18">
        <f t="shared" si="24"/>
        <v>86</v>
      </c>
    </row>
    <row r="55" spans="1:18">
      <c r="A55" s="29" t="s">
        <v>115</v>
      </c>
      <c r="B55" s="6"/>
      <c r="C55" s="6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</row>
    <row r="56" spans="1:18">
      <c r="A56" s="15" t="s">
        <v>110</v>
      </c>
      <c r="B56" s="6"/>
      <c r="C56" s="6" t="s">
        <v>112</v>
      </c>
      <c r="D56" s="4">
        <v>75000</v>
      </c>
      <c r="E56" s="18">
        <f>D56*(1+Предпоссылки!E$9)</f>
        <v>78492.525000000009</v>
      </c>
      <c r="F56" s="18">
        <f>E56*(1+Предпоссылки!F$9)</f>
        <v>81660.640294050012</v>
      </c>
      <c r="G56" s="18">
        <f>F56*(1+Предпоссылки!G$9)</f>
        <v>84927.065905812022</v>
      </c>
      <c r="H56" s="18">
        <f>G56*(1+Предпоссылки!H$9)</f>
        <v>88324.14854204451</v>
      </c>
      <c r="I56" s="18">
        <f>H56*(1+Предпоссылки!I$9)</f>
        <v>91857.114483726298</v>
      </c>
      <c r="J56" s="18">
        <f>I56*(1+Предпоссылки!J$9)</f>
        <v>95531.399063075354</v>
      </c>
      <c r="K56" s="18">
        <f>J56*(1+Предпоссылки!K$9)</f>
        <v>99352.655025598375</v>
      </c>
      <c r="L56" s="18">
        <f>K56*(1+Предпоссылки!L$9)</f>
        <v>103326.76122662232</v>
      </c>
      <c r="M56" s="18">
        <f>L56*(1+Предпоссылки!M$9)</f>
        <v>107459.83167568721</v>
      </c>
      <c r="N56" s="18">
        <f>M56*(1+Предпоссылки!N$9)</f>
        <v>111758.2249427147</v>
      </c>
      <c r="O56" s="18">
        <f>N56*(1+Предпоссылки!O$9)</f>
        <v>116228.5539404233</v>
      </c>
      <c r="P56" s="18">
        <f>O56*(1+Предпоссылки!P$9)</f>
        <v>120877.69609804024</v>
      </c>
      <c r="Q56" s="18">
        <f>P56*(1+Предпоссылки!Q$9)</f>
        <v>125712.80394196184</v>
      </c>
      <c r="R56" s="18">
        <f>Q56*(1+Предпоссылки!R$9)</f>
        <v>130741.31609964032</v>
      </c>
    </row>
    <row r="57" spans="1:18">
      <c r="A57" s="15" t="s">
        <v>109</v>
      </c>
      <c r="B57" s="6"/>
      <c r="C57" s="6" t="s">
        <v>112</v>
      </c>
      <c r="D57" s="4">
        <v>65000</v>
      </c>
      <c r="E57" s="18">
        <f>D57*(1+Предпоссылки!E$9)</f>
        <v>68026.854999999996</v>
      </c>
      <c r="F57" s="18">
        <f>E57*(1+Предпоссылки!F$9)</f>
        <v>70772.554921510004</v>
      </c>
      <c r="G57" s="18">
        <f>F57*(1+Предпоссылки!G$9)</f>
        <v>73603.45711837041</v>
      </c>
      <c r="H57" s="18">
        <f>G57*(1+Предпоссылки!H$9)</f>
        <v>76547.595403105224</v>
      </c>
      <c r="I57" s="18">
        <f>H57*(1+Предпоссылки!I$9)</f>
        <v>79609.49921922943</v>
      </c>
      <c r="J57" s="18">
        <f>I57*(1+Предпоссылки!J$9)</f>
        <v>82793.879187998609</v>
      </c>
      <c r="K57" s="18">
        <f>J57*(1+Предпоссылки!K$9)</f>
        <v>86105.634355518559</v>
      </c>
      <c r="L57" s="18">
        <f>K57*(1+Предпоссылки!L$9)</f>
        <v>89549.859729739299</v>
      </c>
      <c r="M57" s="18">
        <f>L57*(1+Предпоссылки!M$9)</f>
        <v>93131.854118928881</v>
      </c>
      <c r="N57" s="18">
        <f>M57*(1+Предпоссылки!N$9)</f>
        <v>96857.128283686034</v>
      </c>
      <c r="O57" s="18">
        <f>N57*(1+Предпоссылки!O$9)</f>
        <v>100731.41341503347</v>
      </c>
      <c r="P57" s="18">
        <f>O57*(1+Предпоссылки!P$9)</f>
        <v>104760.66995163482</v>
      </c>
      <c r="Q57" s="18">
        <f>P57*(1+Предпоссылки!Q$9)</f>
        <v>108951.09674970021</v>
      </c>
      <c r="R57" s="18">
        <f>Q57*(1+Предпоссылки!R$9)</f>
        <v>113309.14061968823</v>
      </c>
    </row>
    <row r="58" spans="1:18">
      <c r="A58" s="29" t="s">
        <v>65</v>
      </c>
      <c r="B58" s="6"/>
      <c r="C58" s="6"/>
    </row>
    <row r="59" spans="1:18">
      <c r="A59" s="15" t="s">
        <v>65</v>
      </c>
      <c r="B59" s="6"/>
      <c r="C59" s="6" t="s">
        <v>58</v>
      </c>
      <c r="D59" s="18">
        <f>SUMPRODUCT(D53:D54,D56:D57)*Предпоссылки!D5/1000</f>
        <v>0</v>
      </c>
      <c r="E59" s="18">
        <f>SUMPRODUCT(E53:E54,E56:E57)*Предпоссылки!E5/1000</f>
        <v>0</v>
      </c>
      <c r="F59" s="18">
        <f t="shared" ref="F59:R59" si="25">SUMPRODUCT(F53:F54,F56:F57)*12/1000</f>
        <v>43378.132124199357</v>
      </c>
      <c r="G59" s="18">
        <f t="shared" si="25"/>
        <v>85674.424085783161</v>
      </c>
      <c r="H59" s="18">
        <f t="shared" si="25"/>
        <v>93835.575411068072</v>
      </c>
      <c r="I59" s="18">
        <f t="shared" si="25"/>
        <v>97588.9984275108</v>
      </c>
      <c r="J59" s="18">
        <f t="shared" si="25"/>
        <v>101492.55836461124</v>
      </c>
      <c r="K59" s="18">
        <f t="shared" si="25"/>
        <v>105552.26069919567</v>
      </c>
      <c r="L59" s="18">
        <f t="shared" si="25"/>
        <v>109774.35112716352</v>
      </c>
      <c r="M59" s="18">
        <f t="shared" si="25"/>
        <v>114165.32517225006</v>
      </c>
      <c r="N59" s="18">
        <f t="shared" si="25"/>
        <v>118731.93817914007</v>
      </c>
      <c r="O59" s="18">
        <f t="shared" si="25"/>
        <v>123481.21570630565</v>
      </c>
      <c r="P59" s="18">
        <f t="shared" si="25"/>
        <v>128420.4643345579</v>
      </c>
      <c r="Q59" s="18">
        <f t="shared" si="25"/>
        <v>133557.28290794021</v>
      </c>
      <c r="R59" s="18">
        <f t="shared" si="25"/>
        <v>138899.57422425781</v>
      </c>
    </row>
    <row r="60" spans="1:18">
      <c r="A60" s="15" t="s">
        <v>81</v>
      </c>
      <c r="B60" s="6"/>
      <c r="C60" s="6" t="s">
        <v>58</v>
      </c>
      <c r="D60" s="18">
        <f>Налоги!D22</f>
        <v>0</v>
      </c>
      <c r="E60" s="18">
        <f>Налоги!E22</f>
        <v>0</v>
      </c>
      <c r="F60" s="18">
        <f>Налоги!F22</f>
        <v>3296.7380414391509</v>
      </c>
      <c r="G60" s="18">
        <f>Налоги!G22</f>
        <v>6511.2562305195197</v>
      </c>
      <c r="H60" s="18">
        <f>Налоги!H22</f>
        <v>7131.5037312411732</v>
      </c>
      <c r="I60" s="18">
        <f>Налоги!I22</f>
        <v>7416.7638804908211</v>
      </c>
      <c r="J60" s="18">
        <f>Налоги!J22</f>
        <v>7713.4344357104537</v>
      </c>
      <c r="K60" s="18">
        <f>Налоги!K22</f>
        <v>8021.9718131388709</v>
      </c>
      <c r="L60" s="18">
        <f>Налоги!L22</f>
        <v>8342.8506856644271</v>
      </c>
      <c r="M60" s="18">
        <f>Налоги!M22</f>
        <v>8676.5647130910038</v>
      </c>
      <c r="N60" s="18">
        <f>Налоги!N22</f>
        <v>9023.6273016146442</v>
      </c>
      <c r="O60" s="18">
        <f>Налоги!O22</f>
        <v>9384.5723936792292</v>
      </c>
      <c r="P60" s="18">
        <f>Налоги!P22</f>
        <v>38782.98022903649</v>
      </c>
      <c r="Q60" s="18">
        <f>Налоги!Q22</f>
        <v>40334.299438197952</v>
      </c>
      <c r="R60" s="18">
        <f>Налоги!R22</f>
        <v>41947.671415725868</v>
      </c>
    </row>
    <row r="61" spans="1:18">
      <c r="A61" s="9" t="s">
        <v>117</v>
      </c>
      <c r="B61" s="34"/>
      <c r="C61" s="34" t="s">
        <v>58</v>
      </c>
      <c r="D61" s="10">
        <f>SUM(D59:D60)</f>
        <v>0</v>
      </c>
      <c r="E61" s="10">
        <f t="shared" ref="E61:R61" si="26">SUM(E59:E60)</f>
        <v>0</v>
      </c>
      <c r="F61" s="10">
        <f t="shared" si="26"/>
        <v>46674.870165638509</v>
      </c>
      <c r="G61" s="10">
        <f t="shared" si="26"/>
        <v>92185.680316302678</v>
      </c>
      <c r="H61" s="10">
        <f t="shared" si="26"/>
        <v>100967.07914230925</v>
      </c>
      <c r="I61" s="10">
        <f t="shared" si="26"/>
        <v>105005.76230800162</v>
      </c>
      <c r="J61" s="10">
        <f t="shared" si="26"/>
        <v>109205.99280032169</v>
      </c>
      <c r="K61" s="10">
        <f t="shared" si="26"/>
        <v>113574.23251233454</v>
      </c>
      <c r="L61" s="10">
        <f t="shared" si="26"/>
        <v>118117.20181282795</v>
      </c>
      <c r="M61" s="10">
        <f t="shared" si="26"/>
        <v>122841.88988534106</v>
      </c>
      <c r="N61" s="10">
        <f t="shared" si="26"/>
        <v>127755.56548075471</v>
      </c>
      <c r="O61" s="10">
        <f t="shared" si="26"/>
        <v>132865.78809998487</v>
      </c>
      <c r="P61" s="10">
        <f t="shared" si="26"/>
        <v>167203.44456359438</v>
      </c>
      <c r="Q61" s="10">
        <f t="shared" si="26"/>
        <v>173891.58234613817</v>
      </c>
      <c r="R61" s="10">
        <f t="shared" si="26"/>
        <v>180847.24563998368</v>
      </c>
    </row>
    <row r="63" spans="1:18">
      <c r="A63" s="43" t="s">
        <v>152</v>
      </c>
      <c r="B63" s="47"/>
      <c r="C63" s="47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6"/>
    </row>
    <row r="64" spans="1:18">
      <c r="A64" s="9" t="s">
        <v>156</v>
      </c>
      <c r="B64" s="34"/>
      <c r="C64" s="34" t="s">
        <v>58</v>
      </c>
      <c r="D64" s="10">
        <f t="shared" ref="D64:R64" si="27">SUM(D65:D68)</f>
        <v>17120</v>
      </c>
      <c r="E64" s="10">
        <f t="shared" si="27"/>
        <v>53751.681120000008</v>
      </c>
      <c r="F64" s="10">
        <f t="shared" si="27"/>
        <v>69032.162415989398</v>
      </c>
      <c r="G64" s="10">
        <f t="shared" si="27"/>
        <v>102587.15128162455</v>
      </c>
      <c r="H64" s="10">
        <f t="shared" si="27"/>
        <v>108945.07394993035</v>
      </c>
      <c r="I64" s="10">
        <f t="shared" si="27"/>
        <v>113302.87690792758</v>
      </c>
      <c r="J64" s="10">
        <f t="shared" si="27"/>
        <v>117834.99198424467</v>
      </c>
      <c r="K64" s="10">
        <f t="shared" si="27"/>
        <v>122548.39166361446</v>
      </c>
      <c r="L64" s="10">
        <f t="shared" si="27"/>
        <v>127450.32733015905</v>
      </c>
      <c r="M64" s="10">
        <f t="shared" si="27"/>
        <v>132548.34042336541</v>
      </c>
      <c r="N64" s="10">
        <f t="shared" si="27"/>
        <v>137850.27404030005</v>
      </c>
      <c r="O64" s="10">
        <f t="shared" si="27"/>
        <v>143364.28500191204</v>
      </c>
      <c r="P64" s="10">
        <f t="shared" si="27"/>
        <v>152001.15889594954</v>
      </c>
      <c r="Q64" s="10">
        <f t="shared" si="27"/>
        <v>158081.20525178756</v>
      </c>
      <c r="R64" s="10">
        <f t="shared" si="27"/>
        <v>164404.45346185903</v>
      </c>
    </row>
    <row r="65" spans="1:18">
      <c r="A65" s="15" t="s">
        <v>155</v>
      </c>
      <c r="B65" s="13">
        <v>4280</v>
      </c>
      <c r="C65" s="6" t="s">
        <v>58</v>
      </c>
      <c r="D65" s="18">
        <f>B65*4</f>
        <v>17120</v>
      </c>
      <c r="E65" s="18">
        <f>B65*(1+Предпоссылки!E$9)*12</f>
        <v>53751.681120000008</v>
      </c>
      <c r="F65" s="18">
        <f>E65*(1+Предпоссылки!F$9)</f>
        <v>55921.206473365448</v>
      </c>
      <c r="G65" s="18">
        <f>F65*(1+Предпоссылки!G$9)</f>
        <v>58158.054732300065</v>
      </c>
      <c r="H65" s="18">
        <f>G65*(1+Предпоссылки!H$9)</f>
        <v>60484.376921592069</v>
      </c>
      <c r="I65" s="18">
        <f>H65*(1+Предпоссылки!I$9)</f>
        <v>62903.751998455751</v>
      </c>
      <c r="J65" s="18">
        <f>I65*(1+Предпоссылки!J$9)</f>
        <v>65419.902078393985</v>
      </c>
      <c r="K65" s="18">
        <f>J65*(1+Предпоссылки!K$9)</f>
        <v>68036.698161529741</v>
      </c>
      <c r="L65" s="18">
        <f>K65*(1+Предпоссылки!L$9)</f>
        <v>70758.166087990932</v>
      </c>
      <c r="M65" s="18">
        <f>L65*(1+Предпоссылки!M$9)</f>
        <v>73588.492731510574</v>
      </c>
      <c r="N65" s="18">
        <f>M65*(1+Предпоссылки!N$9)</f>
        <v>76532.032440771</v>
      </c>
      <c r="O65" s="18">
        <f>N65*(1+Предпоссылки!O$9)</f>
        <v>79593.313738401848</v>
      </c>
      <c r="P65" s="18">
        <f>O65*(1+Предпоссылки!P$9)</f>
        <v>82777.046287937919</v>
      </c>
      <c r="Q65" s="18">
        <f>P65*(1+Предпоссылки!Q$9)</f>
        <v>86088.128139455439</v>
      </c>
      <c r="R65" s="18">
        <f>Q65*(1+Предпоссылки!R$9)</f>
        <v>89531.653265033659</v>
      </c>
    </row>
    <row r="66" spans="1:18">
      <c r="A66" s="15" t="s">
        <v>153</v>
      </c>
      <c r="B66" s="13">
        <v>2000</v>
      </c>
      <c r="C66" s="6" t="s">
        <v>58</v>
      </c>
      <c r="D66" s="18">
        <v>0</v>
      </c>
      <c r="E66" s="18">
        <v>0</v>
      </c>
      <c r="F66" s="18">
        <f>B66</f>
        <v>2000</v>
      </c>
      <c r="G66" s="18">
        <f>F66*(1+Предпоссылки!G$9)</f>
        <v>2080</v>
      </c>
      <c r="H66" s="18">
        <f>G66*(1+Предпоссылки!H$9)</f>
        <v>2163.2000000000003</v>
      </c>
      <c r="I66" s="18">
        <f>H66*(1+Предпоссылки!I$9)</f>
        <v>2249.7280000000005</v>
      </c>
      <c r="J66" s="18">
        <f>I66*(1+Предпоссылки!J$9)</f>
        <v>2339.7171200000007</v>
      </c>
      <c r="K66" s="18">
        <f>J66*(1+Предпоссылки!K$9)</f>
        <v>2433.3058048000007</v>
      </c>
      <c r="L66" s="18">
        <f>K66*(1+Предпоссылки!L$9)</f>
        <v>2530.6380369920007</v>
      </c>
      <c r="M66" s="18">
        <f>L66*(1+Предпоссылки!M$9)</f>
        <v>2631.8635584716808</v>
      </c>
      <c r="N66" s="18">
        <f>M66*(1+Предпоссылки!N$9)</f>
        <v>2737.1381008105482</v>
      </c>
      <c r="O66" s="18">
        <f>N66*(1+Предпоссылки!O$9)</f>
        <v>2846.62362484297</v>
      </c>
      <c r="P66" s="18">
        <f>O66*(1+Предпоссылки!P$9)</f>
        <v>2960.4885698366888</v>
      </c>
      <c r="Q66" s="18">
        <f>P66*(1+Предпоссылки!Q$9)</f>
        <v>3078.9081126301567</v>
      </c>
      <c r="R66" s="18">
        <f>Q66*(1+Предпоссылки!R$9)</f>
        <v>3202.0644371353628</v>
      </c>
    </row>
    <row r="67" spans="1:18">
      <c r="A67" s="15" t="s">
        <v>303</v>
      </c>
      <c r="B67" s="56">
        <v>0.05</v>
      </c>
      <c r="C67" s="6" t="s">
        <v>58</v>
      </c>
      <c r="D67" s="18"/>
      <c r="E67" s="18"/>
      <c r="F67" s="18"/>
      <c r="G67" s="18">
        <f>'CAPEX | Finance'!$G$32*'OPEX &amp; SALES'!$B$67</f>
        <v>1250</v>
      </c>
      <c r="H67" s="18">
        <f>G67*(1 + Предпоссылки!H9)</f>
        <v>1300</v>
      </c>
      <c r="I67" s="18">
        <f>H67*(1 + Предпоссылки!I9)</f>
        <v>1352</v>
      </c>
      <c r="J67" s="18">
        <f>I67*(1 + Предпоссылки!J9)</f>
        <v>1406.0800000000002</v>
      </c>
      <c r="K67" s="18">
        <f>J67*(1 + Предпоссылки!K9)</f>
        <v>1462.3232000000003</v>
      </c>
      <c r="L67" s="18">
        <f>K67*(1 + Предпоссылки!L9)</f>
        <v>1520.8161280000004</v>
      </c>
      <c r="M67" s="18">
        <f>L67*(1 + Предпоссылки!M9)</f>
        <v>1581.6487731200004</v>
      </c>
      <c r="N67" s="18">
        <f>M67*(1 + Предпоссылки!N9)</f>
        <v>1644.9147240448006</v>
      </c>
      <c r="O67" s="18">
        <f>N67*(1 + Предпоссылки!O9)</f>
        <v>1710.7113130065927</v>
      </c>
      <c r="P67" s="18">
        <f>O67*(1 + Предпоссылки!P9)</f>
        <v>1779.1397655268565</v>
      </c>
      <c r="Q67" s="18">
        <f>P67*(1 + Предпоссылки!Q9)</f>
        <v>1850.3053561479308</v>
      </c>
      <c r="R67" s="18">
        <f>Q67*(1 + Предпоссылки!R9)</f>
        <v>1924.317570393848</v>
      </c>
    </row>
    <row r="68" spans="1:18">
      <c r="A68" s="15" t="s">
        <v>154</v>
      </c>
      <c r="B68" s="56">
        <v>0.1</v>
      </c>
      <c r="C68" s="6" t="s">
        <v>58</v>
      </c>
      <c r="D68" s="18">
        <f t="shared" ref="D68:R68" si="28">(D9+D15)*$B$68</f>
        <v>0</v>
      </c>
      <c r="E68" s="18">
        <f t="shared" si="28"/>
        <v>0</v>
      </c>
      <c r="F68" s="18">
        <f t="shared" si="28"/>
        <v>11110.955942623952</v>
      </c>
      <c r="G68" s="18">
        <f t="shared" si="28"/>
        <v>41099.096549324488</v>
      </c>
      <c r="H68" s="18">
        <f t="shared" si="28"/>
        <v>44997.497028338286</v>
      </c>
      <c r="I68" s="18">
        <f t="shared" si="28"/>
        <v>46797.39690947182</v>
      </c>
      <c r="J68" s="18">
        <f t="shared" si="28"/>
        <v>48669.292785850696</v>
      </c>
      <c r="K68" s="18">
        <f t="shared" si="28"/>
        <v>50616.064497284729</v>
      </c>
      <c r="L68" s="18">
        <f t="shared" si="28"/>
        <v>52640.707077176114</v>
      </c>
      <c r="M68" s="18">
        <f t="shared" si="28"/>
        <v>54746.335360263154</v>
      </c>
      <c r="N68" s="18">
        <f t="shared" si="28"/>
        <v>56936.18877467369</v>
      </c>
      <c r="O68" s="18">
        <f t="shared" si="28"/>
        <v>59213.636325660627</v>
      </c>
      <c r="P68" s="18">
        <f t="shared" si="28"/>
        <v>64484.484272648086</v>
      </c>
      <c r="Q68" s="18">
        <f t="shared" si="28"/>
        <v>67063.86364355401</v>
      </c>
      <c r="R68" s="18">
        <f t="shared" si="28"/>
        <v>69746.418189296164</v>
      </c>
    </row>
    <row r="70" spans="1:18">
      <c r="A70" s="43" t="s">
        <v>158</v>
      </c>
      <c r="B70" s="47"/>
      <c r="C70" s="47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6"/>
    </row>
    <row r="71" spans="1:18">
      <c r="A71" s="9" t="s">
        <v>157</v>
      </c>
      <c r="B71" s="34"/>
      <c r="C71" s="34" t="s">
        <v>58</v>
      </c>
      <c r="D71" s="10">
        <f t="shared" ref="D71:R71" si="29">SUM(D72:D73)</f>
        <v>0</v>
      </c>
      <c r="E71" s="10">
        <f t="shared" si="29"/>
        <v>0</v>
      </c>
      <c r="F71" s="10">
        <f t="shared" si="29"/>
        <v>0</v>
      </c>
      <c r="G71" s="10">
        <f t="shared" si="29"/>
        <v>0</v>
      </c>
      <c r="H71" s="10">
        <f t="shared" si="29"/>
        <v>0</v>
      </c>
      <c r="I71" s="10">
        <f t="shared" si="29"/>
        <v>0</v>
      </c>
      <c r="J71" s="10">
        <f t="shared" si="29"/>
        <v>0</v>
      </c>
      <c r="K71" s="10">
        <f t="shared" si="29"/>
        <v>0</v>
      </c>
      <c r="L71" s="10">
        <f t="shared" si="29"/>
        <v>0</v>
      </c>
      <c r="M71" s="10">
        <f t="shared" si="29"/>
        <v>0</v>
      </c>
      <c r="N71" s="10">
        <f t="shared" si="29"/>
        <v>0</v>
      </c>
      <c r="O71" s="10">
        <f t="shared" si="29"/>
        <v>0</v>
      </c>
      <c r="P71" s="10">
        <f t="shared" si="29"/>
        <v>7727.5</v>
      </c>
      <c r="Q71" s="10">
        <f t="shared" si="29"/>
        <v>6957.5</v>
      </c>
      <c r="R71" s="10">
        <f t="shared" si="29"/>
        <v>6187.5</v>
      </c>
    </row>
    <row r="72" spans="1:18">
      <c r="A72" s="15" t="s">
        <v>69</v>
      </c>
      <c r="C72" s="6" t="s">
        <v>58</v>
      </c>
      <c r="D72" s="18">
        <f>Налоги!D29</f>
        <v>0</v>
      </c>
      <c r="E72" s="18">
        <f>Налоги!E29</f>
        <v>0</v>
      </c>
      <c r="F72" s="18">
        <f>Налоги!F29</f>
        <v>0</v>
      </c>
      <c r="G72" s="18">
        <f>Налоги!G29</f>
        <v>0</v>
      </c>
      <c r="H72" s="18">
        <f>Налоги!H29</f>
        <v>0</v>
      </c>
      <c r="I72" s="18">
        <f>Налоги!I29</f>
        <v>0</v>
      </c>
      <c r="J72" s="18">
        <f>Налоги!J29</f>
        <v>0</v>
      </c>
      <c r="K72" s="18">
        <f>Налоги!K29</f>
        <v>0</v>
      </c>
      <c r="L72" s="18">
        <f>Налоги!L29</f>
        <v>0</v>
      </c>
      <c r="M72" s="18">
        <f>Налоги!M29</f>
        <v>0</v>
      </c>
      <c r="N72" s="18">
        <f>Налоги!N29</f>
        <v>0</v>
      </c>
      <c r="O72" s="18">
        <f>Налоги!O29</f>
        <v>0</v>
      </c>
      <c r="P72" s="18">
        <f>Налоги!P29</f>
        <v>7727.5</v>
      </c>
      <c r="Q72" s="18">
        <f>Налоги!Q29</f>
        <v>6957.5</v>
      </c>
      <c r="R72" s="18">
        <f>Налоги!R29</f>
        <v>6187.5</v>
      </c>
    </row>
    <row r="74" spans="1:18">
      <c r="A74" s="43" t="s">
        <v>159</v>
      </c>
      <c r="B74" s="47"/>
      <c r="C74" s="47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6"/>
    </row>
    <row r="75" spans="1:18">
      <c r="A75" s="15" t="s">
        <v>160</v>
      </c>
      <c r="B75" s="13">
        <v>90</v>
      </c>
      <c r="C75" s="6" t="s">
        <v>58</v>
      </c>
      <c r="D75" s="18">
        <f>'ОПУ-Баланс-ОДДС'!D4*'OPEX &amp; SALES'!$B$75/Предпоссылки!D$5</f>
        <v>0</v>
      </c>
      <c r="E75" s="18">
        <f>'ОПУ-Баланс-ОДДС'!E4*'OPEX &amp; SALES'!$B$75/Предпоссылки!E$5</f>
        <v>0</v>
      </c>
      <c r="F75" s="18">
        <f>'ОПУ-Баланс-ОДДС'!F4*'OPEX &amp; SALES'!$B$75/Предпоссылки!F$5</f>
        <v>40230.729692263209</v>
      </c>
      <c r="G75" s="18">
        <f>'ОПУ-Баланс-ОДДС'!G4*'OPEX &amp; SALES'!$B$75/Предпоссылки!G$5</f>
        <v>198739.80467978021</v>
      </c>
      <c r="H75" s="18">
        <f>'ОПУ-Баланс-ОДДС'!H4*'OPEX &amp; SALES'!$B$75/Предпоссылки!H$5</f>
        <v>216973.33867254699</v>
      </c>
      <c r="I75" s="18">
        <f>'ОПУ-Баланс-ОДДС'!I4*'OPEX &amp; SALES'!$B$75/Предпоссылки!I$5</f>
        <v>226270.49762278984</v>
      </c>
      <c r="J75" s="18">
        <f>'ОПУ-Баланс-ОДДС'!J4*'OPEX &amp; SALES'!$B$75/Предпоссылки!J$5</f>
        <v>235321.31752770144</v>
      </c>
      <c r="K75" s="18">
        <f>'ОПУ-Баланс-ОДДС'!K4*'OPEX &amp; SALES'!$B$75/Предпоссылки!K$5</f>
        <v>244734.1702288095</v>
      </c>
      <c r="L75" s="18">
        <f>'ОПУ-Баланс-ОДДС'!L4*'OPEX &amp; SALES'!$B$75/Предпоссылки!L$5</f>
        <v>253828.11753785814</v>
      </c>
      <c r="M75" s="18">
        <f>'ОПУ-Баланс-ОДДС'!M4*'OPEX &amp; SALES'!$B$75/Предпоссылки!M$5</f>
        <v>264704.47851948038</v>
      </c>
      <c r="N75" s="18">
        <f>'ОПУ-Баланс-ОДДС'!N4*'OPEX &amp; SALES'!$B$75/Предпоссылки!N$5</f>
        <v>275292.65766025957</v>
      </c>
      <c r="O75" s="18">
        <f>'ОПУ-Баланс-ОДДС'!O4*'OPEX &amp; SALES'!$B$75/Предпоссылки!O$5</f>
        <v>286304.36396666995</v>
      </c>
      <c r="P75" s="18">
        <f>'ОПУ-Баланс-ОДДС'!P4*'OPEX &amp; SALES'!$B$75/Предпоссылки!P$5</f>
        <v>296942.99607034947</v>
      </c>
      <c r="Q75" s="18">
        <f>'ОПУ-Баланс-ОДДС'!Q4*'OPEX &amp; SALES'!$B$75/Предпоссылки!Q$5</f>
        <v>309666.80006635026</v>
      </c>
      <c r="R75" s="18">
        <f>'ОПУ-Баланс-ОДДС'!R4*'OPEX &amp; SALES'!$B$75/Предпоссылки!R$5</f>
        <v>322053.47206900432</v>
      </c>
    </row>
    <row r="76" spans="1:18">
      <c r="A76" s="15" t="s">
        <v>161</v>
      </c>
      <c r="B76" s="13">
        <v>60</v>
      </c>
      <c r="C76" s="6" t="s">
        <v>58</v>
      </c>
      <c r="D76" s="18">
        <f>('ОПУ-Баланс-ОДДС'!D$7+'ОПУ-Баланс-ОДДС'!D$8-D$65)*'OPEX &amp; SALES'!$B$76/Предпоссылки!D$5</f>
        <v>0</v>
      </c>
      <c r="E76" s="18">
        <f>('ОПУ-Баланс-ОДДС'!E$7+'ОПУ-Баланс-ОДДС'!E$8-E$65)*'OPEX &amp; SALES'!$B$76/Предпоссылки!E$5</f>
        <v>0</v>
      </c>
      <c r="F76" s="18">
        <f>('ОПУ-Баланс-ОДДС'!F$7+'ОПУ-Баланс-ОДДС'!F$8-F$65)*'OPEX &amp; SALES'!$B$76/Предпоссылки!F$5</f>
        <v>12747.229348475334</v>
      </c>
      <c r="G76" s="18">
        <f>('ОПУ-Баланс-ОДДС'!G$7+'ОПУ-Баланс-ОДДС'!G$8-G$65)*'OPEX &amp; SALES'!$B$76/Предпоссылки!G$5</f>
        <v>59709.761379660275</v>
      </c>
      <c r="H76" s="18">
        <f>('ОПУ-Баланс-ОДДС'!H$7+'ОПУ-Баланс-ОДДС'!H$8-H$65)*'OPEX &amp; SALES'!$B$76/Предпоссылки!H$5</f>
        <v>65158.78494580523</v>
      </c>
      <c r="I76" s="18">
        <f>('ОПУ-Баланс-ОДДС'!I$7+'ОПУ-Баланс-ОДДС'!I$8-I$65)*'OPEX &amp; SALES'!$B$76/Предпоссылки!I$5</f>
        <v>67950.794251428233</v>
      </c>
      <c r="J76" s="18">
        <f>('ОПУ-Баланс-ОДДС'!J$7+'ОПУ-Баланс-ОДДС'!J$8-J$65)*'OPEX &amp; SALES'!$B$76/Предпоссылки!J$5</f>
        <v>70668.826021485351</v>
      </c>
      <c r="K76" s="18">
        <f>('ОПУ-Баланс-ОДДС'!K$7+'ОПУ-Баланс-ОДДС'!K$8-K$65)*'OPEX &amp; SALES'!$B$76/Предпоссылки!K$5</f>
        <v>73495.579062344783</v>
      </c>
      <c r="L76" s="18">
        <f>('ОПУ-Баланс-ОДДС'!L$7+'ОПУ-Баланс-ОДДС'!L$8-L$65)*'OPEX &amp; SALES'!$B$76/Предпоссылки!L$5</f>
        <v>76226.562328049389</v>
      </c>
      <c r="M76" s="18">
        <f>('ОПУ-Баланс-ОДДС'!M$7+'ОПУ-Баланс-ОДДС'!M$8-M$65)*'OPEX &amp; SALES'!$B$76/Предпоссылки!M$5</f>
        <v>79492.818313832089</v>
      </c>
      <c r="N76" s="18">
        <f>('ОПУ-Баланс-ОДДС'!N$7+'ОПУ-Баланс-ОДДС'!N$8-N$65)*'OPEX &amp; SALES'!$B$76/Предпоссылки!N$5</f>
        <v>82672.531046385411</v>
      </c>
      <c r="O76" s="18">
        <f>('ОПУ-Баланс-ОДДС'!O$7+'ОПУ-Баланс-ОДДС'!O$8-O$65)*'OPEX &amp; SALES'!$B$76/Предпоссылки!O$5</f>
        <v>85979.432288240801</v>
      </c>
      <c r="P76" s="18">
        <f>('ОПУ-Баланс-ОДДС'!P$7+'ОПУ-Баланс-ОДДС'!P$8-P$65)*'OPEX &amp; SALES'!$B$76/Предпоссылки!P$5</f>
        <v>89650.083732934087</v>
      </c>
      <c r="Q76" s="18">
        <f>('ОПУ-Баланс-ОДДС'!Q$7+'ОПУ-Баланс-ОДДС'!Q$8-Q$65)*'OPEX &amp; SALES'!$B$76/Предпоссылки!Q$5</f>
        <v>93491.528416723377</v>
      </c>
      <c r="R76" s="18">
        <f>('ОПУ-Баланс-ОДДС'!R$7+'ОПУ-Баланс-ОДДС'!R$8-R$65)*'OPEX &amp; SALES'!$B$76/Предпоссылки!R$5</f>
        <v>97231.189553392323</v>
      </c>
    </row>
    <row r="77" spans="1:18">
      <c r="A77" s="15" t="s">
        <v>162</v>
      </c>
      <c r="B77" s="13">
        <v>30</v>
      </c>
      <c r="C77" s="6" t="s">
        <v>58</v>
      </c>
      <c r="D77" s="18">
        <f>('ОПУ-Баланс-ОДДС'!D$7+'ОПУ-Баланс-ОДДС'!D$8)*'OPEX &amp; SALES'!$B$77/Предпоссылки!D$5</f>
        <v>1403.2786885245901</v>
      </c>
      <c r="E77" s="18">
        <f>('ОПУ-Баланс-ОДДС'!E$7+'ОПУ-Баланс-ОДДС'!E$8)*'OPEX &amp; SALES'!$B$77/Предпоссылки!E$5</f>
        <v>4417.9463934246587</v>
      </c>
      <c r="F77" s="18">
        <f>('ОПУ-Баланс-ОДДС'!F$7+'ОПУ-Баланс-ОДДС'!F$8+'ОПУ-Баланс-ОДДС'!F9)*'OPEX &amp; SALES'!$B$77/Предпоссылки!F$5</f>
        <v>11654.809726843047</v>
      </c>
      <c r="G77" s="18">
        <f>('ОПУ-Баланс-ОДДС'!G$7+'ОПУ-Баланс-ОДДС'!G$8+'ОПУ-Баланс-ОДДС'!G9)*'OPEX &amp; SALES'!$B$77/Предпоссылки!G$5</f>
        <v>35319.926284265755</v>
      </c>
      <c r="H77" s="18">
        <f>('ОПУ-Баланс-ОДДС'!H$7+'ОПУ-Баланс-ОДДС'!H$8+'ОПУ-Баланс-ОДДС'!H9)*'OPEX &amp; SALES'!$B$77/Предпоссылки!H$5</f>
        <v>38220.188395437479</v>
      </c>
      <c r="I77" s="18">
        <f>('ОПУ-Баланс-ОДДС'!I$7+'ОПУ-Баланс-ОДДС'!I$8+'ОПУ-Баланс-ОДДС'!I9)*'OPEX &amp; SALES'!$B$77/Предпоссылки!I$5</f>
        <v>39830.500029696777</v>
      </c>
      <c r="J77" s="18">
        <f>('ОПУ-Баланс-ОДДС'!J$7+'ОПУ-Баланс-ОДДС'!J$8+'ОПУ-Баланс-ОДДС'!J9)*'OPEX &amp; SALES'!$B$77/Предпоссылки!J$5</f>
        <v>41396.32277061067</v>
      </c>
      <c r="K77" s="18">
        <f>('ОПУ-Баланс-ОДДС'!K$7+'ОПУ-Баланс-ОДДС'!K$8+'ОПУ-Баланс-ОДДС'!K9)*'OPEX &amp; SALES'!$B$77/Предпоссылки!K$5</f>
        <v>43024.778421161136</v>
      </c>
      <c r="L77" s="18">
        <f>('ОПУ-Баланс-ОДДС'!L$7+'ОПУ-Баланс-ОДДС'!L$8+'ОПУ-Баланс-ОДДС'!L9)*'OPEX &amp; SALES'!$B$77/Предпоссылки!L$5</f>
        <v>44596.190952657831</v>
      </c>
      <c r="M77" s="18">
        <f>('ОПУ-Баланс-ОДДС'!M$7+'ОПУ-Баланс-ОДДС'!M$8+'ОПУ-Баланс-ОДДС'!M9)*'OPEX &amp; SALES'!$B$77/Предпоссылки!M$5</f>
        <v>46479.709929368968</v>
      </c>
      <c r="N77" s="18">
        <f>('ОПУ-Баланс-ОДДС'!N$7+'ОПУ-Баланс-ОДДС'!N$8+'ОПУ-Баланс-ОДДС'!N9)*'OPEX &amp; SALES'!$B$77/Предпоссылки!N$5</f>
        <v>48311.501066269775</v>
      </c>
      <c r="O77" s="18">
        <f>('ОПУ-Баланс-ОДДС'!O$7+'ОПУ-Баланс-ОДДС'!O$8+'ОПУ-Баланс-ОДДС'!O9)*'OPEX &amp; SALES'!$B$77/Предпоссылки!O$5</f>
        <v>50216.56384864659</v>
      </c>
      <c r="P77" s="18">
        <f>('ОПУ-Баланс-ОДДС'!P$7+'ОПУ-Баланс-ОДДС'!P$8+'ОПУ-Баланс-ОДДС'!P9)*'OPEX &amp; SALES'!$B$77/Предпоссылки!P$5</f>
        <v>52293.105769849935</v>
      </c>
      <c r="Q77" s="18">
        <f>('ОПУ-Баланс-ОДДС'!Q$7+'ОПУ-Баланс-ОДДС'!Q$8+'ОПУ-Баланс-ОДДС'!Q9)*'OPEX &amp; SALES'!$B$77/Предпоссылки!Q$5</f>
        <v>54506.432274618302</v>
      </c>
      <c r="R77" s="18">
        <f>('ОПУ-Баланс-ОДДС'!R$7+'ОПУ-Баланс-ОДДС'!R$8+'ОПУ-Баланс-ОДДС'!R9)*'OPEX &amp; SALES'!$B$77/Предпоссылки!R$5</f>
        <v>56659.292305329065</v>
      </c>
    </row>
    <row r="78" spans="1:18">
      <c r="A78" s="15" t="s">
        <v>163</v>
      </c>
      <c r="B78" s="13">
        <v>15</v>
      </c>
      <c r="C78" s="6" t="s">
        <v>58</v>
      </c>
      <c r="D78" s="18">
        <f>'ОПУ-Баланс-ОДДС'!D$6*'OPEX &amp; SALES'!$B$78/Предпоссылки!D$5</f>
        <v>0</v>
      </c>
      <c r="E78" s="18">
        <f>'ОПУ-Баланс-ОДДС'!E$6*'OPEX &amp; SALES'!$B$78/Предпоссылки!E$5</f>
        <v>0</v>
      </c>
      <c r="F78" s="18">
        <f>'ОПУ-Баланс-ОДДС'!F$6*'OPEX &amp; SALES'!$B$78/Предпоссылки!F$5</f>
        <v>1918.1453492728153</v>
      </c>
      <c r="G78" s="18">
        <f>'ОПУ-Баланс-ОДДС'!G$6*'OPEX &amp; SALES'!$B$78/Предпоссылки!G$5</f>
        <v>3788.4526157384662</v>
      </c>
      <c r="H78" s="18">
        <f>'ОПУ-Баланс-ОДДС'!H$6*'OPEX &amp; SALES'!$B$78/Предпоссылки!H$5</f>
        <v>4137.9950468159523</v>
      </c>
      <c r="I78" s="18">
        <f>'ОПУ-Баланс-ОДДС'!I$6*'OPEX &amp; SALES'!$B$78/Предпоссылки!I$5</f>
        <v>4315.3053003288342</v>
      </c>
      <c r="J78" s="18">
        <f>'ОПУ-Баланс-ОДДС'!J$6*'OPEX &amp; SALES'!$B$78/Предпоссылки!J$5</f>
        <v>4487.9175123419873</v>
      </c>
      <c r="K78" s="18">
        <f>'ОПУ-Баланс-ОДДС'!K$6*'OPEX &amp; SALES'!$B$78/Предпоссылки!K$5</f>
        <v>4667.4342128356657</v>
      </c>
      <c r="L78" s="18">
        <f>'ОПУ-Баланс-ОДДС'!L$6*'OPEX &amp; SALES'!$B$78/Предпоссылки!L$5</f>
        <v>4840.8689267552436</v>
      </c>
      <c r="M78" s="18">
        <f>'ОПУ-Баланс-ОДДС'!M$6*'OPEX &amp; SALES'!$B$78/Предпоссылки!M$5</f>
        <v>5048.2968446030573</v>
      </c>
      <c r="N78" s="18">
        <f>'ОПУ-Баланс-ОДДС'!N$6*'OPEX &amp; SALES'!$B$78/Предпоссылки!N$5</f>
        <v>5250.2287183871795</v>
      </c>
      <c r="O78" s="18">
        <f>'ОПУ-Баланс-ОДДС'!O$6*'OPEX &amp; SALES'!$B$78/Предпоссылки!O$5</f>
        <v>5460.2378671226661</v>
      </c>
      <c r="P78" s="18">
        <f>'ОПУ-Баланс-ОДДС'!P$6*'OPEX &amp; SALES'!$B$78/Предпоссылки!P$5</f>
        <v>6852.6001870325572</v>
      </c>
      <c r="Q78" s="18">
        <f>'ОПУ-Баланс-ОДДС'!Q$6*'OPEX &amp; SALES'!$B$78/Предпоссылки!Q$5</f>
        <v>7146.2294114851302</v>
      </c>
      <c r="R78" s="18">
        <f>'ОПУ-Баланс-ОДДС'!R$6*'OPEX &amp; SALES'!$B$78/Предпоссылки!R$5</f>
        <v>7432.0785879445348</v>
      </c>
    </row>
    <row r="79" spans="1:18">
      <c r="A79" s="15" t="s">
        <v>164</v>
      </c>
      <c r="C79" s="6" t="s">
        <v>58</v>
      </c>
      <c r="D79" s="11">
        <f>D75+D76-D77-D78</f>
        <v>-1403.2786885245901</v>
      </c>
      <c r="E79" s="11">
        <f t="shared" ref="E79:R79" si="30">E75+E76-E77-E78</f>
        <v>-4417.9463934246587</v>
      </c>
      <c r="F79" s="11">
        <f t="shared" si="30"/>
        <v>39405.00396462268</v>
      </c>
      <c r="G79" s="11">
        <f t="shared" si="30"/>
        <v>219341.18715943626</v>
      </c>
      <c r="H79" s="11">
        <f t="shared" si="30"/>
        <v>239773.94017609878</v>
      </c>
      <c r="I79" s="11">
        <f t="shared" si="30"/>
        <v>250075.48654419248</v>
      </c>
      <c r="J79" s="11">
        <f t="shared" si="30"/>
        <v>260105.90326623409</v>
      </c>
      <c r="K79" s="11">
        <f t="shared" si="30"/>
        <v>270537.53665715747</v>
      </c>
      <c r="L79" s="11">
        <f t="shared" si="30"/>
        <v>280617.61998649442</v>
      </c>
      <c r="M79" s="11">
        <f t="shared" si="30"/>
        <v>292669.29005934042</v>
      </c>
      <c r="N79" s="11">
        <f t="shared" si="30"/>
        <v>304403.45892198803</v>
      </c>
      <c r="O79" s="11">
        <f t="shared" si="30"/>
        <v>316606.99453914148</v>
      </c>
      <c r="P79" s="11">
        <f t="shared" si="30"/>
        <v>327447.37384640105</v>
      </c>
      <c r="Q79" s="11">
        <f t="shared" si="30"/>
        <v>341505.66679697018</v>
      </c>
      <c r="R79" s="11">
        <f t="shared" si="30"/>
        <v>355193.29072912305</v>
      </c>
    </row>
    <row r="80" spans="1:18">
      <c r="A80" s="66" t="s">
        <v>165</v>
      </c>
      <c r="B80" s="67"/>
      <c r="C80" s="68" t="s">
        <v>58</v>
      </c>
      <c r="D80" s="57">
        <f>-D79</f>
        <v>1403.2786885245901</v>
      </c>
      <c r="E80" s="57">
        <f>D79-E79</f>
        <v>3014.6677049000687</v>
      </c>
      <c r="F80" s="57">
        <f t="shared" ref="F80:R80" si="31">E79-F79</f>
        <v>-43822.950358047339</v>
      </c>
      <c r="G80" s="57">
        <f t="shared" si="31"/>
        <v>-179936.18319481358</v>
      </c>
      <c r="H80" s="57">
        <f t="shared" si="31"/>
        <v>-20432.753016662522</v>
      </c>
      <c r="I80" s="57">
        <f t="shared" si="31"/>
        <v>-10301.546368093695</v>
      </c>
      <c r="J80" s="57">
        <f t="shared" si="31"/>
        <v>-10030.416722041613</v>
      </c>
      <c r="K80" s="57">
        <f t="shared" si="31"/>
        <v>-10431.63339092338</v>
      </c>
      <c r="L80" s="57">
        <f t="shared" si="31"/>
        <v>-10080.083329336951</v>
      </c>
      <c r="M80" s="57">
        <f t="shared" si="31"/>
        <v>-12051.670072845998</v>
      </c>
      <c r="N80" s="57">
        <f t="shared" si="31"/>
        <v>-11734.16886264761</v>
      </c>
      <c r="O80" s="57">
        <f t="shared" si="31"/>
        <v>-12203.535617153451</v>
      </c>
      <c r="P80" s="57">
        <f t="shared" si="31"/>
        <v>-10840.379307259573</v>
      </c>
      <c r="Q80" s="57">
        <f t="shared" si="31"/>
        <v>-14058.292950569128</v>
      </c>
      <c r="R80" s="57">
        <f t="shared" si="31"/>
        <v>-13687.62393215287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0.79998168889431442"/>
  </sheetPr>
  <dimension ref="A1:T55"/>
  <sheetViews>
    <sheetView zoomScale="91" zoomScaleNormal="90" workbookViewId="0">
      <selection activeCell="D14" sqref="D14"/>
    </sheetView>
  </sheetViews>
  <sheetFormatPr baseColWidth="10" defaultColWidth="9.1640625" defaultRowHeight="15"/>
  <cols>
    <col min="1" max="1" width="50.5" style="1" customWidth="1"/>
    <col min="2" max="2" width="15" style="1" customWidth="1"/>
    <col min="3" max="3" width="12.83203125" style="1" customWidth="1"/>
    <col min="4" max="4" width="13.1640625" style="1" bestFit="1" customWidth="1"/>
    <col min="5" max="5" width="13.5" style="1" customWidth="1"/>
    <col min="6" max="6" width="12.83203125" style="1" customWidth="1"/>
    <col min="7" max="7" width="11" style="1" bestFit="1" customWidth="1"/>
    <col min="8" max="18" width="12.1640625" style="1" bestFit="1" customWidth="1"/>
    <col min="19" max="19" width="9.1640625" style="1"/>
    <col min="20" max="20" width="13.6640625" style="1" bestFit="1" customWidth="1"/>
    <col min="21" max="16384" width="9.1640625" style="1"/>
  </cols>
  <sheetData>
    <row r="1" spans="1:19">
      <c r="A1" s="37" t="s">
        <v>98</v>
      </c>
      <c r="B1" s="38" t="s">
        <v>105</v>
      </c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2" spans="1:19">
      <c r="A2" s="29" t="s">
        <v>119</v>
      </c>
      <c r="B2" s="6"/>
      <c r="C2" s="6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</row>
    <row r="3" spans="1:19">
      <c r="A3" s="15" t="s">
        <v>103</v>
      </c>
      <c r="B3" s="13">
        <f>600000*'Анализ чувствительности'!$B$2</f>
        <v>600000</v>
      </c>
      <c r="C3" s="6" t="s">
        <v>60</v>
      </c>
      <c r="D3" s="18">
        <f>B3*(150000/600000)</f>
        <v>150000</v>
      </c>
      <c r="E3" s="18">
        <f>B3-D3</f>
        <v>450000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 spans="1:19">
      <c r="A4" s="15" t="s">
        <v>102</v>
      </c>
      <c r="B4" s="13">
        <f>300000*'Анализ чувствительности'!$B$2</f>
        <v>300000</v>
      </c>
      <c r="C4" s="6" t="s">
        <v>60</v>
      </c>
      <c r="D4" s="18">
        <f>B4</f>
        <v>300000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01"/>
    </row>
    <row r="5" spans="1:19">
      <c r="A5" s="15" t="s">
        <v>104</v>
      </c>
      <c r="B5" s="13">
        <v>21970</v>
      </c>
      <c r="C5" s="6" t="s">
        <v>60</v>
      </c>
      <c r="D5" s="18"/>
      <c r="E5" s="12">
        <v>0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9">
      <c r="A6" s="7" t="s">
        <v>106</v>
      </c>
      <c r="B6" s="7"/>
      <c r="D6" s="28">
        <f>SUM(D3:D4)/SUM($B$3:$B$4)</f>
        <v>0.5</v>
      </c>
      <c r="E6" s="28">
        <f t="shared" ref="E6" si="0">SUM(E3:E4)/SUM($B$3:$B$4)</f>
        <v>0.5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</row>
    <row r="7" spans="1:19">
      <c r="A7" s="7" t="s">
        <v>99</v>
      </c>
      <c r="B7" s="13">
        <f>B3+B4</f>
        <v>900000</v>
      </c>
      <c r="C7" s="6" t="s">
        <v>60</v>
      </c>
      <c r="D7" s="18">
        <f>SUM(D3:D4)</f>
        <v>450000</v>
      </c>
      <c r="E7" s="18">
        <f>SUM(E3:E4)</f>
        <v>450000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9">
      <c r="A8" s="7" t="s">
        <v>100</v>
      </c>
      <c r="B8" s="13">
        <f>B7/1.2</f>
        <v>750000</v>
      </c>
      <c r="C8" s="6" t="s">
        <v>60</v>
      </c>
      <c r="D8" s="18">
        <f>D7/1.2</f>
        <v>375000</v>
      </c>
      <c r="E8" s="18">
        <f t="shared" ref="E8" si="1">E7/1.2</f>
        <v>375000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10" spans="1:19">
      <c r="A10" s="9" t="s">
        <v>101</v>
      </c>
      <c r="B10" s="17"/>
      <c r="C10" s="34"/>
      <c r="D10" s="10">
        <f t="shared" ref="D10:R10" si="2">SUM(D3:D5)</f>
        <v>450000</v>
      </c>
      <c r="E10" s="10">
        <f t="shared" si="2"/>
        <v>450000</v>
      </c>
      <c r="F10" s="10">
        <f t="shared" si="2"/>
        <v>0</v>
      </c>
      <c r="G10" s="10">
        <f t="shared" si="2"/>
        <v>0</v>
      </c>
      <c r="H10" s="10">
        <f t="shared" si="2"/>
        <v>0</v>
      </c>
      <c r="I10" s="10">
        <f t="shared" si="2"/>
        <v>0</v>
      </c>
      <c r="J10" s="10">
        <f t="shared" si="2"/>
        <v>0</v>
      </c>
      <c r="K10" s="10">
        <f t="shared" si="2"/>
        <v>0</v>
      </c>
      <c r="L10" s="10">
        <f t="shared" si="2"/>
        <v>0</v>
      </c>
      <c r="M10" s="10">
        <f t="shared" si="2"/>
        <v>0</v>
      </c>
      <c r="N10" s="10">
        <f t="shared" si="2"/>
        <v>0</v>
      </c>
      <c r="O10" s="10">
        <f t="shared" si="2"/>
        <v>0</v>
      </c>
      <c r="P10" s="10">
        <f t="shared" si="2"/>
        <v>0</v>
      </c>
      <c r="Q10" s="10">
        <f t="shared" si="2"/>
        <v>0</v>
      </c>
      <c r="R10" s="10">
        <f t="shared" si="2"/>
        <v>0</v>
      </c>
    </row>
    <row r="12" spans="1:19">
      <c r="A12" s="7" t="s">
        <v>334</v>
      </c>
      <c r="B12" s="56">
        <f>500000/SUM(B3:B4)</f>
        <v>0.55555555555555558</v>
      </c>
    </row>
    <row r="13" spans="1:19">
      <c r="A13" s="7" t="s">
        <v>335</v>
      </c>
      <c r="B13" s="56">
        <f>1-B12</f>
        <v>0.44444444444444442</v>
      </c>
    </row>
    <row r="14" spans="1:19">
      <c r="A14" s="50" t="s">
        <v>107</v>
      </c>
      <c r="B14" s="13"/>
      <c r="C14" s="6" t="s">
        <v>60</v>
      </c>
      <c r="D14" s="18">
        <v>20000</v>
      </c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spans="1:19">
      <c r="A15" s="50" t="s">
        <v>210</v>
      </c>
      <c r="B15" s="51">
        <f>SUM(B3:B4)*B13</f>
        <v>400000</v>
      </c>
      <c r="C15" s="6" t="s">
        <v>60</v>
      </c>
      <c r="D15" s="18">
        <f>D4*1/3</f>
        <v>100000</v>
      </c>
      <c r="E15" s="18">
        <f>B15-D15</f>
        <v>300000</v>
      </c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pans="1:19">
      <c r="A16" s="7" t="s">
        <v>332</v>
      </c>
      <c r="B16" s="7"/>
      <c r="D16" s="28">
        <v>0.3</v>
      </c>
      <c r="E16" s="28">
        <v>0.5</v>
      </c>
      <c r="F16" s="28">
        <v>0.2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7" spans="1:20">
      <c r="A17" s="50" t="s">
        <v>179</v>
      </c>
      <c r="B17" s="51">
        <f>500000*'Анализ чувствительности'!$B$5</f>
        <v>500000</v>
      </c>
      <c r="C17" s="6" t="s">
        <v>60</v>
      </c>
      <c r="D17" s="18">
        <f>$B$17*D16</f>
        <v>150000</v>
      </c>
      <c r="E17" s="18">
        <f>$B$17*E16</f>
        <v>250000</v>
      </c>
      <c r="F17" s="18">
        <f>$B$17*F16</f>
        <v>100000</v>
      </c>
      <c r="G17" s="35">
        <v>0</v>
      </c>
      <c r="H17" s="18">
        <f>G17</f>
        <v>0</v>
      </c>
      <c r="I17" s="18">
        <f t="shared" ref="I17:R17" si="3">H17</f>
        <v>0</v>
      </c>
      <c r="J17" s="18">
        <f t="shared" si="3"/>
        <v>0</v>
      </c>
      <c r="K17" s="18">
        <f t="shared" si="3"/>
        <v>0</v>
      </c>
      <c r="L17" s="18">
        <f t="shared" si="3"/>
        <v>0</v>
      </c>
      <c r="M17" s="18">
        <f t="shared" si="3"/>
        <v>0</v>
      </c>
      <c r="N17" s="18">
        <f t="shared" si="3"/>
        <v>0</v>
      </c>
      <c r="O17" s="18">
        <f t="shared" si="3"/>
        <v>0</v>
      </c>
      <c r="P17" s="18">
        <f t="shared" si="3"/>
        <v>0</v>
      </c>
      <c r="Q17" s="18">
        <f t="shared" si="3"/>
        <v>0</v>
      </c>
      <c r="R17" s="18">
        <f t="shared" si="3"/>
        <v>0</v>
      </c>
    </row>
    <row r="18" spans="1:20">
      <c r="A18" s="50" t="s">
        <v>108</v>
      </c>
      <c r="B18" s="13"/>
      <c r="C18" s="6" t="s">
        <v>60</v>
      </c>
      <c r="D18" s="35">
        <f>Налоги!D13</f>
        <v>0</v>
      </c>
      <c r="E18" s="35">
        <f>Налоги!E13</f>
        <v>45090.666666666657</v>
      </c>
      <c r="F18" s="35">
        <f>Налоги!F13</f>
        <v>85750.336223999999</v>
      </c>
      <c r="G18" s="35">
        <f>F7-F8</f>
        <v>0</v>
      </c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</row>
    <row r="19" spans="1:20">
      <c r="D19" s="109"/>
      <c r="E19" s="109"/>
      <c r="F19" s="109"/>
    </row>
    <row r="20" spans="1:20">
      <c r="A20" s="43" t="s">
        <v>120</v>
      </c>
      <c r="B20" s="47"/>
      <c r="C20" s="47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6"/>
    </row>
    <row r="21" spans="1:20">
      <c r="A21" s="7" t="s">
        <v>121</v>
      </c>
      <c r="C21" s="6" t="s">
        <v>60</v>
      </c>
      <c r="D21" s="18">
        <f>(D7-D4)/1.2</f>
        <v>125000</v>
      </c>
      <c r="E21" s="18">
        <f t="shared" ref="E21:R21" si="4">E8</f>
        <v>375000</v>
      </c>
      <c r="F21" s="18">
        <f t="shared" si="4"/>
        <v>0</v>
      </c>
      <c r="G21" s="18">
        <f t="shared" si="4"/>
        <v>0</v>
      </c>
      <c r="H21" s="18">
        <f t="shared" si="4"/>
        <v>0</v>
      </c>
      <c r="I21" s="18">
        <f t="shared" si="4"/>
        <v>0</v>
      </c>
      <c r="J21" s="18">
        <f t="shared" si="4"/>
        <v>0</v>
      </c>
      <c r="K21" s="18">
        <f t="shared" si="4"/>
        <v>0</v>
      </c>
      <c r="L21" s="18">
        <f t="shared" si="4"/>
        <v>0</v>
      </c>
      <c r="M21" s="18">
        <f t="shared" si="4"/>
        <v>0</v>
      </c>
      <c r="N21" s="18">
        <f t="shared" si="4"/>
        <v>0</v>
      </c>
      <c r="O21" s="18">
        <f t="shared" si="4"/>
        <v>0</v>
      </c>
      <c r="P21" s="18">
        <f t="shared" si="4"/>
        <v>0</v>
      </c>
      <c r="Q21" s="18">
        <f t="shared" si="4"/>
        <v>0</v>
      </c>
      <c r="R21" s="18">
        <f t="shared" si="4"/>
        <v>0</v>
      </c>
    </row>
    <row r="22" spans="1:20">
      <c r="A22" s="7" t="s">
        <v>122</v>
      </c>
      <c r="C22" s="6" t="s">
        <v>60</v>
      </c>
      <c r="D22" s="18">
        <f>(D21*1.2)-D21</f>
        <v>25000</v>
      </c>
      <c r="E22" s="18">
        <f t="shared" ref="E22:R22" si="5">(E21*1.2)-E21</f>
        <v>75000</v>
      </c>
      <c r="F22" s="18">
        <f t="shared" si="5"/>
        <v>0</v>
      </c>
      <c r="G22" s="18">
        <f t="shared" si="5"/>
        <v>0</v>
      </c>
      <c r="H22" s="18">
        <f t="shared" si="5"/>
        <v>0</v>
      </c>
      <c r="I22" s="18">
        <f t="shared" si="5"/>
        <v>0</v>
      </c>
      <c r="J22" s="18">
        <f t="shared" si="5"/>
        <v>0</v>
      </c>
      <c r="K22" s="18">
        <f t="shared" si="5"/>
        <v>0</v>
      </c>
      <c r="L22" s="18">
        <f t="shared" si="5"/>
        <v>0</v>
      </c>
      <c r="M22" s="18">
        <f t="shared" si="5"/>
        <v>0</v>
      </c>
      <c r="N22" s="18">
        <f t="shared" si="5"/>
        <v>0</v>
      </c>
      <c r="O22" s="18">
        <f t="shared" si="5"/>
        <v>0</v>
      </c>
      <c r="P22" s="18">
        <f t="shared" si="5"/>
        <v>0</v>
      </c>
      <c r="Q22" s="18">
        <f t="shared" si="5"/>
        <v>0</v>
      </c>
      <c r="R22" s="18">
        <f t="shared" si="5"/>
        <v>0</v>
      </c>
      <c r="T22" s="14"/>
    </row>
    <row r="23" spans="1:20">
      <c r="A23" s="7"/>
    </row>
    <row r="24" spans="1:20">
      <c r="A24" s="7" t="s">
        <v>123</v>
      </c>
      <c r="C24" s="6" t="s">
        <v>60</v>
      </c>
      <c r="D24" s="18">
        <f>D21+D52</f>
        <v>325000</v>
      </c>
      <c r="E24" s="18">
        <f>D24+E21</f>
        <v>700000</v>
      </c>
      <c r="F24" s="35">
        <v>0</v>
      </c>
      <c r="G24" s="18">
        <f t="shared" ref="G24:R24" si="6">F24+G21</f>
        <v>0</v>
      </c>
      <c r="H24" s="18">
        <f t="shared" si="6"/>
        <v>0</v>
      </c>
      <c r="I24" s="18">
        <f t="shared" si="6"/>
        <v>0</v>
      </c>
      <c r="J24" s="18">
        <f t="shared" si="6"/>
        <v>0</v>
      </c>
      <c r="K24" s="18">
        <f t="shared" si="6"/>
        <v>0</v>
      </c>
      <c r="L24" s="18">
        <f t="shared" si="6"/>
        <v>0</v>
      </c>
      <c r="M24" s="18">
        <f t="shared" si="6"/>
        <v>0</v>
      </c>
      <c r="N24" s="18">
        <f t="shared" si="6"/>
        <v>0</v>
      </c>
      <c r="O24" s="18">
        <f t="shared" si="6"/>
        <v>0</v>
      </c>
      <c r="P24" s="18">
        <f t="shared" si="6"/>
        <v>0</v>
      </c>
      <c r="Q24" s="18">
        <f t="shared" si="6"/>
        <v>0</v>
      </c>
      <c r="R24" s="18">
        <f t="shared" si="6"/>
        <v>0</v>
      </c>
    </row>
    <row r="25" spans="1:20">
      <c r="A25" s="7" t="s">
        <v>124</v>
      </c>
      <c r="C25" s="6" t="s">
        <v>60</v>
      </c>
      <c r="D25" s="35">
        <v>0</v>
      </c>
      <c r="E25" s="35">
        <v>0</v>
      </c>
      <c r="F25" s="18">
        <f>E24</f>
        <v>700000</v>
      </c>
      <c r="G25" s="18">
        <f t="shared" ref="G25:R25" si="7">G24</f>
        <v>0</v>
      </c>
      <c r="H25" s="18">
        <f t="shared" si="7"/>
        <v>0</v>
      </c>
      <c r="I25" s="18">
        <f t="shared" si="7"/>
        <v>0</v>
      </c>
      <c r="J25" s="18">
        <f t="shared" si="7"/>
        <v>0</v>
      </c>
      <c r="K25" s="18">
        <f t="shared" si="7"/>
        <v>0</v>
      </c>
      <c r="L25" s="18">
        <f t="shared" si="7"/>
        <v>0</v>
      </c>
      <c r="M25" s="18">
        <f t="shared" si="7"/>
        <v>0</v>
      </c>
      <c r="N25" s="18">
        <f t="shared" si="7"/>
        <v>0</v>
      </c>
      <c r="O25" s="18">
        <f t="shared" si="7"/>
        <v>0</v>
      </c>
      <c r="P25" s="18">
        <f t="shared" si="7"/>
        <v>0</v>
      </c>
      <c r="Q25" s="18">
        <f t="shared" si="7"/>
        <v>0</v>
      </c>
      <c r="R25" s="18">
        <f t="shared" si="7"/>
        <v>0</v>
      </c>
    </row>
    <row r="26" spans="1:20">
      <c r="A26" s="7"/>
    </row>
    <row r="27" spans="1:20">
      <c r="A27" s="29" t="s">
        <v>125</v>
      </c>
    </row>
    <row r="28" spans="1:20">
      <c r="A28" s="7" t="s">
        <v>126</v>
      </c>
      <c r="C28" s="6" t="s">
        <v>60</v>
      </c>
      <c r="D28" s="35">
        <v>0</v>
      </c>
      <c r="E28" s="35">
        <v>0</v>
      </c>
      <c r="F28" s="18">
        <f>SUM(F29:F30)</f>
        <v>700000</v>
      </c>
      <c r="G28" s="18">
        <f t="shared" ref="G28:R28" si="8">SUM(G29:G30)</f>
        <v>700000</v>
      </c>
      <c r="H28" s="18">
        <f t="shared" si="8"/>
        <v>700000</v>
      </c>
      <c r="I28" s="18">
        <f t="shared" si="8"/>
        <v>700000</v>
      </c>
      <c r="J28" s="18">
        <f t="shared" si="8"/>
        <v>700000</v>
      </c>
      <c r="K28" s="18">
        <f t="shared" si="8"/>
        <v>700000</v>
      </c>
      <c r="L28" s="18">
        <f t="shared" si="8"/>
        <v>700000</v>
      </c>
      <c r="M28" s="18">
        <f t="shared" si="8"/>
        <v>700000</v>
      </c>
      <c r="N28" s="18">
        <f t="shared" si="8"/>
        <v>700000</v>
      </c>
      <c r="O28" s="18">
        <f t="shared" si="8"/>
        <v>700000</v>
      </c>
      <c r="P28" s="18">
        <f t="shared" si="8"/>
        <v>700000</v>
      </c>
      <c r="Q28" s="18">
        <f t="shared" si="8"/>
        <v>700000</v>
      </c>
      <c r="R28" s="18">
        <f t="shared" si="8"/>
        <v>700000</v>
      </c>
    </row>
    <row r="29" spans="1:20">
      <c r="A29" s="15" t="s">
        <v>103</v>
      </c>
      <c r="C29" s="6" t="s">
        <v>60</v>
      </c>
      <c r="D29" s="35">
        <v>0</v>
      </c>
      <c r="E29" s="35">
        <v>0</v>
      </c>
      <c r="F29" s="18">
        <f>B3/1.2</f>
        <v>500000</v>
      </c>
      <c r="G29" s="18">
        <f>F29</f>
        <v>500000</v>
      </c>
      <c r="H29" s="18">
        <f t="shared" ref="H29:R29" si="9">G29</f>
        <v>500000</v>
      </c>
      <c r="I29" s="18">
        <f t="shared" si="9"/>
        <v>500000</v>
      </c>
      <c r="J29" s="18">
        <f t="shared" si="9"/>
        <v>500000</v>
      </c>
      <c r="K29" s="18">
        <f t="shared" si="9"/>
        <v>500000</v>
      </c>
      <c r="L29" s="18">
        <f t="shared" si="9"/>
        <v>500000</v>
      </c>
      <c r="M29" s="18">
        <f t="shared" si="9"/>
        <v>500000</v>
      </c>
      <c r="N29" s="18">
        <f t="shared" si="9"/>
        <v>500000</v>
      </c>
      <c r="O29" s="18">
        <f t="shared" si="9"/>
        <v>500000</v>
      </c>
      <c r="P29" s="18">
        <f t="shared" si="9"/>
        <v>500000</v>
      </c>
      <c r="Q29" s="18">
        <f t="shared" si="9"/>
        <v>500000</v>
      </c>
      <c r="R29" s="18">
        <f t="shared" si="9"/>
        <v>500000</v>
      </c>
    </row>
    <row r="30" spans="1:20">
      <c r="A30" s="15" t="s">
        <v>102</v>
      </c>
      <c r="C30" s="6" t="s">
        <v>60</v>
      </c>
      <c r="D30" s="35">
        <v>0</v>
      </c>
      <c r="E30" s="35">
        <v>0</v>
      </c>
      <c r="F30" s="18">
        <f>E52</f>
        <v>200000</v>
      </c>
      <c r="G30" s="18">
        <f>F30</f>
        <v>200000</v>
      </c>
      <c r="H30" s="18">
        <f t="shared" ref="H30:R30" si="10">G30</f>
        <v>200000</v>
      </c>
      <c r="I30" s="18">
        <f t="shared" si="10"/>
        <v>200000</v>
      </c>
      <c r="J30" s="18">
        <f t="shared" si="10"/>
        <v>200000</v>
      </c>
      <c r="K30" s="18">
        <f t="shared" si="10"/>
        <v>200000</v>
      </c>
      <c r="L30" s="18">
        <f t="shared" si="10"/>
        <v>200000</v>
      </c>
      <c r="M30" s="18">
        <f t="shared" si="10"/>
        <v>200000</v>
      </c>
      <c r="N30" s="18">
        <f t="shared" si="10"/>
        <v>200000</v>
      </c>
      <c r="O30" s="18">
        <f t="shared" si="10"/>
        <v>200000</v>
      </c>
      <c r="P30" s="18">
        <f t="shared" si="10"/>
        <v>200000</v>
      </c>
      <c r="Q30" s="18">
        <f t="shared" si="10"/>
        <v>200000</v>
      </c>
      <c r="R30" s="18">
        <f t="shared" si="10"/>
        <v>200000</v>
      </c>
    </row>
    <row r="31" spans="1:20">
      <c r="A31" s="7" t="s">
        <v>127</v>
      </c>
      <c r="C31" s="6" t="s">
        <v>132</v>
      </c>
      <c r="D31" s="35">
        <v>0</v>
      </c>
      <c r="E31" s="35">
        <v>0</v>
      </c>
      <c r="F31" s="18">
        <v>20</v>
      </c>
      <c r="G31" s="18">
        <f>F31</f>
        <v>20</v>
      </c>
      <c r="H31" s="18">
        <f t="shared" ref="H31:R31" si="11">G31</f>
        <v>20</v>
      </c>
      <c r="I31" s="18">
        <f t="shared" si="11"/>
        <v>20</v>
      </c>
      <c r="J31" s="18">
        <f t="shared" si="11"/>
        <v>20</v>
      </c>
      <c r="K31" s="18">
        <f t="shared" si="11"/>
        <v>20</v>
      </c>
      <c r="L31" s="18">
        <f t="shared" si="11"/>
        <v>20</v>
      </c>
      <c r="M31" s="18">
        <f t="shared" si="11"/>
        <v>20</v>
      </c>
      <c r="N31" s="18">
        <f t="shared" si="11"/>
        <v>20</v>
      </c>
      <c r="O31" s="18">
        <f t="shared" si="11"/>
        <v>20</v>
      </c>
      <c r="P31" s="18">
        <f t="shared" si="11"/>
        <v>20</v>
      </c>
      <c r="Q31" s="18">
        <f t="shared" si="11"/>
        <v>20</v>
      </c>
      <c r="R31" s="18">
        <f t="shared" si="11"/>
        <v>20</v>
      </c>
    </row>
    <row r="32" spans="1:20">
      <c r="A32" s="52" t="s">
        <v>128</v>
      </c>
      <c r="C32" s="53" t="s">
        <v>60</v>
      </c>
      <c r="D32" s="54">
        <v>0</v>
      </c>
      <c r="E32" s="54">
        <v>0</v>
      </c>
      <c r="F32" s="55">
        <f>F29-F36</f>
        <v>6250</v>
      </c>
      <c r="G32" s="55">
        <f>F36-G36</f>
        <v>25000</v>
      </c>
      <c r="H32" s="55">
        <f t="shared" ref="H32:R32" si="12">G36-H36</f>
        <v>25000</v>
      </c>
      <c r="I32" s="55">
        <f t="shared" si="12"/>
        <v>25000</v>
      </c>
      <c r="J32" s="55">
        <f t="shared" si="12"/>
        <v>25000</v>
      </c>
      <c r="K32" s="55">
        <f t="shared" si="12"/>
        <v>25000</v>
      </c>
      <c r="L32" s="55">
        <f t="shared" si="12"/>
        <v>25000</v>
      </c>
      <c r="M32" s="55">
        <f t="shared" si="12"/>
        <v>25000</v>
      </c>
      <c r="N32" s="55">
        <f t="shared" si="12"/>
        <v>25000</v>
      </c>
      <c r="O32" s="55">
        <f t="shared" si="12"/>
        <v>25000</v>
      </c>
      <c r="P32" s="55">
        <f t="shared" si="12"/>
        <v>25000</v>
      </c>
      <c r="Q32" s="55">
        <f t="shared" si="12"/>
        <v>25000</v>
      </c>
      <c r="R32" s="55">
        <f t="shared" si="12"/>
        <v>25000</v>
      </c>
    </row>
    <row r="33" spans="1:18">
      <c r="A33" s="15" t="s">
        <v>129</v>
      </c>
      <c r="C33" s="6" t="s">
        <v>60</v>
      </c>
      <c r="D33" s="54"/>
      <c r="E33" s="54"/>
      <c r="F33" s="18">
        <f>$B$17/F31*0.25</f>
        <v>6250</v>
      </c>
      <c r="G33" s="18">
        <f t="shared" ref="G33:R33" si="13">$B$17/G31</f>
        <v>25000</v>
      </c>
      <c r="H33" s="18">
        <f t="shared" si="13"/>
        <v>25000</v>
      </c>
      <c r="I33" s="18">
        <f t="shared" si="13"/>
        <v>25000</v>
      </c>
      <c r="J33" s="18">
        <f t="shared" si="13"/>
        <v>25000</v>
      </c>
      <c r="K33" s="18">
        <f t="shared" si="13"/>
        <v>25000</v>
      </c>
      <c r="L33" s="18">
        <f t="shared" si="13"/>
        <v>25000</v>
      </c>
      <c r="M33" s="18">
        <f t="shared" si="13"/>
        <v>25000</v>
      </c>
      <c r="N33" s="18">
        <f t="shared" si="13"/>
        <v>25000</v>
      </c>
      <c r="O33" s="18">
        <f t="shared" si="13"/>
        <v>25000</v>
      </c>
      <c r="P33" s="18">
        <f t="shared" si="13"/>
        <v>25000</v>
      </c>
      <c r="Q33" s="18">
        <f t="shared" si="13"/>
        <v>25000</v>
      </c>
      <c r="R33" s="18">
        <f t="shared" si="13"/>
        <v>25000</v>
      </c>
    </row>
    <row r="34" spans="1:18">
      <c r="A34" s="7" t="s">
        <v>130</v>
      </c>
      <c r="C34" s="6" t="s">
        <v>60</v>
      </c>
      <c r="D34" s="35">
        <v>0</v>
      </c>
      <c r="E34" s="35">
        <v>0</v>
      </c>
      <c r="F34" s="18">
        <f>F32</f>
        <v>6250</v>
      </c>
      <c r="G34" s="18">
        <f>F34+G32</f>
        <v>31250</v>
      </c>
      <c r="H34" s="18">
        <f t="shared" ref="H34:R34" si="14">G34+H32</f>
        <v>56250</v>
      </c>
      <c r="I34" s="18">
        <f t="shared" si="14"/>
        <v>81250</v>
      </c>
      <c r="J34" s="18">
        <f t="shared" si="14"/>
        <v>106250</v>
      </c>
      <c r="K34" s="18">
        <f t="shared" si="14"/>
        <v>131250</v>
      </c>
      <c r="L34" s="18">
        <f t="shared" si="14"/>
        <v>156250</v>
      </c>
      <c r="M34" s="18">
        <f t="shared" si="14"/>
        <v>181250</v>
      </c>
      <c r="N34" s="18">
        <f t="shared" si="14"/>
        <v>206250</v>
      </c>
      <c r="O34" s="18">
        <f t="shared" si="14"/>
        <v>231250</v>
      </c>
      <c r="P34" s="18">
        <f t="shared" si="14"/>
        <v>256250</v>
      </c>
      <c r="Q34" s="18">
        <f t="shared" si="14"/>
        <v>281250</v>
      </c>
      <c r="R34" s="18">
        <f t="shared" si="14"/>
        <v>306250</v>
      </c>
    </row>
    <row r="35" spans="1:18">
      <c r="A35" s="52" t="s">
        <v>131</v>
      </c>
      <c r="C35" s="53" t="s">
        <v>60</v>
      </c>
      <c r="D35" s="54">
        <v>0</v>
      </c>
      <c r="E35" s="54">
        <v>0</v>
      </c>
      <c r="F35" s="55">
        <f>F36+F37</f>
        <v>683750</v>
      </c>
      <c r="G35" s="55">
        <f t="shared" ref="G35:R35" si="15">G36+G37</f>
        <v>648750</v>
      </c>
      <c r="H35" s="55">
        <f t="shared" si="15"/>
        <v>613750</v>
      </c>
      <c r="I35" s="55">
        <f t="shared" si="15"/>
        <v>578750</v>
      </c>
      <c r="J35" s="55">
        <f t="shared" si="15"/>
        <v>543750</v>
      </c>
      <c r="K35" s="55">
        <f t="shared" si="15"/>
        <v>508750</v>
      </c>
      <c r="L35" s="55">
        <f t="shared" si="15"/>
        <v>473750</v>
      </c>
      <c r="M35" s="55">
        <f t="shared" si="15"/>
        <v>438750</v>
      </c>
      <c r="N35" s="55">
        <f t="shared" si="15"/>
        <v>403750</v>
      </c>
      <c r="O35" s="55">
        <f t="shared" si="15"/>
        <v>368750</v>
      </c>
      <c r="P35" s="55">
        <f t="shared" si="15"/>
        <v>333750</v>
      </c>
      <c r="Q35" s="55">
        <f t="shared" si="15"/>
        <v>298750</v>
      </c>
      <c r="R35" s="55">
        <f t="shared" si="15"/>
        <v>263750</v>
      </c>
    </row>
    <row r="36" spans="1:18">
      <c r="A36" s="15" t="s">
        <v>103</v>
      </c>
      <c r="C36" s="6" t="s">
        <v>60</v>
      </c>
      <c r="D36" s="35">
        <v>0</v>
      </c>
      <c r="E36" s="35">
        <v>0</v>
      </c>
      <c r="F36" s="18">
        <f>F29-(F29/F31*0.25)</f>
        <v>493750</v>
      </c>
      <c r="G36" s="18">
        <f t="shared" ref="G36:R36" si="16">F36-(G29/G31)</f>
        <v>468750</v>
      </c>
      <c r="H36" s="18">
        <f t="shared" si="16"/>
        <v>443750</v>
      </c>
      <c r="I36" s="18">
        <f t="shared" si="16"/>
        <v>418750</v>
      </c>
      <c r="J36" s="18">
        <f t="shared" si="16"/>
        <v>393750</v>
      </c>
      <c r="K36" s="18">
        <f t="shared" si="16"/>
        <v>368750</v>
      </c>
      <c r="L36" s="18">
        <f t="shared" si="16"/>
        <v>343750</v>
      </c>
      <c r="M36" s="18">
        <f t="shared" si="16"/>
        <v>318750</v>
      </c>
      <c r="N36" s="18">
        <f t="shared" si="16"/>
        <v>293750</v>
      </c>
      <c r="O36" s="18">
        <f t="shared" si="16"/>
        <v>268750</v>
      </c>
      <c r="P36" s="18">
        <f t="shared" si="16"/>
        <v>243750</v>
      </c>
      <c r="Q36" s="18">
        <f t="shared" si="16"/>
        <v>218750</v>
      </c>
      <c r="R36" s="18">
        <f t="shared" si="16"/>
        <v>193750</v>
      </c>
    </row>
    <row r="37" spans="1:18">
      <c r="A37" s="15" t="s">
        <v>102</v>
      </c>
      <c r="C37" s="6" t="s">
        <v>60</v>
      </c>
      <c r="D37" s="35">
        <v>0</v>
      </c>
      <c r="E37" s="35">
        <v>0</v>
      </c>
      <c r="F37" s="18">
        <f>F30-(F50+F51)</f>
        <v>190000</v>
      </c>
      <c r="G37" s="18">
        <f t="shared" ref="G37:R37" si="17">F37-(G50+G51)</f>
        <v>180000</v>
      </c>
      <c r="H37" s="18">
        <f t="shared" si="17"/>
        <v>170000</v>
      </c>
      <c r="I37" s="18">
        <f t="shared" si="17"/>
        <v>160000</v>
      </c>
      <c r="J37" s="18">
        <f t="shared" si="17"/>
        <v>150000</v>
      </c>
      <c r="K37" s="18">
        <f t="shared" si="17"/>
        <v>140000</v>
      </c>
      <c r="L37" s="18">
        <f t="shared" si="17"/>
        <v>130000</v>
      </c>
      <c r="M37" s="18">
        <f t="shared" si="17"/>
        <v>120000</v>
      </c>
      <c r="N37" s="18">
        <f t="shared" si="17"/>
        <v>110000</v>
      </c>
      <c r="O37" s="18">
        <f t="shared" si="17"/>
        <v>100000</v>
      </c>
      <c r="P37" s="18">
        <f t="shared" si="17"/>
        <v>90000</v>
      </c>
      <c r="Q37" s="18">
        <f t="shared" si="17"/>
        <v>80000</v>
      </c>
      <c r="R37" s="18">
        <f t="shared" si="17"/>
        <v>70000</v>
      </c>
    </row>
    <row r="39" spans="1:18">
      <c r="A39" s="43" t="s">
        <v>213</v>
      </c>
      <c r="B39" s="47"/>
      <c r="C39" s="47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6"/>
    </row>
    <row r="40" spans="1:18">
      <c r="A40" s="7" t="s">
        <v>214</v>
      </c>
      <c r="C40" s="6" t="s">
        <v>60</v>
      </c>
      <c r="D40" s="18">
        <v>0</v>
      </c>
      <c r="E40" s="18">
        <f>D45</f>
        <v>100000</v>
      </c>
      <c r="F40" s="18">
        <f t="shared" ref="F40:R40" si="18">E45</f>
        <v>400000</v>
      </c>
      <c r="G40" s="18">
        <f t="shared" si="18"/>
        <v>360000</v>
      </c>
      <c r="H40" s="18">
        <f t="shared" si="18"/>
        <v>320000</v>
      </c>
      <c r="I40" s="18">
        <f t="shared" si="18"/>
        <v>280000</v>
      </c>
      <c r="J40" s="18">
        <f t="shared" si="18"/>
        <v>240000</v>
      </c>
      <c r="K40" s="18">
        <f t="shared" si="18"/>
        <v>200000</v>
      </c>
      <c r="L40" s="18">
        <f t="shared" si="18"/>
        <v>160000</v>
      </c>
      <c r="M40" s="18">
        <f t="shared" si="18"/>
        <v>120000</v>
      </c>
      <c r="N40" s="18">
        <f t="shared" si="18"/>
        <v>80000</v>
      </c>
      <c r="O40" s="18">
        <f t="shared" si="18"/>
        <v>40000</v>
      </c>
      <c r="P40" s="18">
        <f t="shared" si="18"/>
        <v>0</v>
      </c>
      <c r="Q40" s="18">
        <f t="shared" si="18"/>
        <v>0</v>
      </c>
      <c r="R40" s="18">
        <f t="shared" si="18"/>
        <v>0</v>
      </c>
    </row>
    <row r="41" spans="1:18">
      <c r="A41" s="7" t="s">
        <v>215</v>
      </c>
      <c r="B41" s="51">
        <f>B15</f>
        <v>400000</v>
      </c>
      <c r="C41" s="6" t="s">
        <v>60</v>
      </c>
      <c r="D41" s="18">
        <f>D15</f>
        <v>100000</v>
      </c>
      <c r="E41" s="18">
        <f>E15</f>
        <v>300000</v>
      </c>
      <c r="F41" s="18">
        <v>0</v>
      </c>
      <c r="G41" s="18">
        <f>F41</f>
        <v>0</v>
      </c>
      <c r="H41" s="18">
        <f t="shared" ref="H41:R41" si="19">G41</f>
        <v>0</v>
      </c>
      <c r="I41" s="18">
        <f t="shared" si="19"/>
        <v>0</v>
      </c>
      <c r="J41" s="18">
        <f t="shared" si="19"/>
        <v>0</v>
      </c>
      <c r="K41" s="18">
        <f t="shared" si="19"/>
        <v>0</v>
      </c>
      <c r="L41" s="18">
        <f t="shared" si="19"/>
        <v>0</v>
      </c>
      <c r="M41" s="18">
        <f t="shared" si="19"/>
        <v>0</v>
      </c>
      <c r="N41" s="18">
        <f t="shared" si="19"/>
        <v>0</v>
      </c>
      <c r="O41" s="18">
        <f t="shared" si="19"/>
        <v>0</v>
      </c>
      <c r="P41" s="18">
        <f t="shared" si="19"/>
        <v>0</v>
      </c>
      <c r="Q41" s="18">
        <f t="shared" si="19"/>
        <v>0</v>
      </c>
      <c r="R41" s="18">
        <f t="shared" si="19"/>
        <v>0</v>
      </c>
    </row>
    <row r="42" spans="1:18">
      <c r="A42" s="7" t="s">
        <v>216</v>
      </c>
      <c r="B42" s="13">
        <v>10</v>
      </c>
      <c r="C42" s="6" t="s">
        <v>60</v>
      </c>
      <c r="D42" s="18">
        <v>0</v>
      </c>
      <c r="E42" s="18">
        <v>0</v>
      </c>
      <c r="F42" s="18">
        <f>$B$41/$B$42</f>
        <v>40000</v>
      </c>
      <c r="G42" s="18">
        <f t="shared" ref="G42:O42" si="20">$B$41/$B$42</f>
        <v>40000</v>
      </c>
      <c r="H42" s="18">
        <f t="shared" si="20"/>
        <v>40000</v>
      </c>
      <c r="I42" s="18">
        <f t="shared" si="20"/>
        <v>40000</v>
      </c>
      <c r="J42" s="18">
        <f t="shared" si="20"/>
        <v>40000</v>
      </c>
      <c r="K42" s="18">
        <f t="shared" si="20"/>
        <v>40000</v>
      </c>
      <c r="L42" s="18">
        <f t="shared" si="20"/>
        <v>40000</v>
      </c>
      <c r="M42" s="18">
        <f>$B$41/$B$42</f>
        <v>40000</v>
      </c>
      <c r="N42" s="18">
        <f t="shared" si="20"/>
        <v>40000</v>
      </c>
      <c r="O42" s="18">
        <f t="shared" si="20"/>
        <v>40000</v>
      </c>
      <c r="P42" s="18"/>
      <c r="Q42" s="18"/>
      <c r="R42" s="18"/>
    </row>
    <row r="43" spans="1:18">
      <c r="A43" s="7" t="s">
        <v>217</v>
      </c>
      <c r="B43" s="56">
        <v>0</v>
      </c>
      <c r="C43" s="6" t="s">
        <v>60</v>
      </c>
      <c r="D43" s="18">
        <f>(D40+D45)/2*$B$43</f>
        <v>0</v>
      </c>
      <c r="E43" s="18">
        <f t="shared" ref="E43:R43" si="21">(E40+E45)/2*$B$43</f>
        <v>0</v>
      </c>
      <c r="F43" s="18">
        <f t="shared" si="21"/>
        <v>0</v>
      </c>
      <c r="G43" s="18">
        <f t="shared" si="21"/>
        <v>0</v>
      </c>
      <c r="H43" s="18">
        <f t="shared" si="21"/>
        <v>0</v>
      </c>
      <c r="I43" s="18">
        <f t="shared" si="21"/>
        <v>0</v>
      </c>
      <c r="J43" s="18">
        <f t="shared" si="21"/>
        <v>0</v>
      </c>
      <c r="K43" s="18">
        <f t="shared" si="21"/>
        <v>0</v>
      </c>
      <c r="L43" s="18">
        <f t="shared" si="21"/>
        <v>0</v>
      </c>
      <c r="M43" s="18">
        <f t="shared" si="21"/>
        <v>0</v>
      </c>
      <c r="N43" s="18">
        <f t="shared" si="21"/>
        <v>0</v>
      </c>
      <c r="O43" s="18">
        <f t="shared" si="21"/>
        <v>0</v>
      </c>
      <c r="P43" s="18">
        <f t="shared" si="21"/>
        <v>0</v>
      </c>
      <c r="Q43" s="18">
        <f t="shared" si="21"/>
        <v>0</v>
      </c>
      <c r="R43" s="18">
        <f t="shared" si="21"/>
        <v>0</v>
      </c>
    </row>
    <row r="44" spans="1:18">
      <c r="A44" s="7" t="s">
        <v>218</v>
      </c>
      <c r="C44" s="6" t="s">
        <v>60</v>
      </c>
      <c r="D44" s="18">
        <f>D43</f>
        <v>0</v>
      </c>
      <c r="E44" s="18">
        <f t="shared" ref="E44:R44" si="22">E43</f>
        <v>0</v>
      </c>
      <c r="F44" s="18">
        <f t="shared" si="22"/>
        <v>0</v>
      </c>
      <c r="G44" s="18">
        <f t="shared" si="22"/>
        <v>0</v>
      </c>
      <c r="H44" s="18">
        <f t="shared" si="22"/>
        <v>0</v>
      </c>
      <c r="I44" s="18">
        <f t="shared" si="22"/>
        <v>0</v>
      </c>
      <c r="J44" s="18">
        <f t="shared" si="22"/>
        <v>0</v>
      </c>
      <c r="K44" s="18">
        <f t="shared" si="22"/>
        <v>0</v>
      </c>
      <c r="L44" s="18">
        <f t="shared" si="22"/>
        <v>0</v>
      </c>
      <c r="M44" s="18">
        <f t="shared" si="22"/>
        <v>0</v>
      </c>
      <c r="N44" s="18">
        <f t="shared" si="22"/>
        <v>0</v>
      </c>
      <c r="O44" s="18">
        <f t="shared" si="22"/>
        <v>0</v>
      </c>
      <c r="P44" s="18">
        <f t="shared" si="22"/>
        <v>0</v>
      </c>
      <c r="Q44" s="18">
        <f t="shared" si="22"/>
        <v>0</v>
      </c>
      <c r="R44" s="18">
        <f t="shared" si="22"/>
        <v>0</v>
      </c>
    </row>
    <row r="45" spans="1:18">
      <c r="A45" s="7" t="s">
        <v>219</v>
      </c>
      <c r="C45" s="6" t="s">
        <v>60</v>
      </c>
      <c r="D45" s="18">
        <f>D40+D41-D42</f>
        <v>100000</v>
      </c>
      <c r="E45" s="18">
        <f t="shared" ref="E45:R45" si="23">E40+E41-E42</f>
        <v>400000</v>
      </c>
      <c r="F45" s="18">
        <f t="shared" si="23"/>
        <v>360000</v>
      </c>
      <c r="G45" s="18">
        <f t="shared" si="23"/>
        <v>320000</v>
      </c>
      <c r="H45" s="18">
        <f t="shared" si="23"/>
        <v>280000</v>
      </c>
      <c r="I45" s="18">
        <f t="shared" si="23"/>
        <v>240000</v>
      </c>
      <c r="J45" s="18">
        <f t="shared" si="23"/>
        <v>200000</v>
      </c>
      <c r="K45" s="18">
        <f t="shared" si="23"/>
        <v>160000</v>
      </c>
      <c r="L45" s="18">
        <f t="shared" si="23"/>
        <v>120000</v>
      </c>
      <c r="M45" s="18">
        <f t="shared" si="23"/>
        <v>80000</v>
      </c>
      <c r="N45" s="18">
        <f t="shared" si="23"/>
        <v>40000</v>
      </c>
      <c r="O45" s="18">
        <f t="shared" si="23"/>
        <v>0</v>
      </c>
      <c r="P45" s="18">
        <f t="shared" si="23"/>
        <v>0</v>
      </c>
      <c r="Q45" s="18">
        <f t="shared" si="23"/>
        <v>0</v>
      </c>
      <c r="R45" s="18">
        <f t="shared" si="23"/>
        <v>0</v>
      </c>
    </row>
    <row r="47" spans="1:18">
      <c r="A47" s="43" t="s">
        <v>307</v>
      </c>
      <c r="B47" s="47"/>
      <c r="C47" s="47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6"/>
    </row>
    <row r="48" spans="1:18">
      <c r="A48" s="7" t="s">
        <v>214</v>
      </c>
      <c r="C48" s="6" t="s">
        <v>60</v>
      </c>
      <c r="D48" s="18">
        <v>0</v>
      </c>
      <c r="E48" s="18">
        <f>D52</f>
        <v>200000</v>
      </c>
      <c r="F48" s="18">
        <f>E52</f>
        <v>200000</v>
      </c>
      <c r="G48" s="18">
        <f t="shared" ref="G48:R48" si="24">F52</f>
        <v>190000</v>
      </c>
      <c r="H48" s="18">
        <f t="shared" si="24"/>
        <v>180000</v>
      </c>
      <c r="I48" s="18">
        <f t="shared" si="24"/>
        <v>170000</v>
      </c>
      <c r="J48" s="18">
        <f t="shared" si="24"/>
        <v>160000</v>
      </c>
      <c r="K48" s="18">
        <f t="shared" si="24"/>
        <v>150000</v>
      </c>
      <c r="L48" s="18">
        <f t="shared" si="24"/>
        <v>140000</v>
      </c>
      <c r="M48" s="18">
        <f t="shared" si="24"/>
        <v>129999.99999999999</v>
      </c>
      <c r="N48" s="18">
        <f t="shared" si="24"/>
        <v>119999.99999999999</v>
      </c>
      <c r="O48" s="18">
        <f t="shared" si="24"/>
        <v>109999.99999999999</v>
      </c>
      <c r="P48" s="18">
        <f t="shared" si="24"/>
        <v>99999.999999999985</v>
      </c>
      <c r="Q48" s="18">
        <f t="shared" si="24"/>
        <v>89999.999999999985</v>
      </c>
      <c r="R48" s="18">
        <f t="shared" si="24"/>
        <v>79999.999999999985</v>
      </c>
    </row>
    <row r="49" spans="1:18">
      <c r="A49" s="7" t="s">
        <v>333</v>
      </c>
      <c r="B49" s="51">
        <f>B4</f>
        <v>300000</v>
      </c>
      <c r="C49" s="6" t="s">
        <v>60</v>
      </c>
      <c r="D49" s="18">
        <f>B49</f>
        <v>300000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 spans="1:18">
      <c r="A50" s="7" t="s">
        <v>304</v>
      </c>
      <c r="B50" s="13">
        <v>20</v>
      </c>
      <c r="C50" s="6" t="s">
        <v>60</v>
      </c>
      <c r="D50" s="18">
        <f>D15/1.2</f>
        <v>83333.333333333343</v>
      </c>
      <c r="E50" s="18"/>
      <c r="F50" s="18">
        <f>($E$48/$B$50/1.2)</f>
        <v>8333.3333333333339</v>
      </c>
      <c r="G50" s="18">
        <f t="shared" ref="G50:R50" si="25">($E$48/$B$50/1.2)</f>
        <v>8333.3333333333339</v>
      </c>
      <c r="H50" s="18">
        <f t="shared" si="25"/>
        <v>8333.3333333333339</v>
      </c>
      <c r="I50" s="18">
        <f t="shared" si="25"/>
        <v>8333.3333333333339</v>
      </c>
      <c r="J50" s="18">
        <f t="shared" si="25"/>
        <v>8333.3333333333339</v>
      </c>
      <c r="K50" s="18">
        <f t="shared" si="25"/>
        <v>8333.3333333333339</v>
      </c>
      <c r="L50" s="18">
        <f t="shared" si="25"/>
        <v>8333.3333333333339</v>
      </c>
      <c r="M50" s="18">
        <f t="shared" si="25"/>
        <v>8333.3333333333339</v>
      </c>
      <c r="N50" s="18">
        <f t="shared" si="25"/>
        <v>8333.3333333333339</v>
      </c>
      <c r="O50" s="18">
        <f t="shared" si="25"/>
        <v>8333.3333333333339</v>
      </c>
      <c r="P50" s="18">
        <f t="shared" si="25"/>
        <v>8333.3333333333339</v>
      </c>
      <c r="Q50" s="18">
        <f t="shared" si="25"/>
        <v>8333.3333333333339</v>
      </c>
      <c r="R50" s="18">
        <f t="shared" si="25"/>
        <v>8333.3333333333339</v>
      </c>
    </row>
    <row r="51" spans="1:18">
      <c r="A51" s="7" t="s">
        <v>305</v>
      </c>
      <c r="C51" s="6"/>
      <c r="D51" s="18">
        <f>D15-D50</f>
        <v>16666.666666666657</v>
      </c>
      <c r="E51" s="18">
        <f t="shared" ref="E51:R51" si="26">E50*1.2-E50</f>
        <v>0</v>
      </c>
      <c r="F51" s="18">
        <f t="shared" si="26"/>
        <v>1666.6666666666661</v>
      </c>
      <c r="G51" s="18">
        <f t="shared" si="26"/>
        <v>1666.6666666666661</v>
      </c>
      <c r="H51" s="18">
        <f t="shared" si="26"/>
        <v>1666.6666666666661</v>
      </c>
      <c r="I51" s="18">
        <f t="shared" si="26"/>
        <v>1666.6666666666661</v>
      </c>
      <c r="J51" s="18">
        <f t="shared" si="26"/>
        <v>1666.6666666666661</v>
      </c>
      <c r="K51" s="18">
        <f t="shared" si="26"/>
        <v>1666.6666666666661</v>
      </c>
      <c r="L51" s="18">
        <f t="shared" si="26"/>
        <v>1666.6666666666661</v>
      </c>
      <c r="M51" s="18">
        <f t="shared" si="26"/>
        <v>1666.6666666666661</v>
      </c>
      <c r="N51" s="18">
        <f t="shared" si="26"/>
        <v>1666.6666666666661</v>
      </c>
      <c r="O51" s="18">
        <f t="shared" si="26"/>
        <v>1666.6666666666661</v>
      </c>
      <c r="P51" s="18">
        <f t="shared" si="26"/>
        <v>1666.6666666666661</v>
      </c>
      <c r="Q51" s="18">
        <f t="shared" si="26"/>
        <v>1666.6666666666661</v>
      </c>
      <c r="R51" s="18">
        <f t="shared" si="26"/>
        <v>1666.6666666666661</v>
      </c>
    </row>
    <row r="52" spans="1:18">
      <c r="A52" s="7" t="s">
        <v>219</v>
      </c>
      <c r="C52" s="6" t="s">
        <v>60</v>
      </c>
      <c r="D52" s="18">
        <f t="shared" ref="D52:R52" si="27">D48+D49-D50-D51</f>
        <v>200000</v>
      </c>
      <c r="E52" s="18">
        <f t="shared" si="27"/>
        <v>200000</v>
      </c>
      <c r="F52" s="18">
        <f t="shared" si="27"/>
        <v>190000</v>
      </c>
      <c r="G52" s="18">
        <f t="shared" si="27"/>
        <v>180000</v>
      </c>
      <c r="H52" s="18">
        <f t="shared" si="27"/>
        <v>170000</v>
      </c>
      <c r="I52" s="18">
        <f t="shared" si="27"/>
        <v>160000</v>
      </c>
      <c r="J52" s="18">
        <f t="shared" si="27"/>
        <v>150000</v>
      </c>
      <c r="K52" s="18">
        <f t="shared" si="27"/>
        <v>140000</v>
      </c>
      <c r="L52" s="18">
        <f t="shared" si="27"/>
        <v>129999.99999999999</v>
      </c>
      <c r="M52" s="18">
        <f t="shared" si="27"/>
        <v>119999.99999999999</v>
      </c>
      <c r="N52" s="18">
        <f t="shared" si="27"/>
        <v>109999.99999999999</v>
      </c>
      <c r="O52" s="18">
        <f t="shared" si="27"/>
        <v>99999.999999999985</v>
      </c>
      <c r="P52" s="18">
        <f t="shared" si="27"/>
        <v>89999.999999999985</v>
      </c>
      <c r="Q52" s="18">
        <f t="shared" si="27"/>
        <v>79999.999999999985</v>
      </c>
      <c r="R52" s="18">
        <f t="shared" si="27"/>
        <v>69999.999999999985</v>
      </c>
    </row>
    <row r="53" spans="1:18">
      <c r="E53" s="100"/>
    </row>
    <row r="55" spans="1:18">
      <c r="D55" s="100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0.79998168889431442"/>
  </sheetPr>
  <dimension ref="A1:R47"/>
  <sheetViews>
    <sheetView zoomScale="90" zoomScaleNormal="90" workbookViewId="0">
      <selection activeCell="F8" sqref="F8"/>
    </sheetView>
  </sheetViews>
  <sheetFormatPr baseColWidth="10" defaultColWidth="9.1640625" defaultRowHeight="15"/>
  <cols>
    <col min="1" max="1" width="50.5" style="1" customWidth="1"/>
    <col min="2" max="2" width="15" style="1" customWidth="1"/>
    <col min="3" max="3" width="12.83203125" style="1" customWidth="1"/>
    <col min="4" max="4" width="13.33203125" style="1" bestFit="1" customWidth="1"/>
    <col min="5" max="5" width="13.5" style="1" customWidth="1"/>
    <col min="6" max="6" width="12.83203125" style="1" customWidth="1"/>
    <col min="7" max="7" width="11.5" style="1" bestFit="1" customWidth="1"/>
    <col min="8" max="18" width="12.33203125" style="1" bestFit="1" customWidth="1"/>
    <col min="19" max="16384" width="9.1640625" style="1"/>
  </cols>
  <sheetData>
    <row r="1" spans="1:18">
      <c r="A1" s="37" t="s">
        <v>64</v>
      </c>
      <c r="B1" s="38" t="s">
        <v>105</v>
      </c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2" spans="1:18">
      <c r="A2" s="65" t="s">
        <v>197</v>
      </c>
      <c r="D2" s="51">
        <v>0</v>
      </c>
      <c r="E2" s="51">
        <v>0</v>
      </c>
      <c r="F2" s="51">
        <v>1</v>
      </c>
      <c r="G2" s="51">
        <v>1</v>
      </c>
      <c r="H2" s="51">
        <v>1</v>
      </c>
      <c r="I2" s="51">
        <v>1</v>
      </c>
      <c r="J2" s="51">
        <v>1</v>
      </c>
      <c r="K2" s="51">
        <v>1</v>
      </c>
      <c r="L2" s="51">
        <v>1</v>
      </c>
      <c r="M2" s="51">
        <v>1</v>
      </c>
      <c r="N2" s="51">
        <v>1</v>
      </c>
      <c r="O2" s="51">
        <v>1</v>
      </c>
      <c r="P2" s="51">
        <v>1</v>
      </c>
      <c r="Q2" s="51">
        <v>1</v>
      </c>
      <c r="R2" s="51">
        <v>1</v>
      </c>
    </row>
    <row r="3" spans="1:18">
      <c r="A3" s="43" t="s">
        <v>133</v>
      </c>
      <c r="B3" s="47"/>
      <c r="C3" s="47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18">
      <c r="A4" s="7" t="s">
        <v>134</v>
      </c>
      <c r="D4" s="18">
        <f>('OPEX &amp; SALES'!D4*1.2)-'OPEX &amp; SALES'!D4</f>
        <v>0</v>
      </c>
      <c r="E4" s="18">
        <f>('OPEX &amp; SALES'!E4*1.2)-'OPEX &amp; SALES'!E4</f>
        <v>0</v>
      </c>
      <c r="F4" s="18">
        <f>('OPEX &amp; SALES'!F4*1.2)-'OPEX &amp; SALES'!F4</f>
        <v>32631.591861502384</v>
      </c>
      <c r="G4" s="18">
        <f>('OPEX &amp; SALES'!G4*1.2)-'OPEX &amp; SALES'!G4</f>
        <v>161200.06379582174</v>
      </c>
      <c r="H4" s="18">
        <f>('OPEX &amp; SALES'!H4*1.2)-'OPEX &amp; SALES'!H4</f>
        <v>176471.64878700487</v>
      </c>
      <c r="I4" s="18">
        <f>('OPEX &amp; SALES'!I4*1.2)-'OPEX &amp; SALES'!I4</f>
        <v>183530.51473848498</v>
      </c>
      <c r="J4" s="18">
        <f>('OPEX &amp; SALES'!J4*1.2)-'OPEX &amp; SALES'!J4</f>
        <v>190871.73532802449</v>
      </c>
      <c r="K4" s="18">
        <f>('OPEX &amp; SALES'!K4*1.2)-'OPEX &amp; SALES'!K4</f>
        <v>198506.60474114539</v>
      </c>
      <c r="L4" s="18">
        <f>('OPEX &amp; SALES'!L4*1.2)-'OPEX &amp; SALES'!L4</f>
        <v>206446.86893079116</v>
      </c>
      <c r="M4" s="18">
        <f>('OPEX &amp; SALES'!M4*1.2)-'OPEX &amp; SALES'!M4</f>
        <v>214704.74368802295</v>
      </c>
      <c r="N4" s="18">
        <f>('OPEX &amp; SALES'!N4*1.2)-'OPEX &amp; SALES'!N4</f>
        <v>223292.93343554391</v>
      </c>
      <c r="O4" s="18">
        <f>('OPEX &amp; SALES'!O4*1.2)-'OPEX &amp; SALES'!O4</f>
        <v>232224.65077296551</v>
      </c>
      <c r="P4" s="18">
        <f>('OPEX &amp; SALES'!P4*1.2)-'OPEX &amp; SALES'!P4</f>
        <v>241513.63680388429</v>
      </c>
      <c r="Q4" s="18">
        <f>('OPEX &amp; SALES'!Q4*1.2)-'OPEX &amp; SALES'!Q4</f>
        <v>251174.18227603962</v>
      </c>
      <c r="R4" s="18">
        <f>('OPEX &amp; SALES'!R4*1.2)-'OPEX &amp; SALES'!R4</f>
        <v>261221.14956708113</v>
      </c>
    </row>
    <row r="5" spans="1:18">
      <c r="A5" s="7" t="s">
        <v>135</v>
      </c>
      <c r="D5" s="18">
        <f>-((('OPEX &amp; SALES'!D9+'OPEX &amp; SALES'!D16)*1.2)-('OPEX &amp; SALES'!D9+'OPEX &amp; SALES'!D16))</f>
        <v>-3424</v>
      </c>
      <c r="E5" s="18">
        <f>-((('OPEX &amp; SALES'!E9+'OPEX &amp; SALES'!E16)*1.2)-('OPEX &amp; SALES'!E9+'OPEX &amp; SALES'!E16))</f>
        <v>-10750.336223999999</v>
      </c>
      <c r="F5" s="18">
        <f>-((('OPEX &amp; SALES'!F9+'OPEX &amp; SALES'!F16)*1.2)-('OPEX &amp; SALES'!F9+'OPEX &amp; SALES'!F16))</f>
        <v>-26693.370335318061</v>
      </c>
      <c r="G5" s="18">
        <f>-((('OPEX &amp; SALES'!G9+'OPEX &amp; SALES'!G16)*1.2)-('OPEX &amp; SALES'!G9+'OPEX &amp; SALES'!G16))</f>
        <v>-84278.487291713303</v>
      </c>
      <c r="H5" s="18">
        <f>-((('OPEX &amp; SALES'!H9+'OPEX &amp; SALES'!H16)*1.2)-('OPEX &amp; SALES'!H9+'OPEX &amp; SALES'!H16))</f>
        <v>-91590.593018200714</v>
      </c>
      <c r="I5" s="18">
        <f>-((('OPEX &amp; SALES'!I9+'OPEX &amp; SALES'!I16)*1.2)-('OPEX &amp; SALES'!I9+'OPEX &amp; SALES'!I16))</f>
        <v>-95254.21673892875</v>
      </c>
      <c r="J5" s="18">
        <f>-((('OPEX &amp; SALES'!J9+'OPEX &amp; SALES'!J16)*1.2)-('OPEX &amp; SALES'!J9+'OPEX &amp; SALES'!J16))</f>
        <v>-99064.385408485949</v>
      </c>
      <c r="K5" s="18">
        <f>-((('OPEX &amp; SALES'!K9+'OPEX &amp; SALES'!K16)*1.2)-('OPEX &amp; SALES'!K9+'OPEX &amp; SALES'!K16))</f>
        <v>-103026.96082482545</v>
      </c>
      <c r="L5" s="18">
        <f>-((('OPEX &amp; SALES'!L9+'OPEX &amp; SALES'!L16)*1.2)-('OPEX &amp; SALES'!L9+'OPEX &amp; SALES'!L16))</f>
        <v>-107148.03925781837</v>
      </c>
      <c r="M5" s="18">
        <f>-((('OPEX &amp; SALES'!M9+'OPEX &amp; SALES'!M16)*1.2)-('OPEX &amp; SALES'!M9+'OPEX &amp; SALES'!M16))</f>
        <v>-111433.96082813118</v>
      </c>
      <c r="N5" s="18">
        <f>-((('OPEX &amp; SALES'!N9+'OPEX &amp; SALES'!N16)*1.2)-('OPEX &amp; SALES'!N9+'OPEX &amp; SALES'!N16))</f>
        <v>-115891.31926125637</v>
      </c>
      <c r="O5" s="18">
        <f>-((('OPEX &amp; SALES'!O9+'OPEX &amp; SALES'!O16)*1.2)-('OPEX &amp; SALES'!O9+'OPEX &amp; SALES'!O16))</f>
        <v>-120526.97203170671</v>
      </c>
      <c r="P5" s="18">
        <f>-((('OPEX &amp; SALES'!P9+'OPEX &amp; SALES'!P16)*1.2)-('OPEX &amp; SALES'!P9+'OPEX &amp; SALES'!P16))</f>
        <v>-125928.5114117671</v>
      </c>
      <c r="Q5" s="18">
        <f>-((('OPEX &amp; SALES'!Q9+'OPEX &amp; SALES'!Q16)*1.2)-('OPEX &amp; SALES'!Q9+'OPEX &amp; SALES'!Q16))</f>
        <v>-130965.65186823788</v>
      </c>
      <c r="R5" s="18">
        <f>-((('OPEX &amp; SALES'!R9+'OPEX &amp; SALES'!R16)*1.2)-('OPEX &amp; SALES'!R9+'OPEX &amp; SALES'!R16))</f>
        <v>-136204.27794296737</v>
      </c>
    </row>
    <row r="6" spans="1:18">
      <c r="A6" s="7" t="s">
        <v>306</v>
      </c>
      <c r="D6" s="18">
        <f>-'CAPEX | Finance'!D51</f>
        <v>-16666.666666666657</v>
      </c>
      <c r="E6" s="18">
        <f>-'CAPEX | Finance'!E51</f>
        <v>0</v>
      </c>
      <c r="F6" s="18">
        <f>-'CAPEX | Finance'!F51</f>
        <v>-1666.6666666666661</v>
      </c>
      <c r="G6" s="18">
        <f>-'CAPEX | Finance'!G51</f>
        <v>-1666.6666666666661</v>
      </c>
      <c r="H6" s="18">
        <f>-'CAPEX | Finance'!H51</f>
        <v>-1666.6666666666661</v>
      </c>
      <c r="I6" s="18">
        <f>-'CAPEX | Finance'!I51</f>
        <v>-1666.6666666666661</v>
      </c>
      <c r="J6" s="18">
        <f>-'CAPEX | Finance'!J51</f>
        <v>-1666.6666666666661</v>
      </c>
      <c r="K6" s="18">
        <f>-'CAPEX | Finance'!K51</f>
        <v>-1666.6666666666661</v>
      </c>
      <c r="L6" s="18">
        <f>-'CAPEX | Finance'!L51</f>
        <v>-1666.6666666666661</v>
      </c>
      <c r="M6" s="18">
        <f>-'CAPEX | Finance'!M51</f>
        <v>-1666.6666666666661</v>
      </c>
      <c r="N6" s="18">
        <f>-'CAPEX | Finance'!N51</f>
        <v>-1666.6666666666661</v>
      </c>
      <c r="O6" s="18">
        <f>-'CAPEX | Finance'!O51</f>
        <v>-1666.6666666666661</v>
      </c>
      <c r="P6" s="18">
        <f>-'CAPEX | Finance'!P51</f>
        <v>-1666.6666666666661</v>
      </c>
      <c r="Q6" s="18">
        <f>-'CAPEX | Finance'!Q51</f>
        <v>-1666.6666666666661</v>
      </c>
      <c r="R6" s="18">
        <f>-'CAPEX | Finance'!R51</f>
        <v>-1666.6666666666661</v>
      </c>
    </row>
    <row r="7" spans="1:18">
      <c r="A7" s="7" t="s">
        <v>189</v>
      </c>
      <c r="D7" s="18"/>
      <c r="E7" s="18"/>
      <c r="F7" s="18">
        <v>0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spans="1:18">
      <c r="A8" s="9" t="s">
        <v>136</v>
      </c>
      <c r="B8" s="17"/>
      <c r="C8" s="34"/>
      <c r="D8" s="10">
        <v>0</v>
      </c>
      <c r="E8" s="10">
        <v>0</v>
      </c>
      <c r="F8" s="10">
        <f>F4+(F5+E7+F6)</f>
        <v>4271.5548595176588</v>
      </c>
      <c r="G8" s="10">
        <f t="shared" ref="G8:R8" si="0">G4+(G5+F7+G6)</f>
        <v>75254.909837441766</v>
      </c>
      <c r="H8" s="10">
        <f t="shared" si="0"/>
        <v>83214.389102137487</v>
      </c>
      <c r="I8" s="10">
        <f t="shared" si="0"/>
        <v>86609.631332889563</v>
      </c>
      <c r="J8" s="10">
        <f t="shared" si="0"/>
        <v>90140.683252871866</v>
      </c>
      <c r="K8" s="10">
        <f t="shared" si="0"/>
        <v>93812.977249653268</v>
      </c>
      <c r="L8" s="10">
        <f t="shared" si="0"/>
        <v>97632.163006306117</v>
      </c>
      <c r="M8" s="10">
        <f t="shared" si="0"/>
        <v>101604.1161932251</v>
      </c>
      <c r="N8" s="10">
        <f t="shared" si="0"/>
        <v>105734.94750762086</v>
      </c>
      <c r="O8" s="10">
        <f t="shared" si="0"/>
        <v>110031.01207459213</v>
      </c>
      <c r="P8" s="10">
        <f t="shared" si="0"/>
        <v>113918.45872545052</v>
      </c>
      <c r="Q8" s="10">
        <f t="shared" si="0"/>
        <v>118541.86374113508</v>
      </c>
      <c r="R8" s="10">
        <f t="shared" si="0"/>
        <v>123350.2049574471</v>
      </c>
    </row>
    <row r="9" spans="1:18">
      <c r="A9" s="7"/>
    </row>
    <row r="10" spans="1:18">
      <c r="A10" s="7" t="s">
        <v>137</v>
      </c>
      <c r="D10" s="18">
        <v>0</v>
      </c>
      <c r="E10" s="18">
        <f>D14</f>
        <v>45090.666666666657</v>
      </c>
      <c r="F10" s="18">
        <f t="shared" ref="F10:R10" si="1">E14</f>
        <v>85750.336223999999</v>
      </c>
      <c r="G10" s="18">
        <f t="shared" si="1"/>
        <v>0</v>
      </c>
      <c r="H10" s="18">
        <f t="shared" si="1"/>
        <v>0</v>
      </c>
      <c r="I10" s="18">
        <f t="shared" si="1"/>
        <v>0</v>
      </c>
      <c r="J10" s="18">
        <f t="shared" si="1"/>
        <v>0</v>
      </c>
      <c r="K10" s="18">
        <f t="shared" si="1"/>
        <v>0</v>
      </c>
      <c r="L10" s="18">
        <f t="shared" si="1"/>
        <v>0</v>
      </c>
      <c r="M10" s="18">
        <f t="shared" si="1"/>
        <v>0</v>
      </c>
      <c r="N10" s="18">
        <f t="shared" si="1"/>
        <v>0</v>
      </c>
      <c r="O10" s="18">
        <f t="shared" si="1"/>
        <v>0</v>
      </c>
      <c r="P10" s="18">
        <f t="shared" si="1"/>
        <v>0</v>
      </c>
      <c r="Q10" s="18">
        <f t="shared" si="1"/>
        <v>0</v>
      </c>
      <c r="R10" s="18">
        <f t="shared" si="1"/>
        <v>0</v>
      </c>
    </row>
    <row r="11" spans="1:18">
      <c r="A11" s="7" t="s">
        <v>138</v>
      </c>
      <c r="D11" s="18">
        <f>'CAPEX | Finance'!D22-D5</f>
        <v>28424</v>
      </c>
      <c r="E11" s="18">
        <f>'CAPEX | Finance'!E22-E5</f>
        <v>85750.336223999999</v>
      </c>
      <c r="F11" s="18">
        <f>'CAPEX | Finance'!F22</f>
        <v>0</v>
      </c>
      <c r="G11" s="18">
        <f>'CAPEX | Finance'!G22</f>
        <v>0</v>
      </c>
      <c r="H11" s="18">
        <f>'CAPEX | Finance'!H22</f>
        <v>0</v>
      </c>
      <c r="I11" s="18">
        <f>'CAPEX | Finance'!I22</f>
        <v>0</v>
      </c>
      <c r="J11" s="18">
        <f>'CAPEX | Finance'!J22</f>
        <v>0</v>
      </c>
      <c r="K11" s="18">
        <f>'CAPEX | Finance'!K22</f>
        <v>0</v>
      </c>
      <c r="L11" s="18">
        <f>'CAPEX | Finance'!L22</f>
        <v>0</v>
      </c>
      <c r="M11" s="18">
        <f>'CAPEX | Finance'!M22</f>
        <v>0</v>
      </c>
      <c r="N11" s="18">
        <f>'CAPEX | Finance'!N22</f>
        <v>0</v>
      </c>
      <c r="O11" s="18">
        <f>'CAPEX | Finance'!O22</f>
        <v>0</v>
      </c>
      <c r="P11" s="18">
        <f>'CAPEX | Finance'!P22</f>
        <v>0</v>
      </c>
      <c r="Q11" s="18">
        <f>'CAPEX | Finance'!Q22</f>
        <v>0</v>
      </c>
      <c r="R11" s="18">
        <f>'CAPEX | Finance'!R22</f>
        <v>0</v>
      </c>
    </row>
    <row r="12" spans="1:18">
      <c r="A12" s="7" t="s">
        <v>306</v>
      </c>
      <c r="D12" s="18">
        <f>'CAPEX | Finance'!D51</f>
        <v>16666.666666666657</v>
      </c>
      <c r="E12" s="18">
        <f>'CAPEX | Finance'!E51</f>
        <v>0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</row>
    <row r="13" spans="1:18">
      <c r="A13" s="7" t="s">
        <v>108</v>
      </c>
      <c r="D13" s="18"/>
      <c r="E13" s="18">
        <f>D14</f>
        <v>45090.666666666657</v>
      </c>
      <c r="F13" s="18">
        <f>E14</f>
        <v>85750.336223999999</v>
      </c>
      <c r="G13" s="18">
        <f>'CAPEX | Finance'!G18</f>
        <v>0</v>
      </c>
      <c r="H13" s="18">
        <f>'CAPEX | Finance'!H18</f>
        <v>0</v>
      </c>
      <c r="I13" s="18">
        <f>'CAPEX | Finance'!I18</f>
        <v>0</v>
      </c>
      <c r="J13" s="18">
        <f>'CAPEX | Finance'!J18</f>
        <v>0</v>
      </c>
      <c r="K13" s="18">
        <f>'CAPEX | Finance'!K18</f>
        <v>0</v>
      </c>
      <c r="L13" s="18">
        <f>'CAPEX | Finance'!L18</f>
        <v>0</v>
      </c>
      <c r="M13" s="18">
        <f>'CAPEX | Finance'!M18</f>
        <v>0</v>
      </c>
      <c r="N13" s="18">
        <f>'CAPEX | Finance'!N18</f>
        <v>0</v>
      </c>
      <c r="O13" s="18">
        <f>'CAPEX | Finance'!O18</f>
        <v>0</v>
      </c>
      <c r="P13" s="18">
        <f>'CAPEX | Finance'!P18</f>
        <v>0</v>
      </c>
      <c r="Q13" s="18">
        <f>'CAPEX | Finance'!Q18</f>
        <v>0</v>
      </c>
      <c r="R13" s="18">
        <f>'CAPEX | Finance'!R18</f>
        <v>0</v>
      </c>
    </row>
    <row r="14" spans="1:18">
      <c r="A14" s="7" t="s">
        <v>139</v>
      </c>
      <c r="D14" s="18">
        <f>D10+D11-D13+D12</f>
        <v>45090.666666666657</v>
      </c>
      <c r="E14" s="18">
        <f>E10+E11-E13</f>
        <v>85750.336223999999</v>
      </c>
      <c r="F14" s="18">
        <f t="shared" ref="F14:R14" si="2">F10+F11-F13</f>
        <v>0</v>
      </c>
      <c r="G14" s="18">
        <f t="shared" si="2"/>
        <v>0</v>
      </c>
      <c r="H14" s="18">
        <f t="shared" si="2"/>
        <v>0</v>
      </c>
      <c r="I14" s="18">
        <f t="shared" si="2"/>
        <v>0</v>
      </c>
      <c r="J14" s="18">
        <f t="shared" si="2"/>
        <v>0</v>
      </c>
      <c r="K14" s="18">
        <f t="shared" si="2"/>
        <v>0</v>
      </c>
      <c r="L14" s="18">
        <f t="shared" si="2"/>
        <v>0</v>
      </c>
      <c r="M14" s="18">
        <f t="shared" si="2"/>
        <v>0</v>
      </c>
      <c r="N14" s="18">
        <f t="shared" si="2"/>
        <v>0</v>
      </c>
      <c r="O14" s="18">
        <f t="shared" si="2"/>
        <v>0</v>
      </c>
      <c r="P14" s="18">
        <f t="shared" si="2"/>
        <v>0</v>
      </c>
      <c r="Q14" s="18">
        <f t="shared" si="2"/>
        <v>0</v>
      </c>
      <c r="R14" s="18">
        <f t="shared" si="2"/>
        <v>0</v>
      </c>
    </row>
    <row r="15" spans="1:18">
      <c r="A15" s="7"/>
    </row>
    <row r="16" spans="1:18">
      <c r="A16" s="43" t="s">
        <v>286</v>
      </c>
      <c r="B16" s="47"/>
      <c r="C16" s="47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6"/>
    </row>
    <row r="17" spans="1:18">
      <c r="A17" s="7" t="s">
        <v>287</v>
      </c>
      <c r="D17" s="18">
        <f>'OPEX &amp; SALES'!D59</f>
        <v>0</v>
      </c>
      <c r="E17" s="18">
        <f>'OPEX &amp; SALES'!E59</f>
        <v>0</v>
      </c>
      <c r="F17" s="18">
        <f>'OPEX &amp; SALES'!F59</f>
        <v>43378.132124199357</v>
      </c>
      <c r="G17" s="18">
        <f>'OPEX &amp; SALES'!G59</f>
        <v>85674.424085783161</v>
      </c>
      <c r="H17" s="18">
        <f>'OPEX &amp; SALES'!H59</f>
        <v>93835.575411068072</v>
      </c>
      <c r="I17" s="18">
        <f>'OPEX &amp; SALES'!I59</f>
        <v>97588.9984275108</v>
      </c>
      <c r="J17" s="18">
        <f>'OPEX &amp; SALES'!J59</f>
        <v>101492.55836461124</v>
      </c>
      <c r="K17" s="18">
        <f>'OPEX &amp; SALES'!K59</f>
        <v>105552.26069919567</v>
      </c>
      <c r="L17" s="18">
        <f>'OPEX &amp; SALES'!L59</f>
        <v>109774.35112716352</v>
      </c>
      <c r="M17" s="18">
        <f>'OPEX &amp; SALES'!M59</f>
        <v>114165.32517225006</v>
      </c>
      <c r="N17" s="18">
        <f>'OPEX &amp; SALES'!N59</f>
        <v>118731.93817914007</v>
      </c>
      <c r="O17" s="18">
        <f>'OPEX &amp; SALES'!O59</f>
        <v>123481.21570630565</v>
      </c>
      <c r="P17" s="18">
        <f>'OPEX &amp; SALES'!P59</f>
        <v>128420.4643345579</v>
      </c>
      <c r="Q17" s="18">
        <f>'OPEX &amp; SALES'!Q59</f>
        <v>133557.28290794021</v>
      </c>
      <c r="R17" s="18">
        <f>'OPEX &amp; SALES'!R59</f>
        <v>138899.57422425781</v>
      </c>
    </row>
    <row r="18" spans="1:18">
      <c r="A18" s="7" t="s">
        <v>288</v>
      </c>
      <c r="D18" s="28">
        <f>Предпоссылки!D47</f>
        <v>0.30200000000000005</v>
      </c>
      <c r="E18" s="28">
        <f>Предпоссылки!E47</f>
        <v>0.30200000000000005</v>
      </c>
      <c r="F18" s="28">
        <f>Предпоссылки!F47</f>
        <v>0.30200000000000005</v>
      </c>
      <c r="G18" s="28">
        <f>Предпоссылки!G47</f>
        <v>0.30200000000000005</v>
      </c>
      <c r="H18" s="28">
        <f>Предпоссылки!H47</f>
        <v>0.30200000000000005</v>
      </c>
      <c r="I18" s="28">
        <f>Предпоссылки!I47</f>
        <v>0.30200000000000005</v>
      </c>
      <c r="J18" s="28">
        <f>Предпоссылки!J47</f>
        <v>0.30200000000000005</v>
      </c>
      <c r="K18" s="28">
        <f>Предпоссылки!K47</f>
        <v>0.30200000000000005</v>
      </c>
      <c r="L18" s="28">
        <f>Предпоссылки!L47</f>
        <v>0.30200000000000005</v>
      </c>
      <c r="M18" s="28">
        <f>Предпоссылки!M47</f>
        <v>0.30200000000000005</v>
      </c>
      <c r="N18" s="28">
        <f>Предпоссылки!N47</f>
        <v>0.30200000000000005</v>
      </c>
      <c r="O18" s="28">
        <f>Предпоссылки!O47</f>
        <v>0.30200000000000005</v>
      </c>
      <c r="P18" s="28">
        <f>Предпоссылки!P47</f>
        <v>0.30200000000000005</v>
      </c>
      <c r="Q18" s="28">
        <f>Предпоссылки!Q47</f>
        <v>0.30200000000000005</v>
      </c>
      <c r="R18" s="28">
        <f>Предпоссылки!R47</f>
        <v>0.30200000000000005</v>
      </c>
    </row>
    <row r="19" spans="1:18">
      <c r="A19" s="7" t="s">
        <v>289</v>
      </c>
      <c r="D19" s="28">
        <f>Предпоссылки!D48</f>
        <v>7.5999999999999998E-2</v>
      </c>
      <c r="E19" s="28">
        <f>Предпоссылки!E48</f>
        <v>7.5999999999999998E-2</v>
      </c>
      <c r="F19" s="28">
        <f>Предпоссылки!F48</f>
        <v>7.5999999999999998E-2</v>
      </c>
      <c r="G19" s="28">
        <f>Предпоссылки!G48</f>
        <v>7.5999999999999998E-2</v>
      </c>
      <c r="H19" s="28">
        <f>Предпоссылки!H48</f>
        <v>7.5999999999999998E-2</v>
      </c>
      <c r="I19" s="28">
        <f>Предпоссылки!I48</f>
        <v>7.5999999999999998E-2</v>
      </c>
      <c r="J19" s="28">
        <f>Предпоссылки!J48</f>
        <v>7.5999999999999998E-2</v>
      </c>
      <c r="K19" s="28">
        <f>Предпоссылки!K48</f>
        <v>7.5999999999999998E-2</v>
      </c>
      <c r="L19" s="28">
        <f>Предпоссылки!L48</f>
        <v>7.5999999999999998E-2</v>
      </c>
      <c r="M19" s="28">
        <f>Предпоссылки!M48</f>
        <v>7.5999999999999998E-2</v>
      </c>
      <c r="N19" s="28">
        <f>Предпоссылки!N48</f>
        <v>7.5999999999999998E-2</v>
      </c>
      <c r="O19" s="28">
        <f>Предпоссылки!O48</f>
        <v>7.5999999999999998E-2</v>
      </c>
      <c r="P19" s="28">
        <f>Предпоссылки!P48</f>
        <v>7.5999999999999998E-2</v>
      </c>
      <c r="Q19" s="28">
        <f>Предпоссылки!Q48</f>
        <v>7.5999999999999998E-2</v>
      </c>
      <c r="R19" s="28">
        <f>Предпоссылки!R48</f>
        <v>7.5999999999999998E-2</v>
      </c>
    </row>
    <row r="20" spans="1:18">
      <c r="A20" s="7" t="s">
        <v>293</v>
      </c>
      <c r="B20" s="51">
        <v>10</v>
      </c>
      <c r="D20" s="51">
        <f>IF(AND(D2=1,SUM($D$2:D2)&lt;=$B$20),1,0)</f>
        <v>0</v>
      </c>
      <c r="E20" s="51">
        <f>IF(AND(E2=1,SUM($D$2:E2)&lt;=$B$20),1,0)</f>
        <v>0</v>
      </c>
      <c r="F20" s="51">
        <f>IF(AND(F2=1,SUM($D$2:F2)&lt;=$B$20),1,0)</f>
        <v>1</v>
      </c>
      <c r="G20" s="51">
        <f>IF(AND(G2=1,SUM($D$2:G2)&lt;=$B$20),1,0)</f>
        <v>1</v>
      </c>
      <c r="H20" s="51">
        <f>IF(AND(H2=1,SUM($D$2:H2)&lt;=$B$20),1,0)</f>
        <v>1</v>
      </c>
      <c r="I20" s="51">
        <f>IF(AND(I2=1,SUM($D$2:I2)&lt;=$B$20),1,0)</f>
        <v>1</v>
      </c>
      <c r="J20" s="51">
        <f>IF(AND(J2=1,SUM($D$2:J2)&lt;=$B$20),1,0)</f>
        <v>1</v>
      </c>
      <c r="K20" s="51">
        <f>IF(AND(K2=1,SUM($D$2:K2)&lt;=$B$20),1,0)</f>
        <v>1</v>
      </c>
      <c r="L20" s="51">
        <f>IF(AND(L2=1,SUM($D$2:L2)&lt;=$B$20),1,0)</f>
        <v>1</v>
      </c>
      <c r="M20" s="51">
        <f>IF(AND(M2=1,SUM($D$2:M2)&lt;=$B$20),1,0)</f>
        <v>1</v>
      </c>
      <c r="N20" s="51">
        <f>IF(AND(N2=1,SUM($D$2:N2)&lt;=$B$20),1,0)</f>
        <v>1</v>
      </c>
      <c r="O20" s="51">
        <f>IF(AND(O2=1,SUM($D$2:O2)&lt;=$B$20),1,0)</f>
        <v>1</v>
      </c>
      <c r="P20" s="51">
        <f>IF(AND(P2=1,SUM($D$2:P2)&lt;=$B$20),1,0)</f>
        <v>0</v>
      </c>
      <c r="Q20" s="51">
        <f>IF(AND(Q2=1,SUM($D$2:Q2)&lt;=$B$20),1,0)</f>
        <v>0</v>
      </c>
      <c r="R20" s="51">
        <f>IF(AND(R2=1,SUM($D$2:R2)&lt;=$B$20),1,0)</f>
        <v>0</v>
      </c>
    </row>
    <row r="21" spans="1:18">
      <c r="A21" s="7" t="s">
        <v>149</v>
      </c>
      <c r="D21" s="28">
        <f>IF(D20=1,D19,D18)</f>
        <v>0.30200000000000005</v>
      </c>
      <c r="E21" s="28">
        <f t="shared" ref="E21:R21" si="3">IF(E20=1,E19,E18)</f>
        <v>0.30200000000000005</v>
      </c>
      <c r="F21" s="28">
        <f t="shared" si="3"/>
        <v>7.5999999999999998E-2</v>
      </c>
      <c r="G21" s="28">
        <f t="shared" si="3"/>
        <v>7.5999999999999998E-2</v>
      </c>
      <c r="H21" s="28">
        <f t="shared" si="3"/>
        <v>7.5999999999999998E-2</v>
      </c>
      <c r="I21" s="28">
        <f t="shared" si="3"/>
        <v>7.5999999999999998E-2</v>
      </c>
      <c r="J21" s="28">
        <f t="shared" si="3"/>
        <v>7.5999999999999998E-2</v>
      </c>
      <c r="K21" s="28">
        <f t="shared" si="3"/>
        <v>7.5999999999999998E-2</v>
      </c>
      <c r="L21" s="28">
        <f t="shared" si="3"/>
        <v>7.5999999999999998E-2</v>
      </c>
      <c r="M21" s="28">
        <f t="shared" si="3"/>
        <v>7.5999999999999998E-2</v>
      </c>
      <c r="N21" s="28">
        <f t="shared" si="3"/>
        <v>7.5999999999999998E-2</v>
      </c>
      <c r="O21" s="28">
        <f t="shared" si="3"/>
        <v>7.5999999999999998E-2</v>
      </c>
      <c r="P21" s="28">
        <f t="shared" si="3"/>
        <v>0.30200000000000005</v>
      </c>
      <c r="Q21" s="28">
        <f t="shared" si="3"/>
        <v>0.30200000000000005</v>
      </c>
      <c r="R21" s="28">
        <f t="shared" si="3"/>
        <v>0.30200000000000005</v>
      </c>
    </row>
    <row r="22" spans="1:18">
      <c r="A22" s="7" t="s">
        <v>315</v>
      </c>
      <c r="D22" s="18">
        <f>D17*D21</f>
        <v>0</v>
      </c>
      <c r="E22" s="18">
        <f t="shared" ref="E22:R22" si="4">E17*E21</f>
        <v>0</v>
      </c>
      <c r="F22" s="18">
        <f t="shared" si="4"/>
        <v>3296.7380414391509</v>
      </c>
      <c r="G22" s="18">
        <f t="shared" si="4"/>
        <v>6511.2562305195197</v>
      </c>
      <c r="H22" s="18">
        <f t="shared" si="4"/>
        <v>7131.5037312411732</v>
      </c>
      <c r="I22" s="18">
        <f t="shared" si="4"/>
        <v>7416.7638804908211</v>
      </c>
      <c r="J22" s="18">
        <f t="shared" si="4"/>
        <v>7713.4344357104537</v>
      </c>
      <c r="K22" s="18">
        <f t="shared" si="4"/>
        <v>8021.9718131388709</v>
      </c>
      <c r="L22" s="18">
        <f t="shared" si="4"/>
        <v>8342.8506856644271</v>
      </c>
      <c r="M22" s="18">
        <f t="shared" si="4"/>
        <v>8676.5647130910038</v>
      </c>
      <c r="N22" s="18">
        <f t="shared" si="4"/>
        <v>9023.6273016146442</v>
      </c>
      <c r="O22" s="18">
        <f t="shared" si="4"/>
        <v>9384.5723936792292</v>
      </c>
      <c r="P22" s="18">
        <f t="shared" si="4"/>
        <v>38782.98022903649</v>
      </c>
      <c r="Q22" s="18">
        <f t="shared" si="4"/>
        <v>40334.299438197952</v>
      </c>
      <c r="R22" s="18">
        <f t="shared" si="4"/>
        <v>41947.671415725868</v>
      </c>
    </row>
    <row r="23" spans="1:18">
      <c r="A23" s="7"/>
    </row>
    <row r="24" spans="1:18">
      <c r="A24" s="43" t="s">
        <v>140</v>
      </c>
      <c r="B24" s="47"/>
      <c r="C24" s="47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6"/>
    </row>
    <row r="25" spans="1:18">
      <c r="A25" s="7" t="s">
        <v>141</v>
      </c>
      <c r="D25" s="18">
        <f>IFERROR(('CAPEX | Finance'!C35+'CAPEX | Finance'!D35)/2,0)</f>
        <v>0</v>
      </c>
      <c r="E25" s="18">
        <f>IFERROR(('CAPEX | Finance'!D35+'CAPEX | Finance'!E35)/2,0)</f>
        <v>0</v>
      </c>
      <c r="F25" s="18">
        <f>IFERROR(('CAPEX | Finance'!E35+'CAPEX | Finance'!F35)/2,0)</f>
        <v>341875</v>
      </c>
      <c r="G25" s="18">
        <f>IFERROR(('CAPEX | Finance'!F35+'CAPEX | Finance'!G35)/2,0)</f>
        <v>666250</v>
      </c>
      <c r="H25" s="18">
        <f>IFERROR(('CAPEX | Finance'!G35+'CAPEX | Finance'!H35)/2,0)</f>
        <v>631250</v>
      </c>
      <c r="I25" s="18">
        <f>IFERROR(('CAPEX | Finance'!H35+'CAPEX | Finance'!I35)/2,0)</f>
        <v>596250</v>
      </c>
      <c r="J25" s="18">
        <f>IFERROR(('CAPEX | Finance'!I35+'CAPEX | Finance'!J35)/2,0)</f>
        <v>561250</v>
      </c>
      <c r="K25" s="18">
        <f>IFERROR(('CAPEX | Finance'!J35+'CAPEX | Finance'!K35)/2,0)</f>
        <v>526250</v>
      </c>
      <c r="L25" s="18">
        <f>IFERROR(('CAPEX | Finance'!K35+'CAPEX | Finance'!L35)/2,0)</f>
        <v>491250</v>
      </c>
      <c r="M25" s="18">
        <f>IFERROR(('CAPEX | Finance'!L35+'CAPEX | Finance'!M35)/2,0)</f>
        <v>456250</v>
      </c>
      <c r="N25" s="18">
        <f>IFERROR(('CAPEX | Finance'!M35+'CAPEX | Finance'!N35)/2,0)</f>
        <v>421250</v>
      </c>
      <c r="O25" s="18">
        <f>IFERROR(('CAPEX | Finance'!N35+'CAPEX | Finance'!O35)/2,0)</f>
        <v>386250</v>
      </c>
      <c r="P25" s="18">
        <f>IFERROR(('CAPEX | Finance'!O35+'CAPEX | Finance'!P35)/2,0)</f>
        <v>351250</v>
      </c>
      <c r="Q25" s="18">
        <f>IFERROR(('CAPEX | Finance'!P35+'CAPEX | Finance'!Q35)/2,0)</f>
        <v>316250</v>
      </c>
      <c r="R25" s="18">
        <f>IFERROR(('CAPEX | Finance'!Q35+'CAPEX | Finance'!R35)/2,0)</f>
        <v>281250</v>
      </c>
    </row>
    <row r="26" spans="1:18">
      <c r="A26" s="7" t="s">
        <v>142</v>
      </c>
      <c r="D26" s="28">
        <f>Предпоссылки!D50</f>
        <v>2.1999999999999999E-2</v>
      </c>
      <c r="E26" s="28">
        <f>Предпоссылки!E50</f>
        <v>2.1999999999999999E-2</v>
      </c>
      <c r="F26" s="28">
        <f>Предпоссылки!F50</f>
        <v>2.1999999999999999E-2</v>
      </c>
      <c r="G26" s="28">
        <f>Предпоссылки!G50</f>
        <v>2.1999999999999999E-2</v>
      </c>
      <c r="H26" s="28">
        <f>Предпоссылки!H50</f>
        <v>2.1999999999999999E-2</v>
      </c>
      <c r="I26" s="28">
        <f>Предпоссылки!I50</f>
        <v>2.1999999999999999E-2</v>
      </c>
      <c r="J26" s="28">
        <f>Предпоссылки!J50</f>
        <v>2.1999999999999999E-2</v>
      </c>
      <c r="K26" s="28">
        <f>Предпоссылки!K50</f>
        <v>2.1999999999999999E-2</v>
      </c>
      <c r="L26" s="28">
        <f>Предпоссылки!L50</f>
        <v>2.1999999999999999E-2</v>
      </c>
      <c r="M26" s="28">
        <f>Предпоссылки!M50</f>
        <v>2.1999999999999999E-2</v>
      </c>
      <c r="N26" s="28">
        <f>Предпоссылки!N50</f>
        <v>2.1999999999999999E-2</v>
      </c>
      <c r="O26" s="28">
        <f>Предпоссылки!O50</f>
        <v>2.1999999999999999E-2</v>
      </c>
      <c r="P26" s="28">
        <f>Предпоссылки!P50</f>
        <v>2.1999999999999999E-2</v>
      </c>
      <c r="Q26" s="28">
        <f>Предпоссылки!Q50</f>
        <v>2.1999999999999999E-2</v>
      </c>
      <c r="R26" s="28">
        <f>Предпоссылки!R50</f>
        <v>2.1999999999999999E-2</v>
      </c>
    </row>
    <row r="27" spans="1:18">
      <c r="A27" s="7" t="s">
        <v>143</v>
      </c>
      <c r="D27" s="28">
        <f>Предпоссылки!D51</f>
        <v>0</v>
      </c>
      <c r="E27" s="28">
        <f>Предпоссылки!E51</f>
        <v>0</v>
      </c>
      <c r="F27" s="28">
        <f>Предпоссылки!F51</f>
        <v>0</v>
      </c>
      <c r="G27" s="28">
        <f>Предпоссылки!G51</f>
        <v>0</v>
      </c>
      <c r="H27" s="28">
        <f>Предпоссылки!H51</f>
        <v>0</v>
      </c>
      <c r="I27" s="28">
        <f>Предпоссылки!I51</f>
        <v>0</v>
      </c>
      <c r="J27" s="28">
        <f>Предпоссылки!J51</f>
        <v>0</v>
      </c>
      <c r="K27" s="28">
        <f>Предпоссылки!K51</f>
        <v>0</v>
      </c>
      <c r="L27" s="28">
        <f>Предпоссылки!L51</f>
        <v>0</v>
      </c>
      <c r="M27" s="28">
        <f>Предпоссылки!M51</f>
        <v>0</v>
      </c>
      <c r="N27" s="28">
        <f>Предпоссылки!N51</f>
        <v>0</v>
      </c>
      <c r="O27" s="28">
        <f>Предпоссылки!O51</f>
        <v>0</v>
      </c>
      <c r="P27" s="28">
        <f>Предпоссылки!P51</f>
        <v>0</v>
      </c>
      <c r="Q27" s="28">
        <f>Предпоссылки!Q51</f>
        <v>0</v>
      </c>
      <c r="R27" s="28">
        <f>Предпоссылки!R51</f>
        <v>0</v>
      </c>
    </row>
    <row r="28" spans="1:18">
      <c r="A28" s="7" t="s">
        <v>144</v>
      </c>
      <c r="B28" s="51">
        <v>10</v>
      </c>
      <c r="D28" s="51">
        <f>IF(AND(D2=1,SUM($D$2:D2)&lt;=$B$28),1,0)</f>
        <v>0</v>
      </c>
      <c r="E28" s="51">
        <f>IF(AND(E2=1,SUM($D$2:E2)&lt;=$B$28),1,0)</f>
        <v>0</v>
      </c>
      <c r="F28" s="51">
        <f>IF(AND(F2=1,SUM($D$2:F2)&lt;=$B$28),1,0)</f>
        <v>1</v>
      </c>
      <c r="G28" s="51">
        <f>IF(AND(G2=1,SUM($D$2:G2)&lt;=$B$28),1,0)</f>
        <v>1</v>
      </c>
      <c r="H28" s="51">
        <f>IF(AND(H2=1,SUM($D$2:H2)&lt;=$B$28),1,0)</f>
        <v>1</v>
      </c>
      <c r="I28" s="51">
        <f>IF(AND(I2=1,SUM($D$2:I2)&lt;=$B$28),1,0)</f>
        <v>1</v>
      </c>
      <c r="J28" s="51">
        <f>IF(AND(J2=1,SUM($D$2:J2)&lt;=$B$28),1,0)</f>
        <v>1</v>
      </c>
      <c r="K28" s="51">
        <f>IF(AND(K2=1,SUM($D$2:K2)&lt;=$B$28),1,0)</f>
        <v>1</v>
      </c>
      <c r="L28" s="51">
        <f>IF(AND(L2=1,SUM($D$2:L2)&lt;=$B$28),1,0)</f>
        <v>1</v>
      </c>
      <c r="M28" s="51">
        <f>IF(AND(M2=1,SUM($D$2:M2)&lt;=$B$28),1,0)</f>
        <v>1</v>
      </c>
      <c r="N28" s="51">
        <f>IF(AND(N2=1,SUM($D$2:N2)&lt;=$B$28),1,0)</f>
        <v>1</v>
      </c>
      <c r="O28" s="51">
        <f>IF(AND(O2=1,SUM($D$2:O2)&lt;=$B$28),1,0)</f>
        <v>1</v>
      </c>
      <c r="P28" s="51">
        <f>IF(AND(P2=1,SUM($D$2:P2)&lt;=$B$28),1,0)</f>
        <v>0</v>
      </c>
      <c r="Q28" s="51">
        <f>IF(AND(Q2=1,SUM($D$2:Q2)&lt;=$B$28),1,0)</f>
        <v>0</v>
      </c>
      <c r="R28" s="51">
        <f>IF(AND(R2=1,SUM($D$2:R2)&lt;=$B$28),1,0)</f>
        <v>0</v>
      </c>
    </row>
    <row r="29" spans="1:18">
      <c r="A29" s="9" t="s">
        <v>145</v>
      </c>
      <c r="B29" s="17"/>
      <c r="C29" s="34"/>
      <c r="D29" s="10">
        <f>IF(D28=1,D25*D27,D25*D26)</f>
        <v>0</v>
      </c>
      <c r="E29" s="10">
        <f t="shared" ref="E29:R29" si="5">IF(E28=1,E25*E27,E25*E26)</f>
        <v>0</v>
      </c>
      <c r="F29" s="10">
        <f t="shared" si="5"/>
        <v>0</v>
      </c>
      <c r="G29" s="10">
        <f t="shared" si="5"/>
        <v>0</v>
      </c>
      <c r="H29" s="10">
        <f t="shared" si="5"/>
        <v>0</v>
      </c>
      <c r="I29" s="10">
        <f t="shared" si="5"/>
        <v>0</v>
      </c>
      <c r="J29" s="10">
        <f t="shared" si="5"/>
        <v>0</v>
      </c>
      <c r="K29" s="10">
        <f t="shared" si="5"/>
        <v>0</v>
      </c>
      <c r="L29" s="10">
        <f t="shared" si="5"/>
        <v>0</v>
      </c>
      <c r="M29" s="10">
        <f t="shared" si="5"/>
        <v>0</v>
      </c>
      <c r="N29" s="10">
        <f t="shared" si="5"/>
        <v>0</v>
      </c>
      <c r="O29" s="10">
        <f t="shared" si="5"/>
        <v>0</v>
      </c>
      <c r="P29" s="10">
        <f t="shared" si="5"/>
        <v>7727.5</v>
      </c>
      <c r="Q29" s="10">
        <f t="shared" si="5"/>
        <v>6957.5</v>
      </c>
      <c r="R29" s="10">
        <f t="shared" si="5"/>
        <v>6187.5</v>
      </c>
    </row>
    <row r="30" spans="1:18">
      <c r="A30" s="7"/>
    </row>
    <row r="31" spans="1:18">
      <c r="A31" s="43" t="s">
        <v>146</v>
      </c>
      <c r="B31" s="47"/>
      <c r="C31" s="47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/>
    </row>
    <row r="32" spans="1:18">
      <c r="A32" s="7" t="s">
        <v>141</v>
      </c>
      <c r="D32" s="18">
        <f>'ОПУ-Баланс-ОДДС'!D18</f>
        <v>-100453.33333333334</v>
      </c>
      <c r="E32" s="18">
        <f>'ОПУ-Баланс-ОДДС'!E18</f>
        <v>-53751.681120000008</v>
      </c>
      <c r="F32" s="18">
        <f>'ОПУ-Баланс-ОДДС'!F18</f>
        <v>-25317.095868050354</v>
      </c>
      <c r="G32" s="18">
        <f>'ОПУ-Баланс-ОДДС'!G18</f>
        <v>284088.86887090595</v>
      </c>
      <c r="H32" s="18">
        <f>'ОПУ-Баланс-ОДДС'!H18</f>
        <v>315104.86636837781</v>
      </c>
      <c r="I32" s="18">
        <f>'ОПУ-Баланс-ОДДС'!I18</f>
        <v>328042.39435644622</v>
      </c>
      <c r="J32" s="18">
        <f>'ОПУ-Баланс-ОДДС'!J18</f>
        <v>341497.42346403748</v>
      </c>
      <c r="K32" s="18">
        <f>'ОПУ-Баланс-ОДДС'!K18</f>
        <v>355490.65373593231</v>
      </c>
      <c r="L32" s="18">
        <f>'ОПУ-Баланс-ОДДС'!L18</f>
        <v>370043.61321870296</v>
      </c>
      <c r="M32" s="18">
        <f>'ОПУ-Баланс-ОДДС'!M18</f>
        <v>385178.69108078454</v>
      </c>
      <c r="N32" s="18">
        <f>'ОПУ-Баланс-ОДДС'!N18</f>
        <v>400919.172057349</v>
      </c>
      <c r="O32" s="18">
        <f>'ОПУ-Баланс-ОДДС'!O18</f>
        <v>417289.27227297635</v>
      </c>
      <c r="P32" s="18">
        <f>'ОПУ-Баланс-ОДДС'!P18</f>
        <v>394661.34906365757</v>
      </c>
      <c r="Q32" s="18">
        <f>'ОПУ-Баланс-ОДДС'!Q18</f>
        <v>411860.23635953735</v>
      </c>
      <c r="R32" s="18">
        <f>'ОПУ-Баланс-ОДДС'!R18</f>
        <v>429716.27914725232</v>
      </c>
    </row>
    <row r="33" spans="1:18">
      <c r="A33" s="7" t="s">
        <v>142</v>
      </c>
      <c r="D33" s="28">
        <f>Предпоссылки!D40</f>
        <v>0.2</v>
      </c>
      <c r="E33" s="28">
        <f>Предпоссылки!E40</f>
        <v>0.25</v>
      </c>
      <c r="F33" s="28">
        <f>Предпоссылки!F40</f>
        <v>0.25</v>
      </c>
      <c r="G33" s="28">
        <f>Предпоссылки!G40</f>
        <v>0.25</v>
      </c>
      <c r="H33" s="28">
        <f>Предпоссылки!H40</f>
        <v>0.25</v>
      </c>
      <c r="I33" s="28">
        <f>Предпоссылки!I40</f>
        <v>0.25</v>
      </c>
      <c r="J33" s="28">
        <f>Предпоссылки!J40</f>
        <v>0.25</v>
      </c>
      <c r="K33" s="28">
        <f>Предпоссылки!K40</f>
        <v>0.25</v>
      </c>
      <c r="L33" s="28">
        <f>Предпоссылки!L40</f>
        <v>0.25</v>
      </c>
      <c r="M33" s="28">
        <f>Предпоссылки!M40</f>
        <v>0.25</v>
      </c>
      <c r="N33" s="28">
        <f>Предпоссылки!N40</f>
        <v>0.25</v>
      </c>
      <c r="O33" s="28">
        <f>Предпоссылки!O40</f>
        <v>0.25</v>
      </c>
      <c r="P33" s="28">
        <f>Предпоссылки!P40</f>
        <v>0.25</v>
      </c>
      <c r="Q33" s="28">
        <f>Предпоссылки!Q40</f>
        <v>0.25</v>
      </c>
      <c r="R33" s="28">
        <f>Предпоссылки!R40</f>
        <v>0.25</v>
      </c>
    </row>
    <row r="34" spans="1:18">
      <c r="A34" s="15" t="s">
        <v>147</v>
      </c>
      <c r="D34" s="28">
        <f>Предпоссылки!D41</f>
        <v>0.03</v>
      </c>
      <c r="E34" s="28">
        <f>Предпоссылки!E41</f>
        <v>0.08</v>
      </c>
      <c r="F34" s="28">
        <f>Предпоссылки!F41</f>
        <v>0.08</v>
      </c>
      <c r="G34" s="28">
        <f>Предпоссылки!G41</f>
        <v>0.08</v>
      </c>
      <c r="H34" s="28">
        <f>Предпоссылки!H41</f>
        <v>0.08</v>
      </c>
      <c r="I34" s="28">
        <f>Предпоссылки!I41</f>
        <v>0.08</v>
      </c>
      <c r="J34" s="28">
        <f>Предпоссылки!J41</f>
        <v>0.08</v>
      </c>
      <c r="K34" s="28">
        <f>Предпоссылки!K41</f>
        <v>7.0000000000000007E-2</v>
      </c>
      <c r="L34" s="28">
        <f>Предпоссылки!L41</f>
        <v>7.0000000000000007E-2</v>
      </c>
      <c r="M34" s="28">
        <f>Предпоссылки!M41</f>
        <v>7.0000000000000007E-2</v>
      </c>
      <c r="N34" s="28">
        <f>Предпоссылки!N41</f>
        <v>7.0000000000000007E-2</v>
      </c>
      <c r="O34" s="28">
        <f>Предпоссылки!O41</f>
        <v>7.0000000000000007E-2</v>
      </c>
      <c r="P34" s="28">
        <f>Предпоссылки!P41</f>
        <v>7.0000000000000007E-2</v>
      </c>
      <c r="Q34" s="28">
        <f>Предпоссылки!Q41</f>
        <v>7.0000000000000007E-2</v>
      </c>
      <c r="R34" s="28">
        <f>Предпоссылки!R41</f>
        <v>7.0000000000000007E-2</v>
      </c>
    </row>
    <row r="35" spans="1:18">
      <c r="A35" s="15" t="s">
        <v>148</v>
      </c>
      <c r="D35" s="28">
        <f>Предпоссылки!D42</f>
        <v>0.17</v>
      </c>
      <c r="E35" s="28">
        <f>Предпоссылки!E42</f>
        <v>0.17</v>
      </c>
      <c r="F35" s="28">
        <f>Предпоссылки!F42</f>
        <v>0.17</v>
      </c>
      <c r="G35" s="28">
        <f>Предпоссылки!G42</f>
        <v>0.17</v>
      </c>
      <c r="H35" s="28">
        <f>Предпоссылки!H42</f>
        <v>0.17</v>
      </c>
      <c r="I35" s="28">
        <f>Предпоссылки!I42</f>
        <v>0.17</v>
      </c>
      <c r="J35" s="28">
        <f>Предпоссылки!J42</f>
        <v>0.17</v>
      </c>
      <c r="K35" s="28">
        <f>Предпоссылки!K42</f>
        <v>0.18</v>
      </c>
      <c r="L35" s="28">
        <f>Предпоссылки!L42</f>
        <v>0.18</v>
      </c>
      <c r="M35" s="28">
        <f>Предпоссылки!M42</f>
        <v>0.18</v>
      </c>
      <c r="N35" s="28">
        <f>Предпоссылки!N42</f>
        <v>0.18</v>
      </c>
      <c r="O35" s="28">
        <f>Предпоссылки!O42</f>
        <v>0.18</v>
      </c>
      <c r="P35" s="28">
        <f>Предпоссылки!P42</f>
        <v>0.18</v>
      </c>
      <c r="Q35" s="28">
        <f>Предпоссылки!Q42</f>
        <v>0.18</v>
      </c>
      <c r="R35" s="28">
        <f>Предпоссылки!R42</f>
        <v>0.18</v>
      </c>
    </row>
    <row r="36" spans="1:18">
      <c r="A36" s="7" t="s">
        <v>143</v>
      </c>
      <c r="D36" s="28">
        <f>SUM(D37:D38)</f>
        <v>0.05</v>
      </c>
      <c r="E36" s="28">
        <f t="shared" ref="E36:R36" si="6">SUM(E37:E38)</f>
        <v>0.05</v>
      </c>
      <c r="F36" s="28">
        <f t="shared" si="6"/>
        <v>0.05</v>
      </c>
      <c r="G36" s="28">
        <f t="shared" si="6"/>
        <v>0.05</v>
      </c>
      <c r="H36" s="28">
        <f t="shared" si="6"/>
        <v>0.05</v>
      </c>
      <c r="I36" s="28">
        <f t="shared" si="6"/>
        <v>0.05</v>
      </c>
      <c r="J36" s="28">
        <f t="shared" si="6"/>
        <v>0.05</v>
      </c>
      <c r="K36" s="28">
        <f t="shared" si="6"/>
        <v>0.17</v>
      </c>
      <c r="L36" s="28">
        <f t="shared" si="6"/>
        <v>0.17</v>
      </c>
      <c r="M36" s="28">
        <f t="shared" si="6"/>
        <v>0.17</v>
      </c>
      <c r="N36" s="28">
        <f t="shared" si="6"/>
        <v>0.17</v>
      </c>
      <c r="O36" s="28">
        <f t="shared" si="6"/>
        <v>0.17</v>
      </c>
      <c r="P36" s="28">
        <f t="shared" si="6"/>
        <v>0.17</v>
      </c>
      <c r="Q36" s="28">
        <f t="shared" si="6"/>
        <v>0.17</v>
      </c>
      <c r="R36" s="28">
        <f t="shared" si="6"/>
        <v>0.17</v>
      </c>
    </row>
    <row r="37" spans="1:18">
      <c r="A37" s="15" t="s">
        <v>147</v>
      </c>
      <c r="D37" s="28">
        <v>0</v>
      </c>
      <c r="E37" s="28">
        <v>0</v>
      </c>
      <c r="F37" s="28">
        <v>0</v>
      </c>
      <c r="G37" s="28">
        <v>0</v>
      </c>
      <c r="H37" s="28">
        <v>0</v>
      </c>
      <c r="I37" s="28">
        <v>0</v>
      </c>
      <c r="J37" s="28">
        <v>0</v>
      </c>
      <c r="K37" s="28">
        <f t="shared" ref="K37:R37" si="7">K34</f>
        <v>7.0000000000000007E-2</v>
      </c>
      <c r="L37" s="28">
        <f t="shared" si="7"/>
        <v>7.0000000000000007E-2</v>
      </c>
      <c r="M37" s="28">
        <f t="shared" si="7"/>
        <v>7.0000000000000007E-2</v>
      </c>
      <c r="N37" s="28">
        <f t="shared" si="7"/>
        <v>7.0000000000000007E-2</v>
      </c>
      <c r="O37" s="28">
        <f t="shared" si="7"/>
        <v>7.0000000000000007E-2</v>
      </c>
      <c r="P37" s="28">
        <f t="shared" si="7"/>
        <v>7.0000000000000007E-2</v>
      </c>
      <c r="Q37" s="28">
        <f t="shared" si="7"/>
        <v>7.0000000000000007E-2</v>
      </c>
      <c r="R37" s="28">
        <f t="shared" si="7"/>
        <v>7.0000000000000007E-2</v>
      </c>
    </row>
    <row r="38" spans="1:18">
      <c r="A38" s="15" t="s">
        <v>148</v>
      </c>
      <c r="D38" s="28">
        <v>0.05</v>
      </c>
      <c r="E38" s="28">
        <f>D38</f>
        <v>0.05</v>
      </c>
      <c r="F38" s="28">
        <f t="shared" ref="F38:H38" si="8">E38</f>
        <v>0.05</v>
      </c>
      <c r="G38" s="28">
        <f t="shared" si="8"/>
        <v>0.05</v>
      </c>
      <c r="H38" s="28">
        <f t="shared" si="8"/>
        <v>0.05</v>
      </c>
      <c r="I38" s="28">
        <v>0.05</v>
      </c>
      <c r="J38" s="28">
        <v>0.05</v>
      </c>
      <c r="K38" s="28">
        <v>0.1</v>
      </c>
      <c r="L38" s="28">
        <f>K38</f>
        <v>0.1</v>
      </c>
      <c r="M38" s="28">
        <f t="shared" ref="M38:R38" si="9">L38</f>
        <v>0.1</v>
      </c>
      <c r="N38" s="28">
        <f t="shared" si="9"/>
        <v>0.1</v>
      </c>
      <c r="O38" s="28">
        <f t="shared" si="9"/>
        <v>0.1</v>
      </c>
      <c r="P38" s="28">
        <f t="shared" si="9"/>
        <v>0.1</v>
      </c>
      <c r="Q38" s="28">
        <f t="shared" si="9"/>
        <v>0.1</v>
      </c>
      <c r="R38" s="28">
        <f t="shared" si="9"/>
        <v>0.1</v>
      </c>
    </row>
    <row r="39" spans="1:18">
      <c r="A39" s="7" t="s">
        <v>144</v>
      </c>
      <c r="B39" s="51">
        <v>10</v>
      </c>
      <c r="D39" s="51">
        <f>IF(AND(D2=1,SUM($D$2:D2)&lt;=10),1,0)</f>
        <v>0</v>
      </c>
      <c r="E39" s="51">
        <f>IF(AND(E2=1,SUM($D$2:E2)&lt;=10),1,0)</f>
        <v>0</v>
      </c>
      <c r="F39" s="51">
        <f>IF(AND(F2=1,SUM($D$2:F2)&lt;=10),1,0)</f>
        <v>1</v>
      </c>
      <c r="G39" s="51">
        <f>IF(AND(G2=1,SUM($D$2:G2)&lt;=10),1,0)</f>
        <v>1</v>
      </c>
      <c r="H39" s="51">
        <f>IF(AND(H2=1,SUM($D$2:H2)&lt;=10),1,0)</f>
        <v>1</v>
      </c>
      <c r="I39" s="51">
        <f>IF(AND(I2=1,SUM($D$2:I2)&lt;=10),1,0)</f>
        <v>1</v>
      </c>
      <c r="J39" s="51">
        <f>IF(AND(J2=1,SUM($D$2:J2)&lt;=10),1,0)</f>
        <v>1</v>
      </c>
      <c r="K39" s="51">
        <f>IF(AND(K2=1,SUM($D$2:K2)&lt;=10),1,0)</f>
        <v>1</v>
      </c>
      <c r="L39" s="51">
        <f>IF(AND(L2=1,SUM($D$2:L2)&lt;=10),1,0)</f>
        <v>1</v>
      </c>
      <c r="M39" s="51">
        <f>IF(AND(M2=1,SUM($D$2:M2)&lt;=10),1,0)</f>
        <v>1</v>
      </c>
      <c r="N39" s="51">
        <f>IF(AND(N2=1,SUM($D$2:N2)&lt;=10),1,0)</f>
        <v>1</v>
      </c>
      <c r="O39" s="51">
        <f>IF(AND(O2=1,SUM($D$2:O2)&lt;=10),1,0)</f>
        <v>1</v>
      </c>
      <c r="P39" s="51">
        <f>IF(AND(P2=1,SUM($D$2:P2)&lt;=10),1,0)</f>
        <v>0</v>
      </c>
      <c r="Q39" s="51">
        <f>IF(AND(Q2=1,SUM($D$2:Q2)&lt;=10),1,0)</f>
        <v>0</v>
      </c>
      <c r="R39" s="51">
        <f>IF(AND(R2=1,SUM($D$2:R2)&lt;=10),1,0)</f>
        <v>0</v>
      </c>
    </row>
    <row r="40" spans="1:18">
      <c r="A40" s="7" t="s">
        <v>149</v>
      </c>
      <c r="D40" s="28">
        <f>IF(D39=1,D36,D33)</f>
        <v>0.2</v>
      </c>
      <c r="E40" s="28">
        <f t="shared" ref="E40:R40" si="10">IF(E39=1,E36,E33)</f>
        <v>0.25</v>
      </c>
      <c r="F40" s="28">
        <f t="shared" si="10"/>
        <v>0.05</v>
      </c>
      <c r="G40" s="28">
        <f t="shared" si="10"/>
        <v>0.05</v>
      </c>
      <c r="H40" s="28">
        <f t="shared" si="10"/>
        <v>0.05</v>
      </c>
      <c r="I40" s="28">
        <f t="shared" si="10"/>
        <v>0.05</v>
      </c>
      <c r="J40" s="28">
        <f t="shared" si="10"/>
        <v>0.05</v>
      </c>
      <c r="K40" s="28">
        <f t="shared" si="10"/>
        <v>0.17</v>
      </c>
      <c r="L40" s="28">
        <f t="shared" si="10"/>
        <v>0.17</v>
      </c>
      <c r="M40" s="28">
        <f t="shared" si="10"/>
        <v>0.17</v>
      </c>
      <c r="N40" s="28">
        <f t="shared" si="10"/>
        <v>0.17</v>
      </c>
      <c r="O40" s="28">
        <f t="shared" si="10"/>
        <v>0.17</v>
      </c>
      <c r="P40" s="28">
        <f t="shared" si="10"/>
        <v>0.25</v>
      </c>
      <c r="Q40" s="28">
        <f t="shared" si="10"/>
        <v>0.25</v>
      </c>
      <c r="R40" s="28">
        <f t="shared" si="10"/>
        <v>0.25</v>
      </c>
    </row>
    <row r="41" spans="1:18">
      <c r="A41" s="7"/>
    </row>
    <row r="42" spans="1:18">
      <c r="A42" s="7"/>
    </row>
    <row r="43" spans="1:18">
      <c r="A43" s="9" t="s">
        <v>150</v>
      </c>
      <c r="B43" s="17"/>
      <c r="C43" s="34"/>
      <c r="D43" s="10">
        <f>IF(D32&gt;0,D32*D40,0)</f>
        <v>0</v>
      </c>
      <c r="E43" s="10">
        <f t="shared" ref="E43:R43" si="11">IF(E32&gt;0,E32*E40,0)</f>
        <v>0</v>
      </c>
      <c r="F43" s="10">
        <f t="shared" si="11"/>
        <v>0</v>
      </c>
      <c r="G43" s="10">
        <f t="shared" si="11"/>
        <v>14204.443443545299</v>
      </c>
      <c r="H43" s="10">
        <f t="shared" si="11"/>
        <v>15755.243318418892</v>
      </c>
      <c r="I43" s="10">
        <f t="shared" si="11"/>
        <v>16402.119717822312</v>
      </c>
      <c r="J43" s="10">
        <f t="shared" si="11"/>
        <v>17074.871173201875</v>
      </c>
      <c r="K43" s="10">
        <f t="shared" si="11"/>
        <v>60433.411135108494</v>
      </c>
      <c r="L43" s="10">
        <f t="shared" si="11"/>
        <v>62907.414247179506</v>
      </c>
      <c r="M43" s="10">
        <f t="shared" si="11"/>
        <v>65480.377483733377</v>
      </c>
      <c r="N43" s="10">
        <f t="shared" si="11"/>
        <v>68156.259249749332</v>
      </c>
      <c r="O43" s="10">
        <f t="shared" si="11"/>
        <v>70939.176286405986</v>
      </c>
      <c r="P43" s="10">
        <f t="shared" si="11"/>
        <v>98665.337265914393</v>
      </c>
      <c r="Q43" s="10">
        <f t="shared" si="11"/>
        <v>102965.05908988434</v>
      </c>
      <c r="R43" s="10">
        <f t="shared" si="11"/>
        <v>107429.06978681308</v>
      </c>
    </row>
    <row r="44" spans="1:18">
      <c r="A44" s="7" t="s">
        <v>151</v>
      </c>
      <c r="D44" s="18">
        <f>D32-D43</f>
        <v>-100453.33333333334</v>
      </c>
      <c r="E44" s="18">
        <f t="shared" ref="E44:R44" si="12">E32-E43</f>
        <v>-53751.681120000008</v>
      </c>
      <c r="F44" s="18">
        <f t="shared" si="12"/>
        <v>-25317.095868050354</v>
      </c>
      <c r="G44" s="18">
        <f t="shared" si="12"/>
        <v>269884.42542736063</v>
      </c>
      <c r="H44" s="18">
        <f t="shared" si="12"/>
        <v>299349.6230499589</v>
      </c>
      <c r="I44" s="18">
        <f t="shared" si="12"/>
        <v>311640.27463862393</v>
      </c>
      <c r="J44" s="18">
        <f t="shared" si="12"/>
        <v>324422.55229083559</v>
      </c>
      <c r="K44" s="18">
        <f t="shared" si="12"/>
        <v>295057.24260082381</v>
      </c>
      <c r="L44" s="18">
        <f t="shared" si="12"/>
        <v>307136.19897152344</v>
      </c>
      <c r="M44" s="18">
        <f t="shared" si="12"/>
        <v>319698.31359705119</v>
      </c>
      <c r="N44" s="18">
        <f t="shared" si="12"/>
        <v>332762.91280759964</v>
      </c>
      <c r="O44" s="18">
        <f t="shared" si="12"/>
        <v>346350.09598657035</v>
      </c>
      <c r="P44" s="18">
        <f t="shared" si="12"/>
        <v>295996.01179774315</v>
      </c>
      <c r="Q44" s="18">
        <f t="shared" si="12"/>
        <v>308895.17726965301</v>
      </c>
      <c r="R44" s="18">
        <f t="shared" si="12"/>
        <v>322287.20936043921</v>
      </c>
    </row>
    <row r="45" spans="1:18">
      <c r="A45" s="7"/>
    </row>
    <row r="46" spans="1:18">
      <c r="A46" s="7"/>
      <c r="D46" s="28">
        <f>D37/D36</f>
        <v>0</v>
      </c>
      <c r="E46" s="28">
        <f t="shared" ref="E46:R46" si="13">E37/E36</f>
        <v>0</v>
      </c>
      <c r="F46" s="28">
        <f t="shared" si="13"/>
        <v>0</v>
      </c>
      <c r="G46" s="28">
        <f t="shared" si="13"/>
        <v>0</v>
      </c>
      <c r="H46" s="28">
        <f t="shared" si="13"/>
        <v>0</v>
      </c>
      <c r="I46" s="28">
        <f t="shared" si="13"/>
        <v>0</v>
      </c>
      <c r="J46" s="28">
        <f t="shared" si="13"/>
        <v>0</v>
      </c>
      <c r="K46" s="28">
        <f t="shared" si="13"/>
        <v>0.41176470588235298</v>
      </c>
      <c r="L46" s="28">
        <f t="shared" si="13"/>
        <v>0.41176470588235298</v>
      </c>
      <c r="M46" s="28">
        <f t="shared" si="13"/>
        <v>0.41176470588235298</v>
      </c>
      <c r="N46" s="28">
        <f t="shared" si="13"/>
        <v>0.41176470588235298</v>
      </c>
      <c r="O46" s="28">
        <f t="shared" si="13"/>
        <v>0.41176470588235298</v>
      </c>
      <c r="P46" s="28">
        <f t="shared" si="13"/>
        <v>0.41176470588235298</v>
      </c>
      <c r="Q46" s="28">
        <f t="shared" si="13"/>
        <v>0.41176470588235298</v>
      </c>
      <c r="R46" s="28">
        <f t="shared" si="13"/>
        <v>0.41176470588235298</v>
      </c>
    </row>
    <row r="47" spans="1:18">
      <c r="A47" s="7"/>
      <c r="D47" s="28">
        <f>D34/D33</f>
        <v>0.15</v>
      </c>
      <c r="E47" s="28">
        <f t="shared" ref="E47:R47" si="14">E34/E33</f>
        <v>0.32</v>
      </c>
      <c r="F47" s="28">
        <f t="shared" si="14"/>
        <v>0.32</v>
      </c>
      <c r="G47" s="28">
        <f t="shared" si="14"/>
        <v>0.32</v>
      </c>
      <c r="H47" s="28">
        <f t="shared" si="14"/>
        <v>0.32</v>
      </c>
      <c r="I47" s="28">
        <f t="shared" si="14"/>
        <v>0.32</v>
      </c>
      <c r="J47" s="28">
        <f t="shared" si="14"/>
        <v>0.32</v>
      </c>
      <c r="K47" s="28">
        <f t="shared" si="14"/>
        <v>0.28000000000000003</v>
      </c>
      <c r="L47" s="28">
        <f t="shared" si="14"/>
        <v>0.28000000000000003</v>
      </c>
      <c r="M47" s="28">
        <f t="shared" si="14"/>
        <v>0.28000000000000003</v>
      </c>
      <c r="N47" s="28">
        <f t="shared" si="14"/>
        <v>0.28000000000000003</v>
      </c>
      <c r="O47" s="28">
        <f t="shared" si="14"/>
        <v>0.28000000000000003</v>
      </c>
      <c r="P47" s="28">
        <f t="shared" si="14"/>
        <v>0.28000000000000003</v>
      </c>
      <c r="Q47" s="28">
        <f t="shared" si="14"/>
        <v>0.28000000000000003</v>
      </c>
      <c r="R47" s="28">
        <f t="shared" si="14"/>
        <v>0.28000000000000003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0.79998168889431442"/>
  </sheetPr>
  <dimension ref="A1:R53"/>
  <sheetViews>
    <sheetView tabSelected="1" zoomScale="90" zoomScaleNormal="90" workbookViewId="0">
      <selection activeCell="D39" sqref="D39"/>
    </sheetView>
  </sheetViews>
  <sheetFormatPr baseColWidth="10" defaultColWidth="9.1640625" defaultRowHeight="15"/>
  <cols>
    <col min="1" max="1" width="50.5" style="1" customWidth="1"/>
    <col min="2" max="2" width="15" style="1" customWidth="1"/>
    <col min="3" max="3" width="12.83203125" style="1" customWidth="1"/>
    <col min="4" max="4" width="13.1640625" style="1" bestFit="1" customWidth="1"/>
    <col min="5" max="5" width="13.5" style="1" customWidth="1"/>
    <col min="6" max="6" width="12.83203125" style="1" customWidth="1"/>
    <col min="7" max="7" width="11" style="1" customWidth="1"/>
    <col min="8" max="18" width="12.1640625" style="1" bestFit="1" customWidth="1"/>
    <col min="19" max="16384" width="9.1640625" style="1"/>
  </cols>
  <sheetData>
    <row r="1" spans="1:18">
      <c r="A1" s="37" t="s">
        <v>167</v>
      </c>
      <c r="B1" s="38" t="s">
        <v>105</v>
      </c>
      <c r="C1" s="39" t="s">
        <v>8</v>
      </c>
      <c r="D1" s="39">
        <v>2024</v>
      </c>
      <c r="E1" s="39">
        <v>2025</v>
      </c>
      <c r="F1" s="39">
        <v>2026</v>
      </c>
      <c r="G1" s="39">
        <v>2027</v>
      </c>
      <c r="H1" s="39">
        <v>2028</v>
      </c>
      <c r="I1" s="39">
        <v>2029</v>
      </c>
      <c r="J1" s="39">
        <v>2030</v>
      </c>
      <c r="K1" s="39">
        <v>2031</v>
      </c>
      <c r="L1" s="39">
        <v>2032</v>
      </c>
      <c r="M1" s="39">
        <v>2033</v>
      </c>
      <c r="N1" s="39">
        <v>2034</v>
      </c>
      <c r="O1" s="39">
        <v>2035</v>
      </c>
      <c r="P1" s="39">
        <v>2036</v>
      </c>
      <c r="Q1" s="39">
        <v>2037</v>
      </c>
      <c r="R1" s="39">
        <v>2038</v>
      </c>
    </row>
    <row r="3" spans="1:18">
      <c r="A3" s="43" t="s">
        <v>168</v>
      </c>
      <c r="B3" s="44"/>
      <c r="C3" s="44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6"/>
    </row>
    <row r="4" spans="1:18">
      <c r="A4" s="7" t="s">
        <v>113</v>
      </c>
      <c r="B4" s="13"/>
      <c r="C4" s="6" t="s">
        <v>60</v>
      </c>
      <c r="D4" s="80">
        <f>'OPEX &amp; SALES'!D4</f>
        <v>0</v>
      </c>
      <c r="E4" s="80">
        <f>'OPEX &amp; SALES'!E4</f>
        <v>0</v>
      </c>
      <c r="F4" s="80">
        <f>'OPEX &amp; SALES'!F4</f>
        <v>163157.95930751189</v>
      </c>
      <c r="G4" s="80">
        <f>'OPEX &amp; SALES'!G4</f>
        <v>806000.31897910871</v>
      </c>
      <c r="H4" s="80">
        <f>'OPEX &amp; SALES'!H4</f>
        <v>882358.24393502437</v>
      </c>
      <c r="I4" s="80">
        <f>'OPEX &amp; SALES'!I4</f>
        <v>917652.57369242539</v>
      </c>
      <c r="J4" s="80">
        <f>'OPEX &amp; SALES'!J4</f>
        <v>954358.67664012243</v>
      </c>
      <c r="K4" s="80">
        <f>'OPEX &amp; SALES'!K4</f>
        <v>992533.02370572742</v>
      </c>
      <c r="L4" s="80">
        <f>'OPEX &amp; SALES'!L4</f>
        <v>1032234.3446539565</v>
      </c>
      <c r="M4" s="80">
        <f>'OPEX &amp; SALES'!M4</f>
        <v>1073523.7184401148</v>
      </c>
      <c r="N4" s="80">
        <f>'OPEX &amp; SALES'!N4</f>
        <v>1116464.6671777193</v>
      </c>
      <c r="O4" s="80">
        <f>'OPEX &amp; SALES'!O4</f>
        <v>1161123.253864828</v>
      </c>
      <c r="P4" s="80">
        <f>'OPEX &amp; SALES'!P4</f>
        <v>1207568.1840194212</v>
      </c>
      <c r="Q4" s="80">
        <f>'OPEX &amp; SALES'!Q4</f>
        <v>1255870.9113801983</v>
      </c>
      <c r="R4" s="80">
        <f>'OPEX &amp; SALES'!R4</f>
        <v>1306105.7478354063</v>
      </c>
    </row>
    <row r="5" spans="1:18">
      <c r="A5" s="7" t="s">
        <v>169</v>
      </c>
      <c r="B5" s="13"/>
      <c r="C5" s="6" t="s">
        <v>60</v>
      </c>
      <c r="D5" s="80">
        <f>SUM(D6:D11)</f>
        <v>100453.33333333334</v>
      </c>
      <c r="E5" s="80">
        <f t="shared" ref="E5:R5" si="0">SUM(E6:E11)</f>
        <v>53751.681120000008</v>
      </c>
      <c r="F5" s="80">
        <f t="shared" si="0"/>
        <v>212049.7630356313</v>
      </c>
      <c r="G5" s="80">
        <f t="shared" si="0"/>
        <v>580931.36995158973</v>
      </c>
      <c r="H5" s="80">
        <f t="shared" si="0"/>
        <v>627347.71760954789</v>
      </c>
      <c r="I5" s="80">
        <f t="shared" si="0"/>
        <v>649782.79298059654</v>
      </c>
      <c r="J5" s="80">
        <f t="shared" si="0"/>
        <v>673146.07136648707</v>
      </c>
      <c r="K5" s="80">
        <f t="shared" si="0"/>
        <v>697474.68088781333</v>
      </c>
      <c r="L5" s="80">
        <f t="shared" si="0"/>
        <v>722807.23478999245</v>
      </c>
      <c r="M5" s="80">
        <f t="shared" si="0"/>
        <v>749183.89084825886</v>
      </c>
      <c r="N5" s="80">
        <f t="shared" si="0"/>
        <v>776646.41314885602</v>
      </c>
      <c r="O5" s="80">
        <f t="shared" si="0"/>
        <v>805238.23634147679</v>
      </c>
      <c r="P5" s="80">
        <f t="shared" si="0"/>
        <v>837906.83495576365</v>
      </c>
      <c r="Q5" s="80">
        <f t="shared" si="0"/>
        <v>869010.67502066097</v>
      </c>
      <c r="R5" s="80">
        <f t="shared" si="0"/>
        <v>901389.46868815401</v>
      </c>
    </row>
    <row r="6" spans="1:18">
      <c r="A6" s="15" t="s">
        <v>176</v>
      </c>
      <c r="B6" s="13"/>
      <c r="C6" s="6" t="s">
        <v>60</v>
      </c>
      <c r="D6" s="80">
        <f>'OPEX &amp; SALES'!D61</f>
        <v>0</v>
      </c>
      <c r="E6" s="80">
        <f>'OPEX &amp; SALES'!E61</f>
        <v>0</v>
      </c>
      <c r="F6" s="80">
        <f>('OPEX &amp; SALES'!F61-'OPEX &amp; SALES'!F60)+('OPEX &amp; SALES'!F59*Налоги!F18)</f>
        <v>56478.328025707568</v>
      </c>
      <c r="G6" s="80">
        <f>('OPEX &amp; SALES'!G61-'OPEX &amp; SALES'!G60)+('OPEX &amp; SALES'!G59*Налоги!G18)</f>
        <v>111548.10015968968</v>
      </c>
      <c r="H6" s="80">
        <f>('OPEX &amp; SALES'!H61-'OPEX &amp; SALES'!H60)+('OPEX &amp; SALES'!H59*Налоги!H18)</f>
        <v>122173.91918521063</v>
      </c>
      <c r="I6" s="80">
        <f>('OPEX &amp; SALES'!I61-'OPEX &amp; SALES'!I60)+('OPEX &amp; SALES'!I59*Налоги!I18)</f>
        <v>127060.87595261907</v>
      </c>
      <c r="J6" s="80">
        <f>('OPEX &amp; SALES'!J61-'OPEX &amp; SALES'!J60)+('OPEX &amp; SALES'!J59*Налоги!J18)</f>
        <v>132143.31099072384</v>
      </c>
      <c r="K6" s="80">
        <f>('OPEX &amp; SALES'!K61-'OPEX &amp; SALES'!K60)+('OPEX &amp; SALES'!K59*Налоги!K18)</f>
        <v>137429.04343035276</v>
      </c>
      <c r="L6" s="80">
        <f>('OPEX &amp; SALES'!L61-'OPEX &amp; SALES'!L60)+('OPEX &amp; SALES'!L59*Налоги!L18)</f>
        <v>142926.20516756692</v>
      </c>
      <c r="M6" s="80">
        <f>('OPEX &amp; SALES'!M61-'OPEX &amp; SALES'!M60)+('OPEX &amp; SALES'!M59*Налоги!M18)</f>
        <v>148643.25337426958</v>
      </c>
      <c r="N6" s="80">
        <f>('OPEX &amp; SALES'!N61-'OPEX &amp; SALES'!N60)+('OPEX &amp; SALES'!N59*Налоги!N18)</f>
        <v>154588.98350924038</v>
      </c>
      <c r="O6" s="80">
        <f>('OPEX &amp; SALES'!O61-'OPEX &amp; SALES'!O60)+('OPEX &amp; SALES'!O59*Налоги!O18)</f>
        <v>160772.54284960995</v>
      </c>
      <c r="P6" s="80">
        <f>('OPEX &amp; SALES'!P61-'OPEX &amp; SALES'!P60)+('OPEX &amp; SALES'!P59*Налоги!P18)</f>
        <v>167203.44456359438</v>
      </c>
      <c r="Q6" s="80">
        <f>('OPEX &amp; SALES'!Q61-'OPEX &amp; SALES'!Q60)+('OPEX &amp; SALES'!Q59*Налоги!Q18)</f>
        <v>173891.58234613817</v>
      </c>
      <c r="R6" s="80">
        <f>('OPEX &amp; SALES'!R61-'OPEX &amp; SALES'!R60)+('OPEX &amp; SALES'!R59*Налоги!R18)</f>
        <v>180847.24563998368</v>
      </c>
    </row>
    <row r="7" spans="1:18">
      <c r="A7" s="15" t="s">
        <v>177</v>
      </c>
      <c r="B7" s="13"/>
      <c r="C7" s="6" t="s">
        <v>60</v>
      </c>
      <c r="D7" s="80">
        <f>'OPEX &amp; SALES'!D9</f>
        <v>0</v>
      </c>
      <c r="E7" s="80">
        <f>'OPEX &amp; SALES'!E9</f>
        <v>0</v>
      </c>
      <c r="F7" s="80">
        <f>'OPEX &amp; SALES'!F9</f>
        <v>64434.689260601008</v>
      </c>
      <c r="G7" s="80">
        <f>'OPEX &amp; SALES'!G9</f>
        <v>318805.28517694218</v>
      </c>
      <c r="H7" s="80">
        <f>'OPEX &amp; SALES'!H9</f>
        <v>349007.89114107355</v>
      </c>
      <c r="I7" s="80">
        <f>'OPEX &amp; SALES'!I9</f>
        <v>362968.20678671653</v>
      </c>
      <c r="J7" s="80">
        <f>'OPEX &amp; SALES'!J9</f>
        <v>377486.93505818519</v>
      </c>
      <c r="K7" s="80">
        <f>'OPEX &amp; SALES'!K9</f>
        <v>392586.41246051271</v>
      </c>
      <c r="L7" s="80">
        <f>'OPEX &amp; SALES'!L9</f>
        <v>408289.86895893316</v>
      </c>
      <c r="M7" s="80">
        <f>'OPEX &amp; SALES'!M9</f>
        <v>424621.46371729043</v>
      </c>
      <c r="N7" s="80">
        <f>'OPEX &amp; SALES'!N9</f>
        <v>441606.32226598216</v>
      </c>
      <c r="O7" s="80">
        <f>'OPEX &amp; SALES'!O9</f>
        <v>459270.5751566214</v>
      </c>
      <c r="P7" s="80">
        <f>'OPEX &amp; SALES'!P9</f>
        <v>477641.39816288638</v>
      </c>
      <c r="Q7" s="80">
        <f>'OPEX &amp; SALES'!Q9</f>
        <v>496747.05408940185</v>
      </c>
      <c r="R7" s="80">
        <f>'OPEX &amp; SALES'!R9</f>
        <v>516616.93625297793</v>
      </c>
    </row>
    <row r="8" spans="1:18">
      <c r="A8" s="15" t="s">
        <v>87</v>
      </c>
      <c r="B8" s="13"/>
      <c r="C8" s="6" t="s">
        <v>60</v>
      </c>
      <c r="D8" s="80">
        <f>'OPEX &amp; SALES'!D64</f>
        <v>17120</v>
      </c>
      <c r="E8" s="80">
        <f>'OPEX &amp; SALES'!E64</f>
        <v>53751.681120000008</v>
      </c>
      <c r="F8" s="80">
        <f>'OPEX &amp; SALES'!F64</f>
        <v>69032.162415989398</v>
      </c>
      <c r="G8" s="80">
        <f>'OPEX &amp; SALES'!G64</f>
        <v>102587.15128162455</v>
      </c>
      <c r="H8" s="80">
        <f>'OPEX &amp; SALES'!H64</f>
        <v>108945.07394993035</v>
      </c>
      <c r="I8" s="80">
        <f>'OPEX &amp; SALES'!I64</f>
        <v>113302.87690792758</v>
      </c>
      <c r="J8" s="80">
        <f>'OPEX &amp; SALES'!J64</f>
        <v>117834.99198424467</v>
      </c>
      <c r="K8" s="80">
        <f>'OPEX &amp; SALES'!K64</f>
        <v>122548.39166361446</v>
      </c>
      <c r="L8" s="80">
        <f>'OPEX &amp; SALES'!L64</f>
        <v>127450.32733015905</v>
      </c>
      <c r="M8" s="80">
        <f>'OPEX &amp; SALES'!M64</f>
        <v>132548.34042336541</v>
      </c>
      <c r="N8" s="80">
        <f>'OPEX &amp; SALES'!N64</f>
        <v>137850.27404030005</v>
      </c>
      <c r="O8" s="80">
        <f>'OPEX &amp; SALES'!O64</f>
        <v>143364.28500191204</v>
      </c>
      <c r="P8" s="80">
        <f>'OPEX &amp; SALES'!P64</f>
        <v>152001.15889594954</v>
      </c>
      <c r="Q8" s="80">
        <f>'OPEX &amp; SALES'!Q64</f>
        <v>158081.20525178756</v>
      </c>
      <c r="R8" s="80">
        <f>'OPEX &amp; SALES'!R64</f>
        <v>164404.45346185903</v>
      </c>
    </row>
    <row r="9" spans="1:18">
      <c r="A9" s="15" t="s">
        <v>308</v>
      </c>
      <c r="B9" s="13"/>
      <c r="C9" s="6" t="s">
        <v>60</v>
      </c>
      <c r="D9" s="80">
        <f>'CAPEX | Finance'!D50</f>
        <v>83333.333333333343</v>
      </c>
      <c r="E9" s="80">
        <f>'CAPEX | Finance'!E50</f>
        <v>0</v>
      </c>
      <c r="F9" s="80">
        <f>'CAPEX | Finance'!F50</f>
        <v>8333.3333333333339</v>
      </c>
      <c r="G9" s="80">
        <f>'CAPEX | Finance'!G50</f>
        <v>8333.3333333333339</v>
      </c>
      <c r="H9" s="80">
        <f>'CAPEX | Finance'!H50</f>
        <v>8333.3333333333339</v>
      </c>
      <c r="I9" s="80">
        <f>'CAPEX | Finance'!I50</f>
        <v>8333.3333333333339</v>
      </c>
      <c r="J9" s="80">
        <f>'CAPEX | Finance'!J50</f>
        <v>8333.3333333333339</v>
      </c>
      <c r="K9" s="80">
        <f>'CAPEX | Finance'!K50</f>
        <v>8333.3333333333339</v>
      </c>
      <c r="L9" s="80">
        <f>'CAPEX | Finance'!L50</f>
        <v>8333.3333333333339</v>
      </c>
      <c r="M9" s="80">
        <f>'CAPEX | Finance'!M50</f>
        <v>8333.3333333333339</v>
      </c>
      <c r="N9" s="80">
        <f>'CAPEX | Finance'!N50</f>
        <v>8333.3333333333339</v>
      </c>
      <c r="O9" s="80">
        <f>'CAPEX | Finance'!O50</f>
        <v>8333.3333333333339</v>
      </c>
      <c r="P9" s="80">
        <f>'CAPEX | Finance'!P50</f>
        <v>8333.3333333333339</v>
      </c>
      <c r="Q9" s="80">
        <f>'CAPEX | Finance'!Q50</f>
        <v>8333.3333333333339</v>
      </c>
      <c r="R9" s="80">
        <f>'CAPEX | Finance'!R50</f>
        <v>8333.3333333333339</v>
      </c>
    </row>
    <row r="10" spans="1:18">
      <c r="A10" s="15" t="s">
        <v>88</v>
      </c>
      <c r="B10" s="13"/>
      <c r="C10" s="6" t="s">
        <v>60</v>
      </c>
      <c r="D10" s="80">
        <f>-D30</f>
        <v>0</v>
      </c>
      <c r="E10" s="80">
        <f t="shared" ref="E10:R10" si="1">-E30</f>
        <v>0</v>
      </c>
      <c r="F10" s="80">
        <f t="shared" si="1"/>
        <v>7521.25</v>
      </c>
      <c r="G10" s="80">
        <f t="shared" si="1"/>
        <v>14657.5</v>
      </c>
      <c r="H10" s="80">
        <f t="shared" si="1"/>
        <v>13887.5</v>
      </c>
      <c r="I10" s="80">
        <f t="shared" si="1"/>
        <v>13117.5</v>
      </c>
      <c r="J10" s="80">
        <f t="shared" si="1"/>
        <v>12347.5</v>
      </c>
      <c r="K10" s="80">
        <f t="shared" si="1"/>
        <v>11577.5</v>
      </c>
      <c r="L10" s="80">
        <f t="shared" si="1"/>
        <v>10807.5</v>
      </c>
      <c r="M10" s="80">
        <f t="shared" si="1"/>
        <v>10037.5</v>
      </c>
      <c r="N10" s="80">
        <f t="shared" si="1"/>
        <v>9267.5</v>
      </c>
      <c r="O10" s="80">
        <f t="shared" si="1"/>
        <v>8497.5</v>
      </c>
      <c r="P10" s="80">
        <f t="shared" si="1"/>
        <v>7727.5</v>
      </c>
      <c r="Q10" s="80">
        <f t="shared" si="1"/>
        <v>6957.5</v>
      </c>
      <c r="R10" s="80">
        <f t="shared" si="1"/>
        <v>6187.5</v>
      </c>
    </row>
    <row r="11" spans="1:18">
      <c r="A11" s="15" t="s">
        <v>178</v>
      </c>
      <c r="B11" s="13"/>
      <c r="C11" s="6" t="s">
        <v>60</v>
      </c>
      <c r="D11" s="80">
        <f>'CAPEX | Finance'!D32</f>
        <v>0</v>
      </c>
      <c r="E11" s="80">
        <f>'CAPEX | Finance'!E32</f>
        <v>0</v>
      </c>
      <c r="F11" s="80">
        <f>'CAPEX | Finance'!F32</f>
        <v>6250</v>
      </c>
      <c r="G11" s="80">
        <f>'CAPEX | Finance'!G32</f>
        <v>25000</v>
      </c>
      <c r="H11" s="80">
        <f>'CAPEX | Finance'!H32</f>
        <v>25000</v>
      </c>
      <c r="I11" s="80">
        <f>'CAPEX | Finance'!I32</f>
        <v>25000</v>
      </c>
      <c r="J11" s="80">
        <f>'CAPEX | Finance'!J32</f>
        <v>25000</v>
      </c>
      <c r="K11" s="80">
        <f>'CAPEX | Finance'!K32</f>
        <v>25000</v>
      </c>
      <c r="L11" s="80">
        <f>'CAPEX | Finance'!L32</f>
        <v>25000</v>
      </c>
      <c r="M11" s="80">
        <f>'CAPEX | Finance'!M32</f>
        <v>25000</v>
      </c>
      <c r="N11" s="80">
        <f>'CAPEX | Finance'!N32</f>
        <v>25000</v>
      </c>
      <c r="O11" s="80">
        <f>'CAPEX | Finance'!O32</f>
        <v>25000</v>
      </c>
      <c r="P11" s="80">
        <f>'CAPEX | Finance'!P32</f>
        <v>25000</v>
      </c>
      <c r="Q11" s="80">
        <f>'CAPEX | Finance'!Q32</f>
        <v>25000</v>
      </c>
      <c r="R11" s="80">
        <f>'CAPEX | Finance'!R32</f>
        <v>25000</v>
      </c>
    </row>
    <row r="12" spans="1:18">
      <c r="A12" s="9" t="s">
        <v>170</v>
      </c>
      <c r="B12" s="17"/>
      <c r="C12" s="34" t="s">
        <v>60</v>
      </c>
      <c r="D12" s="85">
        <f>D4-D5</f>
        <v>-100453.33333333334</v>
      </c>
      <c r="E12" s="85">
        <f t="shared" ref="E12:R12" si="2">E4-E5</f>
        <v>-53751.681120000008</v>
      </c>
      <c r="F12" s="85">
        <f>F4-F5</f>
        <v>-48891.803728119412</v>
      </c>
      <c r="G12" s="85">
        <f t="shared" si="2"/>
        <v>225068.94902751897</v>
      </c>
      <c r="H12" s="85">
        <f t="shared" si="2"/>
        <v>255010.52632547647</v>
      </c>
      <c r="I12" s="85">
        <f t="shared" si="2"/>
        <v>267869.78071182885</v>
      </c>
      <c r="J12" s="85">
        <f t="shared" si="2"/>
        <v>281212.60527363536</v>
      </c>
      <c r="K12" s="85">
        <f t="shared" si="2"/>
        <v>295058.34281791409</v>
      </c>
      <c r="L12" s="85">
        <f t="shared" si="2"/>
        <v>309427.10986396403</v>
      </c>
      <c r="M12" s="85">
        <f t="shared" si="2"/>
        <v>324339.82759185589</v>
      </c>
      <c r="N12" s="85">
        <f t="shared" si="2"/>
        <v>339818.25402886327</v>
      </c>
      <c r="O12" s="85">
        <f t="shared" si="2"/>
        <v>355885.01752335124</v>
      </c>
      <c r="P12" s="85">
        <f t="shared" si="2"/>
        <v>369661.34906365757</v>
      </c>
      <c r="Q12" s="85">
        <f t="shared" si="2"/>
        <v>386860.23635953735</v>
      </c>
      <c r="R12" s="85">
        <f t="shared" si="2"/>
        <v>404716.27914725232</v>
      </c>
    </row>
    <row r="13" spans="1:18">
      <c r="A13" s="7" t="s">
        <v>171</v>
      </c>
      <c r="B13" s="13"/>
      <c r="C13" s="97" t="s">
        <v>60</v>
      </c>
      <c r="D13" s="80">
        <f>D12+D11</f>
        <v>-100453.33333333334</v>
      </c>
      <c r="E13" s="80">
        <f t="shared" ref="E13:R13" si="3">E12+E11</f>
        <v>-53751.681120000008</v>
      </c>
      <c r="F13" s="80">
        <f>F12+F11</f>
        <v>-42641.803728119412</v>
      </c>
      <c r="G13" s="80">
        <f t="shared" si="3"/>
        <v>250068.94902751897</v>
      </c>
      <c r="H13" s="80">
        <f t="shared" si="3"/>
        <v>280010.52632547647</v>
      </c>
      <c r="I13" s="80">
        <f t="shared" si="3"/>
        <v>292869.78071182885</v>
      </c>
      <c r="J13" s="80">
        <f t="shared" si="3"/>
        <v>306212.60527363536</v>
      </c>
      <c r="K13" s="80">
        <f t="shared" si="3"/>
        <v>320058.34281791409</v>
      </c>
      <c r="L13" s="80">
        <f t="shared" si="3"/>
        <v>334427.10986396403</v>
      </c>
      <c r="M13" s="80">
        <f t="shared" si="3"/>
        <v>349339.82759185589</v>
      </c>
      <c r="N13" s="80">
        <f t="shared" si="3"/>
        <v>364818.25402886327</v>
      </c>
      <c r="O13" s="80">
        <f t="shared" si="3"/>
        <v>380885.01752335124</v>
      </c>
      <c r="P13" s="80">
        <f t="shared" si="3"/>
        <v>394661.34906365757</v>
      </c>
      <c r="Q13" s="80">
        <f t="shared" si="3"/>
        <v>411860.23635953735</v>
      </c>
      <c r="R13" s="80">
        <f t="shared" si="3"/>
        <v>429716.27914725232</v>
      </c>
    </row>
    <row r="14" spans="1:18">
      <c r="A14" s="7" t="s">
        <v>172</v>
      </c>
      <c r="B14" s="13"/>
      <c r="C14" s="97" t="s">
        <v>60</v>
      </c>
      <c r="D14" s="80">
        <f>D12</f>
        <v>-100453.33333333334</v>
      </c>
      <c r="E14" s="80">
        <f t="shared" ref="E14:R14" si="4">E12</f>
        <v>-53751.681120000008</v>
      </c>
      <c r="F14" s="80">
        <f t="shared" si="4"/>
        <v>-48891.803728119412</v>
      </c>
      <c r="G14" s="80">
        <f t="shared" si="4"/>
        <v>225068.94902751897</v>
      </c>
      <c r="H14" s="80">
        <f t="shared" si="4"/>
        <v>255010.52632547647</v>
      </c>
      <c r="I14" s="80">
        <f t="shared" si="4"/>
        <v>267869.78071182885</v>
      </c>
      <c r="J14" s="80">
        <f t="shared" si="4"/>
        <v>281212.60527363536</v>
      </c>
      <c r="K14" s="80">
        <f t="shared" si="4"/>
        <v>295058.34281791409</v>
      </c>
      <c r="L14" s="80">
        <f t="shared" si="4"/>
        <v>309427.10986396403</v>
      </c>
      <c r="M14" s="80">
        <f t="shared" si="4"/>
        <v>324339.82759185589</v>
      </c>
      <c r="N14" s="80">
        <f t="shared" si="4"/>
        <v>339818.25402886327</v>
      </c>
      <c r="O14" s="80">
        <f t="shared" si="4"/>
        <v>355885.01752335124</v>
      </c>
      <c r="P14" s="80">
        <f t="shared" si="4"/>
        <v>369661.34906365757</v>
      </c>
      <c r="Q14" s="80">
        <f t="shared" si="4"/>
        <v>386860.23635953735</v>
      </c>
      <c r="R14" s="80">
        <f t="shared" si="4"/>
        <v>404716.27914725232</v>
      </c>
    </row>
    <row r="15" spans="1:18">
      <c r="A15" s="7" t="s">
        <v>173</v>
      </c>
      <c r="B15" s="13"/>
      <c r="C15" s="97" t="s">
        <v>60</v>
      </c>
      <c r="D15" s="80">
        <f>'CAPEX | Finance'!D43</f>
        <v>0</v>
      </c>
      <c r="E15" s="80">
        <f>'CAPEX | Finance'!E43</f>
        <v>0</v>
      </c>
      <c r="F15" s="80">
        <f>'CAPEX | Finance'!F43</f>
        <v>0</v>
      </c>
      <c r="G15" s="80">
        <f>'CAPEX | Finance'!G43</f>
        <v>0</v>
      </c>
      <c r="H15" s="80">
        <f>'CAPEX | Finance'!H43</f>
        <v>0</v>
      </c>
      <c r="I15" s="80">
        <f>'CAPEX | Finance'!I43</f>
        <v>0</v>
      </c>
      <c r="J15" s="80">
        <f>'CAPEX | Finance'!J43</f>
        <v>0</v>
      </c>
      <c r="K15" s="80">
        <f>'CAPEX | Finance'!K43</f>
        <v>0</v>
      </c>
      <c r="L15" s="80">
        <f>'CAPEX | Finance'!L43</f>
        <v>0</v>
      </c>
      <c r="M15" s="80">
        <f>'CAPEX | Finance'!M43</f>
        <v>0</v>
      </c>
      <c r="N15" s="80">
        <f>'CAPEX | Finance'!N43</f>
        <v>0</v>
      </c>
      <c r="O15" s="80">
        <f>'CAPEX | Finance'!O43</f>
        <v>0</v>
      </c>
      <c r="P15" s="80">
        <f>'CAPEX | Finance'!P43</f>
        <v>0</v>
      </c>
      <c r="Q15" s="80">
        <f>'CAPEX | Finance'!Q43</f>
        <v>0</v>
      </c>
      <c r="R15" s="80">
        <f>'CAPEX | Finance'!R43</f>
        <v>0</v>
      </c>
    </row>
    <row r="16" spans="1:18">
      <c r="A16" s="7" t="s">
        <v>174</v>
      </c>
      <c r="B16" s="13"/>
      <c r="C16" s="97" t="s">
        <v>60</v>
      </c>
      <c r="D16" s="80">
        <f>'CAPEX | Finance'!D33</f>
        <v>0</v>
      </c>
      <c r="E16" s="80">
        <f>'CAPEX | Finance'!E33</f>
        <v>0</v>
      </c>
      <c r="F16" s="80">
        <f>'CAPEX | Finance'!F33</f>
        <v>6250</v>
      </c>
      <c r="G16" s="80">
        <f>'CAPEX | Finance'!G33</f>
        <v>25000</v>
      </c>
      <c r="H16" s="80">
        <f>'CAPEX | Finance'!H33</f>
        <v>25000</v>
      </c>
      <c r="I16" s="80">
        <f>'CAPEX | Finance'!I33</f>
        <v>25000</v>
      </c>
      <c r="J16" s="80">
        <f>'CAPEX | Finance'!J33</f>
        <v>25000</v>
      </c>
      <c r="K16" s="80">
        <f>'CAPEX | Finance'!K33</f>
        <v>25000</v>
      </c>
      <c r="L16" s="80">
        <f>'CAPEX | Finance'!L33</f>
        <v>25000</v>
      </c>
      <c r="M16" s="80">
        <f>'CAPEX | Finance'!M33</f>
        <v>25000</v>
      </c>
      <c r="N16" s="80">
        <f>'CAPEX | Finance'!N33</f>
        <v>25000</v>
      </c>
      <c r="O16" s="80">
        <f>'CAPEX | Finance'!O33</f>
        <v>25000</v>
      </c>
      <c r="P16" s="80">
        <f>'CAPEX | Finance'!P33</f>
        <v>25000</v>
      </c>
      <c r="Q16" s="80">
        <f>'CAPEX | Finance'!Q33</f>
        <v>25000</v>
      </c>
      <c r="R16" s="80">
        <f>'CAPEX | Finance'!R33</f>
        <v>25000</v>
      </c>
    </row>
    <row r="17" spans="1:18">
      <c r="A17" s="9" t="s">
        <v>175</v>
      </c>
      <c r="B17" s="17"/>
      <c r="C17" s="34" t="s">
        <v>60</v>
      </c>
      <c r="D17" s="85">
        <f>D12-D15+D16</f>
        <v>-100453.33333333334</v>
      </c>
      <c r="E17" s="85">
        <f t="shared" ref="E17:R17" si="5">E12-E15+E16</f>
        <v>-53751.681120000008</v>
      </c>
      <c r="F17" s="85">
        <f>F12-F15+F16</f>
        <v>-42641.803728119412</v>
      </c>
      <c r="G17" s="85">
        <f>G12-G15+G16</f>
        <v>250068.94902751897</v>
      </c>
      <c r="H17" s="85">
        <f t="shared" si="5"/>
        <v>280010.52632547647</v>
      </c>
      <c r="I17" s="85">
        <f t="shared" si="5"/>
        <v>292869.78071182885</v>
      </c>
      <c r="J17" s="85">
        <f t="shared" si="5"/>
        <v>306212.60527363536</v>
      </c>
      <c r="K17" s="85">
        <f t="shared" si="5"/>
        <v>320058.34281791409</v>
      </c>
      <c r="L17" s="85">
        <f t="shared" si="5"/>
        <v>334427.10986396403</v>
      </c>
      <c r="M17" s="85">
        <f t="shared" si="5"/>
        <v>349339.82759185589</v>
      </c>
      <c r="N17" s="85">
        <f t="shared" si="5"/>
        <v>364818.25402886327</v>
      </c>
      <c r="O17" s="85">
        <f t="shared" si="5"/>
        <v>380885.01752335124</v>
      </c>
      <c r="P17" s="85">
        <f t="shared" si="5"/>
        <v>394661.34906365757</v>
      </c>
      <c r="Q17" s="85">
        <f t="shared" si="5"/>
        <v>411860.23635953735</v>
      </c>
      <c r="R17" s="85">
        <f t="shared" si="5"/>
        <v>429716.27914725232</v>
      </c>
    </row>
    <row r="18" spans="1:18">
      <c r="A18" s="7" t="s">
        <v>66</v>
      </c>
      <c r="B18" s="13"/>
      <c r="C18" s="97" t="s">
        <v>60</v>
      </c>
      <c r="D18" s="80">
        <f>IF(D17&gt;0,D17*0.2,0)</f>
        <v>0</v>
      </c>
      <c r="E18" s="80">
        <f>IF(E17&gt;0,E17*0.25,0)</f>
        <v>0</v>
      </c>
      <c r="F18" s="80">
        <f t="shared" ref="F18:R18" si="6">IF(F17&gt;0,F17*0.25,0)</f>
        <v>0</v>
      </c>
      <c r="G18" s="80">
        <f t="shared" si="6"/>
        <v>62517.237256879744</v>
      </c>
      <c r="H18" s="80">
        <f t="shared" si="6"/>
        <v>70002.631581369118</v>
      </c>
      <c r="I18" s="80">
        <f t="shared" si="6"/>
        <v>73217.445177957212</v>
      </c>
      <c r="J18" s="80">
        <f t="shared" si="6"/>
        <v>76553.15131840884</v>
      </c>
      <c r="K18" s="80">
        <f t="shared" si="6"/>
        <v>80014.585704478523</v>
      </c>
      <c r="L18" s="80">
        <f t="shared" si="6"/>
        <v>83606.777465991006</v>
      </c>
      <c r="M18" s="80">
        <f t="shared" si="6"/>
        <v>87334.956897963973</v>
      </c>
      <c r="N18" s="80">
        <f t="shared" si="6"/>
        <v>91204.563507215818</v>
      </c>
      <c r="O18" s="80">
        <f t="shared" si="6"/>
        <v>95221.25438083781</v>
      </c>
      <c r="P18" s="80">
        <f t="shared" si="6"/>
        <v>98665.337265914393</v>
      </c>
      <c r="Q18" s="80">
        <f t="shared" si="6"/>
        <v>102965.05908988434</v>
      </c>
      <c r="R18" s="80">
        <f t="shared" si="6"/>
        <v>107429.06978681308</v>
      </c>
    </row>
    <row r="19" spans="1:18">
      <c r="A19" s="9" t="s">
        <v>151</v>
      </c>
      <c r="B19" s="17"/>
      <c r="C19" s="34" t="s">
        <v>60</v>
      </c>
      <c r="D19" s="85">
        <f>Налоги!D44</f>
        <v>-100453.33333333334</v>
      </c>
      <c r="E19" s="85">
        <f>Налоги!E44</f>
        <v>-53751.681120000008</v>
      </c>
      <c r="F19" s="85">
        <f>Налоги!F44</f>
        <v>-25317.095868050354</v>
      </c>
      <c r="G19" s="85">
        <f>Налоги!G44</f>
        <v>269884.42542736063</v>
      </c>
      <c r="H19" s="85">
        <f>Налоги!H44</f>
        <v>299349.6230499589</v>
      </c>
      <c r="I19" s="85">
        <f>Налоги!I44</f>
        <v>311640.27463862393</v>
      </c>
      <c r="J19" s="85">
        <f>Налоги!J44</f>
        <v>324422.55229083559</v>
      </c>
      <c r="K19" s="85">
        <f>Налоги!K44</f>
        <v>295057.24260082381</v>
      </c>
      <c r="L19" s="85">
        <f>Налоги!L44</f>
        <v>307136.19897152344</v>
      </c>
      <c r="M19" s="85">
        <f>Налоги!M44</f>
        <v>319698.31359705119</v>
      </c>
      <c r="N19" s="85">
        <f>Налоги!N44</f>
        <v>332762.91280759964</v>
      </c>
      <c r="O19" s="85">
        <f>Налоги!O44</f>
        <v>346350.09598657035</v>
      </c>
      <c r="P19" s="85">
        <f>Налоги!P44</f>
        <v>295996.01179774315</v>
      </c>
      <c r="Q19" s="85">
        <f>Налоги!Q44</f>
        <v>308895.17726965301</v>
      </c>
      <c r="R19" s="85">
        <f>Налоги!R44</f>
        <v>322287.20936043921</v>
      </c>
    </row>
    <row r="20" spans="1:18">
      <c r="B20" s="13"/>
      <c r="C20" s="6"/>
    </row>
    <row r="21" spans="1:18">
      <c r="A21" s="43" t="s">
        <v>188</v>
      </c>
      <c r="B21" s="44"/>
      <c r="C21" s="44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6"/>
    </row>
    <row r="22" spans="1:18">
      <c r="A22" s="9" t="s">
        <v>180</v>
      </c>
      <c r="B22" s="17"/>
      <c r="C22" s="34"/>
      <c r="D22" s="85">
        <f t="shared" ref="D22:R22" si="7">SUM(D23:D24,D25,D26,D33)</f>
        <v>-119140.72131147541</v>
      </c>
      <c r="E22" s="85">
        <f t="shared" si="7"/>
        <v>-61487.349639099935</v>
      </c>
      <c r="F22" s="85">
        <f t="shared" si="7"/>
        <v>-86464.754086166751</v>
      </c>
      <c r="G22" s="85">
        <f t="shared" si="7"/>
        <v>7615.5285758256505</v>
      </c>
      <c r="H22" s="85">
        <f t="shared" si="7"/>
        <v>189575.14172744483</v>
      </c>
      <c r="I22" s="85">
        <f t="shared" si="7"/>
        <v>209350.78916577797</v>
      </c>
      <c r="J22" s="85">
        <f t="shared" si="7"/>
        <v>219629.03723318491</v>
      </c>
      <c r="K22" s="85">
        <f t="shared" si="7"/>
        <v>229612.12372251216</v>
      </c>
      <c r="L22" s="85">
        <f t="shared" si="7"/>
        <v>240740.2490686361</v>
      </c>
      <c r="M22" s="85">
        <f t="shared" si="7"/>
        <v>249953.20062104589</v>
      </c>
      <c r="N22" s="85">
        <f t="shared" si="7"/>
        <v>261879.52165899985</v>
      </c>
      <c r="O22" s="85">
        <f t="shared" si="7"/>
        <v>273460.22752536001</v>
      </c>
      <c r="P22" s="85">
        <f t="shared" si="7"/>
        <v>285155.63249048358</v>
      </c>
      <c r="Q22" s="85">
        <f t="shared" si="7"/>
        <v>294836.88431908388</v>
      </c>
      <c r="R22" s="85">
        <f t="shared" si="7"/>
        <v>308599.58542828634</v>
      </c>
    </row>
    <row r="23" spans="1:18">
      <c r="A23" s="7" t="s">
        <v>181</v>
      </c>
      <c r="C23" s="97" t="s">
        <v>60</v>
      </c>
      <c r="D23" s="80">
        <f>'OPEX &amp; SALES'!D4</f>
        <v>0</v>
      </c>
      <c r="E23" s="80">
        <f>'OPEX &amp; SALES'!E4</f>
        <v>0</v>
      </c>
      <c r="F23" s="80">
        <f>'OPEX &amp; SALES'!F4</f>
        <v>163157.95930751189</v>
      </c>
      <c r="G23" s="80">
        <f>'OPEX &amp; SALES'!G4</f>
        <v>806000.31897910871</v>
      </c>
      <c r="H23" s="80">
        <f>'OPEX &amp; SALES'!H4</f>
        <v>882358.24393502437</v>
      </c>
      <c r="I23" s="80">
        <f>'OPEX &amp; SALES'!I4</f>
        <v>917652.57369242539</v>
      </c>
      <c r="J23" s="80">
        <f>'OPEX &amp; SALES'!J4</f>
        <v>954358.67664012243</v>
      </c>
      <c r="K23" s="80">
        <f>'OPEX &amp; SALES'!K4</f>
        <v>992533.02370572742</v>
      </c>
      <c r="L23" s="80">
        <f>'OPEX &amp; SALES'!L4</f>
        <v>1032234.3446539565</v>
      </c>
      <c r="M23" s="80">
        <f>'OPEX &amp; SALES'!M4</f>
        <v>1073523.7184401148</v>
      </c>
      <c r="N23" s="80">
        <f>'OPEX &amp; SALES'!N4</f>
        <v>1116464.6671777193</v>
      </c>
      <c r="O23" s="80">
        <f>'OPEX &amp; SALES'!O4</f>
        <v>1161123.253864828</v>
      </c>
      <c r="P23" s="80">
        <f>'OPEX &amp; SALES'!P4</f>
        <v>1207568.1840194212</v>
      </c>
      <c r="Q23" s="80">
        <f>'OPEX &amp; SALES'!Q4</f>
        <v>1255870.9113801983</v>
      </c>
      <c r="R23" s="80">
        <f>'OPEX &amp; SALES'!R4</f>
        <v>1306105.7478354063</v>
      </c>
    </row>
    <row r="24" spans="1:18">
      <c r="A24" s="15" t="s">
        <v>182</v>
      </c>
      <c r="C24" s="97" t="s">
        <v>60</v>
      </c>
      <c r="D24" s="80">
        <f>Налоги!D4</f>
        <v>0</v>
      </c>
      <c r="E24" s="80">
        <f>Налоги!E4</f>
        <v>0</v>
      </c>
      <c r="F24" s="80">
        <f>Налоги!F4</f>
        <v>32631.591861502384</v>
      </c>
      <c r="G24" s="80">
        <f>Налоги!G4</f>
        <v>161200.06379582174</v>
      </c>
      <c r="H24" s="80">
        <f>Налоги!H4</f>
        <v>176471.64878700487</v>
      </c>
      <c r="I24" s="80">
        <f>Налоги!I4</f>
        <v>183530.51473848498</v>
      </c>
      <c r="J24" s="80">
        <f>Налоги!J4</f>
        <v>190871.73532802449</v>
      </c>
      <c r="K24" s="80">
        <f>Налоги!K4</f>
        <v>198506.60474114539</v>
      </c>
      <c r="L24" s="80">
        <f>Налоги!L4</f>
        <v>206446.86893079116</v>
      </c>
      <c r="M24" s="80">
        <f>Налоги!M4</f>
        <v>214704.74368802295</v>
      </c>
      <c r="N24" s="80">
        <f>Налоги!N4</f>
        <v>223292.93343554391</v>
      </c>
      <c r="O24" s="80">
        <f>Налоги!O4</f>
        <v>232224.65077296551</v>
      </c>
      <c r="P24" s="80">
        <f>Налоги!P4</f>
        <v>241513.63680388429</v>
      </c>
      <c r="Q24" s="80">
        <f>Налоги!Q4</f>
        <v>251174.18227603962</v>
      </c>
      <c r="R24" s="80">
        <f>Налоги!R4</f>
        <v>261221.14956708113</v>
      </c>
    </row>
    <row r="25" spans="1:18">
      <c r="A25" s="7" t="s">
        <v>183</v>
      </c>
      <c r="C25" s="97" t="s">
        <v>60</v>
      </c>
      <c r="D25" s="80">
        <f t="shared" ref="D25:R25" si="8">-(D5-D10-D11)</f>
        <v>-100453.33333333334</v>
      </c>
      <c r="E25" s="80">
        <f t="shared" si="8"/>
        <v>-53751.681120000008</v>
      </c>
      <c r="F25" s="80">
        <f t="shared" si="8"/>
        <v>-198278.5130356313</v>
      </c>
      <c r="G25" s="80">
        <f t="shared" si="8"/>
        <v>-541273.86995158973</v>
      </c>
      <c r="H25" s="80">
        <f t="shared" si="8"/>
        <v>-588460.21760954789</v>
      </c>
      <c r="I25" s="80">
        <f t="shared" si="8"/>
        <v>-611665.29298059654</v>
      </c>
      <c r="J25" s="80">
        <f t="shared" si="8"/>
        <v>-635798.57136648707</v>
      </c>
      <c r="K25" s="80">
        <f t="shared" si="8"/>
        <v>-660897.18088781333</v>
      </c>
      <c r="L25" s="80">
        <f t="shared" si="8"/>
        <v>-686999.73478999245</v>
      </c>
      <c r="M25" s="80">
        <f t="shared" si="8"/>
        <v>-714146.39084825886</v>
      </c>
      <c r="N25" s="80">
        <f t="shared" si="8"/>
        <v>-742378.91314885602</v>
      </c>
      <c r="O25" s="80">
        <f t="shared" si="8"/>
        <v>-771740.73634147679</v>
      </c>
      <c r="P25" s="80">
        <f t="shared" si="8"/>
        <v>-805179.33495576365</v>
      </c>
      <c r="Q25" s="80">
        <f t="shared" si="8"/>
        <v>-837053.17502066097</v>
      </c>
      <c r="R25" s="80">
        <f t="shared" si="8"/>
        <v>-870201.96868815401</v>
      </c>
    </row>
    <row r="26" spans="1:18">
      <c r="A26" s="7" t="s">
        <v>184</v>
      </c>
      <c r="C26" s="97" t="s">
        <v>60</v>
      </c>
      <c r="D26" s="80">
        <f t="shared" ref="D26:R26" si="9">SUM(D27:D31)</f>
        <v>-20090.666666666657</v>
      </c>
      <c r="E26" s="80">
        <f t="shared" si="9"/>
        <v>-10750.336223999999</v>
      </c>
      <c r="F26" s="80">
        <f t="shared" si="9"/>
        <v>-40152.841861502384</v>
      </c>
      <c r="G26" s="80">
        <f t="shared" si="9"/>
        <v>-238374.80105270148</v>
      </c>
      <c r="H26" s="80">
        <f t="shared" si="9"/>
        <v>-260361.78036837399</v>
      </c>
      <c r="I26" s="80">
        <f t="shared" si="9"/>
        <v>-269865.45991644217</v>
      </c>
      <c r="J26" s="80">
        <f t="shared" si="9"/>
        <v>-279772.38664643333</v>
      </c>
      <c r="K26" s="80">
        <f t="shared" si="9"/>
        <v>-290098.69044562394</v>
      </c>
      <c r="L26" s="80">
        <f t="shared" si="9"/>
        <v>-300861.14639678213</v>
      </c>
      <c r="M26" s="80">
        <f t="shared" si="9"/>
        <v>-312077.20058598695</v>
      </c>
      <c r="N26" s="80">
        <f t="shared" si="9"/>
        <v>-323764.99694275972</v>
      </c>
      <c r="O26" s="80">
        <f t="shared" si="9"/>
        <v>-335943.40515380329</v>
      </c>
      <c r="P26" s="80">
        <f t="shared" si="9"/>
        <v>-347906.47406979871</v>
      </c>
      <c r="Q26" s="80">
        <f t="shared" si="9"/>
        <v>-361096.74136592395</v>
      </c>
      <c r="R26" s="80">
        <f t="shared" si="9"/>
        <v>-374837.71935389424</v>
      </c>
    </row>
    <row r="27" spans="1:18">
      <c r="A27" s="15" t="s">
        <v>185</v>
      </c>
      <c r="C27" s="97" t="s">
        <v>60</v>
      </c>
      <c r="D27" s="80">
        <f>Налоги!D5</f>
        <v>-3424</v>
      </c>
      <c r="E27" s="80">
        <f>Налоги!E5</f>
        <v>-10750.336223999999</v>
      </c>
      <c r="F27" s="80">
        <f>Налоги!F5</f>
        <v>-26693.370335318061</v>
      </c>
      <c r="G27" s="80">
        <f>Налоги!G5</f>
        <v>-84278.487291713303</v>
      </c>
      <c r="H27" s="80">
        <f>Налоги!H5</f>
        <v>-91590.593018200714</v>
      </c>
      <c r="I27" s="80">
        <f>Налоги!I5</f>
        <v>-95254.21673892875</v>
      </c>
      <c r="J27" s="80">
        <f>Налоги!J5</f>
        <v>-99064.385408485949</v>
      </c>
      <c r="K27" s="80">
        <f>Налоги!K5</f>
        <v>-103026.96082482545</v>
      </c>
      <c r="L27" s="80">
        <f>Налоги!L5</f>
        <v>-107148.03925781837</v>
      </c>
      <c r="M27" s="80">
        <f>Налоги!M5</f>
        <v>-111433.96082813118</v>
      </c>
      <c r="N27" s="80">
        <f>Налоги!N5</f>
        <v>-115891.31926125637</v>
      </c>
      <c r="O27" s="80">
        <f>Налоги!O5</f>
        <v>-120526.97203170671</v>
      </c>
      <c r="P27" s="80">
        <f>Налоги!P5</f>
        <v>-125928.5114117671</v>
      </c>
      <c r="Q27" s="80">
        <f>Налоги!Q5</f>
        <v>-130965.65186823788</v>
      </c>
      <c r="R27" s="80">
        <f>Налоги!R5</f>
        <v>-136204.27794296737</v>
      </c>
    </row>
    <row r="28" spans="1:18">
      <c r="A28" s="15" t="s">
        <v>306</v>
      </c>
      <c r="C28" s="97" t="s">
        <v>60</v>
      </c>
      <c r="D28" s="80">
        <f>Налоги!D6</f>
        <v>-16666.666666666657</v>
      </c>
      <c r="E28" s="80">
        <f>Налоги!E6</f>
        <v>0</v>
      </c>
      <c r="F28" s="80">
        <f>Налоги!F6</f>
        <v>-1666.6666666666661</v>
      </c>
      <c r="G28" s="80">
        <f>Налоги!G6</f>
        <v>-1666.6666666666661</v>
      </c>
      <c r="H28" s="80">
        <f>Налоги!H6</f>
        <v>-1666.6666666666661</v>
      </c>
      <c r="I28" s="80">
        <f>Налоги!I6</f>
        <v>-1666.6666666666661</v>
      </c>
      <c r="J28" s="80">
        <f>Налоги!J6</f>
        <v>-1666.6666666666661</v>
      </c>
      <c r="K28" s="80">
        <f>Налоги!K6</f>
        <v>-1666.6666666666661</v>
      </c>
      <c r="L28" s="80">
        <f>Налоги!L6</f>
        <v>-1666.6666666666661</v>
      </c>
      <c r="M28" s="80">
        <f>Налоги!M6</f>
        <v>-1666.6666666666661</v>
      </c>
      <c r="N28" s="80">
        <f>Налоги!N6</f>
        <v>-1666.6666666666661</v>
      </c>
      <c r="O28" s="80">
        <f>Налоги!O6</f>
        <v>-1666.6666666666661</v>
      </c>
      <c r="P28" s="80">
        <f>Налоги!P6</f>
        <v>-1666.6666666666661</v>
      </c>
      <c r="Q28" s="80">
        <f>Налоги!Q6</f>
        <v>-1666.6666666666661</v>
      </c>
      <c r="R28" s="80">
        <f>Налоги!R6</f>
        <v>-1666.6666666666661</v>
      </c>
    </row>
    <row r="29" spans="1:18">
      <c r="A29" s="15" t="s">
        <v>186</v>
      </c>
      <c r="C29" s="97" t="s">
        <v>60</v>
      </c>
      <c r="D29" s="80">
        <f>-Налоги!D8</f>
        <v>0</v>
      </c>
      <c r="E29" s="80">
        <f>-Налоги!E8</f>
        <v>0</v>
      </c>
      <c r="F29" s="80">
        <f>-Налоги!F8</f>
        <v>-4271.5548595176588</v>
      </c>
      <c r="G29" s="80">
        <f>-Налоги!G8</f>
        <v>-75254.909837441766</v>
      </c>
      <c r="H29" s="80">
        <f>-Налоги!H8</f>
        <v>-83214.389102137487</v>
      </c>
      <c r="I29" s="80">
        <f>-Налоги!I8</f>
        <v>-86609.631332889563</v>
      </c>
      <c r="J29" s="80">
        <f>-Налоги!J8</f>
        <v>-90140.683252871866</v>
      </c>
      <c r="K29" s="80">
        <f>-Налоги!K8</f>
        <v>-93812.977249653268</v>
      </c>
      <c r="L29" s="80">
        <f>-Налоги!L8</f>
        <v>-97632.163006306117</v>
      </c>
      <c r="M29" s="80">
        <f>-Налоги!M8</f>
        <v>-101604.1161932251</v>
      </c>
      <c r="N29" s="80">
        <f>-Налоги!N8</f>
        <v>-105734.94750762086</v>
      </c>
      <c r="O29" s="80">
        <f>-Налоги!O8</f>
        <v>-110031.01207459213</v>
      </c>
      <c r="P29" s="80">
        <f>-Налоги!P8</f>
        <v>-113918.45872545052</v>
      </c>
      <c r="Q29" s="80">
        <f>-Налоги!Q8</f>
        <v>-118541.86374113508</v>
      </c>
      <c r="R29" s="80">
        <f>-Налоги!R8</f>
        <v>-123350.2049574471</v>
      </c>
    </row>
    <row r="30" spans="1:18">
      <c r="A30" s="15" t="s">
        <v>69</v>
      </c>
      <c r="C30" s="97" t="s">
        <v>60</v>
      </c>
      <c r="D30" s="80">
        <f>-(Налоги!D25*Налоги!D26)</f>
        <v>0</v>
      </c>
      <c r="E30" s="80">
        <f>-(Налоги!E25*Налоги!E26)</f>
        <v>0</v>
      </c>
      <c r="F30" s="80">
        <f>-(Налоги!F25*Налоги!F26)</f>
        <v>-7521.25</v>
      </c>
      <c r="G30" s="80">
        <f>-(Налоги!G25*Налоги!G26)</f>
        <v>-14657.5</v>
      </c>
      <c r="H30" s="80">
        <f>-(Налоги!H25*Налоги!H26)</f>
        <v>-13887.5</v>
      </c>
      <c r="I30" s="80">
        <f>-(Налоги!I25*Налоги!I26)</f>
        <v>-13117.5</v>
      </c>
      <c r="J30" s="80">
        <f>-(Налоги!J25*Налоги!J26)</f>
        <v>-12347.5</v>
      </c>
      <c r="K30" s="80">
        <f>-(Налоги!K25*Налоги!K26)</f>
        <v>-11577.5</v>
      </c>
      <c r="L30" s="80">
        <f>-(Налоги!L25*Налоги!L26)</f>
        <v>-10807.5</v>
      </c>
      <c r="M30" s="80">
        <f>-(Налоги!M25*Налоги!M26)</f>
        <v>-10037.5</v>
      </c>
      <c r="N30" s="80">
        <f>-(Налоги!N25*Налоги!N26)</f>
        <v>-9267.5</v>
      </c>
      <c r="O30" s="80">
        <f>-(Налоги!O25*Налоги!O26)</f>
        <v>-8497.5</v>
      </c>
      <c r="P30" s="80">
        <f>-(Налоги!P25*Налоги!P26)</f>
        <v>-7727.5</v>
      </c>
      <c r="Q30" s="80">
        <f>-(Налоги!Q25*Налоги!Q26)</f>
        <v>-6957.5</v>
      </c>
      <c r="R30" s="80">
        <f>-(Налоги!R25*Налоги!R26)</f>
        <v>-6187.5</v>
      </c>
    </row>
    <row r="31" spans="1:18">
      <c r="A31" s="15" t="s">
        <v>66</v>
      </c>
      <c r="C31" s="97" t="s">
        <v>60</v>
      </c>
      <c r="D31" s="80">
        <f>-D18</f>
        <v>0</v>
      </c>
      <c r="E31" s="80">
        <f t="shared" ref="E31:R31" si="10">-E18</f>
        <v>0</v>
      </c>
      <c r="F31" s="80">
        <f t="shared" si="10"/>
        <v>0</v>
      </c>
      <c r="G31" s="80">
        <f t="shared" si="10"/>
        <v>-62517.237256879744</v>
      </c>
      <c r="H31" s="80">
        <f t="shared" si="10"/>
        <v>-70002.631581369118</v>
      </c>
      <c r="I31" s="80">
        <f t="shared" si="10"/>
        <v>-73217.445177957212</v>
      </c>
      <c r="J31" s="80">
        <f t="shared" si="10"/>
        <v>-76553.15131840884</v>
      </c>
      <c r="K31" s="80">
        <f t="shared" si="10"/>
        <v>-80014.585704478523</v>
      </c>
      <c r="L31" s="80">
        <f t="shared" si="10"/>
        <v>-83606.777465991006</v>
      </c>
      <c r="M31" s="80">
        <f t="shared" si="10"/>
        <v>-87334.956897963973</v>
      </c>
      <c r="N31" s="80">
        <f t="shared" si="10"/>
        <v>-91204.563507215818</v>
      </c>
      <c r="O31" s="80">
        <f t="shared" si="10"/>
        <v>-95221.25438083781</v>
      </c>
      <c r="P31" s="80">
        <f t="shared" si="10"/>
        <v>-98665.337265914393</v>
      </c>
      <c r="Q31" s="80">
        <f t="shared" si="10"/>
        <v>-102965.05908988434</v>
      </c>
      <c r="R31" s="80">
        <f t="shared" si="10"/>
        <v>-107429.06978681308</v>
      </c>
    </row>
    <row r="32" spans="1:18">
      <c r="D32" s="101"/>
      <c r="E32" s="101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101"/>
      <c r="Q32" s="101"/>
      <c r="R32" s="101"/>
    </row>
    <row r="33" spans="1:18">
      <c r="A33" s="7" t="s">
        <v>187</v>
      </c>
      <c r="C33" s="97" t="s">
        <v>60</v>
      </c>
      <c r="D33" s="80">
        <f>'OPEX &amp; SALES'!D80</f>
        <v>1403.2786885245901</v>
      </c>
      <c r="E33" s="80">
        <f>'OPEX &amp; SALES'!E80</f>
        <v>3014.6677049000687</v>
      </c>
      <c r="F33" s="80">
        <f>'OPEX &amp; SALES'!F80</f>
        <v>-43822.950358047339</v>
      </c>
      <c r="G33" s="80">
        <f>'OPEX &amp; SALES'!G80</f>
        <v>-179936.18319481358</v>
      </c>
      <c r="H33" s="80">
        <f>'OPEX &amp; SALES'!H80</f>
        <v>-20432.753016662522</v>
      </c>
      <c r="I33" s="80">
        <f>'OPEX &amp; SALES'!I80</f>
        <v>-10301.546368093695</v>
      </c>
      <c r="J33" s="80">
        <f>'OPEX &amp; SALES'!J80</f>
        <v>-10030.416722041613</v>
      </c>
      <c r="K33" s="80">
        <f>'OPEX &amp; SALES'!K80</f>
        <v>-10431.63339092338</v>
      </c>
      <c r="L33" s="80">
        <f>'OPEX &amp; SALES'!L80</f>
        <v>-10080.083329336951</v>
      </c>
      <c r="M33" s="80">
        <f>'OPEX &amp; SALES'!M80</f>
        <v>-12051.670072845998</v>
      </c>
      <c r="N33" s="80">
        <f>'OPEX &amp; SALES'!N80</f>
        <v>-11734.16886264761</v>
      </c>
      <c r="O33" s="80">
        <f>'OPEX &amp; SALES'!O80</f>
        <v>-12203.535617153451</v>
      </c>
      <c r="P33" s="80">
        <f>'OPEX &amp; SALES'!P80</f>
        <v>-10840.379307259573</v>
      </c>
      <c r="Q33" s="80">
        <f>'OPEX &amp; SALES'!Q80</f>
        <v>-14058.292950569128</v>
      </c>
      <c r="R33" s="80">
        <f>'OPEX &amp; SALES'!R80</f>
        <v>-13687.62393215287</v>
      </c>
    </row>
    <row r="34" spans="1:18">
      <c r="D34" s="101"/>
      <c r="E34" s="101"/>
      <c r="F34" s="101"/>
      <c r="G34" s="101"/>
      <c r="H34" s="101"/>
      <c r="I34" s="101"/>
      <c r="J34" s="101"/>
      <c r="K34" s="101"/>
      <c r="L34" s="101"/>
      <c r="M34" s="101"/>
      <c r="N34" s="101"/>
      <c r="O34" s="101"/>
      <c r="P34" s="101"/>
      <c r="Q34" s="101"/>
      <c r="R34" s="101"/>
    </row>
    <row r="35" spans="1:18">
      <c r="A35" s="9" t="s">
        <v>191</v>
      </c>
      <c r="B35" s="17"/>
      <c r="C35" s="34"/>
      <c r="D35" s="85">
        <f>SUM(D36:D37)</f>
        <v>-150000</v>
      </c>
      <c r="E35" s="85">
        <f>SUM(E36:E37)</f>
        <v>-450000</v>
      </c>
      <c r="F35" s="85">
        <f t="shared" ref="F35:R35" si="11">F36</f>
        <v>0</v>
      </c>
      <c r="G35" s="85">
        <f t="shared" si="11"/>
        <v>0</v>
      </c>
      <c r="H35" s="85">
        <f t="shared" si="11"/>
        <v>0</v>
      </c>
      <c r="I35" s="85">
        <f t="shared" si="11"/>
        <v>0</v>
      </c>
      <c r="J35" s="85">
        <f t="shared" si="11"/>
        <v>0</v>
      </c>
      <c r="K35" s="85">
        <f t="shared" si="11"/>
        <v>0</v>
      </c>
      <c r="L35" s="85">
        <f t="shared" si="11"/>
        <v>0</v>
      </c>
      <c r="M35" s="85">
        <f t="shared" si="11"/>
        <v>0</v>
      </c>
      <c r="N35" s="85">
        <f t="shared" si="11"/>
        <v>0</v>
      </c>
      <c r="O35" s="85">
        <f t="shared" si="11"/>
        <v>0</v>
      </c>
      <c r="P35" s="85">
        <f t="shared" si="11"/>
        <v>0</v>
      </c>
      <c r="Q35" s="85">
        <f t="shared" si="11"/>
        <v>0</v>
      </c>
      <c r="R35" s="85">
        <f t="shared" si="11"/>
        <v>0</v>
      </c>
    </row>
    <row r="36" spans="1:18">
      <c r="A36" s="7" t="s">
        <v>211</v>
      </c>
      <c r="C36" s="97" t="s">
        <v>60</v>
      </c>
      <c r="D36" s="80">
        <f>-'CAPEX | Finance'!D8+('CAPEX | Finance'!D49/1.2)</f>
        <v>-125000</v>
      </c>
      <c r="E36" s="80">
        <f>-'CAPEX | Finance'!E8</f>
        <v>-375000</v>
      </c>
      <c r="F36" s="80">
        <f>-'CAPEX | Finance'!F8</f>
        <v>0</v>
      </c>
      <c r="G36" s="80">
        <f>-'CAPEX | Finance'!G8</f>
        <v>0</v>
      </c>
      <c r="H36" s="80">
        <f>-'CAPEX | Finance'!H8</f>
        <v>0</v>
      </c>
      <c r="I36" s="80">
        <f>-'CAPEX | Finance'!I8</f>
        <v>0</v>
      </c>
      <c r="J36" s="80">
        <f>-'CAPEX | Finance'!J8</f>
        <v>0</v>
      </c>
      <c r="K36" s="80">
        <f>-'CAPEX | Finance'!K8</f>
        <v>0</v>
      </c>
      <c r="L36" s="80">
        <f>-'CAPEX | Finance'!L8</f>
        <v>0</v>
      </c>
      <c r="M36" s="80">
        <f>-'CAPEX | Finance'!M8</f>
        <v>0</v>
      </c>
      <c r="N36" s="80">
        <f>-'CAPEX | Finance'!N8</f>
        <v>0</v>
      </c>
      <c r="O36" s="80">
        <f>-'CAPEX | Finance'!O8</f>
        <v>0</v>
      </c>
      <c r="P36" s="80">
        <f>-'CAPEX | Finance'!P8</f>
        <v>0</v>
      </c>
      <c r="Q36" s="80">
        <f>-'CAPEX | Finance'!Q8</f>
        <v>0</v>
      </c>
      <c r="R36" s="80">
        <f>-'CAPEX | Finance'!R8</f>
        <v>0</v>
      </c>
    </row>
    <row r="37" spans="1:18">
      <c r="A37" s="15" t="s">
        <v>268</v>
      </c>
      <c r="C37" s="97" t="s">
        <v>60</v>
      </c>
      <c r="D37" s="80">
        <f>-'CAPEX | Finance'!D22</f>
        <v>-25000</v>
      </c>
      <c r="E37" s="80">
        <f>-'CAPEX | Finance'!E22</f>
        <v>-75000</v>
      </c>
      <c r="F37" s="80">
        <f>-'CAPEX | Finance'!F22</f>
        <v>0</v>
      </c>
      <c r="G37" s="80">
        <f>-'CAPEX | Finance'!G22</f>
        <v>0</v>
      </c>
      <c r="H37" s="80">
        <f>-'CAPEX | Finance'!H22</f>
        <v>0</v>
      </c>
      <c r="I37" s="80">
        <f>-'CAPEX | Finance'!I22</f>
        <v>0</v>
      </c>
      <c r="J37" s="80">
        <f>-'CAPEX | Finance'!J22</f>
        <v>0</v>
      </c>
      <c r="K37" s="80">
        <f>-'CAPEX | Finance'!K22</f>
        <v>0</v>
      </c>
      <c r="L37" s="80">
        <f>-'CAPEX | Finance'!L22</f>
        <v>0</v>
      </c>
      <c r="M37" s="80">
        <f>-'CAPEX | Finance'!M22</f>
        <v>0</v>
      </c>
      <c r="N37" s="80">
        <f>-'CAPEX | Finance'!N22</f>
        <v>0</v>
      </c>
      <c r="O37" s="80">
        <f>-'CAPEX | Finance'!O22</f>
        <v>0</v>
      </c>
      <c r="P37" s="80">
        <f>-'CAPEX | Finance'!P22</f>
        <v>0</v>
      </c>
      <c r="Q37" s="80">
        <f>-'CAPEX | Finance'!Q22</f>
        <v>0</v>
      </c>
      <c r="R37" s="80">
        <f>-'CAPEX | Finance'!R22</f>
        <v>0</v>
      </c>
    </row>
    <row r="38" spans="1:18">
      <c r="A38" s="9" t="s">
        <v>192</v>
      </c>
      <c r="B38" s="17"/>
      <c r="C38" s="34"/>
      <c r="D38" s="85">
        <f t="shared" ref="D38:R38" si="12">SUM(D39:D44)</f>
        <v>270000</v>
      </c>
      <c r="E38" s="85">
        <f t="shared" si="12"/>
        <v>595090.66666666663</v>
      </c>
      <c r="F38" s="85">
        <f t="shared" si="12"/>
        <v>145750.336224</v>
      </c>
      <c r="G38" s="85">
        <f t="shared" si="12"/>
        <v>-40000</v>
      </c>
      <c r="H38" s="85">
        <f t="shared" si="12"/>
        <v>-40000</v>
      </c>
      <c r="I38" s="85">
        <f t="shared" si="12"/>
        <v>-40000</v>
      </c>
      <c r="J38" s="85">
        <f t="shared" si="12"/>
        <v>-40000</v>
      </c>
      <c r="K38" s="85">
        <f t="shared" si="12"/>
        <v>-40000</v>
      </c>
      <c r="L38" s="85">
        <f t="shared" si="12"/>
        <v>-40000</v>
      </c>
      <c r="M38" s="85">
        <f t="shared" si="12"/>
        <v>-40000</v>
      </c>
      <c r="N38" s="85">
        <f t="shared" si="12"/>
        <v>-40000</v>
      </c>
      <c r="O38" s="85">
        <f t="shared" si="12"/>
        <v>-40000</v>
      </c>
      <c r="P38" s="85">
        <f t="shared" si="12"/>
        <v>0</v>
      </c>
      <c r="Q38" s="85">
        <f t="shared" si="12"/>
        <v>0</v>
      </c>
      <c r="R38" s="85">
        <f t="shared" si="12"/>
        <v>0</v>
      </c>
    </row>
    <row r="39" spans="1:18">
      <c r="A39" s="7" t="s">
        <v>107</v>
      </c>
      <c r="C39" s="97" t="s">
        <v>60</v>
      </c>
      <c r="D39" s="80">
        <f>'CAPEX | Finance'!D14</f>
        <v>20000</v>
      </c>
      <c r="E39" s="80">
        <v>0</v>
      </c>
      <c r="F39" s="80">
        <f>'CAPEX | Finance'!F14</f>
        <v>0</v>
      </c>
      <c r="G39" s="80">
        <f>'CAPEX | Finance'!G14</f>
        <v>0</v>
      </c>
      <c r="H39" s="80">
        <f>'CAPEX | Finance'!H14</f>
        <v>0</v>
      </c>
      <c r="I39" s="80">
        <f>'CAPEX | Finance'!I14</f>
        <v>0</v>
      </c>
      <c r="J39" s="80">
        <f>'CAPEX | Finance'!J14</f>
        <v>0</v>
      </c>
      <c r="K39" s="80">
        <f>'CAPEX | Finance'!K14</f>
        <v>0</v>
      </c>
      <c r="L39" s="80">
        <f>'CAPEX | Finance'!L14</f>
        <v>0</v>
      </c>
      <c r="M39" s="80">
        <f>'CAPEX | Finance'!M14</f>
        <v>0</v>
      </c>
      <c r="N39" s="80">
        <f>'CAPEX | Finance'!N14</f>
        <v>0</v>
      </c>
      <c r="O39" s="80">
        <f>'CAPEX | Finance'!O14</f>
        <v>0</v>
      </c>
      <c r="P39" s="80">
        <f>'CAPEX | Finance'!P14</f>
        <v>0</v>
      </c>
      <c r="Q39" s="80">
        <f>'CAPEX | Finance'!Q14</f>
        <v>0</v>
      </c>
      <c r="R39" s="80">
        <f>'CAPEX | Finance'!R14</f>
        <v>0</v>
      </c>
    </row>
    <row r="40" spans="1:18">
      <c r="A40" s="7" t="s">
        <v>210</v>
      </c>
      <c r="C40" s="97" t="s">
        <v>60</v>
      </c>
      <c r="D40" s="80">
        <f>'CAPEX | Finance'!D15</f>
        <v>100000</v>
      </c>
      <c r="E40" s="80">
        <f>'CAPEX | Finance'!E15</f>
        <v>300000</v>
      </c>
      <c r="F40" s="80">
        <f>'CAPEX | Finance'!F15</f>
        <v>0</v>
      </c>
      <c r="G40" s="80">
        <f>'CAPEX | Finance'!G15</f>
        <v>0</v>
      </c>
      <c r="H40" s="80">
        <f>'CAPEX | Finance'!H15</f>
        <v>0</v>
      </c>
      <c r="I40" s="80">
        <f>'CAPEX | Finance'!I15</f>
        <v>0</v>
      </c>
      <c r="J40" s="80">
        <f>'CAPEX | Finance'!J15</f>
        <v>0</v>
      </c>
      <c r="K40" s="80">
        <f>'CAPEX | Finance'!K15</f>
        <v>0</v>
      </c>
      <c r="L40" s="80">
        <f>'CAPEX | Finance'!L15</f>
        <v>0</v>
      </c>
      <c r="M40" s="80">
        <f>'CAPEX | Finance'!M15</f>
        <v>0</v>
      </c>
      <c r="N40" s="80">
        <f>'CAPEX | Finance'!N15</f>
        <v>0</v>
      </c>
      <c r="O40" s="80">
        <f>'CAPEX | Finance'!O15</f>
        <v>0</v>
      </c>
      <c r="P40" s="80">
        <f>'CAPEX | Finance'!P15</f>
        <v>0</v>
      </c>
      <c r="Q40" s="80">
        <f>'CAPEX | Finance'!Q15</f>
        <v>0</v>
      </c>
      <c r="R40" s="80">
        <f>'CAPEX | Finance'!R15</f>
        <v>0</v>
      </c>
    </row>
    <row r="41" spans="1:18">
      <c r="A41" s="7" t="s">
        <v>220</v>
      </c>
      <c r="C41" s="97" t="s">
        <v>60</v>
      </c>
      <c r="D41" s="80">
        <f>-'CAPEX | Finance'!D42</f>
        <v>0</v>
      </c>
      <c r="E41" s="80">
        <f>-'CAPEX | Finance'!E42</f>
        <v>0</v>
      </c>
      <c r="F41" s="80">
        <f>-'CAPEX | Finance'!F42</f>
        <v>-40000</v>
      </c>
      <c r="G41" s="80">
        <f>-'CAPEX | Finance'!G42</f>
        <v>-40000</v>
      </c>
      <c r="H41" s="80">
        <f>-'CAPEX | Finance'!H42</f>
        <v>-40000</v>
      </c>
      <c r="I41" s="80">
        <f>-'CAPEX | Finance'!I42</f>
        <v>-40000</v>
      </c>
      <c r="J41" s="80">
        <f>-'CAPEX | Finance'!J42</f>
        <v>-40000</v>
      </c>
      <c r="K41" s="80">
        <f>-'CAPEX | Finance'!K42</f>
        <v>-40000</v>
      </c>
      <c r="L41" s="80">
        <f>-'CAPEX | Finance'!L42</f>
        <v>-40000</v>
      </c>
      <c r="M41" s="80">
        <f>-'CAPEX | Finance'!M42</f>
        <v>-40000</v>
      </c>
      <c r="N41" s="80">
        <f>-'CAPEX | Finance'!N42</f>
        <v>-40000</v>
      </c>
      <c r="O41" s="80">
        <f>-'CAPEX | Finance'!O42</f>
        <v>-40000</v>
      </c>
      <c r="P41" s="80">
        <f>-'CAPEX | Finance'!P42</f>
        <v>0</v>
      </c>
      <c r="Q41" s="80">
        <f>-'CAPEX | Finance'!Q42</f>
        <v>0</v>
      </c>
      <c r="R41" s="80">
        <f>-'CAPEX | Finance'!R42</f>
        <v>0</v>
      </c>
    </row>
    <row r="42" spans="1:18">
      <c r="A42" s="7" t="s">
        <v>263</v>
      </c>
      <c r="C42" s="97" t="s">
        <v>60</v>
      </c>
      <c r="D42" s="80">
        <f>-'CAPEX | Finance'!D43</f>
        <v>0</v>
      </c>
      <c r="E42" s="80">
        <f>-'CAPEX | Finance'!E43</f>
        <v>0</v>
      </c>
      <c r="F42" s="80">
        <f>-'CAPEX | Finance'!F43</f>
        <v>0</v>
      </c>
      <c r="G42" s="80">
        <f>-'CAPEX | Finance'!G43</f>
        <v>0</v>
      </c>
      <c r="H42" s="80">
        <f>-'CAPEX | Finance'!H43</f>
        <v>0</v>
      </c>
      <c r="I42" s="80">
        <f>-'CAPEX | Finance'!I43</f>
        <v>0</v>
      </c>
      <c r="J42" s="80">
        <f>-'CAPEX | Finance'!J43</f>
        <v>0</v>
      </c>
      <c r="K42" s="80">
        <f>-'CAPEX | Finance'!K43</f>
        <v>0</v>
      </c>
      <c r="L42" s="80">
        <f>-'CAPEX | Finance'!L43</f>
        <v>0</v>
      </c>
      <c r="M42" s="80">
        <f>-'CAPEX | Finance'!M43</f>
        <v>0</v>
      </c>
      <c r="N42" s="80">
        <f>-'CAPEX | Finance'!N43</f>
        <v>0</v>
      </c>
      <c r="O42" s="80">
        <f>-'CAPEX | Finance'!O43</f>
        <v>0</v>
      </c>
      <c r="P42" s="80">
        <f>-'CAPEX | Finance'!P43</f>
        <v>0</v>
      </c>
      <c r="Q42" s="80">
        <f>-'CAPEX | Finance'!Q43</f>
        <v>0</v>
      </c>
      <c r="R42" s="80">
        <f>-'CAPEX | Finance'!R43</f>
        <v>0</v>
      </c>
    </row>
    <row r="43" spans="1:18">
      <c r="A43" s="7" t="s">
        <v>179</v>
      </c>
      <c r="C43" s="97" t="s">
        <v>60</v>
      </c>
      <c r="D43" s="80">
        <f>'CAPEX | Finance'!D17</f>
        <v>150000</v>
      </c>
      <c r="E43" s="80">
        <f>'CAPEX | Finance'!E17</f>
        <v>250000</v>
      </c>
      <c r="F43" s="80">
        <f>'CAPEX | Finance'!F17</f>
        <v>100000</v>
      </c>
      <c r="G43" s="80">
        <f>'CAPEX | Finance'!G17</f>
        <v>0</v>
      </c>
      <c r="H43" s="80">
        <f>'CAPEX | Finance'!H17</f>
        <v>0</v>
      </c>
      <c r="I43" s="80">
        <f>'CAPEX | Finance'!I17</f>
        <v>0</v>
      </c>
      <c r="J43" s="80">
        <f>'CAPEX | Finance'!J17</f>
        <v>0</v>
      </c>
      <c r="K43" s="80">
        <f>'CAPEX | Finance'!K17</f>
        <v>0</v>
      </c>
      <c r="L43" s="80">
        <f>'CAPEX | Finance'!L17</f>
        <v>0</v>
      </c>
      <c r="M43" s="80">
        <f>'CAPEX | Finance'!M17</f>
        <v>0</v>
      </c>
      <c r="N43" s="80">
        <f>'CAPEX | Finance'!N17</f>
        <v>0</v>
      </c>
      <c r="O43" s="80">
        <f>'CAPEX | Finance'!O17</f>
        <v>0</v>
      </c>
      <c r="P43" s="80">
        <f>'CAPEX | Finance'!P17</f>
        <v>0</v>
      </c>
      <c r="Q43" s="80">
        <f>'CAPEX | Finance'!Q17</f>
        <v>0</v>
      </c>
      <c r="R43" s="80">
        <f>'CAPEX | Finance'!R17</f>
        <v>0</v>
      </c>
    </row>
    <row r="44" spans="1:18">
      <c r="A44" s="7" t="s">
        <v>108</v>
      </c>
      <c r="C44" s="97" t="s">
        <v>60</v>
      </c>
      <c r="D44" s="80">
        <f>'CAPEX | Finance'!D18</f>
        <v>0</v>
      </c>
      <c r="E44" s="80">
        <f>'CAPEX | Finance'!E18</f>
        <v>45090.666666666657</v>
      </c>
      <c r="F44" s="80">
        <f>'CAPEX | Finance'!F18</f>
        <v>85750.336223999999</v>
      </c>
      <c r="G44" s="80">
        <f>'CAPEX | Finance'!G18</f>
        <v>0</v>
      </c>
      <c r="H44" s="80">
        <f>'CAPEX | Finance'!H18</f>
        <v>0</v>
      </c>
      <c r="I44" s="80">
        <f>'CAPEX | Finance'!I18</f>
        <v>0</v>
      </c>
      <c r="J44" s="80">
        <f>'CAPEX | Finance'!J18</f>
        <v>0</v>
      </c>
      <c r="K44" s="80">
        <f>'CAPEX | Finance'!K18</f>
        <v>0</v>
      </c>
      <c r="L44" s="80">
        <f>'CAPEX | Finance'!L18</f>
        <v>0</v>
      </c>
      <c r="M44" s="80">
        <f>'CAPEX | Finance'!M18</f>
        <v>0</v>
      </c>
      <c r="N44" s="80">
        <f>'CAPEX | Finance'!N18</f>
        <v>0</v>
      </c>
      <c r="O44" s="80">
        <f>'CAPEX | Finance'!O18</f>
        <v>0</v>
      </c>
      <c r="P44" s="80">
        <f>'CAPEX | Finance'!P18</f>
        <v>0</v>
      </c>
      <c r="Q44" s="80">
        <f>'CAPEX | Finance'!Q18</f>
        <v>0</v>
      </c>
      <c r="R44" s="80">
        <f>'CAPEX | Finance'!R18</f>
        <v>0</v>
      </c>
    </row>
    <row r="45" spans="1:18">
      <c r="D45" s="101"/>
      <c r="E45" s="101"/>
      <c r="F45" s="101"/>
      <c r="G45" s="101"/>
      <c r="H45" s="101"/>
      <c r="I45" s="101"/>
      <c r="J45" s="101"/>
      <c r="K45" s="101"/>
      <c r="L45" s="101"/>
      <c r="M45" s="101"/>
      <c r="N45" s="101"/>
      <c r="O45" s="101"/>
      <c r="P45" s="101"/>
      <c r="Q45" s="101"/>
      <c r="R45" s="101"/>
    </row>
    <row r="46" spans="1:18">
      <c r="A46" s="58" t="s">
        <v>193</v>
      </c>
      <c r="B46" s="59"/>
      <c r="C46" s="62" t="s">
        <v>60</v>
      </c>
      <c r="D46" s="80">
        <f t="shared" ref="D46:R46" si="13">D22+D35+D38</f>
        <v>859.27868852461688</v>
      </c>
      <c r="E46" s="80">
        <f t="shared" si="13"/>
        <v>83603.317027566722</v>
      </c>
      <c r="F46" s="80">
        <f t="shared" si="13"/>
        <v>59285.582137833248</v>
      </c>
      <c r="G46" s="80">
        <f t="shared" si="13"/>
        <v>-32384.47142417435</v>
      </c>
      <c r="H46" s="80">
        <f t="shared" si="13"/>
        <v>149575.14172744483</v>
      </c>
      <c r="I46" s="80">
        <f t="shared" si="13"/>
        <v>169350.78916577797</v>
      </c>
      <c r="J46" s="80">
        <f t="shared" si="13"/>
        <v>179629.03723318491</v>
      </c>
      <c r="K46" s="80">
        <f t="shared" si="13"/>
        <v>189612.12372251216</v>
      </c>
      <c r="L46" s="80">
        <f t="shared" si="13"/>
        <v>200740.2490686361</v>
      </c>
      <c r="M46" s="80">
        <f t="shared" si="13"/>
        <v>209953.20062104589</v>
      </c>
      <c r="N46" s="80">
        <f t="shared" si="13"/>
        <v>221879.52165899985</v>
      </c>
      <c r="O46" s="80">
        <f t="shared" si="13"/>
        <v>233460.22752536001</v>
      </c>
      <c r="P46" s="80">
        <f t="shared" si="13"/>
        <v>285155.63249048358</v>
      </c>
      <c r="Q46" s="80">
        <f t="shared" si="13"/>
        <v>294836.88431908388</v>
      </c>
      <c r="R46" s="80">
        <f t="shared" si="13"/>
        <v>308599.58542828634</v>
      </c>
    </row>
    <row r="47" spans="1:18">
      <c r="A47" s="7" t="s">
        <v>194</v>
      </c>
      <c r="C47" s="63" t="s">
        <v>60</v>
      </c>
      <c r="D47" s="80">
        <v>0</v>
      </c>
      <c r="E47" s="80">
        <f>D48</f>
        <v>859.27868852461688</v>
      </c>
      <c r="F47" s="80">
        <f t="shared" ref="F47:R47" si="14">E48</f>
        <v>84462.595716091339</v>
      </c>
      <c r="G47" s="80">
        <f t="shared" si="14"/>
        <v>143748.17785392457</v>
      </c>
      <c r="H47" s="80">
        <f t="shared" si="14"/>
        <v>111363.70642975022</v>
      </c>
      <c r="I47" s="80">
        <f t="shared" si="14"/>
        <v>260938.84815719505</v>
      </c>
      <c r="J47" s="80">
        <f t="shared" si="14"/>
        <v>430289.63732297299</v>
      </c>
      <c r="K47" s="80">
        <f t="shared" si="14"/>
        <v>609918.6745561579</v>
      </c>
      <c r="L47" s="80">
        <f t="shared" si="14"/>
        <v>799530.79827867006</v>
      </c>
      <c r="M47" s="80">
        <f t="shared" si="14"/>
        <v>1000271.0473473062</v>
      </c>
      <c r="N47" s="80">
        <f t="shared" si="14"/>
        <v>1210224.2479683519</v>
      </c>
      <c r="O47" s="80">
        <f t="shared" si="14"/>
        <v>1432103.7696273518</v>
      </c>
      <c r="P47" s="80">
        <f t="shared" si="14"/>
        <v>1665563.9971527117</v>
      </c>
      <c r="Q47" s="80">
        <f t="shared" si="14"/>
        <v>1950719.6296431953</v>
      </c>
      <c r="R47" s="80">
        <f t="shared" si="14"/>
        <v>2245556.5139622791</v>
      </c>
    </row>
    <row r="48" spans="1:18">
      <c r="A48" s="60" t="s">
        <v>195</v>
      </c>
      <c r="B48" s="61"/>
      <c r="C48" s="64" t="s">
        <v>60</v>
      </c>
      <c r="D48" s="80">
        <f>D47+D46</f>
        <v>859.27868852461688</v>
      </c>
      <c r="E48" s="80">
        <f t="shared" ref="E48:R48" si="15">E47+E46</f>
        <v>84462.595716091339</v>
      </c>
      <c r="F48" s="80">
        <f>F47+F46</f>
        <v>143748.17785392457</v>
      </c>
      <c r="G48" s="80">
        <f t="shared" si="15"/>
        <v>111363.70642975022</v>
      </c>
      <c r="H48" s="80">
        <f t="shared" si="15"/>
        <v>260938.84815719505</v>
      </c>
      <c r="I48" s="80">
        <f t="shared" si="15"/>
        <v>430289.63732297299</v>
      </c>
      <c r="J48" s="80">
        <f t="shared" si="15"/>
        <v>609918.6745561579</v>
      </c>
      <c r="K48" s="80">
        <f t="shared" si="15"/>
        <v>799530.79827867006</v>
      </c>
      <c r="L48" s="80">
        <f t="shared" si="15"/>
        <v>1000271.0473473062</v>
      </c>
      <c r="M48" s="80">
        <f t="shared" si="15"/>
        <v>1210224.2479683519</v>
      </c>
      <c r="N48" s="80">
        <f t="shared" si="15"/>
        <v>1432103.7696273518</v>
      </c>
      <c r="O48" s="80">
        <f t="shared" si="15"/>
        <v>1665563.9971527117</v>
      </c>
      <c r="P48" s="80">
        <f t="shared" si="15"/>
        <v>1950719.6296431953</v>
      </c>
      <c r="Q48" s="80">
        <f t="shared" si="15"/>
        <v>2245556.5139622791</v>
      </c>
      <c r="R48" s="80">
        <f t="shared" si="15"/>
        <v>2554156.0993905654</v>
      </c>
    </row>
    <row r="49" spans="1:18">
      <c r="A49" s="7"/>
      <c r="C49" s="70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</row>
    <row r="50" spans="1:18">
      <c r="A50" s="7" t="s">
        <v>212</v>
      </c>
      <c r="C50" s="70"/>
      <c r="D50" s="72" t="str">
        <f>IF(D48&gt;=0,"OK","!")</f>
        <v>OK</v>
      </c>
      <c r="E50" s="72" t="str">
        <f t="shared" ref="E50:R50" si="16">IF(E48&gt;=0,"OK","!")</f>
        <v>OK</v>
      </c>
      <c r="F50" s="72" t="str">
        <f t="shared" si="16"/>
        <v>OK</v>
      </c>
      <c r="G50" s="72" t="str">
        <f t="shared" si="16"/>
        <v>OK</v>
      </c>
      <c r="H50" s="72" t="str">
        <f t="shared" si="16"/>
        <v>OK</v>
      </c>
      <c r="I50" s="72" t="str">
        <f t="shared" si="16"/>
        <v>OK</v>
      </c>
      <c r="J50" s="72" t="str">
        <f t="shared" si="16"/>
        <v>OK</v>
      </c>
      <c r="K50" s="72" t="str">
        <f t="shared" si="16"/>
        <v>OK</v>
      </c>
      <c r="L50" s="72" t="str">
        <f t="shared" si="16"/>
        <v>OK</v>
      </c>
      <c r="M50" s="72" t="str">
        <f t="shared" si="16"/>
        <v>OK</v>
      </c>
      <c r="N50" s="72" t="str">
        <f t="shared" si="16"/>
        <v>OK</v>
      </c>
      <c r="O50" s="72" t="str">
        <f t="shared" si="16"/>
        <v>OK</v>
      </c>
      <c r="P50" s="72" t="str">
        <f t="shared" si="16"/>
        <v>OK</v>
      </c>
      <c r="Q50" s="72" t="str">
        <f t="shared" si="16"/>
        <v>OK</v>
      </c>
      <c r="R50" s="72" t="str">
        <f t="shared" si="16"/>
        <v>OK</v>
      </c>
    </row>
    <row r="51" spans="1:18"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</row>
    <row r="53" spans="1:18">
      <c r="G53" s="100"/>
      <c r="H53" s="100"/>
      <c r="I53" s="100"/>
      <c r="J53" s="100"/>
      <c r="K53" s="10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Графики</vt:lpstr>
      <vt:lpstr>Предпоссылки</vt:lpstr>
      <vt:lpstr>ОПУ-Баланс-ОДДС</vt:lpstr>
      <vt:lpstr>Эффективность проекта</vt:lpstr>
      <vt:lpstr>Анализ чувствительности</vt:lpstr>
      <vt:lpstr>OPEX &amp; SALES</vt:lpstr>
      <vt:lpstr>CAPEX | Finance</vt:lpstr>
      <vt:lpstr>Налоги</vt:lpstr>
      <vt:lpstr>ОПУ-Баланс-ОДДС (без льгот)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0 Игнатов Денис Сергеевич</cp:lastModifiedBy>
  <dcterms:created xsi:type="dcterms:W3CDTF">2024-07-31T14:39:23Z</dcterms:created>
  <dcterms:modified xsi:type="dcterms:W3CDTF">2025-06-22T19:16:45Z</dcterms:modified>
</cp:coreProperties>
</file>