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20370" yWindow="-2280" windowWidth="29040" windowHeight="15840" activeTab="1"/>
  </bookViews>
  <sheets>
    <sheet name="b1" sheetId="1" r:id="rId1"/>
    <sheet name="b2" sheetId="2" r:id="rId2"/>
    <sheet name="b3" sheetId="3" r:id="rId3"/>
    <sheet name="b4" sheetId="4" r:id="rId4"/>
    <sheet name="b5" sheetId="5" r:id="rId5"/>
  </sheets>
  <definedNames>
    <definedName name="_xlnm._FilterDatabase" localSheetId="0" hidden="1">'b1'!$A$3:$F$26</definedName>
    <definedName name="Bang_1">'b2'!$I$3:$N$6</definedName>
    <definedName name="Bang_2">'b2'!$I$10:$K$14</definedName>
    <definedName name="Bang_3">'b2'!$M$9:$O$10</definedName>
    <definedName name="Bang_thong_ke">'b2'!$A$3:$G$20</definedName>
    <definedName name="Mon_thi">'b1'!$H$13:$K$14</definedName>
    <definedName name="Ten_truong">'b1'!$H$5:$I$10</definedName>
    <definedName name="Ty_gia">'b2'!$L$1</definedName>
    <definedName name="Xep_loai">'b1'!$K$5:$L$8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H4" i="4" s="1"/>
  <c r="G8" i="4"/>
  <c r="G12" i="4"/>
  <c r="F5" i="4"/>
  <c r="G5" i="4" s="1"/>
  <c r="F6" i="4"/>
  <c r="G6" i="4" s="1"/>
  <c r="F7" i="4"/>
  <c r="G7" i="4" s="1"/>
  <c r="F8" i="4"/>
  <c r="H8" i="4" s="1"/>
  <c r="F9" i="4"/>
  <c r="G9" i="4" s="1"/>
  <c r="F10" i="4"/>
  <c r="G10" i="4" s="1"/>
  <c r="F11" i="4"/>
  <c r="F12" i="4"/>
  <c r="H12" i="4" s="1"/>
  <c r="F13" i="4"/>
  <c r="G13" i="4" s="1"/>
  <c r="F3" i="4"/>
  <c r="G3" i="4" s="1"/>
  <c r="F21" i="3"/>
  <c r="G21" i="3"/>
  <c r="F20" i="3"/>
  <c r="G20" i="3"/>
  <c r="E21" i="3"/>
  <c r="E20" i="3"/>
  <c r="F19" i="3"/>
  <c r="G19" i="3"/>
  <c r="E19" i="3"/>
  <c r="G18" i="3"/>
  <c r="F18" i="3"/>
  <c r="E18" i="3"/>
  <c r="J4" i="3"/>
  <c r="J7" i="3"/>
  <c r="J8" i="3"/>
  <c r="J11" i="3"/>
  <c r="J12" i="3"/>
  <c r="J15" i="3"/>
  <c r="J16" i="3"/>
  <c r="I4" i="3"/>
  <c r="I5" i="3"/>
  <c r="J5" i="3" s="1"/>
  <c r="I6" i="3"/>
  <c r="J6" i="3" s="1"/>
  <c r="I7" i="3"/>
  <c r="I8" i="3"/>
  <c r="I9" i="3"/>
  <c r="J9" i="3" s="1"/>
  <c r="I10" i="3"/>
  <c r="J10" i="3" s="1"/>
  <c r="I11" i="3"/>
  <c r="I12" i="3"/>
  <c r="I13" i="3"/>
  <c r="J13" i="3" s="1"/>
  <c r="I14" i="3"/>
  <c r="J14" i="3" s="1"/>
  <c r="I15" i="3"/>
  <c r="I16" i="3"/>
  <c r="I17" i="3"/>
  <c r="J17" i="3" s="1"/>
  <c r="I3" i="3"/>
  <c r="J3" i="3" s="1"/>
  <c r="H11" i="4" l="1"/>
  <c r="I11" i="4" s="1"/>
  <c r="H7" i="4"/>
  <c r="I7" i="4" s="1"/>
  <c r="G4" i="4"/>
  <c r="G11" i="4"/>
  <c r="I10" i="4"/>
  <c r="H3" i="4"/>
  <c r="I3" i="4" s="1"/>
  <c r="H10" i="4"/>
  <c r="H6" i="4"/>
  <c r="I6" i="4" s="1"/>
  <c r="I9" i="4"/>
  <c r="H13" i="4"/>
  <c r="I13" i="4" s="1"/>
  <c r="H9" i="4"/>
  <c r="H5" i="4"/>
  <c r="I5" i="4" s="1"/>
  <c r="I12" i="4"/>
  <c r="I8" i="4"/>
  <c r="I4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3" i="2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4" i="2"/>
  <c r="G4" i="2" s="1"/>
  <c r="F3" i="2"/>
  <c r="G3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O21" i="2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4" i="1"/>
  <c r="J21" i="2" l="1"/>
  <c r="M21" i="2"/>
  <c r="O18" i="2"/>
  <c r="N22" i="2"/>
  <c r="O22" i="2"/>
  <c r="J18" i="2"/>
  <c r="J22" i="2"/>
  <c r="M20" i="2"/>
  <c r="N19" i="2"/>
  <c r="O19" i="2"/>
  <c r="J19" i="2"/>
  <c r="M18" i="2"/>
  <c r="M22" i="2"/>
  <c r="N20" i="2"/>
  <c r="O20" i="2"/>
  <c r="J20" i="2"/>
  <c r="M19" i="2"/>
  <c r="N18" i="2"/>
  <c r="N21" i="2"/>
  <c r="K5" i="2"/>
  <c r="L5" i="2" s="1"/>
  <c r="K6" i="2"/>
  <c r="L6" i="2" s="1"/>
  <c r="K4" i="2"/>
  <c r="L4" i="2" s="1"/>
  <c r="K3" i="2"/>
  <c r="L3" i="2" s="1"/>
  <c r="M4" i="2" l="1"/>
  <c r="N4" i="2"/>
  <c r="M5" i="2"/>
  <c r="N5" i="2"/>
  <c r="M6" i="2"/>
  <c r="N6" i="2"/>
  <c r="M3" i="2"/>
  <c r="N3" i="2"/>
</calcChain>
</file>

<file path=xl/sharedStrings.xml><?xml version="1.0" encoding="utf-8"?>
<sst xmlns="http://schemas.openxmlformats.org/spreadsheetml/2006/main" count="319" uniqueCount="252">
  <si>
    <t xml:space="preserve">BẢNG THỐNG KÊ KẾT QUẢ THI HỌC SINH GIỎI NĂN 200... </t>
  </si>
  <si>
    <t>Mã thí sinh</t>
  </si>
  <si>
    <t>Tên thí sinh</t>
  </si>
  <si>
    <t>Tên Trường</t>
  </si>
  <si>
    <t>Môn thi</t>
  </si>
  <si>
    <t>Điểm thi</t>
  </si>
  <si>
    <t>Kết quả</t>
  </si>
  <si>
    <t>Bảng tra tên trường</t>
  </si>
  <si>
    <t>Bảng tra 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</si>
  <si>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52</t>
    </r>
    <r>
      <rPr>
        <b/>
        <sz val="14"/>
        <color theme="4" tint="-0.499984740745262"/>
        <rFont val="Times New Roman"/>
        <family val="1"/>
      </rPr>
      <t>TH</t>
    </r>
  </si>
  <si>
    <t>Mã Trường</t>
  </si>
  <si>
    <t>Tên trường</t>
  </si>
  <si>
    <t>Điểm</t>
  </si>
  <si>
    <t>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</si>
  <si>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10</t>
    </r>
    <r>
      <rPr>
        <b/>
        <sz val="14"/>
        <color theme="4" tint="-0.499984740745262"/>
        <rFont val="Times New Roman"/>
        <family val="1"/>
      </rPr>
      <t>TO</t>
    </r>
  </si>
  <si>
    <t>TR</t>
  </si>
  <si>
    <t>Trần Đại Nghĩa</t>
  </si>
  <si>
    <t>Trung Bình</t>
  </si>
  <si>
    <r>
      <rPr>
        <b/>
        <sz val="14"/>
        <color rgb="FFC00000"/>
        <rFont val="Times New Roman"/>
        <family val="1"/>
      </rPr>
      <t>SP</t>
    </r>
    <r>
      <rPr>
        <b/>
        <sz val="14"/>
        <rFont val="Times New Roman"/>
        <family val="1"/>
      </rPr>
      <t>93</t>
    </r>
    <r>
      <rPr>
        <b/>
        <sz val="14"/>
        <color theme="4" tint="-0.499984740745262"/>
        <rFont val="Times New Roman"/>
        <family val="1"/>
      </rPr>
      <t>SN</t>
    </r>
  </si>
  <si>
    <t>LE</t>
  </si>
  <si>
    <t>Lê Hồng Phong</t>
  </si>
  <si>
    <t>Khá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</si>
  <si>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23</t>
    </r>
    <r>
      <rPr>
        <b/>
        <sz val="14"/>
        <color theme="4" tint="-0.499984740745262"/>
        <rFont val="Times New Roman"/>
        <family val="1"/>
      </rPr>
      <t>SN</t>
    </r>
  </si>
  <si>
    <t>GD</t>
  </si>
  <si>
    <t>Gia Định</t>
  </si>
  <si>
    <t>Giỏi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</si>
  <si>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13</t>
    </r>
    <r>
      <rPr>
        <b/>
        <sz val="14"/>
        <color theme="4" tint="-0.499984740745262"/>
        <rFont val="Times New Roman"/>
        <family val="1"/>
      </rPr>
      <t>TH</t>
    </r>
  </si>
  <si>
    <t>lê hoàng</t>
  </si>
  <si>
    <t>NK</t>
  </si>
  <si>
    <t>Năng Khiếu</t>
  </si>
  <si>
    <t>Xuất sắc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</si>
  <si>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56</t>
    </r>
    <r>
      <rPr>
        <b/>
        <sz val="14"/>
        <color theme="4" tint="-0.499984740745262"/>
        <rFont val="Times New Roman"/>
        <family val="1"/>
      </rPr>
      <t>SN</t>
    </r>
  </si>
  <si>
    <t>TH</t>
  </si>
  <si>
    <t>Nguyễn Thượng Hiền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</si>
  <si>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74</t>
    </r>
    <r>
      <rPr>
        <b/>
        <sz val="14"/>
        <color theme="4" tint="-0.499984740745262"/>
        <rFont val="Times New Roman"/>
        <family val="1"/>
      </rPr>
      <t>TH</t>
    </r>
  </si>
  <si>
    <t>SP</t>
  </si>
  <si>
    <t>Sư Phạm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</si>
  <si>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</si>
  <si>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20</t>
    </r>
    <r>
      <rPr>
        <b/>
        <sz val="14"/>
        <color theme="4" tint="-0.499984740745262"/>
        <rFont val="Times New Roman"/>
        <family val="1"/>
      </rPr>
      <t>TH</t>
    </r>
  </si>
  <si>
    <t>Bảng tra môn thi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</si>
  <si>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</si>
  <si>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Mã Môn học</t>
  </si>
  <si>
    <t>TO</t>
  </si>
  <si>
    <t>SN</t>
  </si>
  <si>
    <t>Tên Môn thi</t>
  </si>
  <si>
    <t>Toán</t>
  </si>
  <si>
    <t>Sinh ngữ</t>
  </si>
  <si>
    <t>Tin Học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</si>
  <si>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31</t>
    </r>
    <r>
      <rPr>
        <b/>
        <sz val="14"/>
        <color theme="4" tint="-0.499984740745262"/>
        <rFont val="Times New Roman"/>
        <family val="1"/>
      </rPr>
      <t>SN</t>
    </r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</si>
  <si>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59</t>
    </r>
    <r>
      <rPr>
        <b/>
        <sz val="14"/>
        <color theme="4" tint="-0.499984740745262"/>
        <rFont val="Times New Roman"/>
        <family val="1"/>
      </rPr>
      <t>SN</t>
    </r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</si>
  <si>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15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</si>
  <si>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TH</t>
    </r>
    <r>
      <rPr>
        <b/>
        <sz val="14"/>
        <rFont val="Times New Roman"/>
        <family val="1"/>
      </rPr>
      <t>90</t>
    </r>
    <r>
      <rPr>
        <b/>
        <sz val="14"/>
        <color theme="4" tint="-0.499984740745262"/>
        <rFont val="Times New Roman"/>
        <family val="1"/>
      </rPr>
      <t>TO</t>
    </r>
  </si>
  <si>
    <t>Yêu cầu</t>
  </si>
  <si>
    <t>1. Lập công thức điền dữ liệu cho cột Tên trường dựa vào 2 ký tự đầu của Mã thí sinh và tìm trong Bảng tra tên trường.</t>
  </si>
  <si>
    <t>2. Lập công thức điền dữ liệu cho cột Môn thi, dựa vào 2 ký tự cuối của Mã thí sinh và tìm trong Bảng tra Môn thi.</t>
  </si>
  <si>
    <t>3. Lập công thức điền dữ liệu cho cột Kết quả, dựa vào Điểm thi và Bảng tra Xếp loại</t>
  </si>
  <si>
    <t>4. Lập công thức đổi định dạng cột Tên thí sinh có dạng chữ hoa đầu mỗi từ</t>
  </si>
  <si>
    <t>5. Định dạng bảng tính có dạng Table, lọc ra danh sách những thí sinh đạt kết quả là giỏi</t>
  </si>
  <si>
    <t>6. Định dạng cột Điểm thi sao cho những thí sinh có điểm &gt;9 có dạng in đậm và màu đỏ</t>
  </si>
  <si>
    <t xml:space="preserve">7. Chèn Header: Lề trái: Bài tập 1_ Chương 5, Lề phải: Ngày hiện hành </t>
  </si>
  <si>
    <t>Bảng thống kê bán hàng</t>
  </si>
  <si>
    <t>Bảng 1</t>
  </si>
  <si>
    <t>Tỷ giá</t>
  </si>
  <si>
    <t xml:space="preserve">Mã hàng </t>
  </si>
  <si>
    <t>Tên Hàng</t>
  </si>
  <si>
    <t>Hảng 
sản xuất</t>
  </si>
  <si>
    <t>Tên nhân
 viên bán</t>
  </si>
  <si>
    <t>Số lượng
 bán</t>
  </si>
  <si>
    <t>Đơn giá
 VNĐ</t>
  </si>
  <si>
    <t>Thành tiền VNĐ</t>
  </si>
  <si>
    <t>Mã NV</t>
  </si>
  <si>
    <t>Tên 
nhân viên</t>
  </si>
  <si>
    <t>Doanh số</t>
  </si>
  <si>
    <t>Lương</t>
  </si>
  <si>
    <t>Thuế 
thu nhập</t>
  </si>
  <si>
    <t>Thực lãnh</t>
  </si>
  <si>
    <t>LASo_11</t>
  </si>
  <si>
    <t>Thúy Hằng</t>
  </si>
  <si>
    <t>LATo_44</t>
  </si>
  <si>
    <t>Lan Anh</t>
  </si>
  <si>
    <t>LASo_22</t>
  </si>
  <si>
    <t>Hải Quân</t>
  </si>
  <si>
    <t>LASo_33</t>
  </si>
  <si>
    <t>Thanh Long</t>
  </si>
  <si>
    <t>CATo_22</t>
  </si>
  <si>
    <t>Bảng 2</t>
  </si>
  <si>
    <t>Bảng 3</t>
  </si>
  <si>
    <t>CAPa_44</t>
  </si>
  <si>
    <t>Mã hàng</t>
  </si>
  <si>
    <t>Tên hàng</t>
  </si>
  <si>
    <t>Đơn giá USD</t>
  </si>
  <si>
    <t>So</t>
  </si>
  <si>
    <t>To</t>
  </si>
  <si>
    <t>Pa</t>
  </si>
  <si>
    <t>CASo_33</t>
  </si>
  <si>
    <t>TV</t>
  </si>
  <si>
    <t>Tivi</t>
  </si>
  <si>
    <t>Sony</t>
  </si>
  <si>
    <t>Toshiba</t>
  </si>
  <si>
    <t>Panasonic</t>
  </si>
  <si>
    <t>WATo_11</t>
  </si>
  <si>
    <t>CA</t>
  </si>
  <si>
    <t>Máy ảnh</t>
  </si>
  <si>
    <t>WAPa_22</t>
  </si>
  <si>
    <t>RE</t>
  </si>
  <si>
    <t>Máy lạnh</t>
  </si>
  <si>
    <t>LA</t>
  </si>
  <si>
    <t>Laptop</t>
  </si>
  <si>
    <t>RETo_33</t>
  </si>
  <si>
    <t>WA</t>
  </si>
  <si>
    <t>Máy giặt</t>
  </si>
  <si>
    <t>REPa_22</t>
  </si>
  <si>
    <t>TVSo_11</t>
  </si>
  <si>
    <t>Bảng thống kê 1</t>
  </si>
  <si>
    <t>(Sumif)</t>
  </si>
  <si>
    <t xml:space="preserve">Bảng thống kê 2 </t>
  </si>
  <si>
    <t>(Sumifs)</t>
  </si>
  <si>
    <t>Tổng tiền</t>
  </si>
  <si>
    <t>TVPa_44</t>
  </si>
  <si>
    <t>TVTo_33</t>
  </si>
  <si>
    <t>TVSo_33</t>
  </si>
  <si>
    <t>Yêu cầu:</t>
  </si>
  <si>
    <t>1. Dựa vào 2 ký tự đầu của Mã hàng và Bảng 1để điền vào cột tên hàng và Đơn giá VNĐ (Đơn giá USD*Tỉ giá).</t>
  </si>
  <si>
    <t>2. Điền tên hảng sãn xuất dựa vào ký tự thứ 3 và 4 của Mã hàng và Bảng 2</t>
  </si>
  <si>
    <t>3.Dựa vào 2 ký tự thứ 3 và 4 cho biết nhân viên bán mặt hàng này.</t>
  </si>
  <si>
    <t>4. Dựa vào 2 ký tự cuối của Mã hàng và Bảng 3 để điền dữ liệu cho cột Tên NV</t>
  </si>
  <si>
    <t xml:space="preserve">5.Thành tiền VNĐ = Số lượng * Đơn giá VNĐ làm tròn đến hàng nghìn, định dạng đơn vị tiền là VNĐ .  </t>
  </si>
  <si>
    <t>6.Doanh số bán mỗi nhân viên = Tổng tiền mà nhân viên đó bán được .</t>
  </si>
  <si>
    <r>
      <t xml:space="preserve">7.Lương nhân viên = 600 000 + Doanh số mỗi nhân viên *3%  </t>
    </r>
    <r>
      <rPr>
        <i/>
        <sz val="14"/>
        <rFont val="Times New Roman"/>
        <family val="1"/>
      </rPr>
      <t>(làm tròn hàng ngàn)</t>
    </r>
    <r>
      <rPr>
        <sz val="14"/>
        <rFont val="Times New Roman"/>
        <family val="1"/>
      </rPr>
      <t>.</t>
    </r>
  </si>
  <si>
    <t>8.Thuế tính lũy tiến . Nếu lương &lt; 4 triệu , Không nộp thuế  .</t>
  </si>
  <si>
    <t xml:space="preserve">   Lương &gt; 4 triệu nộp thuế 10% trên giá trị vượt. Thực lãnh = Lương - Thuế</t>
  </si>
  <si>
    <t>9.Thống kê doanh số theo mặt hàng.</t>
  </si>
  <si>
    <t>10.Thống kê doanh số theo mặt hàng và theo hảng sản xuất.</t>
  </si>
  <si>
    <t>BẢNG ĐIỂM</t>
  </si>
  <si>
    <t>Số Tt</t>
  </si>
  <si>
    <t>Họ Tên</t>
  </si>
  <si>
    <t>Ngày Sinh</t>
  </si>
  <si>
    <t>Tuổi</t>
  </si>
  <si>
    <t>Điểm Toán</t>
  </si>
  <si>
    <t>Điểm Văn</t>
  </si>
  <si>
    <t>Điểm Ngoại Ngữ</t>
  </si>
  <si>
    <t>Tổng Điểm</t>
  </si>
  <si>
    <t>Kết Quả</t>
  </si>
  <si>
    <t>ĐIỂM TỔNG</t>
  </si>
  <si>
    <t>TRUNG BÌNH</t>
  </si>
  <si>
    <t>CAO NHẤT</t>
  </si>
  <si>
    <t>THẤP NHẤT</t>
  </si>
  <si>
    <t>1. Chèn thêm cột số TT trước cột họ tên, dùng chức năng Fill handle điền dữ liệu cho cột số TT</t>
  </si>
  <si>
    <t>2. Dùng hàm Propper chuyển cột Họ tên thành định dạng kiểu chữ hoa đầu mỗi từ</t>
  </si>
  <si>
    <t>3. Lập công thức điền dữ liệu cho cột tuổi</t>
  </si>
  <si>
    <t>4. Dùng chức năng AutoSum tính cột Tổng điểm</t>
  </si>
  <si>
    <t>5. Lập công thức điền dữ liệu cho cột Điểm  trung bình =(Toán*2 +Văn*2+Ngoại ngữ)/5 làm tròn 1 số lẻ</t>
  </si>
  <si>
    <t>6. Lập công thức điền dữ liệu cho cột Kết quả: Nếu điểm trung bình &gt;=5 thì kết quả là đậu, ngược lại thì kết quả là rớt</t>
  </si>
  <si>
    <t>7. Lập công thức tính tổng điểm, trung bình, điểm thấp nhất, cao nhất cho các cột Điểm toán, văn, ngoại ngữ</t>
  </si>
  <si>
    <t>8. Định dạng các cột điểm sao cho điểm dưới 5 có màu đỏ và in đậm</t>
  </si>
  <si>
    <t>9. Dùng chức năng Freeze Panes cố định dòng tiêu đề của bảng tính</t>
  </si>
  <si>
    <t>BẢNG TỔNG KẾT ĐIỂM</t>
  </si>
  <si>
    <t>No.</t>
  </si>
  <si>
    <t>Student</t>
  </si>
  <si>
    <t>Course 1</t>
  </si>
  <si>
    <t>Course 2</t>
  </si>
  <si>
    <t>Course 3</t>
  </si>
  <si>
    <t>Average</t>
  </si>
  <si>
    <t>Result</t>
  </si>
  <si>
    <t>Rank</t>
  </si>
  <si>
    <t>Rewarded</t>
  </si>
  <si>
    <t>Luc</t>
  </si>
  <si>
    <t>Estelle</t>
  </si>
  <si>
    <t>Laurent</t>
  </si>
  <si>
    <t>Paul</t>
  </si>
  <si>
    <t>Léa</t>
  </si>
  <si>
    <t>Murielle</t>
  </si>
  <si>
    <t>Thierry</t>
  </si>
  <si>
    <t>Laura</t>
  </si>
  <si>
    <t>Nick</t>
  </si>
  <si>
    <t>Anne</t>
  </si>
  <si>
    <t>1. Lập công thức điền dữ liệu cho cột Average = trung bình cộng của 3 cột course 1, 2, 3, làm tròn 2 số lẻ</t>
  </si>
  <si>
    <r>
      <t xml:space="preserve">2. Lập công thức cho cột </t>
    </r>
    <r>
      <rPr>
        <b/>
        <sz val="16"/>
        <color theme="1"/>
        <rFont val="Times New Roman"/>
        <family val="1"/>
      </rPr>
      <t>Result</t>
    </r>
    <r>
      <rPr>
        <sz val="16"/>
        <color theme="1"/>
        <rFont val="Times New Roman"/>
        <family val="1"/>
      </rPr>
      <t xml:space="preserve"> dựa trên </t>
    </r>
    <r>
      <rPr>
        <b/>
        <sz val="16"/>
        <color theme="1"/>
        <rFont val="Times New Roman"/>
        <family val="1"/>
      </rPr>
      <t>Average</t>
    </r>
    <r>
      <rPr>
        <sz val="16"/>
        <color theme="1"/>
        <rFont val="Times New Roman"/>
        <family val="1"/>
      </rPr>
      <t xml:space="preserve"> theo tiêu chí sau: </t>
    </r>
  </si>
  <si>
    <r>
      <t xml:space="preserve">Nếu avrerage &lt;10 thì Result là </t>
    </r>
    <r>
      <rPr>
        <b/>
        <sz val="16"/>
        <color theme="1"/>
        <rFont val="Times New Roman"/>
        <family val="1"/>
      </rPr>
      <t>Fail</t>
    </r>
  </si>
  <si>
    <r>
      <t xml:space="preserve">Nếu Average từ 10 đến dưới 12 thì Result là </t>
    </r>
    <r>
      <rPr>
        <b/>
        <sz val="16"/>
        <color theme="1"/>
        <rFont val="Times New Roman"/>
        <family val="1"/>
      </rPr>
      <t>Pass</t>
    </r>
  </si>
  <si>
    <r>
      <t xml:space="preserve">Nếu Average từ 12 đến dưới14 thì Result là </t>
    </r>
    <r>
      <rPr>
        <b/>
        <sz val="16"/>
        <color theme="1"/>
        <rFont val="Times New Roman"/>
        <family val="1"/>
      </rPr>
      <t>Good</t>
    </r>
  </si>
  <si>
    <r>
      <t xml:space="preserve">Nếu Average từ 14 đến dưới16 thì Result là </t>
    </r>
    <r>
      <rPr>
        <b/>
        <sz val="16"/>
        <color theme="1"/>
        <rFont val="Times New Roman"/>
        <family val="1"/>
      </rPr>
      <t>Very Good</t>
    </r>
  </si>
  <si>
    <r>
      <t xml:space="preserve">Ngược lại, nếu average &gt;=16 thì Result là </t>
    </r>
    <r>
      <rPr>
        <b/>
        <sz val="16"/>
        <color theme="1"/>
        <rFont val="Times New Roman"/>
        <family val="1"/>
      </rPr>
      <t>Excellent</t>
    </r>
  </si>
  <si>
    <t>3. Lập công thức xếp hạng cho cột Rank dựa vào Average</t>
  </si>
  <si>
    <t xml:space="preserve">4. Lập công thức điền dữ liệu cho cột rewarded (khen thưởng) với điều kiện: </t>
  </si>
  <si>
    <t>Nếu điểm trung bình (Average)&gt;12 và không có điểm thành phần &lt;10 thì được thưởng một khóa học miễn phí 1 tháng</t>
  </si>
  <si>
    <t>BẢNG TỔNG KẾT ĐIỂM GIỮA KỲ</t>
  </si>
  <si>
    <t>Họ tên</t>
  </si>
  <si>
    <t>Mã sinh viên</t>
  </si>
  <si>
    <t>Test 1</t>
  </si>
  <si>
    <t>Test 2</t>
  </si>
  <si>
    <t>Test 3</t>
  </si>
  <si>
    <t>trung bình test</t>
  </si>
  <si>
    <t>Bài tập về nhà</t>
  </si>
  <si>
    <t>trung bình giữa HK</t>
  </si>
  <si>
    <t>kết quả</t>
  </si>
  <si>
    <t>Khen thường</t>
  </si>
  <si>
    <t>nguyễn hoàng</t>
  </si>
  <si>
    <t>ĐẠT</t>
  </si>
  <si>
    <t>phuong vỹ</t>
  </si>
  <si>
    <t>KHÔNG ĐẠT</t>
  </si>
  <si>
    <t>thái bảo</t>
  </si>
  <si>
    <t>hoàng minh</t>
  </si>
  <si>
    <t>lê nam</t>
  </si>
  <si>
    <t>hồ trí dũng</t>
  </si>
  <si>
    <t>trần tú</t>
  </si>
  <si>
    <t>phạm tùng</t>
  </si>
  <si>
    <t>trần tú vi</t>
  </si>
  <si>
    <t>nguyễn duy</t>
  </si>
  <si>
    <t>tỉ lệ các bài test</t>
  </si>
  <si>
    <t>điểm thường
 bt về nhà</t>
  </si>
  <si>
    <t>trung bình của lớp</t>
  </si>
  <si>
    <t>F</t>
  </si>
  <si>
    <t>điễm cao nhất</t>
  </si>
  <si>
    <t>D</t>
  </si>
  <si>
    <t>diểm tháp nhất</t>
  </si>
  <si>
    <t>C</t>
  </si>
  <si>
    <t>B</t>
  </si>
  <si>
    <t>A</t>
  </si>
  <si>
    <t xml:space="preserve">                                                                                       </t>
  </si>
  <si>
    <t>Trần Vinh</t>
  </si>
  <si>
    <t>Lê Vinh</t>
  </si>
  <si>
    <t>Phạm Quân</t>
  </si>
  <si>
    <t>Trần Quân</t>
  </si>
  <si>
    <t>Lê Hoàng</t>
  </si>
  <si>
    <t>Lê Quân</t>
  </si>
  <si>
    <t>Lê Viên</t>
  </si>
  <si>
    <t>Lê Văn</t>
  </si>
  <si>
    <t>Lê Thuý</t>
  </si>
  <si>
    <t>Phạm Vinh</t>
  </si>
  <si>
    <t>Trần My</t>
  </si>
  <si>
    <t>Lê Nguyễn</t>
  </si>
  <si>
    <t>Loại</t>
  </si>
  <si>
    <t>11</t>
  </si>
  <si>
    <t>22</t>
  </si>
  <si>
    <t>33</t>
  </si>
  <si>
    <t>44</t>
  </si>
  <si>
    <t>Nguyễn Văn Tâm</t>
  </si>
  <si>
    <t>Nguyễn Thị Hằng</t>
  </si>
  <si>
    <t>Ngô Thị Nga</t>
  </si>
  <si>
    <t>Trần Thiên Thu</t>
  </si>
  <si>
    <t>Lâm Hoàng Cát</t>
  </si>
  <si>
    <t>Lê Hoài Sơn</t>
  </si>
  <si>
    <t>Lý Lâm</t>
  </si>
  <si>
    <t>Trần Văn Trung</t>
  </si>
  <si>
    <t>Nguyễn Văn Tráng</t>
  </si>
  <si>
    <t>Lý Thu Nga</t>
  </si>
  <si>
    <t>Nguyễn Văn Hùng</t>
  </si>
  <si>
    <t>Trần Thi Phượng</t>
  </si>
  <si>
    <t>Võ Công Thành</t>
  </si>
  <si>
    <t>Lê Văn Minh</t>
  </si>
  <si>
    <t>Doãn Hòa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</si>
</sst>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.##0.00_);_(* \(#.##0.00\);_(* &quot;-&quot;??_);_(@_)"/>
    <numFmt numFmtId="165" formatCode="_(* #,##0_);_(* \(#,##0\);_(* &quot;-&quot;??_);_(@_)"/>
    <numFmt numFmtId="166" formatCode="000\-00\-0000"/>
    <numFmt numFmtId="167" formatCode="[$VND]\ #,##0_);\([$VND]\ #,##0\)"/>
  </numFmts>
  <fonts count="38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color theme="1"/>
      <name val="Tahoma"/>
      <family val="2"/>
    </font>
    <font>
      <b/>
      <sz val="14"/>
      <color rgb="FFC00000"/>
      <name val="Times New Roman"/>
      <family val="1"/>
    </font>
    <font>
      <b/>
      <sz val="14"/>
      <color theme="4" tint="-0.499984740745262"/>
      <name val="Times New Roman"/>
      <family val="1"/>
    </font>
    <font>
      <u/>
      <sz val="14"/>
      <name val="Times New Roman"/>
      <family val="1"/>
    </font>
    <font>
      <sz val="16"/>
      <name val="Times New Roman"/>
      <family val="1"/>
    </font>
    <font>
      <sz val="10"/>
      <name val="Calibri"/>
      <family val="2"/>
      <scheme val="minor"/>
    </font>
    <font>
      <b/>
      <sz val="16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0"/>
      <name val="Arial"/>
      <family val="2"/>
    </font>
    <font>
      <b/>
      <sz val="13"/>
      <name val="Arial"/>
      <family val="2"/>
    </font>
    <font>
      <i/>
      <sz val="13"/>
      <name val="Times New Roman"/>
      <family val="1"/>
    </font>
    <font>
      <i/>
      <u/>
      <sz val="13"/>
      <name val="Times New Roman"/>
      <family val="1"/>
    </font>
    <font>
      <i/>
      <sz val="14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20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8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2C2B2B"/>
      <name val="Times New Roman"/>
      <family val="1"/>
    </font>
    <font>
      <sz val="16"/>
      <color theme="1"/>
      <name val="Calibri"/>
      <family val="2"/>
      <scheme val="minor"/>
    </font>
    <font>
      <sz val="12"/>
      <color theme="1"/>
      <name val="Tahoma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8" fillId="0" borderId="0"/>
    <xf numFmtId="164" fontId="12" fillId="0" borderId="0" applyFont="0" applyFill="0" applyBorder="0" applyAlignment="0" applyProtection="0"/>
    <xf numFmtId="0" fontId="17" fillId="0" borderId="28" applyNumberFormat="0" applyFill="0" applyAlignment="0" applyProtection="0"/>
    <xf numFmtId="0" fontId="18" fillId="0" borderId="29" applyNumberFormat="0" applyFill="0" applyAlignment="0" applyProtection="0"/>
    <xf numFmtId="0" fontId="32" fillId="0" borderId="0"/>
  </cellStyleXfs>
  <cellXfs count="13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/>
    <xf numFmtId="14" fontId="2" fillId="4" borderId="1" xfId="0" applyNumberFormat="1" applyFont="1" applyFill="1" applyBorder="1"/>
    <xf numFmtId="0" fontId="2" fillId="4" borderId="2" xfId="0" applyFont="1" applyFill="1" applyBorder="1"/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/>
    <xf numFmtId="14" fontId="1" fillId="0" borderId="7" xfId="0" applyNumberFormat="1" applyFont="1" applyBorder="1" applyAlignment="1">
      <alignment horizontal="center"/>
    </xf>
    <xf numFmtId="0" fontId="2" fillId="0" borderId="8" xfId="0" applyFont="1" applyBorder="1"/>
    <xf numFmtId="0" fontId="1" fillId="0" borderId="7" xfId="0" applyFont="1" applyBorder="1"/>
    <xf numFmtId="49" fontId="1" fillId="0" borderId="7" xfId="0" applyNumberFormat="1" applyFont="1" applyBorder="1" applyAlignment="1">
      <alignment horizontal="center"/>
    </xf>
    <xf numFmtId="0" fontId="1" fillId="0" borderId="9" xfId="0" applyFont="1" applyBorder="1"/>
    <xf numFmtId="0" fontId="2" fillId="0" borderId="10" xfId="0" applyFont="1" applyBorder="1"/>
    <xf numFmtId="49" fontId="1" fillId="0" borderId="9" xfId="0" applyNumberFormat="1" applyFont="1" applyBorder="1" applyAlignment="1">
      <alignment horizontal="center"/>
    </xf>
    <xf numFmtId="0" fontId="1" fillId="8" borderId="7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2" fillId="0" borderId="15" xfId="0" applyFont="1" applyBorder="1"/>
    <xf numFmtId="0" fontId="1" fillId="4" borderId="16" xfId="0" applyFont="1" applyFill="1" applyBorder="1" applyAlignment="1">
      <alignment horizontal="center"/>
    </xf>
    <xf numFmtId="0" fontId="2" fillId="4" borderId="16" xfId="0" applyFont="1" applyFill="1" applyBorder="1"/>
    <xf numFmtId="0" fontId="6" fillId="0" borderId="0" xfId="0" applyFont="1"/>
    <xf numFmtId="0" fontId="7" fillId="0" borderId="0" xfId="0" applyFont="1"/>
    <xf numFmtId="0" fontId="10" fillId="0" borderId="0" xfId="1" applyFont="1"/>
    <xf numFmtId="0" fontId="11" fillId="0" borderId="1" xfId="1" applyFont="1" applyBorder="1"/>
    <xf numFmtId="165" fontId="11" fillId="0" borderId="18" xfId="2" applyNumberFormat="1" applyFont="1" applyFill="1" applyBorder="1"/>
    <xf numFmtId="0" fontId="11" fillId="10" borderId="3" xfId="1" applyFont="1" applyFill="1" applyBorder="1" applyAlignment="1">
      <alignment horizontal="center" vertical="center" wrapText="1"/>
    </xf>
    <xf numFmtId="0" fontId="11" fillId="10" borderId="19" xfId="1" applyFont="1" applyFill="1" applyBorder="1" applyAlignment="1">
      <alignment horizontal="center" vertical="center" wrapText="1"/>
    </xf>
    <xf numFmtId="0" fontId="11" fillId="10" borderId="20" xfId="1" applyFont="1" applyFill="1" applyBorder="1" applyAlignment="1">
      <alignment horizontal="center" vertical="center"/>
    </xf>
    <xf numFmtId="0" fontId="11" fillId="10" borderId="4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14" xfId="1" applyFont="1" applyBorder="1" applyAlignment="1">
      <alignment horizontal="center"/>
    </xf>
    <xf numFmtId="0" fontId="10" fillId="0" borderId="14" xfId="1" applyFont="1" applyBorder="1"/>
    <xf numFmtId="165" fontId="10" fillId="0" borderId="14" xfId="1" applyNumberFormat="1" applyFont="1" applyBorder="1"/>
    <xf numFmtId="0" fontId="10" fillId="0" borderId="7" xfId="1" applyFont="1" applyBorder="1"/>
    <xf numFmtId="165" fontId="10" fillId="0" borderId="14" xfId="2" applyNumberFormat="1" applyFont="1" applyFill="1" applyBorder="1"/>
    <xf numFmtId="165" fontId="10" fillId="0" borderId="21" xfId="2" applyNumberFormat="1" applyFont="1" applyFill="1" applyBorder="1"/>
    <xf numFmtId="165" fontId="10" fillId="0" borderId="8" xfId="1" applyNumberFormat="1" applyFont="1" applyBorder="1"/>
    <xf numFmtId="0" fontId="10" fillId="0" borderId="9" xfId="1" applyFont="1" applyBorder="1"/>
    <xf numFmtId="165" fontId="10" fillId="0" borderId="15" xfId="2" applyNumberFormat="1" applyFont="1" applyFill="1" applyBorder="1"/>
    <xf numFmtId="0" fontId="11" fillId="10" borderId="7" xfId="1" applyFont="1" applyFill="1" applyBorder="1" applyAlignment="1">
      <alignment horizontal="center"/>
    </xf>
    <xf numFmtId="0" fontId="11" fillId="10" borderId="14" xfId="1" applyFont="1" applyFill="1" applyBorder="1" applyAlignment="1">
      <alignment horizontal="center"/>
    </xf>
    <xf numFmtId="0" fontId="11" fillId="10" borderId="8" xfId="1" applyFont="1" applyFill="1" applyBorder="1" applyAlignment="1">
      <alignment horizontal="center"/>
    </xf>
    <xf numFmtId="0" fontId="10" fillId="0" borderId="8" xfId="1" applyFont="1" applyBorder="1"/>
    <xf numFmtId="0" fontId="10" fillId="0" borderId="9" xfId="1" applyFont="1" applyBorder="1" applyAlignment="1">
      <alignment horizontal="center" shrinkToFit="1"/>
    </xf>
    <xf numFmtId="0" fontId="10" fillId="0" borderId="15" xfId="1" applyFont="1" applyBorder="1" applyAlignment="1">
      <alignment horizontal="center" shrinkToFit="1"/>
    </xf>
    <xf numFmtId="0" fontId="10" fillId="0" borderId="10" xfId="1" applyFont="1" applyBorder="1" applyAlignment="1">
      <alignment horizontal="center" shrinkToFit="1"/>
    </xf>
    <xf numFmtId="165" fontId="10" fillId="0" borderId="0" xfId="2" applyNumberFormat="1" applyFont="1" applyFill="1" applyBorder="1"/>
    <xf numFmtId="0" fontId="10" fillId="0" borderId="15" xfId="1" applyFont="1" applyBorder="1"/>
    <xf numFmtId="0" fontId="10" fillId="0" borderId="10" xfId="1" applyFont="1" applyBorder="1"/>
    <xf numFmtId="0" fontId="13" fillId="0" borderId="25" xfId="1" applyFont="1" applyBorder="1"/>
    <xf numFmtId="0" fontId="14" fillId="0" borderId="26" xfId="1" applyFont="1" applyBorder="1"/>
    <xf numFmtId="0" fontId="10" fillId="0" borderId="27" xfId="1" applyFont="1" applyBorder="1"/>
    <xf numFmtId="0" fontId="14" fillId="0" borderId="27" xfId="1" applyFont="1" applyBorder="1"/>
    <xf numFmtId="0" fontId="10" fillId="0" borderId="26" xfId="1" applyFont="1" applyBorder="1"/>
    <xf numFmtId="0" fontId="10" fillId="0" borderId="3" xfId="1" applyFont="1" applyBorder="1"/>
    <xf numFmtId="0" fontId="11" fillId="8" borderId="19" xfId="1" applyFont="1" applyFill="1" applyBorder="1" applyAlignment="1">
      <alignment horizontal="center" shrinkToFit="1"/>
    </xf>
    <xf numFmtId="0" fontId="11" fillId="8" borderId="4" xfId="1" applyFont="1" applyFill="1" applyBorder="1" applyAlignment="1">
      <alignment horizontal="center" shrinkToFit="1"/>
    </xf>
    <xf numFmtId="0" fontId="10" fillId="8" borderId="7" xfId="1" applyFont="1" applyFill="1" applyBorder="1"/>
    <xf numFmtId="0" fontId="15" fillId="0" borderId="0" xfId="1" applyFont="1"/>
    <xf numFmtId="0" fontId="10" fillId="8" borderId="9" xfId="1" applyFont="1" applyFill="1" applyBorder="1"/>
    <xf numFmtId="0" fontId="2" fillId="0" borderId="0" xfId="1" applyFont="1"/>
    <xf numFmtId="0" fontId="2" fillId="0" borderId="0" xfId="1" applyFont="1" applyAlignment="1">
      <alignment horizontal="center" shrinkToFit="1"/>
    </xf>
    <xf numFmtId="0" fontId="6" fillId="0" borderId="0" xfId="1" applyFont="1"/>
    <xf numFmtId="0" fontId="8" fillId="0" borderId="0" xfId="1"/>
    <xf numFmtId="0" fontId="8" fillId="0" borderId="0" xfId="1" applyAlignment="1">
      <alignment horizontal="left"/>
    </xf>
    <xf numFmtId="0" fontId="20" fillId="11" borderId="14" xfId="0" applyFont="1" applyFill="1" applyBorder="1" applyAlignment="1">
      <alignment horizontal="center" vertical="center" wrapText="1"/>
    </xf>
    <xf numFmtId="0" fontId="21" fillId="0" borderId="14" xfId="0" applyFont="1" applyBorder="1"/>
    <xf numFmtId="14" fontId="21" fillId="0" borderId="14" xfId="0" applyNumberFormat="1" applyFont="1" applyBorder="1"/>
    <xf numFmtId="0" fontId="20" fillId="0" borderId="14" xfId="0" applyFont="1" applyBorder="1" applyAlignment="1">
      <alignment horizontal="center" vertical="center"/>
    </xf>
    <xf numFmtId="0" fontId="22" fillId="0" borderId="0" xfId="0" applyFont="1"/>
    <xf numFmtId="0" fontId="23" fillId="0" borderId="0" xfId="0" applyFont="1"/>
    <xf numFmtId="14" fontId="23" fillId="0" borderId="0" xfId="0" applyNumberFormat="1" applyFont="1"/>
    <xf numFmtId="0" fontId="18" fillId="0" borderId="29" xfId="4" applyAlignment="1">
      <alignment horizontal="center"/>
    </xf>
    <xf numFmtId="0" fontId="25" fillId="0" borderId="14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vertical="center"/>
    </xf>
    <xf numFmtId="0" fontId="31" fillId="0" borderId="0" xfId="0" applyFont="1"/>
    <xf numFmtId="0" fontId="34" fillId="0" borderId="0" xfId="5" applyFont="1"/>
    <xf numFmtId="0" fontId="35" fillId="8" borderId="3" xfId="5" applyFont="1" applyFill="1" applyBorder="1" applyAlignment="1">
      <alignment horizontal="center" vertical="center" wrapText="1"/>
    </xf>
    <xf numFmtId="0" fontId="35" fillId="8" borderId="19" xfId="5" applyFont="1" applyFill="1" applyBorder="1" applyAlignment="1">
      <alignment horizontal="center" vertical="center" wrapText="1"/>
    </xf>
    <xf numFmtId="0" fontId="35" fillId="8" borderId="4" xfId="5" applyFont="1" applyFill="1" applyBorder="1" applyAlignment="1">
      <alignment horizontal="center" vertical="center" wrapText="1"/>
    </xf>
    <xf numFmtId="0" fontId="34" fillId="0" borderId="7" xfId="5" applyFont="1" applyBorder="1"/>
    <xf numFmtId="166" fontId="34" fillId="0" borderId="14" xfId="5" applyNumberFormat="1" applyFont="1" applyBorder="1"/>
    <xf numFmtId="0" fontId="34" fillId="0" borderId="14" xfId="5" applyFont="1" applyBorder="1"/>
    <xf numFmtId="0" fontId="34" fillId="0" borderId="8" xfId="5" applyFont="1" applyBorder="1"/>
    <xf numFmtId="0" fontId="34" fillId="0" borderId="9" xfId="5" applyFont="1" applyBorder="1"/>
    <xf numFmtId="166" fontId="34" fillId="0" borderId="15" xfId="5" applyNumberFormat="1" applyFont="1" applyBorder="1"/>
    <xf numFmtId="0" fontId="34" fillId="0" borderId="15" xfId="5" applyFont="1" applyBorder="1"/>
    <xf numFmtId="0" fontId="34" fillId="0" borderId="3" xfId="5" applyFont="1" applyBorder="1"/>
    <xf numFmtId="9" fontId="35" fillId="0" borderId="19" xfId="5" applyNumberFormat="1" applyFont="1" applyBorder="1"/>
    <xf numFmtId="9" fontId="35" fillId="0" borderId="4" xfId="5" applyNumberFormat="1" applyFont="1" applyBorder="1"/>
    <xf numFmtId="0" fontId="35" fillId="0" borderId="14" xfId="5" applyFont="1" applyBorder="1" applyAlignment="1">
      <alignment horizontal="center"/>
    </xf>
    <xf numFmtId="0" fontId="35" fillId="0" borderId="33" xfId="5" applyFont="1" applyBorder="1"/>
    <xf numFmtId="0" fontId="34" fillId="0" borderId="10" xfId="5" applyFont="1" applyBorder="1"/>
    <xf numFmtId="0" fontId="37" fillId="0" borderId="0" xfId="0" applyFont="1"/>
    <xf numFmtId="0" fontId="1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67" fontId="10" fillId="0" borderId="14" xfId="1" applyNumberFormat="1" applyFont="1" applyBorder="1"/>
    <xf numFmtId="0" fontId="10" fillId="0" borderId="7" xfId="1" quotePrefix="1" applyFont="1" applyBorder="1"/>
    <xf numFmtId="0" fontId="10" fillId="0" borderId="9" xfId="1" quotePrefix="1" applyFont="1" applyBorder="1"/>
    <xf numFmtId="0" fontId="21" fillId="0" borderId="14" xfId="0" applyNumberFormat="1" applyFont="1" applyBorder="1"/>
    <xf numFmtId="0" fontId="1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9" fillId="0" borderId="17" xfId="1" applyFont="1" applyBorder="1" applyAlignment="1">
      <alignment horizontal="center"/>
    </xf>
    <xf numFmtId="0" fontId="11" fillId="10" borderId="3" xfId="1" applyFont="1" applyFill="1" applyBorder="1" applyAlignment="1">
      <alignment horizontal="center"/>
    </xf>
    <xf numFmtId="0" fontId="11" fillId="10" borderId="19" xfId="1" applyFont="1" applyFill="1" applyBorder="1" applyAlignment="1">
      <alignment horizontal="center"/>
    </xf>
    <xf numFmtId="0" fontId="11" fillId="10" borderId="4" xfId="1" applyFont="1" applyFill="1" applyBorder="1" applyAlignment="1">
      <alignment horizontal="center"/>
    </xf>
    <xf numFmtId="0" fontId="11" fillId="10" borderId="22" xfId="1" applyFont="1" applyFill="1" applyBorder="1" applyAlignment="1">
      <alignment horizontal="center"/>
    </xf>
    <xf numFmtId="0" fontId="11" fillId="10" borderId="23" xfId="1" applyFont="1" applyFill="1" applyBorder="1" applyAlignment="1">
      <alignment horizontal="center"/>
    </xf>
    <xf numFmtId="0" fontId="11" fillId="10" borderId="24" xfId="1" applyFont="1" applyFill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0" fillId="0" borderId="14" xfId="0" applyFont="1" applyBorder="1" applyAlignment="1">
      <alignment horizontal="center" vertical="center"/>
    </xf>
    <xf numFmtId="0" fontId="24" fillId="0" borderId="28" xfId="3" applyFont="1" applyAlignment="1">
      <alignment horizontal="center"/>
    </xf>
    <xf numFmtId="0" fontId="33" fillId="0" borderId="30" xfId="5" applyFont="1" applyBorder="1" applyAlignment="1">
      <alignment horizontal="center"/>
    </xf>
    <xf numFmtId="0" fontId="35" fillId="0" borderId="31" xfId="5" applyFont="1" applyBorder="1" applyAlignment="1">
      <alignment horizontal="center" wrapText="1"/>
    </xf>
    <xf numFmtId="0" fontId="35" fillId="0" borderId="32" xfId="5" applyFont="1" applyBorder="1" applyAlignment="1">
      <alignment horizontal="center"/>
    </xf>
    <xf numFmtId="0" fontId="36" fillId="8" borderId="16" xfId="5" applyFont="1" applyFill="1" applyBorder="1" applyAlignment="1">
      <alignment horizontal="center"/>
    </xf>
    <xf numFmtId="0" fontId="36" fillId="8" borderId="21" xfId="5" applyFont="1" applyFill="1" applyBorder="1" applyAlignment="1">
      <alignment horizontal="center"/>
    </xf>
  </cellXfs>
  <cellStyles count="6">
    <cellStyle name="Comma 2" xfId="2"/>
    <cellStyle name="Heading 1" xfId="3" builtinId="16"/>
    <cellStyle name="Heading 2" xfId="4" builtinId="17"/>
    <cellStyle name="Normal" xfId="0" builtinId="0"/>
    <cellStyle name="Normal 2" xfId="5"/>
    <cellStyle name="Normal 3" xfId="1"/>
  </cellStyles>
  <dxfs count="3">
    <dxf>
      <font>
        <b/>
        <i/>
        <color rgb="FFFF0000"/>
      </font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6" name="Table6" displayName="Table6" ref="A28:B43" totalsRowShown="0">
  <autoFilter ref="A28:B43">
    <filterColumn colId="1">
      <filters>
        <filter val="Giỏi"/>
      </filters>
    </filterColumn>
  </autoFilter>
  <tableColumns count="2">
    <tableColumn id="1" name="Tên thí sinh"/>
    <tableColumn id="2" name="Loại" dataDxfId="1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I22" sqref="I22"/>
    </sheetView>
  </sheetViews>
  <sheetFormatPr defaultRowHeight="15" x14ac:dyDescent="0.25"/>
  <cols>
    <col min="1" max="1" width="14" customWidth="1"/>
    <col min="2" max="2" width="18.28515625" customWidth="1"/>
    <col min="3" max="3" width="24.42578125" bestFit="1" customWidth="1"/>
    <col min="4" max="4" width="14" customWidth="1"/>
    <col min="5" max="5" width="12.5703125" customWidth="1"/>
    <col min="6" max="6" width="11.42578125" customWidth="1"/>
    <col min="8" max="8" width="16.28515625" bestFit="1" customWidth="1"/>
    <col min="9" max="9" width="24.42578125" bestFit="1" customWidth="1"/>
    <col min="10" max="10" width="10.7109375" bestFit="1" customWidth="1"/>
    <col min="11" max="11" width="12.85546875" customWidth="1"/>
    <col min="12" max="12" width="15.85546875" bestFit="1" customWidth="1"/>
    <col min="15" max="15" width="9" customWidth="1"/>
  </cols>
  <sheetData>
    <row r="1" spans="1:12" ht="18.75" x14ac:dyDescent="0.3">
      <c r="A1" s="115" t="s">
        <v>0</v>
      </c>
      <c r="B1" s="115"/>
      <c r="C1" s="115"/>
      <c r="D1" s="115"/>
      <c r="E1" s="115"/>
      <c r="F1" s="115"/>
      <c r="G1" s="1"/>
      <c r="H1" s="2"/>
      <c r="I1" s="2"/>
      <c r="J1" s="1"/>
    </row>
    <row r="2" spans="1:12" ht="19.5" thickBot="1" x14ac:dyDescent="0.35">
      <c r="A2" s="2"/>
      <c r="B2" s="2"/>
      <c r="C2" s="2"/>
      <c r="D2" s="2"/>
      <c r="E2" s="2"/>
      <c r="F2" s="2"/>
      <c r="G2" s="1"/>
      <c r="J2" s="2"/>
    </row>
    <row r="3" spans="1:12" ht="19.5" thickBot="1" x14ac:dyDescent="0.35">
      <c r="A3" s="3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2"/>
      <c r="H3" s="116" t="s">
        <v>7</v>
      </c>
      <c r="I3" s="117"/>
      <c r="K3" s="116" t="s">
        <v>8</v>
      </c>
      <c r="L3" s="117"/>
    </row>
    <row r="4" spans="1:12" ht="18.75" x14ac:dyDescent="0.3">
      <c r="A4" s="6" t="s">
        <v>9</v>
      </c>
      <c r="B4" s="7" t="s">
        <v>220</v>
      </c>
      <c r="C4" s="8" t="str">
        <f t="shared" ref="C4:C18" si="0">VLOOKUP(LEFT(A4,2),Ten_truong,2,FALSE)</f>
        <v>Năng Khiếu</v>
      </c>
      <c r="D4" s="8" t="str">
        <f t="shared" ref="D4:D18" si="1">HLOOKUP(RIGHT(A4,2),Mon_thi,2,FALSE)</f>
        <v>Tin Học</v>
      </c>
      <c r="E4" s="7">
        <v>8.09</v>
      </c>
      <c r="F4" s="9" t="str">
        <f t="shared" ref="F4:F18" si="2">VLOOKUP(E4,Xep_loai,2,TRUE)</f>
        <v>Giỏi</v>
      </c>
      <c r="G4" s="2"/>
      <c r="H4" s="10" t="s">
        <v>10</v>
      </c>
      <c r="I4" s="11" t="s">
        <v>11</v>
      </c>
      <c r="J4" s="12"/>
      <c r="K4" s="13" t="s">
        <v>12</v>
      </c>
      <c r="L4" s="14" t="s">
        <v>13</v>
      </c>
    </row>
    <row r="5" spans="1:12" ht="18.75" x14ac:dyDescent="0.3">
      <c r="A5" s="15" t="s">
        <v>14</v>
      </c>
      <c r="B5" s="16" t="s">
        <v>221</v>
      </c>
      <c r="C5" s="8" t="str">
        <f t="shared" si="0"/>
        <v>Năng Khiếu</v>
      </c>
      <c r="D5" s="8" t="str">
        <f t="shared" si="1"/>
        <v>Toán</v>
      </c>
      <c r="E5" s="16">
        <v>6.1</v>
      </c>
      <c r="F5" s="9" t="str">
        <f t="shared" si="2"/>
        <v>Trung Bình</v>
      </c>
      <c r="G5" s="2"/>
      <c r="H5" s="17" t="s">
        <v>15</v>
      </c>
      <c r="I5" s="18" t="s">
        <v>16</v>
      </c>
      <c r="J5" s="2"/>
      <c r="K5" s="19">
        <v>5</v>
      </c>
      <c r="L5" s="18" t="s">
        <v>17</v>
      </c>
    </row>
    <row r="6" spans="1:12" ht="18.75" x14ac:dyDescent="0.3">
      <c r="A6" s="6" t="s">
        <v>18</v>
      </c>
      <c r="B6" s="7" t="s">
        <v>222</v>
      </c>
      <c r="C6" s="8" t="str">
        <f t="shared" si="0"/>
        <v>Sư Phạm</v>
      </c>
      <c r="D6" s="8" t="str">
        <f t="shared" si="1"/>
        <v>Sinh ngữ</v>
      </c>
      <c r="E6" s="7">
        <v>6.87</v>
      </c>
      <c r="F6" s="9" t="str">
        <f t="shared" si="2"/>
        <v>Khá</v>
      </c>
      <c r="G6" s="2"/>
      <c r="H6" s="20" t="s">
        <v>19</v>
      </c>
      <c r="I6" s="18" t="s">
        <v>20</v>
      </c>
      <c r="J6" s="2"/>
      <c r="K6" s="19">
        <v>6.5</v>
      </c>
      <c r="L6" s="18" t="s">
        <v>21</v>
      </c>
    </row>
    <row r="7" spans="1:12" ht="18.75" x14ac:dyDescent="0.3">
      <c r="A7" s="15" t="s">
        <v>22</v>
      </c>
      <c r="B7" s="16" t="s">
        <v>223</v>
      </c>
      <c r="C7" s="8" t="str">
        <f t="shared" si="0"/>
        <v>Trần Đại Nghĩa</v>
      </c>
      <c r="D7" s="8" t="str">
        <f t="shared" si="1"/>
        <v>Sinh ngữ</v>
      </c>
      <c r="E7" s="16">
        <v>7.04</v>
      </c>
      <c r="F7" s="9" t="str">
        <f t="shared" si="2"/>
        <v>Khá</v>
      </c>
      <c r="G7" s="2"/>
      <c r="H7" s="20" t="s">
        <v>23</v>
      </c>
      <c r="I7" s="18" t="s">
        <v>24</v>
      </c>
      <c r="J7" s="2"/>
      <c r="K7" s="19">
        <v>8</v>
      </c>
      <c r="L7" s="18" t="s">
        <v>25</v>
      </c>
    </row>
    <row r="8" spans="1:12" ht="19.5" thickBot="1" x14ac:dyDescent="0.35">
      <c r="A8" s="6" t="s">
        <v>26</v>
      </c>
      <c r="B8" s="7" t="s">
        <v>224</v>
      </c>
      <c r="C8" s="8" t="str">
        <f t="shared" si="0"/>
        <v>Gia Định</v>
      </c>
      <c r="D8" s="8" t="str">
        <f t="shared" si="1"/>
        <v>Tin Học</v>
      </c>
      <c r="E8" s="7">
        <v>7.52</v>
      </c>
      <c r="F8" s="9" t="str">
        <f t="shared" si="2"/>
        <v>Khá</v>
      </c>
      <c r="G8" s="2"/>
      <c r="H8" s="20" t="s">
        <v>28</v>
      </c>
      <c r="I8" s="18" t="s">
        <v>29</v>
      </c>
      <c r="J8" s="2"/>
      <c r="K8" s="21">
        <v>9.5</v>
      </c>
      <c r="L8" s="22" t="s">
        <v>30</v>
      </c>
    </row>
    <row r="9" spans="1:12" ht="18.75" x14ac:dyDescent="0.3">
      <c r="A9" s="15" t="s">
        <v>31</v>
      </c>
      <c r="B9" s="16" t="s">
        <v>223</v>
      </c>
      <c r="C9" s="8" t="str">
        <f t="shared" si="0"/>
        <v>Lê Hồng Phong</v>
      </c>
      <c r="D9" s="8" t="str">
        <f t="shared" si="1"/>
        <v>Sinh ngữ</v>
      </c>
      <c r="E9" s="16">
        <v>7.11</v>
      </c>
      <c r="F9" s="9" t="str">
        <f t="shared" si="2"/>
        <v>Khá</v>
      </c>
      <c r="G9" s="2"/>
      <c r="H9" s="20" t="s">
        <v>32</v>
      </c>
      <c r="I9" s="18" t="s">
        <v>33</v>
      </c>
      <c r="J9" s="2"/>
    </row>
    <row r="10" spans="1:12" ht="19.5" thickBot="1" x14ac:dyDescent="0.35">
      <c r="A10" s="6" t="s">
        <v>34</v>
      </c>
      <c r="B10" s="7" t="s">
        <v>225</v>
      </c>
      <c r="C10" s="8" t="str">
        <f t="shared" si="0"/>
        <v>Gia Định</v>
      </c>
      <c r="D10" s="8" t="str">
        <f t="shared" si="1"/>
        <v>Tin Học</v>
      </c>
      <c r="E10" s="7">
        <v>7.89</v>
      </c>
      <c r="F10" s="9" t="str">
        <f t="shared" si="2"/>
        <v>Khá</v>
      </c>
      <c r="G10" s="2"/>
      <c r="H10" s="23" t="s">
        <v>35</v>
      </c>
      <c r="I10" s="22" t="s">
        <v>36</v>
      </c>
      <c r="J10" s="2"/>
    </row>
    <row r="11" spans="1:12" ht="18.75" x14ac:dyDescent="0.3">
      <c r="A11" s="15" t="s">
        <v>37</v>
      </c>
      <c r="B11" s="16" t="s">
        <v>226</v>
      </c>
      <c r="C11" s="8" t="str">
        <f t="shared" si="0"/>
        <v>Trần Đại Nghĩa</v>
      </c>
      <c r="D11" s="8" t="str">
        <f t="shared" si="1"/>
        <v>Toán</v>
      </c>
      <c r="E11" s="16">
        <v>6.1</v>
      </c>
      <c r="F11" s="9" t="str">
        <f t="shared" si="2"/>
        <v>Trung Bình</v>
      </c>
      <c r="G11" s="2"/>
      <c r="H11" s="2"/>
      <c r="I11" s="2"/>
      <c r="J11" s="2"/>
      <c r="K11" s="2"/>
      <c r="L11" s="2"/>
    </row>
    <row r="12" spans="1:12" ht="18.75" x14ac:dyDescent="0.3">
      <c r="A12" s="6" t="s">
        <v>38</v>
      </c>
      <c r="B12" s="7" t="s">
        <v>227</v>
      </c>
      <c r="C12" s="8" t="str">
        <f t="shared" si="0"/>
        <v>Lê Hồng Phong</v>
      </c>
      <c r="D12" s="8" t="str">
        <f t="shared" si="1"/>
        <v>Tin Học</v>
      </c>
      <c r="E12" s="7">
        <v>6.87</v>
      </c>
      <c r="F12" s="9" t="str">
        <f t="shared" si="2"/>
        <v>Khá</v>
      </c>
      <c r="G12" s="2"/>
      <c r="H12" s="118" t="s">
        <v>39</v>
      </c>
      <c r="I12" s="119"/>
      <c r="J12" s="119"/>
      <c r="K12" s="120"/>
    </row>
    <row r="13" spans="1:12" ht="18.75" x14ac:dyDescent="0.3">
      <c r="A13" s="15" t="s">
        <v>40</v>
      </c>
      <c r="B13" s="16" t="s">
        <v>228</v>
      </c>
      <c r="C13" s="8" t="str">
        <f t="shared" si="0"/>
        <v>Năng Khiếu</v>
      </c>
      <c r="D13" s="8" t="str">
        <f t="shared" si="1"/>
        <v>Toán</v>
      </c>
      <c r="E13" s="16">
        <v>8.1999999999999993</v>
      </c>
      <c r="F13" s="9" t="str">
        <f t="shared" si="2"/>
        <v>Giỏi</v>
      </c>
      <c r="G13" s="2"/>
      <c r="H13" s="24" t="s">
        <v>41</v>
      </c>
      <c r="I13" s="25" t="s">
        <v>42</v>
      </c>
      <c r="J13" s="25" t="s">
        <v>43</v>
      </c>
      <c r="K13" s="26" t="s">
        <v>32</v>
      </c>
    </row>
    <row r="14" spans="1:12" ht="19.5" thickBot="1" x14ac:dyDescent="0.35">
      <c r="A14" s="6" t="s">
        <v>40</v>
      </c>
      <c r="B14" s="7" t="s">
        <v>222</v>
      </c>
      <c r="C14" s="8" t="str">
        <f t="shared" si="0"/>
        <v>Năng Khiếu</v>
      </c>
      <c r="D14" s="8" t="str">
        <f t="shared" si="1"/>
        <v>Toán</v>
      </c>
      <c r="E14" s="7">
        <v>9.86</v>
      </c>
      <c r="F14" s="9" t="str">
        <f t="shared" si="2"/>
        <v>Xuất sắc</v>
      </c>
      <c r="G14" s="2"/>
      <c r="H14" s="27" t="s">
        <v>44</v>
      </c>
      <c r="I14" s="28" t="s">
        <v>45</v>
      </c>
      <c r="J14" s="28" t="s">
        <v>46</v>
      </c>
      <c r="K14" s="22" t="s">
        <v>47</v>
      </c>
    </row>
    <row r="15" spans="1:12" ht="18.75" x14ac:dyDescent="0.3">
      <c r="A15" s="15" t="s">
        <v>48</v>
      </c>
      <c r="B15" s="16" t="s">
        <v>229</v>
      </c>
      <c r="C15" s="8" t="str">
        <f t="shared" si="0"/>
        <v>Năng Khiếu</v>
      </c>
      <c r="D15" s="8" t="str">
        <f t="shared" si="1"/>
        <v>Sinh ngữ</v>
      </c>
      <c r="E15" s="16">
        <v>9.66</v>
      </c>
      <c r="F15" s="9" t="str">
        <f t="shared" si="2"/>
        <v>Xuất sắc</v>
      </c>
      <c r="G15" s="2"/>
    </row>
    <row r="16" spans="1:12" ht="18.75" x14ac:dyDescent="0.3">
      <c r="A16" s="6" t="s">
        <v>49</v>
      </c>
      <c r="B16" s="7" t="s">
        <v>230</v>
      </c>
      <c r="C16" s="8" t="str">
        <f t="shared" si="0"/>
        <v>Gia Định</v>
      </c>
      <c r="D16" s="8" t="str">
        <f t="shared" si="1"/>
        <v>Sinh ngữ</v>
      </c>
      <c r="E16" s="7">
        <v>9.8699999999999992</v>
      </c>
      <c r="F16" s="9" t="str">
        <f t="shared" si="2"/>
        <v>Xuất sắc</v>
      </c>
      <c r="G16" s="2"/>
    </row>
    <row r="17" spans="1:7" ht="18.75" x14ac:dyDescent="0.3">
      <c r="A17" s="15" t="s">
        <v>50</v>
      </c>
      <c r="B17" s="16" t="s">
        <v>224</v>
      </c>
      <c r="C17" s="8" t="str">
        <f t="shared" si="0"/>
        <v>Trần Đại Nghĩa</v>
      </c>
      <c r="D17" s="8" t="str">
        <f t="shared" si="1"/>
        <v>Toán</v>
      </c>
      <c r="E17" s="16">
        <v>5.68</v>
      </c>
      <c r="F17" s="9" t="str">
        <f t="shared" si="2"/>
        <v>Trung Bình</v>
      </c>
      <c r="G17" s="2"/>
    </row>
    <row r="18" spans="1:7" ht="18.75" x14ac:dyDescent="0.3">
      <c r="A18" s="29" t="s">
        <v>51</v>
      </c>
      <c r="B18" s="30" t="s">
        <v>231</v>
      </c>
      <c r="C18" s="8" t="str">
        <f t="shared" si="0"/>
        <v>Nguyễn Thượng Hiền</v>
      </c>
      <c r="D18" s="8" t="str">
        <f t="shared" si="1"/>
        <v>Toán</v>
      </c>
      <c r="E18" s="30">
        <v>7.92</v>
      </c>
      <c r="F18" s="9" t="str">
        <f t="shared" si="2"/>
        <v>Khá</v>
      </c>
      <c r="G18" s="2"/>
    </row>
    <row r="19" spans="1:7" ht="18.75" x14ac:dyDescent="0.3">
      <c r="A19" s="31" t="s">
        <v>52</v>
      </c>
      <c r="B19" s="2"/>
      <c r="C19" s="2"/>
      <c r="D19" s="2"/>
      <c r="E19" s="2"/>
      <c r="F19" s="2"/>
      <c r="G19" s="1"/>
    </row>
    <row r="20" spans="1:7" ht="20.25" x14ac:dyDescent="0.3">
      <c r="A20" s="32" t="s">
        <v>53</v>
      </c>
      <c r="B20" s="32"/>
      <c r="C20" s="32"/>
      <c r="D20" s="32"/>
      <c r="E20" s="32"/>
      <c r="F20" s="2"/>
      <c r="G20" s="1"/>
    </row>
    <row r="21" spans="1:7" ht="20.25" x14ac:dyDescent="0.3">
      <c r="A21" s="32" t="s">
        <v>54</v>
      </c>
      <c r="B21" s="32"/>
      <c r="C21" s="32"/>
      <c r="D21" s="32"/>
      <c r="E21" s="32"/>
      <c r="F21" s="2"/>
      <c r="G21" s="1"/>
    </row>
    <row r="22" spans="1:7" ht="20.25" x14ac:dyDescent="0.3">
      <c r="A22" s="32" t="s">
        <v>55</v>
      </c>
      <c r="B22" s="32"/>
      <c r="C22" s="32"/>
      <c r="D22" s="32"/>
      <c r="E22" s="32"/>
      <c r="F22" s="2"/>
      <c r="G22" s="1"/>
    </row>
    <row r="23" spans="1:7" ht="20.25" x14ac:dyDescent="0.3">
      <c r="A23" s="32" t="s">
        <v>56</v>
      </c>
      <c r="B23" s="32"/>
      <c r="C23" s="32"/>
      <c r="D23" s="32"/>
      <c r="E23" s="32"/>
      <c r="F23" s="2"/>
      <c r="G23" s="1"/>
    </row>
    <row r="24" spans="1:7" ht="20.25" x14ac:dyDescent="0.3">
      <c r="A24" s="32" t="s">
        <v>57</v>
      </c>
      <c r="B24" s="32"/>
      <c r="C24" s="32"/>
      <c r="D24" s="32"/>
      <c r="E24" s="32"/>
      <c r="F24" s="2"/>
      <c r="G24" s="1"/>
    </row>
    <row r="25" spans="1:7" ht="20.25" x14ac:dyDescent="0.3">
      <c r="A25" s="32" t="s">
        <v>58</v>
      </c>
      <c r="B25" s="32"/>
      <c r="C25" s="32"/>
      <c r="D25" s="32"/>
      <c r="E25" s="32"/>
      <c r="F25" s="2"/>
      <c r="G25" s="1"/>
    </row>
    <row r="26" spans="1:7" ht="20.25" x14ac:dyDescent="0.3">
      <c r="A26" s="32" t="s">
        <v>59</v>
      </c>
      <c r="B26" s="32"/>
      <c r="C26" s="32"/>
      <c r="D26" s="32"/>
      <c r="E26" s="32"/>
      <c r="F26" s="2"/>
      <c r="G26" s="1"/>
    </row>
    <row r="27" spans="1:7" ht="20.25" x14ac:dyDescent="0.3">
      <c r="A27" s="32"/>
      <c r="B27" s="32"/>
      <c r="C27" s="32"/>
      <c r="D27" s="32"/>
      <c r="E27" s="32"/>
      <c r="F27" s="2"/>
      <c r="G27" s="1"/>
    </row>
    <row r="28" spans="1:7" ht="20.25" x14ac:dyDescent="0.3">
      <c r="A28" s="109" t="s">
        <v>2</v>
      </c>
      <c r="B28" s="110" t="s">
        <v>232</v>
      </c>
      <c r="C28" s="32"/>
      <c r="D28" s="32"/>
      <c r="E28" s="32"/>
      <c r="F28" s="2"/>
      <c r="G28" s="1"/>
    </row>
    <row r="29" spans="1:7" ht="18.75" x14ac:dyDescent="0.3">
      <c r="A29" s="7" t="s">
        <v>220</v>
      </c>
      <c r="B29" s="108" t="s">
        <v>25</v>
      </c>
    </row>
    <row r="30" spans="1:7" ht="18.75" hidden="1" x14ac:dyDescent="0.3">
      <c r="A30" s="16" t="s">
        <v>221</v>
      </c>
      <c r="B30" s="108" t="s">
        <v>17</v>
      </c>
    </row>
    <row r="31" spans="1:7" ht="18.75" hidden="1" x14ac:dyDescent="0.3">
      <c r="A31" s="7" t="s">
        <v>222</v>
      </c>
      <c r="B31" s="108" t="s">
        <v>21</v>
      </c>
    </row>
    <row r="32" spans="1:7" ht="18.75" hidden="1" x14ac:dyDescent="0.3">
      <c r="A32" s="16" t="s">
        <v>223</v>
      </c>
      <c r="B32" s="108" t="s">
        <v>21</v>
      </c>
    </row>
    <row r="33" spans="1:2" ht="18.75" hidden="1" x14ac:dyDescent="0.3">
      <c r="A33" s="7" t="s">
        <v>224</v>
      </c>
      <c r="B33" s="108" t="s">
        <v>21</v>
      </c>
    </row>
    <row r="34" spans="1:2" ht="18.75" hidden="1" x14ac:dyDescent="0.3">
      <c r="A34" s="16" t="s">
        <v>223</v>
      </c>
      <c r="B34" s="108" t="s">
        <v>21</v>
      </c>
    </row>
    <row r="35" spans="1:2" ht="18.75" hidden="1" x14ac:dyDescent="0.3">
      <c r="A35" s="7" t="s">
        <v>225</v>
      </c>
      <c r="B35" s="108" t="s">
        <v>21</v>
      </c>
    </row>
    <row r="36" spans="1:2" ht="18.75" hidden="1" x14ac:dyDescent="0.3">
      <c r="A36" s="16" t="s">
        <v>226</v>
      </c>
      <c r="B36" s="108" t="s">
        <v>17</v>
      </c>
    </row>
    <row r="37" spans="1:2" ht="18.75" hidden="1" x14ac:dyDescent="0.3">
      <c r="A37" s="7" t="s">
        <v>227</v>
      </c>
      <c r="B37" s="2" t="s">
        <v>21</v>
      </c>
    </row>
    <row r="38" spans="1:2" ht="18.75" x14ac:dyDescent="0.3">
      <c r="A38" s="16" t="s">
        <v>228</v>
      </c>
      <c r="B38" s="2" t="s">
        <v>25</v>
      </c>
    </row>
    <row r="39" spans="1:2" ht="18.75" hidden="1" x14ac:dyDescent="0.3">
      <c r="A39" s="7" t="s">
        <v>222</v>
      </c>
      <c r="B39" s="108" t="s">
        <v>30</v>
      </c>
    </row>
    <row r="40" spans="1:2" ht="18.75" hidden="1" x14ac:dyDescent="0.3">
      <c r="A40" s="16" t="s">
        <v>229</v>
      </c>
      <c r="B40" s="108" t="s">
        <v>30</v>
      </c>
    </row>
    <row r="41" spans="1:2" ht="18.75" hidden="1" x14ac:dyDescent="0.3">
      <c r="A41" s="7" t="s">
        <v>230</v>
      </c>
      <c r="B41" s="108" t="s">
        <v>30</v>
      </c>
    </row>
    <row r="42" spans="1:2" ht="18.75" hidden="1" x14ac:dyDescent="0.3">
      <c r="A42" s="16" t="s">
        <v>224</v>
      </c>
      <c r="B42" s="108" t="s">
        <v>17</v>
      </c>
    </row>
    <row r="43" spans="1:2" ht="18.75" hidden="1" x14ac:dyDescent="0.3">
      <c r="A43" s="30" t="s">
        <v>231</v>
      </c>
      <c r="B43" s="108" t="s">
        <v>21</v>
      </c>
    </row>
  </sheetData>
  <autoFilter ref="A3:F26"/>
  <mergeCells count="4">
    <mergeCell ref="A1:F1"/>
    <mergeCell ref="H3:I3"/>
    <mergeCell ref="K3:L3"/>
    <mergeCell ref="H12:K12"/>
  </mergeCells>
  <conditionalFormatting sqref="E4:E18">
    <cfRule type="cellIs" dxfId="2" priority="1" operator="greaterThan">
      <formula>9</formula>
    </cfRule>
  </conditionalFormatting>
  <pageMargins left="0.7" right="0.7" top="0.75" bottom="0.75" header="0.3" footer="0.3"/>
  <pageSetup orientation="portrait" r:id="rId1"/>
  <headerFooter>
    <oddHeader>&amp;LBài tập 1_Chương 5&amp;R4/10/2021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G1" workbookViewId="0">
      <selection activeCell="O5" sqref="O5"/>
    </sheetView>
  </sheetViews>
  <sheetFormatPr defaultColWidth="9.140625" defaultRowHeight="12.75" x14ac:dyDescent="0.2"/>
  <cols>
    <col min="1" max="1" width="13" style="74" customWidth="1"/>
    <col min="2" max="3" width="14.5703125" style="74" customWidth="1"/>
    <col min="4" max="4" width="19.42578125" style="74" customWidth="1"/>
    <col min="5" max="5" width="14.5703125" style="74" customWidth="1"/>
    <col min="6" max="6" width="17.85546875" style="74" customWidth="1"/>
    <col min="7" max="7" width="18.42578125" style="74" customWidth="1"/>
    <col min="8" max="8" width="11" style="74" customWidth="1"/>
    <col min="9" max="9" width="20.42578125" style="74" customWidth="1"/>
    <col min="10" max="10" width="16" style="74" bestFit="1" customWidth="1"/>
    <col min="11" max="11" width="17.42578125" style="74" customWidth="1"/>
    <col min="12" max="12" width="16.140625" style="74" customWidth="1"/>
    <col min="13" max="13" width="17" style="74" customWidth="1"/>
    <col min="14" max="14" width="16.85546875" style="74" customWidth="1"/>
    <col min="15" max="15" width="20.5703125" style="74" customWidth="1"/>
    <col min="16" max="16" width="17.42578125" style="74" customWidth="1"/>
    <col min="17" max="17" width="4.140625" style="74" customWidth="1"/>
    <col min="18" max="18" width="20.7109375" style="74" bestFit="1" customWidth="1"/>
    <col min="19" max="19" width="15.85546875" style="74" customWidth="1"/>
    <col min="20" max="20" width="16.140625" style="74" customWidth="1"/>
    <col min="21" max="21" width="13.85546875" style="74" customWidth="1"/>
    <col min="22" max="16384" width="9.140625" style="74"/>
  </cols>
  <sheetData>
    <row r="1" spans="1:15" s="33" customFormat="1" ht="21" thickBot="1" x14ac:dyDescent="0.35">
      <c r="A1" s="121" t="s">
        <v>60</v>
      </c>
      <c r="B1" s="121"/>
      <c r="C1" s="121"/>
      <c r="D1" s="121"/>
      <c r="E1" s="121"/>
      <c r="F1" s="121"/>
      <c r="G1" s="121"/>
      <c r="I1" s="33" t="s">
        <v>61</v>
      </c>
      <c r="K1" s="34" t="s">
        <v>62</v>
      </c>
      <c r="L1" s="35">
        <v>21070</v>
      </c>
    </row>
    <row r="2" spans="1:15" s="40" customFormat="1" ht="33" x14ac:dyDescent="0.25">
      <c r="A2" s="36" t="s">
        <v>63</v>
      </c>
      <c r="B2" s="36" t="s">
        <v>64</v>
      </c>
      <c r="C2" s="36" t="s">
        <v>65</v>
      </c>
      <c r="D2" s="36" t="s">
        <v>66</v>
      </c>
      <c r="E2" s="36" t="s">
        <v>67</v>
      </c>
      <c r="F2" s="36" t="s">
        <v>68</v>
      </c>
      <c r="G2" s="36" t="s">
        <v>69</v>
      </c>
      <c r="H2" s="33"/>
      <c r="I2" s="36" t="s">
        <v>70</v>
      </c>
      <c r="J2" s="37" t="s">
        <v>71</v>
      </c>
      <c r="K2" s="37" t="s">
        <v>72</v>
      </c>
      <c r="L2" s="38" t="s">
        <v>73</v>
      </c>
      <c r="M2" s="37" t="s">
        <v>74</v>
      </c>
      <c r="N2" s="39" t="s">
        <v>75</v>
      </c>
    </row>
    <row r="3" spans="1:15" s="33" customFormat="1" ht="16.5" x14ac:dyDescent="0.25">
      <c r="A3" s="41" t="s">
        <v>76</v>
      </c>
      <c r="B3" s="42" t="str">
        <f t="shared" ref="B3:B20" si="0">VLOOKUP(LEFT(A3,2),Bang_2,2,FALSE)</f>
        <v>Laptop</v>
      </c>
      <c r="C3" s="42" t="str">
        <f t="shared" ref="C3:C20" si="1">HLOOKUP(MID(A3,3,2),Bang_3,2,FALSE)</f>
        <v>Sony</v>
      </c>
      <c r="D3" s="42" t="str">
        <f t="shared" ref="D3:D20" si="2">VLOOKUP(RIGHT(A3,2),Bang_1,2,FALSE)</f>
        <v>Thúy Hằng</v>
      </c>
      <c r="E3" s="42">
        <v>13</v>
      </c>
      <c r="F3" s="43">
        <f t="shared" ref="F3:F20" si="3">VLOOKUP(LEFT(A3,2),Bang_2,3,FALSE)*Ty_gia</f>
        <v>20332550</v>
      </c>
      <c r="G3" s="111">
        <f>E3*ROUND(F3,-3)</f>
        <v>264329000</v>
      </c>
      <c r="I3" s="112" t="s">
        <v>233</v>
      </c>
      <c r="J3" s="45" t="s">
        <v>77</v>
      </c>
      <c r="K3" s="46">
        <f>SUMIF(D3:D20,"Thúy Hằng",G3:G20)</f>
        <v>727243000</v>
      </c>
      <c r="L3" s="46">
        <f>ROUND(600000+K3*3%,-3)</f>
        <v>22417000</v>
      </c>
      <c r="M3" s="43">
        <f>IF(L3&lt;4000000,0,L3*10%)</f>
        <v>2241700</v>
      </c>
      <c r="N3" s="47">
        <f>L3-M3</f>
        <v>20175300</v>
      </c>
    </row>
    <row r="4" spans="1:15" s="33" customFormat="1" ht="16.5" x14ac:dyDescent="0.25">
      <c r="A4" s="41" t="s">
        <v>78</v>
      </c>
      <c r="B4" s="42" t="str">
        <f t="shared" si="0"/>
        <v>Laptop</v>
      </c>
      <c r="C4" s="42" t="str">
        <f t="shared" si="1"/>
        <v>Toshiba</v>
      </c>
      <c r="D4" s="42" t="str">
        <f t="shared" si="2"/>
        <v>Thanh Long</v>
      </c>
      <c r="E4" s="42">
        <v>25</v>
      </c>
      <c r="F4" s="43">
        <f t="shared" si="3"/>
        <v>20332550</v>
      </c>
      <c r="G4" s="111">
        <f t="shared" ref="G4:G20" si="4">E4*ROUND(F4,-3)</f>
        <v>508325000</v>
      </c>
      <c r="I4" s="112" t="s">
        <v>234</v>
      </c>
      <c r="J4" s="45" t="s">
        <v>79</v>
      </c>
      <c r="K4" s="46">
        <f>SUMIF(D3:D20,"Lan Anh",G3:G20)</f>
        <v>1465632000</v>
      </c>
      <c r="L4" s="46">
        <f t="shared" ref="L4:L6" si="5">ROUND(600000+K4*3%,-3)</f>
        <v>44569000</v>
      </c>
      <c r="M4" s="43">
        <f t="shared" ref="M4:M6" si="6">IF(L4&lt;4000000,0,L4*10%)</f>
        <v>4456900</v>
      </c>
      <c r="N4" s="47">
        <f t="shared" ref="N4:N6" si="7">L4-M4</f>
        <v>40112100</v>
      </c>
    </row>
    <row r="5" spans="1:15" s="33" customFormat="1" ht="16.5" x14ac:dyDescent="0.25">
      <c r="A5" s="41" t="s">
        <v>80</v>
      </c>
      <c r="B5" s="42" t="str">
        <f t="shared" si="0"/>
        <v>Laptop</v>
      </c>
      <c r="C5" s="42" t="str">
        <f t="shared" si="1"/>
        <v>Sony</v>
      </c>
      <c r="D5" s="42" t="str">
        <f t="shared" si="2"/>
        <v>Lan Anh</v>
      </c>
      <c r="E5" s="42">
        <v>31</v>
      </c>
      <c r="F5" s="43">
        <f t="shared" si="3"/>
        <v>20332550</v>
      </c>
      <c r="G5" s="111">
        <f t="shared" si="4"/>
        <v>630323000</v>
      </c>
      <c r="I5" s="112" t="s">
        <v>235</v>
      </c>
      <c r="J5" s="45" t="s">
        <v>81</v>
      </c>
      <c r="K5" s="46">
        <f>SUMIF(D3:D20,"Hải Quân",G3:G20)</f>
        <v>1070128000</v>
      </c>
      <c r="L5" s="46">
        <f t="shared" si="5"/>
        <v>32704000</v>
      </c>
      <c r="M5" s="43">
        <f t="shared" si="6"/>
        <v>3270400</v>
      </c>
      <c r="N5" s="47">
        <f t="shared" si="7"/>
        <v>29433600</v>
      </c>
    </row>
    <row r="6" spans="1:15" s="33" customFormat="1" ht="17.25" thickBot="1" x14ac:dyDescent="0.3">
      <c r="A6" s="41" t="s">
        <v>82</v>
      </c>
      <c r="B6" s="42" t="str">
        <f t="shared" si="0"/>
        <v>Laptop</v>
      </c>
      <c r="C6" s="42" t="str">
        <f t="shared" si="1"/>
        <v>Sony</v>
      </c>
      <c r="D6" s="42" t="str">
        <f t="shared" si="2"/>
        <v>Hải Quân</v>
      </c>
      <c r="E6" s="42">
        <v>33</v>
      </c>
      <c r="F6" s="43">
        <f t="shared" si="3"/>
        <v>20332550</v>
      </c>
      <c r="G6" s="111">
        <f t="shared" si="4"/>
        <v>670989000</v>
      </c>
      <c r="I6" s="113" t="s">
        <v>236</v>
      </c>
      <c r="J6" s="49" t="s">
        <v>83</v>
      </c>
      <c r="K6" s="46">
        <f>SUMIF(D3:D20,"Thanh Long",G3:G20)</f>
        <v>730093000</v>
      </c>
      <c r="L6" s="46">
        <f t="shared" si="5"/>
        <v>22503000</v>
      </c>
      <c r="M6" s="43">
        <f t="shared" si="6"/>
        <v>2250300</v>
      </c>
      <c r="N6" s="47">
        <f t="shared" si="7"/>
        <v>20252700</v>
      </c>
    </row>
    <row r="7" spans="1:15" s="33" customFormat="1" ht="17.25" thickBot="1" x14ac:dyDescent="0.3">
      <c r="A7" s="41" t="s">
        <v>80</v>
      </c>
      <c r="B7" s="42" t="str">
        <f t="shared" si="0"/>
        <v>Laptop</v>
      </c>
      <c r="C7" s="42" t="str">
        <f t="shared" si="1"/>
        <v>Sony</v>
      </c>
      <c r="D7" s="42" t="str">
        <f t="shared" si="2"/>
        <v>Lan Anh</v>
      </c>
      <c r="E7" s="42">
        <v>19</v>
      </c>
      <c r="F7" s="43">
        <f t="shared" si="3"/>
        <v>20332550</v>
      </c>
      <c r="G7" s="111">
        <f t="shared" si="4"/>
        <v>386327000</v>
      </c>
    </row>
    <row r="8" spans="1:15" s="33" customFormat="1" ht="16.5" x14ac:dyDescent="0.25">
      <c r="A8" s="41" t="s">
        <v>84</v>
      </c>
      <c r="B8" s="42" t="str">
        <f t="shared" si="0"/>
        <v>Máy ảnh</v>
      </c>
      <c r="C8" s="42" t="str">
        <f t="shared" si="1"/>
        <v>Toshiba</v>
      </c>
      <c r="D8" s="42" t="str">
        <f t="shared" si="2"/>
        <v>Lan Anh</v>
      </c>
      <c r="E8" s="42">
        <v>14</v>
      </c>
      <c r="F8" s="43">
        <f t="shared" si="3"/>
        <v>6763470</v>
      </c>
      <c r="G8" s="111">
        <f t="shared" si="4"/>
        <v>94682000</v>
      </c>
      <c r="I8" s="122" t="s">
        <v>85</v>
      </c>
      <c r="J8" s="123"/>
      <c r="K8" s="124"/>
      <c r="M8" s="125" t="s">
        <v>86</v>
      </c>
      <c r="N8" s="126"/>
      <c r="O8" s="127"/>
    </row>
    <row r="9" spans="1:15" s="33" customFormat="1" ht="16.5" x14ac:dyDescent="0.25">
      <c r="A9" s="41" t="s">
        <v>87</v>
      </c>
      <c r="B9" s="42" t="str">
        <f t="shared" si="0"/>
        <v>Máy ảnh</v>
      </c>
      <c r="C9" s="42" t="str">
        <f t="shared" si="1"/>
        <v>Panasonic</v>
      </c>
      <c r="D9" s="42" t="str">
        <f t="shared" si="2"/>
        <v>Thanh Long</v>
      </c>
      <c r="E9" s="42">
        <v>31</v>
      </c>
      <c r="F9" s="43">
        <f t="shared" si="3"/>
        <v>6763470</v>
      </c>
      <c r="G9" s="111">
        <f t="shared" si="4"/>
        <v>209653000</v>
      </c>
      <c r="I9" s="50" t="s">
        <v>88</v>
      </c>
      <c r="J9" s="51" t="s">
        <v>89</v>
      </c>
      <c r="K9" s="52" t="s">
        <v>90</v>
      </c>
      <c r="M9" s="50" t="s">
        <v>91</v>
      </c>
      <c r="N9" s="51" t="s">
        <v>92</v>
      </c>
      <c r="O9" s="52" t="s">
        <v>93</v>
      </c>
    </row>
    <row r="10" spans="1:15" s="33" customFormat="1" ht="17.25" thickBot="1" x14ac:dyDescent="0.3">
      <c r="A10" s="41" t="s">
        <v>94</v>
      </c>
      <c r="B10" s="42" t="str">
        <f t="shared" si="0"/>
        <v>Máy ảnh</v>
      </c>
      <c r="C10" s="42" t="str">
        <f t="shared" si="1"/>
        <v>Sony</v>
      </c>
      <c r="D10" s="42" t="str">
        <f t="shared" si="2"/>
        <v>Hải Quân</v>
      </c>
      <c r="E10" s="42">
        <v>24</v>
      </c>
      <c r="F10" s="43">
        <f t="shared" si="3"/>
        <v>6763470</v>
      </c>
      <c r="G10" s="111">
        <f t="shared" si="4"/>
        <v>162312000</v>
      </c>
      <c r="I10" s="44" t="s">
        <v>95</v>
      </c>
      <c r="J10" s="42" t="s">
        <v>96</v>
      </c>
      <c r="K10" s="53">
        <v>115</v>
      </c>
      <c r="M10" s="54" t="s">
        <v>97</v>
      </c>
      <c r="N10" s="55" t="s">
        <v>98</v>
      </c>
      <c r="O10" s="56" t="s">
        <v>99</v>
      </c>
    </row>
    <row r="11" spans="1:15" s="33" customFormat="1" ht="16.5" x14ac:dyDescent="0.25">
      <c r="A11" s="41" t="s">
        <v>100</v>
      </c>
      <c r="B11" s="42" t="str">
        <f t="shared" si="0"/>
        <v>Máy giặt</v>
      </c>
      <c r="C11" s="42" t="str">
        <f t="shared" si="1"/>
        <v>Toshiba</v>
      </c>
      <c r="D11" s="42" t="str">
        <f t="shared" si="2"/>
        <v>Thúy Hằng</v>
      </c>
      <c r="E11" s="42">
        <v>11</v>
      </c>
      <c r="F11" s="43">
        <f t="shared" si="3"/>
        <v>10745700</v>
      </c>
      <c r="G11" s="111">
        <f t="shared" si="4"/>
        <v>118206000</v>
      </c>
      <c r="I11" s="44" t="s">
        <v>101</v>
      </c>
      <c r="J11" s="42" t="s">
        <v>102</v>
      </c>
      <c r="K11" s="53">
        <v>321</v>
      </c>
      <c r="M11" s="57"/>
    </row>
    <row r="12" spans="1:15" s="33" customFormat="1" ht="16.5" x14ac:dyDescent="0.25">
      <c r="A12" s="41" t="s">
        <v>103</v>
      </c>
      <c r="B12" s="42" t="str">
        <f t="shared" si="0"/>
        <v>Máy giặt</v>
      </c>
      <c r="C12" s="42" t="str">
        <f t="shared" si="1"/>
        <v>Panasonic</v>
      </c>
      <c r="D12" s="42" t="str">
        <f t="shared" si="2"/>
        <v>Lan Anh</v>
      </c>
      <c r="E12" s="42">
        <v>21</v>
      </c>
      <c r="F12" s="43">
        <f t="shared" si="3"/>
        <v>10745700</v>
      </c>
      <c r="G12" s="111">
        <f t="shared" si="4"/>
        <v>225666000</v>
      </c>
      <c r="I12" s="44" t="s">
        <v>104</v>
      </c>
      <c r="J12" s="42" t="s">
        <v>105</v>
      </c>
      <c r="K12" s="53">
        <v>185</v>
      </c>
      <c r="M12" s="57"/>
    </row>
    <row r="13" spans="1:15" s="33" customFormat="1" ht="16.5" x14ac:dyDescent="0.25">
      <c r="A13" s="41" t="s">
        <v>100</v>
      </c>
      <c r="B13" s="42" t="str">
        <f t="shared" si="0"/>
        <v>Máy giặt</v>
      </c>
      <c r="C13" s="42" t="str">
        <f t="shared" si="1"/>
        <v>Toshiba</v>
      </c>
      <c r="D13" s="42" t="str">
        <f t="shared" si="2"/>
        <v>Thúy Hằng</v>
      </c>
      <c r="E13" s="42">
        <v>19</v>
      </c>
      <c r="F13" s="43">
        <f t="shared" si="3"/>
        <v>10745700</v>
      </c>
      <c r="G13" s="111">
        <f t="shared" si="4"/>
        <v>204174000</v>
      </c>
      <c r="I13" s="44" t="s">
        <v>106</v>
      </c>
      <c r="J13" s="42" t="s">
        <v>107</v>
      </c>
      <c r="K13" s="53">
        <v>965</v>
      </c>
    </row>
    <row r="14" spans="1:15" s="33" customFormat="1" ht="17.25" thickBot="1" x14ac:dyDescent="0.3">
      <c r="A14" s="41" t="s">
        <v>108</v>
      </c>
      <c r="B14" s="42" t="str">
        <f t="shared" si="0"/>
        <v>Máy lạnh</v>
      </c>
      <c r="C14" s="42" t="str">
        <f t="shared" si="1"/>
        <v>Toshiba</v>
      </c>
      <c r="D14" s="42" t="str">
        <f t="shared" si="2"/>
        <v>Hải Quân</v>
      </c>
      <c r="E14" s="42">
        <v>39</v>
      </c>
      <c r="F14" s="43">
        <f t="shared" si="3"/>
        <v>3897950</v>
      </c>
      <c r="G14" s="111">
        <f t="shared" si="4"/>
        <v>152022000</v>
      </c>
      <c r="I14" s="48" t="s">
        <v>109</v>
      </c>
      <c r="J14" s="58" t="s">
        <v>110</v>
      </c>
      <c r="K14" s="59">
        <v>510</v>
      </c>
    </row>
    <row r="15" spans="1:15" s="33" customFormat="1" ht="17.25" thickBot="1" x14ac:dyDescent="0.3">
      <c r="A15" s="41" t="s">
        <v>111</v>
      </c>
      <c r="B15" s="42" t="str">
        <f t="shared" si="0"/>
        <v>Máy lạnh</v>
      </c>
      <c r="C15" s="42" t="str">
        <f t="shared" si="1"/>
        <v>Panasonic</v>
      </c>
      <c r="D15" s="42" t="str">
        <f t="shared" si="2"/>
        <v>Lan Anh</v>
      </c>
      <c r="E15" s="42">
        <v>33</v>
      </c>
      <c r="F15" s="43">
        <f t="shared" si="3"/>
        <v>3897950</v>
      </c>
      <c r="G15" s="111">
        <f t="shared" si="4"/>
        <v>128634000</v>
      </c>
    </row>
    <row r="16" spans="1:15" s="33" customFormat="1" ht="17.25" thickBot="1" x14ac:dyDescent="0.3">
      <c r="A16" s="41" t="s">
        <v>112</v>
      </c>
      <c r="B16" s="42" t="str">
        <f t="shared" si="0"/>
        <v>Tivi</v>
      </c>
      <c r="C16" s="42" t="str">
        <f t="shared" si="1"/>
        <v>Sony</v>
      </c>
      <c r="D16" s="42" t="str">
        <f t="shared" si="2"/>
        <v>Thúy Hằng</v>
      </c>
      <c r="E16" s="42">
        <v>37</v>
      </c>
      <c r="F16" s="43">
        <f t="shared" si="3"/>
        <v>2423050</v>
      </c>
      <c r="G16" s="111">
        <f t="shared" si="4"/>
        <v>89651000</v>
      </c>
      <c r="I16" s="60" t="s">
        <v>113</v>
      </c>
      <c r="J16" s="61" t="s">
        <v>114</v>
      </c>
      <c r="L16" s="60" t="s">
        <v>115</v>
      </c>
      <c r="M16" s="62"/>
      <c r="N16" s="63" t="s">
        <v>116</v>
      </c>
      <c r="O16" s="64"/>
    </row>
    <row r="17" spans="1:15" s="33" customFormat="1" ht="16.5" x14ac:dyDescent="0.25">
      <c r="A17" s="41" t="s">
        <v>112</v>
      </c>
      <c r="B17" s="42" t="str">
        <f t="shared" si="0"/>
        <v>Tivi</v>
      </c>
      <c r="C17" s="42" t="str">
        <f t="shared" si="1"/>
        <v>Sony</v>
      </c>
      <c r="D17" s="42" t="str">
        <f t="shared" si="2"/>
        <v>Thúy Hằng</v>
      </c>
      <c r="E17" s="42">
        <v>21</v>
      </c>
      <c r="F17" s="43">
        <f t="shared" si="3"/>
        <v>2423050</v>
      </c>
      <c r="G17" s="111">
        <f t="shared" si="4"/>
        <v>50883000</v>
      </c>
      <c r="I17" s="50" t="s">
        <v>89</v>
      </c>
      <c r="J17" s="52" t="s">
        <v>117</v>
      </c>
      <c r="L17" s="65"/>
      <c r="M17" s="66" t="s">
        <v>97</v>
      </c>
      <c r="N17" s="66" t="s">
        <v>98</v>
      </c>
      <c r="O17" s="67" t="s">
        <v>99</v>
      </c>
    </row>
    <row r="18" spans="1:15" s="33" customFormat="1" ht="16.5" x14ac:dyDescent="0.25">
      <c r="A18" s="41" t="s">
        <v>118</v>
      </c>
      <c r="B18" s="42" t="str">
        <f t="shared" si="0"/>
        <v>Tivi</v>
      </c>
      <c r="C18" s="42" t="str">
        <f t="shared" si="1"/>
        <v>Panasonic</v>
      </c>
      <c r="D18" s="42" t="str">
        <f t="shared" si="2"/>
        <v>Thanh Long</v>
      </c>
      <c r="E18" s="42">
        <v>5</v>
      </c>
      <c r="F18" s="43">
        <f t="shared" si="3"/>
        <v>2423050</v>
      </c>
      <c r="G18" s="111">
        <f t="shared" si="4"/>
        <v>12115000</v>
      </c>
      <c r="I18" s="44" t="s">
        <v>96</v>
      </c>
      <c r="J18" s="47">
        <f>SUMIF(B3:B20,"Tivi",G3:G20)</f>
        <v>237454000</v>
      </c>
      <c r="L18" s="68" t="s">
        <v>96</v>
      </c>
      <c r="M18" s="43">
        <f>SUMIFS(G3:G20,B3:B20,"Tivi",C3:C20,"Sony")</f>
        <v>191417000</v>
      </c>
      <c r="N18" s="43">
        <f>SUMIFS(G3:G20,B3:B20,"Tivi",C3:C20,"Toshiba")</f>
        <v>33922000</v>
      </c>
      <c r="O18" s="43">
        <f>SUMIFS(G3:G20,B3:B20,"Tivi",C3:C20,"Panasonic")</f>
        <v>12115000</v>
      </c>
    </row>
    <row r="19" spans="1:15" s="33" customFormat="1" ht="16.5" x14ac:dyDescent="0.25">
      <c r="A19" s="41" t="s">
        <v>119</v>
      </c>
      <c r="B19" s="42" t="str">
        <f t="shared" si="0"/>
        <v>Tivi</v>
      </c>
      <c r="C19" s="42" t="str">
        <f t="shared" si="1"/>
        <v>Toshiba</v>
      </c>
      <c r="D19" s="42" t="str">
        <f t="shared" si="2"/>
        <v>Hải Quân</v>
      </c>
      <c r="E19" s="42">
        <v>14</v>
      </c>
      <c r="F19" s="43">
        <f t="shared" si="3"/>
        <v>2423050</v>
      </c>
      <c r="G19" s="111">
        <f t="shared" si="4"/>
        <v>33922000</v>
      </c>
      <c r="I19" s="44" t="s">
        <v>102</v>
      </c>
      <c r="J19" s="47">
        <f>SUMIF(B3:B20,"Máy ảnh",G3:G20)</f>
        <v>466647000</v>
      </c>
      <c r="L19" s="68" t="s">
        <v>102</v>
      </c>
      <c r="M19" s="43">
        <f>SUMIFS(G3:G20,B3:B20,"Máy ảnh",C3:C20,"Sony")</f>
        <v>162312000</v>
      </c>
      <c r="N19" s="43">
        <f>SUMIFS(G3:G20,B3:B20,"Máy ảnh",C3:C20,"Toshiba")</f>
        <v>94682000</v>
      </c>
      <c r="O19" s="43">
        <f>SUMIFS(G3:G20,B3:B20,"Máy ảnh",C3:C20,"Panasonic")</f>
        <v>209653000</v>
      </c>
    </row>
    <row r="20" spans="1:15" s="33" customFormat="1" ht="16.5" x14ac:dyDescent="0.25">
      <c r="A20" s="41" t="s">
        <v>120</v>
      </c>
      <c r="B20" s="42" t="str">
        <f t="shared" si="0"/>
        <v>Tivi</v>
      </c>
      <c r="C20" s="42" t="str">
        <f t="shared" si="1"/>
        <v>Sony</v>
      </c>
      <c r="D20" s="42" t="str">
        <f t="shared" si="2"/>
        <v>Hải Quân</v>
      </c>
      <c r="E20" s="42">
        <v>21</v>
      </c>
      <c r="F20" s="43">
        <f t="shared" si="3"/>
        <v>2423050</v>
      </c>
      <c r="G20" s="111">
        <f t="shared" si="4"/>
        <v>50883000</v>
      </c>
      <c r="I20" s="44" t="s">
        <v>105</v>
      </c>
      <c r="J20" s="47">
        <f>SUMIF(B3:B20,"Máy lạnh",G3:G20)</f>
        <v>280656000</v>
      </c>
      <c r="L20" s="68" t="s">
        <v>105</v>
      </c>
      <c r="M20" s="43">
        <f>SUMIFS(G3:G20,B3:B20,"Máy lạnh",C3:C20,"Sony")</f>
        <v>0</v>
      </c>
      <c r="N20" s="43">
        <f>SUMIFS(G3:G20,B3:B20,"Máy lạnh",C3:C20,"Toshiba")</f>
        <v>152022000</v>
      </c>
      <c r="O20" s="43">
        <f>SUMIFS(G3:G20,B3:B20,"Máy lạnh",C3:C20,"Panasonic")</f>
        <v>128634000</v>
      </c>
    </row>
    <row r="21" spans="1:15" s="33" customFormat="1" ht="16.5" x14ac:dyDescent="0.25">
      <c r="I21" s="44" t="s">
        <v>107</v>
      </c>
      <c r="J21" s="47">
        <f>SUMIF(B3:B20,"Laptop",G3:G20)</f>
        <v>2460293000</v>
      </c>
      <c r="L21" s="68" t="s">
        <v>107</v>
      </c>
      <c r="M21" s="43">
        <f>SUMIFS(G3:G20,B3:B20,"Laptop",C3:C20,"Sony")</f>
        <v>1951968000</v>
      </c>
      <c r="N21" s="43">
        <f>SUMIFS(G3:G20,B3:B20,"Laptop",C3:C20,"Toshiba")</f>
        <v>508325000</v>
      </c>
      <c r="O21" s="43">
        <f>SUMIFS(G3:G20,B3:B20,"Laptop",C3:C20,"Panasonic")</f>
        <v>0</v>
      </c>
    </row>
    <row r="22" spans="1:15" s="33" customFormat="1" ht="17.25" thickBot="1" x14ac:dyDescent="0.3">
      <c r="A22" s="69" t="s">
        <v>121</v>
      </c>
      <c r="I22" s="48" t="s">
        <v>110</v>
      </c>
      <c r="J22" s="47">
        <f>SUMIF(B3:B20,"Máy giặt",G3:G20)</f>
        <v>548046000</v>
      </c>
      <c r="L22" s="70" t="s">
        <v>110</v>
      </c>
      <c r="M22" s="43">
        <f>SUMIFS(G3:G20,B3:B20,"Máy giặt",C3:C20,"Sony")</f>
        <v>0</v>
      </c>
      <c r="N22" s="43">
        <f>SUMIFS(G3:G20,B3:B20,"Máy giặt",C3:C20,"Toshiba")</f>
        <v>322380000</v>
      </c>
      <c r="O22" s="43">
        <f>SUMIFS(G3:G20,B3:B20,"Máy giặt",C3:C20,"Panasonic")</f>
        <v>225666000</v>
      </c>
    </row>
    <row r="23" spans="1:15" s="71" customFormat="1" ht="18.75" x14ac:dyDescent="0.3">
      <c r="A23" s="71" t="s">
        <v>122</v>
      </c>
    </row>
    <row r="24" spans="1:15" s="71" customFormat="1" ht="18.75" x14ac:dyDescent="0.3">
      <c r="A24" s="71" t="s">
        <v>123</v>
      </c>
    </row>
    <row r="25" spans="1:15" s="71" customFormat="1" ht="18.75" x14ac:dyDescent="0.3">
      <c r="A25" s="71" t="s">
        <v>124</v>
      </c>
    </row>
    <row r="26" spans="1:15" s="71" customFormat="1" ht="18.75" x14ac:dyDescent="0.3">
      <c r="A26" s="71" t="s">
        <v>125</v>
      </c>
      <c r="K26" s="33"/>
    </row>
    <row r="27" spans="1:15" s="71" customFormat="1" ht="18.75" x14ac:dyDescent="0.3">
      <c r="A27" s="71" t="s">
        <v>126</v>
      </c>
      <c r="J27" s="72"/>
      <c r="K27" s="33"/>
    </row>
    <row r="28" spans="1:15" s="71" customFormat="1" ht="18.75" x14ac:dyDescent="0.3">
      <c r="A28" s="71" t="s">
        <v>127</v>
      </c>
      <c r="F28" s="73"/>
      <c r="I28" s="74"/>
      <c r="J28" s="74"/>
      <c r="K28" s="33"/>
    </row>
    <row r="29" spans="1:15" s="71" customFormat="1" ht="18.75" x14ac:dyDescent="0.3">
      <c r="A29" s="71" t="s">
        <v>128</v>
      </c>
      <c r="I29" s="74"/>
      <c r="J29" s="74"/>
      <c r="K29" s="33"/>
    </row>
    <row r="30" spans="1:15" s="71" customFormat="1" ht="18.75" x14ac:dyDescent="0.3">
      <c r="A30" s="71" t="s">
        <v>129</v>
      </c>
      <c r="I30" s="74"/>
      <c r="J30" s="74"/>
      <c r="K30" s="33"/>
    </row>
    <row r="31" spans="1:15" s="71" customFormat="1" ht="18.75" x14ac:dyDescent="0.3">
      <c r="A31" s="71" t="s">
        <v>130</v>
      </c>
      <c r="I31" s="74"/>
      <c r="J31" s="74"/>
    </row>
    <row r="32" spans="1:15" s="71" customFormat="1" ht="18.75" x14ac:dyDescent="0.3">
      <c r="A32" s="71" t="s">
        <v>131</v>
      </c>
      <c r="I32" s="74"/>
      <c r="J32" s="74"/>
    </row>
    <row r="33" spans="1:10" s="71" customFormat="1" ht="18.75" x14ac:dyDescent="0.3">
      <c r="A33" s="71" t="s">
        <v>132</v>
      </c>
      <c r="I33" s="74"/>
      <c r="J33" s="74"/>
    </row>
    <row r="40" spans="1:10" x14ac:dyDescent="0.2">
      <c r="D40" s="75"/>
    </row>
    <row r="41" spans="1:10" x14ac:dyDescent="0.2">
      <c r="D41" s="75"/>
    </row>
    <row r="42" spans="1:10" x14ac:dyDescent="0.2">
      <c r="D42" s="75"/>
    </row>
    <row r="43" spans="1:10" x14ac:dyDescent="0.2">
      <c r="D43" s="75"/>
    </row>
  </sheetData>
  <mergeCells count="3">
    <mergeCell ref="A1:G1"/>
    <mergeCell ref="I8:K8"/>
    <mergeCell ref="M8:O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2" max="2" width="30.42578125" bestFit="1" customWidth="1"/>
    <col min="3" max="3" width="18.42578125" customWidth="1"/>
    <col min="4" max="4" width="12" customWidth="1"/>
    <col min="5" max="5" width="14" customWidth="1"/>
    <col min="6" max="6" width="11.140625" customWidth="1"/>
    <col min="7" max="7" width="17" customWidth="1"/>
    <col min="8" max="8" width="11.7109375" customWidth="1"/>
    <col min="9" max="9" width="12.140625" customWidth="1"/>
    <col min="10" max="10" width="12.85546875" customWidth="1"/>
  </cols>
  <sheetData>
    <row r="1" spans="1:10" ht="25.5" x14ac:dyDescent="0.35">
      <c r="A1" s="128" t="s">
        <v>133</v>
      </c>
      <c r="B1" s="128"/>
      <c r="C1" s="128"/>
      <c r="D1" s="128"/>
      <c r="E1" s="128"/>
      <c r="F1" s="128"/>
      <c r="G1" s="128"/>
      <c r="H1" s="128"/>
      <c r="I1" s="128"/>
      <c r="J1" s="128"/>
    </row>
    <row r="2" spans="1:10" ht="39" x14ac:dyDescent="0.25">
      <c r="A2" s="76" t="s">
        <v>134</v>
      </c>
      <c r="B2" s="76" t="s">
        <v>135</v>
      </c>
      <c r="C2" s="76" t="s">
        <v>136</v>
      </c>
      <c r="D2" s="76" t="s">
        <v>137</v>
      </c>
      <c r="E2" s="76" t="s">
        <v>138</v>
      </c>
      <c r="F2" s="76" t="s">
        <v>139</v>
      </c>
      <c r="G2" s="76" t="s">
        <v>140</v>
      </c>
      <c r="H2" s="76" t="s">
        <v>141</v>
      </c>
      <c r="I2" s="76" t="s">
        <v>17</v>
      </c>
      <c r="J2" s="76" t="s">
        <v>142</v>
      </c>
    </row>
    <row r="3" spans="1:10" ht="19.5" x14ac:dyDescent="0.3">
      <c r="A3" s="77">
        <v>1</v>
      </c>
      <c r="B3" s="77" t="s">
        <v>237</v>
      </c>
      <c r="C3" s="78">
        <v>32781</v>
      </c>
      <c r="D3" s="114">
        <f ca="1">YEAR(NOW())-YEAR(C3)</f>
        <v>32</v>
      </c>
      <c r="E3" s="77">
        <v>4</v>
      </c>
      <c r="F3" s="77">
        <v>5</v>
      </c>
      <c r="G3" s="77">
        <v>3</v>
      </c>
      <c r="H3" s="77">
        <f>SUM(E3:G3)</f>
        <v>12</v>
      </c>
      <c r="I3" s="77">
        <f>ROUND((E3*2+F3*2+G3)/5,0)</f>
        <v>4</v>
      </c>
      <c r="J3" s="77" t="str">
        <f>IF(I3&gt;=5,"đậu","rớt")</f>
        <v>rớt</v>
      </c>
    </row>
    <row r="4" spans="1:10" ht="19.5" x14ac:dyDescent="0.3">
      <c r="A4" s="77">
        <v>2</v>
      </c>
      <c r="B4" s="77" t="s">
        <v>238</v>
      </c>
      <c r="C4" s="78">
        <v>32803</v>
      </c>
      <c r="D4" s="114">
        <f t="shared" ref="D4:D17" ca="1" si="0">YEAR(NOW())-YEAR(C4)</f>
        <v>32</v>
      </c>
      <c r="E4" s="77">
        <v>5</v>
      </c>
      <c r="F4" s="77">
        <v>2</v>
      </c>
      <c r="G4" s="77">
        <v>8</v>
      </c>
      <c r="H4" s="77">
        <f t="shared" ref="H4:H17" si="1">SUM(E4:G4)</f>
        <v>15</v>
      </c>
      <c r="I4" s="77">
        <f t="shared" ref="I4:I17" si="2">ROUND((E4*2+F4*2+G4)/5,0)</f>
        <v>4</v>
      </c>
      <c r="J4" s="77" t="str">
        <f t="shared" ref="J4:J17" si="3">IF(I4&gt;=5,"đậu","rớt")</f>
        <v>rớt</v>
      </c>
    </row>
    <row r="5" spans="1:10" ht="19.5" x14ac:dyDescent="0.3">
      <c r="A5" s="77">
        <v>3</v>
      </c>
      <c r="B5" s="77" t="s">
        <v>239</v>
      </c>
      <c r="C5" s="78">
        <v>33856</v>
      </c>
      <c r="D5" s="114">
        <f t="shared" ca="1" si="0"/>
        <v>29</v>
      </c>
      <c r="E5" s="77">
        <v>6</v>
      </c>
      <c r="F5" s="77">
        <v>6</v>
      </c>
      <c r="G5" s="77">
        <v>6</v>
      </c>
      <c r="H5" s="77">
        <f t="shared" si="1"/>
        <v>18</v>
      </c>
      <c r="I5" s="77">
        <f t="shared" si="2"/>
        <v>6</v>
      </c>
      <c r="J5" s="77" t="str">
        <f t="shared" si="3"/>
        <v>đậu</v>
      </c>
    </row>
    <row r="6" spans="1:10" ht="19.5" x14ac:dyDescent="0.3">
      <c r="A6" s="77">
        <v>4</v>
      </c>
      <c r="B6" s="77" t="s">
        <v>240</v>
      </c>
      <c r="C6" s="78">
        <v>35061</v>
      </c>
      <c r="D6" s="114">
        <f t="shared" ca="1" si="0"/>
        <v>26</v>
      </c>
      <c r="E6" s="77">
        <v>2</v>
      </c>
      <c r="F6" s="77">
        <v>5</v>
      </c>
      <c r="G6" s="77">
        <v>5</v>
      </c>
      <c r="H6" s="77">
        <f t="shared" si="1"/>
        <v>12</v>
      </c>
      <c r="I6" s="77">
        <f t="shared" si="2"/>
        <v>4</v>
      </c>
      <c r="J6" s="77" t="str">
        <f t="shared" si="3"/>
        <v>rớt</v>
      </c>
    </row>
    <row r="7" spans="1:10" ht="19.5" x14ac:dyDescent="0.3">
      <c r="A7" s="77">
        <v>5</v>
      </c>
      <c r="B7" s="77" t="s">
        <v>241</v>
      </c>
      <c r="C7" s="78">
        <v>32383</v>
      </c>
      <c r="D7" s="114">
        <f t="shared" ca="1" si="0"/>
        <v>33</v>
      </c>
      <c r="E7" s="77">
        <v>7</v>
      </c>
      <c r="F7" s="77">
        <v>5</v>
      </c>
      <c r="G7" s="77">
        <v>7</v>
      </c>
      <c r="H7" s="77">
        <f t="shared" si="1"/>
        <v>19</v>
      </c>
      <c r="I7" s="77">
        <f t="shared" si="2"/>
        <v>6</v>
      </c>
      <c r="J7" s="77" t="str">
        <f t="shared" si="3"/>
        <v>đậu</v>
      </c>
    </row>
    <row r="8" spans="1:10" ht="19.5" x14ac:dyDescent="0.3">
      <c r="A8" s="77">
        <v>6</v>
      </c>
      <c r="B8" s="77" t="s">
        <v>242</v>
      </c>
      <c r="C8" s="78">
        <v>33176</v>
      </c>
      <c r="D8" s="114">
        <f t="shared" ca="1" si="0"/>
        <v>31</v>
      </c>
      <c r="E8" s="77">
        <v>8</v>
      </c>
      <c r="F8" s="77">
        <v>5</v>
      </c>
      <c r="G8" s="77">
        <v>7</v>
      </c>
      <c r="H8" s="77">
        <f t="shared" si="1"/>
        <v>20</v>
      </c>
      <c r="I8" s="77">
        <f t="shared" si="2"/>
        <v>7</v>
      </c>
      <c r="J8" s="77" t="str">
        <f t="shared" si="3"/>
        <v>đậu</v>
      </c>
    </row>
    <row r="9" spans="1:10" ht="19.5" x14ac:dyDescent="0.3">
      <c r="A9" s="77">
        <v>7</v>
      </c>
      <c r="B9" s="77" t="s">
        <v>243</v>
      </c>
      <c r="C9" s="78">
        <v>36102</v>
      </c>
      <c r="D9" s="114">
        <f t="shared" ca="1" si="0"/>
        <v>23</v>
      </c>
      <c r="E9" s="77">
        <v>9</v>
      </c>
      <c r="F9" s="77">
        <v>5</v>
      </c>
      <c r="G9" s="77">
        <v>8</v>
      </c>
      <c r="H9" s="77">
        <f t="shared" si="1"/>
        <v>22</v>
      </c>
      <c r="I9" s="77">
        <f t="shared" si="2"/>
        <v>7</v>
      </c>
      <c r="J9" s="77" t="str">
        <f t="shared" si="3"/>
        <v>đậu</v>
      </c>
    </row>
    <row r="10" spans="1:10" ht="19.5" x14ac:dyDescent="0.3">
      <c r="A10" s="77">
        <v>8</v>
      </c>
      <c r="B10" s="77" t="s">
        <v>244</v>
      </c>
      <c r="C10" s="78">
        <v>33140</v>
      </c>
      <c r="D10" s="114">
        <f t="shared" ca="1" si="0"/>
        <v>31</v>
      </c>
      <c r="E10" s="77">
        <v>4</v>
      </c>
      <c r="F10" s="77">
        <v>5</v>
      </c>
      <c r="G10" s="77">
        <v>6</v>
      </c>
      <c r="H10" s="77">
        <f t="shared" si="1"/>
        <v>15</v>
      </c>
      <c r="I10" s="77">
        <f t="shared" si="2"/>
        <v>5</v>
      </c>
      <c r="J10" s="77" t="str">
        <f t="shared" si="3"/>
        <v>đậu</v>
      </c>
    </row>
    <row r="11" spans="1:10" ht="19.5" x14ac:dyDescent="0.3">
      <c r="A11" s="77">
        <v>9</v>
      </c>
      <c r="B11" s="77" t="s">
        <v>245</v>
      </c>
      <c r="C11" s="78">
        <v>35045</v>
      </c>
      <c r="D11" s="114">
        <f t="shared" ca="1" si="0"/>
        <v>26</v>
      </c>
      <c r="E11" s="77">
        <v>6</v>
      </c>
      <c r="F11" s="77">
        <v>5</v>
      </c>
      <c r="G11" s="77">
        <v>5</v>
      </c>
      <c r="H11" s="77">
        <f t="shared" si="1"/>
        <v>16</v>
      </c>
      <c r="I11" s="77">
        <f t="shared" si="2"/>
        <v>5</v>
      </c>
      <c r="J11" s="77" t="str">
        <f t="shared" si="3"/>
        <v>đậu</v>
      </c>
    </row>
    <row r="12" spans="1:10" ht="19.5" x14ac:dyDescent="0.3">
      <c r="A12" s="77">
        <v>10</v>
      </c>
      <c r="B12" s="77" t="s">
        <v>246</v>
      </c>
      <c r="C12" s="78">
        <v>32446</v>
      </c>
      <c r="D12" s="114">
        <f t="shared" ca="1" si="0"/>
        <v>33</v>
      </c>
      <c r="E12" s="77">
        <v>8</v>
      </c>
      <c r="F12" s="77">
        <v>4</v>
      </c>
      <c r="G12" s="77">
        <v>6</v>
      </c>
      <c r="H12" s="77">
        <f t="shared" si="1"/>
        <v>18</v>
      </c>
      <c r="I12" s="77">
        <f t="shared" si="2"/>
        <v>6</v>
      </c>
      <c r="J12" s="77" t="str">
        <f t="shared" si="3"/>
        <v>đậu</v>
      </c>
    </row>
    <row r="13" spans="1:10" ht="19.5" x14ac:dyDescent="0.3">
      <c r="A13" s="77">
        <v>11</v>
      </c>
      <c r="B13" s="77" t="s">
        <v>247</v>
      </c>
      <c r="C13" s="78">
        <v>33137</v>
      </c>
      <c r="D13" s="114">
        <f t="shared" ca="1" si="0"/>
        <v>31</v>
      </c>
      <c r="E13" s="77">
        <v>4</v>
      </c>
      <c r="F13" s="77">
        <v>4</v>
      </c>
      <c r="G13" s="77">
        <v>6</v>
      </c>
      <c r="H13" s="77">
        <f t="shared" si="1"/>
        <v>14</v>
      </c>
      <c r="I13" s="77">
        <f t="shared" si="2"/>
        <v>4</v>
      </c>
      <c r="J13" s="77" t="str">
        <f t="shared" si="3"/>
        <v>rớt</v>
      </c>
    </row>
    <row r="14" spans="1:10" ht="19.5" x14ac:dyDescent="0.3">
      <c r="A14" s="77">
        <v>12</v>
      </c>
      <c r="B14" s="77" t="s">
        <v>248</v>
      </c>
      <c r="C14" s="78">
        <v>33480</v>
      </c>
      <c r="D14" s="114">
        <f t="shared" ca="1" si="0"/>
        <v>30</v>
      </c>
      <c r="E14" s="77">
        <v>7</v>
      </c>
      <c r="F14" s="77">
        <v>7</v>
      </c>
      <c r="G14" s="77">
        <v>6</v>
      </c>
      <c r="H14" s="77">
        <f t="shared" si="1"/>
        <v>20</v>
      </c>
      <c r="I14" s="77">
        <f t="shared" si="2"/>
        <v>7</v>
      </c>
      <c r="J14" s="77" t="str">
        <f t="shared" si="3"/>
        <v>đậu</v>
      </c>
    </row>
    <row r="15" spans="1:10" ht="19.5" x14ac:dyDescent="0.3">
      <c r="A15" s="77">
        <v>13</v>
      </c>
      <c r="B15" s="77" t="s">
        <v>249</v>
      </c>
      <c r="C15" s="78">
        <v>34974</v>
      </c>
      <c r="D15" s="114">
        <f t="shared" ca="1" si="0"/>
        <v>26</v>
      </c>
      <c r="E15" s="77">
        <v>8</v>
      </c>
      <c r="F15" s="77">
        <v>8</v>
      </c>
      <c r="G15" s="77">
        <v>5</v>
      </c>
      <c r="H15" s="77">
        <f t="shared" si="1"/>
        <v>21</v>
      </c>
      <c r="I15" s="77">
        <f t="shared" si="2"/>
        <v>7</v>
      </c>
      <c r="J15" s="77" t="str">
        <f t="shared" si="3"/>
        <v>đậu</v>
      </c>
    </row>
    <row r="16" spans="1:10" ht="19.5" x14ac:dyDescent="0.3">
      <c r="A16" s="77">
        <v>14</v>
      </c>
      <c r="B16" s="77" t="s">
        <v>250</v>
      </c>
      <c r="C16" s="78">
        <v>33126</v>
      </c>
      <c r="D16" s="114">
        <f t="shared" ca="1" si="0"/>
        <v>31</v>
      </c>
      <c r="E16" s="77">
        <v>3</v>
      </c>
      <c r="F16" s="77">
        <v>9</v>
      </c>
      <c r="G16" s="77">
        <v>8</v>
      </c>
      <c r="H16" s="77">
        <f t="shared" si="1"/>
        <v>20</v>
      </c>
      <c r="I16" s="77">
        <f t="shared" si="2"/>
        <v>6</v>
      </c>
      <c r="J16" s="77" t="str">
        <f t="shared" si="3"/>
        <v>đậu</v>
      </c>
    </row>
    <row r="17" spans="1:10" ht="19.5" x14ac:dyDescent="0.3">
      <c r="A17" s="77">
        <v>15</v>
      </c>
      <c r="B17" s="77" t="s">
        <v>251</v>
      </c>
      <c r="C17" s="78">
        <v>32983</v>
      </c>
      <c r="D17" s="114">
        <f t="shared" ca="1" si="0"/>
        <v>31</v>
      </c>
      <c r="E17" s="77">
        <v>5</v>
      </c>
      <c r="F17" s="77">
        <v>8</v>
      </c>
      <c r="G17" s="77">
        <v>9</v>
      </c>
      <c r="H17" s="77">
        <f t="shared" si="1"/>
        <v>22</v>
      </c>
      <c r="I17" s="77">
        <f t="shared" si="2"/>
        <v>7</v>
      </c>
      <c r="J17" s="77" t="str">
        <f t="shared" si="3"/>
        <v>đậu</v>
      </c>
    </row>
    <row r="18" spans="1:10" ht="19.5" x14ac:dyDescent="0.3">
      <c r="A18" s="129" t="s">
        <v>143</v>
      </c>
      <c r="B18" s="129"/>
      <c r="C18" s="79"/>
      <c r="D18" s="79"/>
      <c r="E18" s="77">
        <f>SUM(E3:E17)</f>
        <v>86</v>
      </c>
      <c r="F18" s="77">
        <f>SUM(F3:F17)</f>
        <v>83</v>
      </c>
      <c r="G18" s="77">
        <f>SUM(G3:G17)</f>
        <v>95</v>
      </c>
      <c r="H18" s="77"/>
      <c r="I18" s="77"/>
      <c r="J18" s="77"/>
    </row>
    <row r="19" spans="1:10" ht="19.5" x14ac:dyDescent="0.3">
      <c r="A19" s="129" t="s">
        <v>144</v>
      </c>
      <c r="B19" s="129"/>
      <c r="C19" s="79"/>
      <c r="D19" s="79"/>
      <c r="E19" s="77">
        <f>ROUND(AVERAGE(E3:E17),1)</f>
        <v>5.7</v>
      </c>
      <c r="F19" s="77">
        <f t="shared" ref="F19:G19" si="4">ROUND(AVERAGE(F3:F17),1)</f>
        <v>5.5</v>
      </c>
      <c r="G19" s="77">
        <f t="shared" si="4"/>
        <v>6.3</v>
      </c>
      <c r="H19" s="77"/>
      <c r="I19" s="77"/>
      <c r="J19" s="77"/>
    </row>
    <row r="20" spans="1:10" ht="19.5" x14ac:dyDescent="0.3">
      <c r="A20" s="129" t="s">
        <v>145</v>
      </c>
      <c r="B20" s="129"/>
      <c r="C20" s="79"/>
      <c r="D20" s="79"/>
      <c r="E20" s="77">
        <f>MAX(E3:E17)</f>
        <v>9</v>
      </c>
      <c r="F20" s="77">
        <f t="shared" ref="F20:G20" si="5">MAX(F3:F17)</f>
        <v>9</v>
      </c>
      <c r="G20" s="77">
        <f t="shared" si="5"/>
        <v>9</v>
      </c>
      <c r="H20" s="77"/>
      <c r="I20" s="77"/>
      <c r="J20" s="77"/>
    </row>
    <row r="21" spans="1:10" ht="19.5" x14ac:dyDescent="0.3">
      <c r="A21" s="129" t="s">
        <v>146</v>
      </c>
      <c r="B21" s="129"/>
      <c r="C21" s="79"/>
      <c r="D21" s="79"/>
      <c r="E21" s="77">
        <f>MIN(E3:E17)</f>
        <v>2</v>
      </c>
      <c r="F21" s="77">
        <f t="shared" ref="F21:G21" si="6">MIN(F3:F17)</f>
        <v>2</v>
      </c>
      <c r="G21" s="77">
        <f t="shared" si="6"/>
        <v>3</v>
      </c>
      <c r="H21" s="77"/>
      <c r="I21" s="77"/>
      <c r="J21" s="77"/>
    </row>
    <row r="23" spans="1:10" ht="21" x14ac:dyDescent="0.35">
      <c r="A23" s="80" t="s">
        <v>52</v>
      </c>
    </row>
    <row r="24" spans="1:10" s="81" customFormat="1" ht="20.25" x14ac:dyDescent="0.3">
      <c r="A24" s="81" t="s">
        <v>147</v>
      </c>
    </row>
    <row r="25" spans="1:10" s="81" customFormat="1" ht="20.25" x14ac:dyDescent="0.3">
      <c r="A25" s="81" t="s">
        <v>148</v>
      </c>
      <c r="C25" s="82"/>
    </row>
    <row r="26" spans="1:10" s="81" customFormat="1" ht="20.25" x14ac:dyDescent="0.3">
      <c r="A26" s="81" t="s">
        <v>149</v>
      </c>
    </row>
    <row r="27" spans="1:10" s="81" customFormat="1" ht="20.25" x14ac:dyDescent="0.3">
      <c r="A27" s="81" t="s">
        <v>150</v>
      </c>
    </row>
    <row r="28" spans="1:10" s="81" customFormat="1" ht="20.25" x14ac:dyDescent="0.3">
      <c r="A28" s="81" t="s">
        <v>151</v>
      </c>
    </row>
    <row r="29" spans="1:10" s="81" customFormat="1" ht="20.25" x14ac:dyDescent="0.3">
      <c r="A29" s="81" t="s">
        <v>152</v>
      </c>
    </row>
    <row r="30" spans="1:10" s="81" customFormat="1" ht="20.25" x14ac:dyDescent="0.3">
      <c r="A30" s="81" t="s">
        <v>153</v>
      </c>
    </row>
    <row r="31" spans="1:10" s="81" customFormat="1" ht="20.25" x14ac:dyDescent="0.3">
      <c r="A31" s="81" t="s">
        <v>154</v>
      </c>
    </row>
    <row r="32" spans="1:10" ht="20.25" x14ac:dyDescent="0.3">
      <c r="A32" s="81" t="s">
        <v>155</v>
      </c>
    </row>
  </sheetData>
  <mergeCells count="5">
    <mergeCell ref="A1:J1"/>
    <mergeCell ref="A18:B18"/>
    <mergeCell ref="A19:B19"/>
    <mergeCell ref="A20:B20"/>
    <mergeCell ref="A21:B21"/>
  </mergeCells>
  <conditionalFormatting sqref="E3:I17">
    <cfRule type="cellIs" dxfId="0" priority="1" operator="lessThan">
      <formula>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K17" sqref="K17"/>
    </sheetView>
  </sheetViews>
  <sheetFormatPr defaultRowHeight="15" x14ac:dyDescent="0.25"/>
  <cols>
    <col min="1" max="1" width="9.85546875" customWidth="1"/>
    <col min="2" max="2" width="11.85546875" customWidth="1"/>
    <col min="3" max="3" width="13.140625" customWidth="1"/>
    <col min="4" max="4" width="14.5703125" customWidth="1"/>
    <col min="5" max="5" width="16.28515625" customWidth="1"/>
    <col min="6" max="6" width="19.140625" customWidth="1"/>
    <col min="7" max="7" width="20.42578125" bestFit="1" customWidth="1"/>
    <col min="8" max="8" width="13.85546875" customWidth="1"/>
    <col min="9" max="9" width="26.42578125" customWidth="1"/>
  </cols>
  <sheetData>
    <row r="1" spans="1:9" ht="24" thickBot="1" x14ac:dyDescent="0.4">
      <c r="A1" s="130" t="s">
        <v>156</v>
      </c>
      <c r="B1" s="130"/>
      <c r="C1" s="130"/>
      <c r="D1" s="130"/>
      <c r="E1" s="130"/>
      <c r="F1" s="130"/>
      <c r="G1" s="130"/>
      <c r="H1" s="130"/>
      <c r="I1" s="130"/>
    </row>
    <row r="2" spans="1:9" ht="18.75" thickTop="1" thickBot="1" x14ac:dyDescent="0.35">
      <c r="A2" s="83" t="s">
        <v>157</v>
      </c>
      <c r="B2" s="83" t="s">
        <v>158</v>
      </c>
      <c r="C2" s="83" t="s">
        <v>159</v>
      </c>
      <c r="D2" s="83" t="s">
        <v>160</v>
      </c>
      <c r="E2" s="83" t="s">
        <v>161</v>
      </c>
      <c r="F2" s="83" t="s">
        <v>162</v>
      </c>
      <c r="G2" s="83" t="s">
        <v>163</v>
      </c>
      <c r="H2" s="83" t="s">
        <v>164</v>
      </c>
      <c r="I2" s="83" t="s">
        <v>165</v>
      </c>
    </row>
    <row r="3" spans="1:9" ht="19.5" thickTop="1" x14ac:dyDescent="0.3">
      <c r="A3" s="84"/>
      <c r="B3" s="84" t="s">
        <v>166</v>
      </c>
      <c r="C3" s="84">
        <v>8</v>
      </c>
      <c r="D3" s="84">
        <v>15</v>
      </c>
      <c r="E3" s="84">
        <v>9</v>
      </c>
      <c r="F3" s="84">
        <f>ROUND(AVERAGE(C3:E3),2)</f>
        <v>10.67</v>
      </c>
      <c r="G3" s="84" t="str">
        <f>IF(F3&lt;10,"Fail",IF(AND(F3&gt;=10,F3&lt;12),"Pass",IF(AND(F3&gt;=12,F3&lt;14),"Good",IF(AND(F3&gt;=14,F3&lt;16),"Very Good","Excellent"))))</f>
        <v>Pass</v>
      </c>
      <c r="H3" s="84">
        <f>RANK(F3,$F$3:$F$13,0)</f>
        <v>8</v>
      </c>
      <c r="I3" s="84" t="str">
        <f>IF(AND(F3&gt;12,H3&lt;10),"Một khóa học free 1 tháng","Không đạt điều kiện")</f>
        <v>Không đạt điều kiện</v>
      </c>
    </row>
    <row r="4" spans="1:9" ht="18.75" x14ac:dyDescent="0.3">
      <c r="A4" s="84"/>
      <c r="B4" s="84" t="s">
        <v>167</v>
      </c>
      <c r="C4" s="84">
        <v>4</v>
      </c>
      <c r="D4" s="84">
        <v>15</v>
      </c>
      <c r="E4" s="84">
        <v>16</v>
      </c>
      <c r="F4" s="84">
        <f>ROUND(AVERAGE(C4:E4),2)</f>
        <v>11.67</v>
      </c>
      <c r="G4" s="84" t="str">
        <f t="shared" ref="G4:G13" si="0">IF(F4&lt;10,"Fail",IF(AND(F4&gt;=10,F4&lt;12),"Pass",IF(AND(F4&gt;=12,F4&lt;14),"Good",IF(AND(F4&gt;=14,F4&lt;16),"Very Good","Excellent"))))</f>
        <v>Pass</v>
      </c>
      <c r="H4" s="84">
        <f t="shared" ref="H4:H13" si="1">RANK(F4,$F$3:$F$13,0)</f>
        <v>5</v>
      </c>
      <c r="I4" s="84" t="str">
        <f t="shared" ref="I4:I13" si="2">IF(AND(F4&gt;12,H4&lt;10),"Một khóa học free 1 tháng","Không đạt điều kiện")</f>
        <v>Không đạt điều kiện</v>
      </c>
    </row>
    <row r="5" spans="1:9" ht="18.75" x14ac:dyDescent="0.3">
      <c r="A5" s="84"/>
      <c r="B5" s="84" t="s">
        <v>168</v>
      </c>
      <c r="C5" s="84">
        <v>11</v>
      </c>
      <c r="D5" s="84">
        <v>6</v>
      </c>
      <c r="E5" s="84">
        <v>8</v>
      </c>
      <c r="F5" s="84">
        <f t="shared" ref="F5:F13" si="3">ROUND(AVERAGE(C5:E5),2)</f>
        <v>8.33</v>
      </c>
      <c r="G5" s="84" t="str">
        <f t="shared" si="0"/>
        <v>Fail</v>
      </c>
      <c r="H5" s="84">
        <f t="shared" si="1"/>
        <v>10</v>
      </c>
      <c r="I5" s="84" t="str">
        <f t="shared" si="2"/>
        <v>Không đạt điều kiện</v>
      </c>
    </row>
    <row r="6" spans="1:9" ht="18.75" x14ac:dyDescent="0.3">
      <c r="A6" s="84"/>
      <c r="B6" s="84" t="s">
        <v>169</v>
      </c>
      <c r="C6" s="84">
        <v>17</v>
      </c>
      <c r="D6" s="84">
        <v>16</v>
      </c>
      <c r="E6" s="84">
        <v>3</v>
      </c>
      <c r="F6" s="84">
        <f t="shared" si="3"/>
        <v>12</v>
      </c>
      <c r="G6" s="84" t="str">
        <f t="shared" si="0"/>
        <v>Good</v>
      </c>
      <c r="H6" s="84">
        <f t="shared" si="1"/>
        <v>4</v>
      </c>
      <c r="I6" s="84" t="str">
        <f t="shared" si="2"/>
        <v>Không đạt điều kiện</v>
      </c>
    </row>
    <row r="7" spans="1:9" ht="18.75" x14ac:dyDescent="0.3">
      <c r="A7" s="84"/>
      <c r="B7" s="84" t="s">
        <v>170</v>
      </c>
      <c r="C7" s="84">
        <v>17</v>
      </c>
      <c r="D7" s="84">
        <v>18</v>
      </c>
      <c r="E7" s="84">
        <v>10</v>
      </c>
      <c r="F7" s="84">
        <f t="shared" si="3"/>
        <v>15</v>
      </c>
      <c r="G7" s="84" t="str">
        <f t="shared" si="0"/>
        <v>Very Good</v>
      </c>
      <c r="H7" s="84">
        <f t="shared" si="1"/>
        <v>2</v>
      </c>
      <c r="I7" s="84" t="str">
        <f t="shared" si="2"/>
        <v>Một khóa học free 1 tháng</v>
      </c>
    </row>
    <row r="8" spans="1:9" ht="18.75" x14ac:dyDescent="0.3">
      <c r="A8" s="84"/>
      <c r="B8" s="84" t="s">
        <v>171</v>
      </c>
      <c r="C8" s="84">
        <v>6</v>
      </c>
      <c r="D8" s="84">
        <v>5</v>
      </c>
      <c r="E8" s="84">
        <v>13</v>
      </c>
      <c r="F8" s="84">
        <f t="shared" si="3"/>
        <v>8</v>
      </c>
      <c r="G8" s="84" t="str">
        <f t="shared" si="0"/>
        <v>Fail</v>
      </c>
      <c r="H8" s="84">
        <f t="shared" si="1"/>
        <v>11</v>
      </c>
      <c r="I8" s="84" t="str">
        <f t="shared" si="2"/>
        <v>Không đạt điều kiện</v>
      </c>
    </row>
    <row r="9" spans="1:9" ht="18.75" x14ac:dyDescent="0.3">
      <c r="A9" s="84"/>
      <c r="B9" s="84" t="s">
        <v>172</v>
      </c>
      <c r="C9" s="84">
        <v>18</v>
      </c>
      <c r="D9" s="84">
        <v>19</v>
      </c>
      <c r="E9" s="84">
        <v>15</v>
      </c>
      <c r="F9" s="84">
        <f t="shared" si="3"/>
        <v>17.329999999999998</v>
      </c>
      <c r="G9" s="84" t="str">
        <f t="shared" si="0"/>
        <v>Excellent</v>
      </c>
      <c r="H9" s="84">
        <f t="shared" si="1"/>
        <v>1</v>
      </c>
      <c r="I9" s="84" t="str">
        <f t="shared" si="2"/>
        <v>Một khóa học free 1 tháng</v>
      </c>
    </row>
    <row r="10" spans="1:9" ht="18.75" x14ac:dyDescent="0.3">
      <c r="A10" s="84"/>
      <c r="B10" s="84" t="s">
        <v>173</v>
      </c>
      <c r="C10" s="84">
        <v>15</v>
      </c>
      <c r="D10" s="84">
        <v>8</v>
      </c>
      <c r="E10" s="84">
        <v>6</v>
      </c>
      <c r="F10" s="84">
        <f t="shared" si="3"/>
        <v>9.67</v>
      </c>
      <c r="G10" s="84" t="str">
        <f t="shared" si="0"/>
        <v>Fail</v>
      </c>
      <c r="H10" s="84">
        <f t="shared" si="1"/>
        <v>9</v>
      </c>
      <c r="I10" s="84" t="str">
        <f t="shared" si="2"/>
        <v>Không đạt điều kiện</v>
      </c>
    </row>
    <row r="11" spans="1:9" ht="18.75" x14ac:dyDescent="0.3">
      <c r="A11" s="84"/>
      <c r="B11" s="84" t="s">
        <v>174</v>
      </c>
      <c r="C11" s="84">
        <v>15</v>
      </c>
      <c r="D11" s="84">
        <v>4</v>
      </c>
      <c r="E11" s="84">
        <v>16</v>
      </c>
      <c r="F11" s="84">
        <f t="shared" si="3"/>
        <v>11.67</v>
      </c>
      <c r="G11" s="84" t="str">
        <f t="shared" si="0"/>
        <v>Pass</v>
      </c>
      <c r="H11" s="84">
        <f t="shared" si="1"/>
        <v>5</v>
      </c>
      <c r="I11" s="84" t="str">
        <f t="shared" si="2"/>
        <v>Không đạt điều kiện</v>
      </c>
    </row>
    <row r="12" spans="1:9" ht="18.75" x14ac:dyDescent="0.3">
      <c r="A12" s="84"/>
      <c r="B12" s="84" t="s">
        <v>169</v>
      </c>
      <c r="C12" s="84">
        <v>6</v>
      </c>
      <c r="D12" s="84">
        <v>11</v>
      </c>
      <c r="E12" s="84">
        <v>18</v>
      </c>
      <c r="F12" s="84">
        <f t="shared" si="3"/>
        <v>11.67</v>
      </c>
      <c r="G12" s="84" t="str">
        <f t="shared" si="0"/>
        <v>Pass</v>
      </c>
      <c r="H12" s="84">
        <f t="shared" si="1"/>
        <v>5</v>
      </c>
      <c r="I12" s="84" t="str">
        <f t="shared" si="2"/>
        <v>Không đạt điều kiện</v>
      </c>
    </row>
    <row r="13" spans="1:9" ht="18.75" x14ac:dyDescent="0.3">
      <c r="A13" s="84"/>
      <c r="B13" s="84" t="s">
        <v>175</v>
      </c>
      <c r="C13" s="84">
        <v>16</v>
      </c>
      <c r="D13" s="84">
        <v>17</v>
      </c>
      <c r="E13" s="84">
        <v>5</v>
      </c>
      <c r="F13" s="84">
        <f t="shared" si="3"/>
        <v>12.67</v>
      </c>
      <c r="G13" s="84" t="str">
        <f t="shared" si="0"/>
        <v>Good</v>
      </c>
      <c r="H13" s="84">
        <f t="shared" si="1"/>
        <v>3</v>
      </c>
      <c r="I13" s="84" t="str">
        <f t="shared" si="2"/>
        <v>Một khóa học free 1 tháng</v>
      </c>
    </row>
    <row r="14" spans="1:9" ht="18.75" x14ac:dyDescent="0.3">
      <c r="B14" s="85"/>
      <c r="C14" s="85"/>
      <c r="D14" s="85"/>
      <c r="E14" s="85"/>
    </row>
    <row r="15" spans="1:9" ht="18.75" x14ac:dyDescent="0.3">
      <c r="A15" s="86" t="s">
        <v>121</v>
      </c>
      <c r="C15" s="85"/>
    </row>
    <row r="16" spans="1:9" s="87" customFormat="1" ht="20.25" x14ac:dyDescent="0.3">
      <c r="A16" s="87" t="s">
        <v>176</v>
      </c>
      <c r="B16" s="88"/>
    </row>
    <row r="17" spans="1:3" s="87" customFormat="1" ht="20.25" x14ac:dyDescent="0.3">
      <c r="A17" s="87" t="s">
        <v>177</v>
      </c>
    </row>
    <row r="18" spans="1:3" s="87" customFormat="1" ht="20.25" x14ac:dyDescent="0.3">
      <c r="B18" s="87" t="s">
        <v>178</v>
      </c>
    </row>
    <row r="19" spans="1:3" s="87" customFormat="1" ht="20.25" x14ac:dyDescent="0.3">
      <c r="B19" s="87" t="s">
        <v>179</v>
      </c>
      <c r="C19" s="89"/>
    </row>
    <row r="20" spans="1:3" s="87" customFormat="1" ht="20.25" x14ac:dyDescent="0.3">
      <c r="B20" s="87" t="s">
        <v>180</v>
      </c>
      <c r="C20" s="89"/>
    </row>
    <row r="21" spans="1:3" s="87" customFormat="1" ht="20.25" x14ac:dyDescent="0.3">
      <c r="B21" s="87" t="s">
        <v>181</v>
      </c>
      <c r="C21" s="89"/>
    </row>
    <row r="22" spans="1:3" s="90" customFormat="1" ht="21" x14ac:dyDescent="0.35">
      <c r="B22" s="87" t="s">
        <v>182</v>
      </c>
      <c r="C22" s="89"/>
    </row>
    <row r="23" spans="1:3" s="90" customFormat="1" ht="21" x14ac:dyDescent="0.35">
      <c r="A23" s="87" t="s">
        <v>183</v>
      </c>
      <c r="C23" s="89"/>
    </row>
    <row r="24" spans="1:3" s="90" customFormat="1" ht="21" x14ac:dyDescent="0.35">
      <c r="A24" s="87" t="s">
        <v>184</v>
      </c>
    </row>
    <row r="25" spans="1:3" s="90" customFormat="1" ht="21" x14ac:dyDescent="0.35">
      <c r="A25" s="87" t="s">
        <v>185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F24" sqref="F24"/>
    </sheetView>
  </sheetViews>
  <sheetFormatPr defaultColWidth="9.140625" defaultRowHeight="15" x14ac:dyDescent="0.2"/>
  <cols>
    <col min="1" max="1" width="20" style="91" bestFit="1" customWidth="1"/>
    <col min="2" max="2" width="18" style="91" customWidth="1"/>
    <col min="3" max="4" width="9.140625" style="91"/>
    <col min="5" max="5" width="17.5703125" style="91" customWidth="1"/>
    <col min="6" max="6" width="13.5703125" style="91" customWidth="1"/>
    <col min="7" max="7" width="14.5703125" style="91" customWidth="1"/>
    <col min="8" max="8" width="15.42578125" style="91" customWidth="1"/>
    <col min="9" max="9" width="9.140625" style="91"/>
    <col min="10" max="10" width="14.28515625" style="91" bestFit="1" customWidth="1"/>
    <col min="11" max="16384" width="9.140625" style="91"/>
  </cols>
  <sheetData>
    <row r="1" spans="1:10" ht="21" thickBot="1" x14ac:dyDescent="0.35">
      <c r="A1" s="131" t="s">
        <v>186</v>
      </c>
      <c r="B1" s="131"/>
      <c r="C1" s="131"/>
      <c r="D1" s="131"/>
      <c r="E1" s="131"/>
      <c r="F1" s="131"/>
      <c r="G1" s="131"/>
      <c r="H1" s="131"/>
      <c r="I1" s="131"/>
      <c r="J1" s="131"/>
    </row>
    <row r="2" spans="1:10" ht="31.5" x14ac:dyDescent="0.2">
      <c r="A2" s="92" t="s">
        <v>187</v>
      </c>
      <c r="B2" s="93" t="s">
        <v>188</v>
      </c>
      <c r="C2" s="93" t="s">
        <v>189</v>
      </c>
      <c r="D2" s="93" t="s">
        <v>190</v>
      </c>
      <c r="E2" s="93" t="s">
        <v>191</v>
      </c>
      <c r="F2" s="93" t="s">
        <v>192</v>
      </c>
      <c r="G2" s="93" t="s">
        <v>193</v>
      </c>
      <c r="H2" s="93" t="s">
        <v>194</v>
      </c>
      <c r="I2" s="93" t="s">
        <v>195</v>
      </c>
      <c r="J2" s="94" t="s">
        <v>196</v>
      </c>
    </row>
    <row r="3" spans="1:10" ht="19.5" customHeight="1" x14ac:dyDescent="0.2">
      <c r="A3" s="95" t="s">
        <v>197</v>
      </c>
      <c r="B3" s="96">
        <v>111223</v>
      </c>
      <c r="C3" s="97">
        <v>8</v>
      </c>
      <c r="D3" s="97">
        <v>7.1</v>
      </c>
      <c r="E3" s="97">
        <v>8.4</v>
      </c>
      <c r="F3" s="97"/>
      <c r="G3" s="97" t="s">
        <v>198</v>
      </c>
      <c r="H3" s="97"/>
      <c r="I3" s="97"/>
      <c r="J3" s="98"/>
    </row>
    <row r="4" spans="1:10" ht="19.5" customHeight="1" x14ac:dyDescent="0.2">
      <c r="A4" s="95" t="s">
        <v>199</v>
      </c>
      <c r="B4" s="96">
        <v>444555666</v>
      </c>
      <c r="C4" s="97">
        <v>10</v>
      </c>
      <c r="D4" s="97">
        <v>7</v>
      </c>
      <c r="E4" s="97">
        <v>8</v>
      </c>
      <c r="F4" s="97"/>
      <c r="G4" s="97" t="s">
        <v>200</v>
      </c>
      <c r="H4" s="97"/>
      <c r="I4" s="97"/>
      <c r="J4" s="98"/>
    </row>
    <row r="5" spans="1:10" ht="19.5" customHeight="1" x14ac:dyDescent="0.2">
      <c r="A5" s="95" t="s">
        <v>201</v>
      </c>
      <c r="B5" s="96">
        <v>777889999</v>
      </c>
      <c r="C5" s="97">
        <v>7</v>
      </c>
      <c r="D5" s="97">
        <v>7</v>
      </c>
      <c r="E5" s="97">
        <v>6</v>
      </c>
      <c r="F5" s="97"/>
      <c r="G5" s="97" t="s">
        <v>198</v>
      </c>
      <c r="H5" s="97"/>
      <c r="I5" s="97"/>
      <c r="J5" s="98"/>
    </row>
    <row r="6" spans="1:10" ht="19.5" customHeight="1" x14ac:dyDescent="0.2">
      <c r="A6" s="95" t="s">
        <v>202</v>
      </c>
      <c r="B6" s="96">
        <v>123456789</v>
      </c>
      <c r="C6" s="97">
        <v>6.5</v>
      </c>
      <c r="D6" s="97">
        <v>6.5</v>
      </c>
      <c r="E6" s="97">
        <v>6</v>
      </c>
      <c r="F6" s="97"/>
      <c r="G6" s="97" t="s">
        <v>198</v>
      </c>
      <c r="H6" s="97"/>
      <c r="I6" s="97"/>
      <c r="J6" s="98"/>
    </row>
    <row r="7" spans="1:10" ht="19.5" customHeight="1" x14ac:dyDescent="0.2">
      <c r="A7" s="95" t="s">
        <v>203</v>
      </c>
      <c r="B7" s="96">
        <v>999999999</v>
      </c>
      <c r="C7" s="97">
        <v>7</v>
      </c>
      <c r="D7" s="97">
        <v>7</v>
      </c>
      <c r="E7" s="97">
        <v>6</v>
      </c>
      <c r="F7" s="97"/>
      <c r="G7" s="97" t="s">
        <v>198</v>
      </c>
      <c r="H7" s="97"/>
      <c r="I7" s="97"/>
      <c r="J7" s="98"/>
    </row>
    <row r="8" spans="1:10" ht="19.5" customHeight="1" x14ac:dyDescent="0.2">
      <c r="A8" s="95" t="s">
        <v>204</v>
      </c>
      <c r="B8" s="96">
        <v>888888888</v>
      </c>
      <c r="C8" s="97">
        <v>9</v>
      </c>
      <c r="D8" s="97">
        <v>9</v>
      </c>
      <c r="E8" s="97">
        <v>7</v>
      </c>
      <c r="F8" s="97"/>
      <c r="G8" s="97" t="s">
        <v>198</v>
      </c>
      <c r="H8" s="97"/>
      <c r="I8" s="97"/>
      <c r="J8" s="98"/>
    </row>
    <row r="9" spans="1:10" ht="19.5" customHeight="1" x14ac:dyDescent="0.2">
      <c r="A9" s="95" t="s">
        <v>205</v>
      </c>
      <c r="B9" s="96">
        <v>100000000</v>
      </c>
      <c r="C9" s="97">
        <v>6</v>
      </c>
      <c r="D9" s="97">
        <v>4</v>
      </c>
      <c r="E9" s="97">
        <v>4</v>
      </c>
      <c r="F9" s="97"/>
      <c r="G9" s="97" t="s">
        <v>200</v>
      </c>
      <c r="H9" s="97"/>
      <c r="I9" s="97"/>
      <c r="J9" s="98"/>
    </row>
    <row r="10" spans="1:10" ht="19.5" customHeight="1" x14ac:dyDescent="0.2">
      <c r="A10" s="95" t="s">
        <v>27</v>
      </c>
      <c r="B10" s="96">
        <v>222222222</v>
      </c>
      <c r="C10" s="97">
        <v>7.5</v>
      </c>
      <c r="D10" s="97">
        <v>7</v>
      </c>
      <c r="E10" s="97">
        <v>9.5</v>
      </c>
      <c r="F10" s="97"/>
      <c r="G10" s="97" t="s">
        <v>198</v>
      </c>
      <c r="H10" s="97"/>
      <c r="I10" s="97"/>
      <c r="J10" s="98"/>
    </row>
    <row r="11" spans="1:10" ht="19.5" customHeight="1" x14ac:dyDescent="0.2">
      <c r="A11" s="95" t="s">
        <v>206</v>
      </c>
      <c r="B11" s="96">
        <v>200000000</v>
      </c>
      <c r="C11" s="97">
        <v>8</v>
      </c>
      <c r="D11" s="97">
        <v>9</v>
      </c>
      <c r="E11" s="97">
        <v>7</v>
      </c>
      <c r="F11" s="97"/>
      <c r="G11" s="97" t="s">
        <v>198</v>
      </c>
      <c r="H11" s="97"/>
      <c r="I11" s="97"/>
      <c r="J11" s="98"/>
    </row>
    <row r="12" spans="1:10" ht="19.5" customHeight="1" x14ac:dyDescent="0.2">
      <c r="A12" s="95" t="s">
        <v>207</v>
      </c>
      <c r="B12" s="96">
        <v>444444444</v>
      </c>
      <c r="C12" s="97">
        <v>8.1999999999999993</v>
      </c>
      <c r="D12" s="97">
        <v>7.8</v>
      </c>
      <c r="E12" s="97">
        <v>7.7</v>
      </c>
      <c r="F12" s="97"/>
      <c r="G12" s="97" t="s">
        <v>200</v>
      </c>
      <c r="H12" s="97"/>
      <c r="I12" s="97"/>
      <c r="J12" s="98"/>
    </row>
    <row r="13" spans="1:10" ht="15.75" thickBot="1" x14ac:dyDescent="0.25">
      <c r="A13" s="99" t="s">
        <v>208</v>
      </c>
      <c r="B13" s="100">
        <v>555555555</v>
      </c>
      <c r="C13" s="101">
        <v>6</v>
      </c>
      <c r="D13" s="101">
        <v>8.8000000000000007</v>
      </c>
      <c r="E13" s="101">
        <v>5</v>
      </c>
      <c r="F13" s="97"/>
      <c r="G13" s="101" t="s">
        <v>200</v>
      </c>
      <c r="H13" s="97"/>
      <c r="I13" s="97"/>
      <c r="J13" s="98"/>
    </row>
    <row r="14" spans="1:10" ht="19.5" customHeight="1" x14ac:dyDescent="0.2"/>
    <row r="15" spans="1:10" ht="15.75" thickBot="1" x14ac:dyDescent="0.25"/>
    <row r="16" spans="1:10" ht="18" x14ac:dyDescent="0.25">
      <c r="A16" s="102" t="s">
        <v>209</v>
      </c>
      <c r="B16" s="103">
        <v>0.3</v>
      </c>
      <c r="C16" s="103">
        <v>0.3</v>
      </c>
      <c r="D16" s="104">
        <v>0.4</v>
      </c>
      <c r="E16" s="132" t="s">
        <v>210</v>
      </c>
      <c r="G16" s="134" t="s">
        <v>195</v>
      </c>
      <c r="H16" s="135"/>
    </row>
    <row r="17" spans="1:8" ht="15.75" x14ac:dyDescent="0.25">
      <c r="A17" s="95" t="s">
        <v>211</v>
      </c>
      <c r="B17" s="97"/>
      <c r="C17" s="97"/>
      <c r="D17" s="98"/>
      <c r="E17" s="133"/>
      <c r="G17" s="97">
        <v>0</v>
      </c>
      <c r="H17" s="105" t="s">
        <v>212</v>
      </c>
    </row>
    <row r="18" spans="1:8" ht="16.5" thickBot="1" x14ac:dyDescent="0.3">
      <c r="A18" s="95" t="s">
        <v>213</v>
      </c>
      <c r="B18" s="97"/>
      <c r="C18" s="97"/>
      <c r="D18" s="98"/>
      <c r="E18" s="106">
        <v>3</v>
      </c>
      <c r="G18" s="97">
        <v>6</v>
      </c>
      <c r="H18" s="105" t="s">
        <v>214</v>
      </c>
    </row>
    <row r="19" spans="1:8" ht="16.5" thickBot="1" x14ac:dyDescent="0.3">
      <c r="A19" s="99" t="s">
        <v>215</v>
      </c>
      <c r="B19" s="101"/>
      <c r="C19" s="101"/>
      <c r="D19" s="107"/>
      <c r="G19" s="97">
        <v>7</v>
      </c>
      <c r="H19" s="105" t="s">
        <v>216</v>
      </c>
    </row>
    <row r="20" spans="1:8" ht="15.75" x14ac:dyDescent="0.25">
      <c r="G20" s="97">
        <v>8</v>
      </c>
      <c r="H20" s="105" t="s">
        <v>217</v>
      </c>
    </row>
    <row r="21" spans="1:8" ht="15.75" x14ac:dyDescent="0.25">
      <c r="G21" s="97">
        <v>9</v>
      </c>
      <c r="H21" s="105" t="s">
        <v>218</v>
      </c>
    </row>
    <row r="29" spans="1:8" x14ac:dyDescent="0.2">
      <c r="G29" s="91" t="s">
        <v>219</v>
      </c>
    </row>
  </sheetData>
  <mergeCells count="3">
    <mergeCell ref="A1:J1"/>
    <mergeCell ref="E16:E17"/>
    <mergeCell ref="G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b1</vt:lpstr>
      <vt:lpstr>b2</vt:lpstr>
      <vt:lpstr>b3</vt:lpstr>
      <vt:lpstr>b4</vt:lpstr>
      <vt:lpstr>b5</vt:lpstr>
      <vt:lpstr>Bang_1</vt:lpstr>
      <vt:lpstr>Bang_2</vt:lpstr>
      <vt:lpstr>Bang_3</vt:lpstr>
      <vt:lpstr>Bang_thong_ke</vt:lpstr>
      <vt:lpstr>Mon_thi</vt:lpstr>
      <vt:lpstr>Ten_truong</vt:lpstr>
      <vt:lpstr>Ty_gia</vt:lpstr>
      <vt:lpstr>Xep_loai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Trong Tien</dc:creator>
  <cp:lastModifiedBy>Lenovo</cp:lastModifiedBy>
  <cp:lastPrinted>2021-11-03T19:36:57Z</cp:lastPrinted>
  <dcterms:created xsi:type="dcterms:W3CDTF">2021-11-03T00:51:30Z</dcterms:created>
  <dcterms:modified xsi:type="dcterms:W3CDTF">2021-11-05T12:56:08Z</dcterms:modified>
</cp:coreProperties>
</file>