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11460" tabRatio="723" activeTab="2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  <sheet name="Лист1" sheetId="6" r:id="rId5"/>
  </sheets>
  <calcPr calcId="162913"/>
  <pivotCaches>
    <pivotCache cacheId="0" r:id="rId6"/>
    <pivotCache cacheId="1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3" l="1"/>
  <c r="G40" i="3"/>
  <c r="G41" i="3"/>
  <c r="G42" i="3"/>
  <c r="G43" i="3"/>
  <c r="G44" i="3"/>
  <c r="G45" i="3"/>
  <c r="G46" i="3"/>
  <c r="G47" i="3"/>
  <c r="G48" i="3"/>
  <c r="G49" i="3"/>
  <c r="G38" i="3"/>
  <c r="H38" i="3"/>
  <c r="B49" i="3"/>
  <c r="B48" i="3"/>
  <c r="B47" i="3"/>
  <c r="B46" i="3"/>
  <c r="B45" i="3"/>
  <c r="B44" i="3"/>
  <c r="B43" i="3"/>
  <c r="B42" i="3"/>
  <c r="B41" i="3"/>
  <c r="B40" i="3"/>
  <c r="B39" i="3"/>
  <c r="B38" i="3"/>
  <c r="G39" i="2" l="1"/>
  <c r="G40" i="2"/>
  <c r="G41" i="2"/>
  <c r="G42" i="2"/>
  <c r="G43" i="2"/>
  <c r="G44" i="2"/>
  <c r="G38" i="2"/>
  <c r="G27" i="2"/>
  <c r="G28" i="2"/>
  <c r="G29" i="2"/>
  <c r="G30" i="2"/>
  <c r="G31" i="2"/>
  <c r="G32" i="2"/>
  <c r="G26" i="2"/>
  <c r="G30" i="3"/>
  <c r="E30" i="3"/>
  <c r="F30" i="3" s="1"/>
  <c r="D30" i="3"/>
  <c r="D29" i="3"/>
  <c r="A29" i="3"/>
  <c r="G29" i="3" s="1"/>
  <c r="G28" i="3"/>
  <c r="E28" i="3"/>
  <c r="F28" i="3" s="1"/>
  <c r="D28" i="3"/>
  <c r="G27" i="3"/>
  <c r="E27" i="3"/>
  <c r="F27" i="3" s="1"/>
  <c r="D27" i="3"/>
  <c r="G26" i="3"/>
  <c r="E26" i="3"/>
  <c r="F26" i="3" s="1"/>
  <c r="D26" i="3"/>
  <c r="G25" i="3"/>
  <c r="E25" i="3"/>
  <c r="F25" i="3" s="1"/>
  <c r="D25" i="3"/>
  <c r="G24" i="3"/>
  <c r="F24" i="3"/>
  <c r="E24" i="3"/>
  <c r="D24" i="3"/>
  <c r="G23" i="3"/>
  <c r="E23" i="3"/>
  <c r="F23" i="3" s="1"/>
  <c r="D23" i="3"/>
  <c r="G22" i="3"/>
  <c r="F22" i="3"/>
  <c r="E22" i="3"/>
  <c r="D22" i="3"/>
  <c r="G21" i="3"/>
  <c r="E21" i="3"/>
  <c r="F21" i="3" s="1"/>
  <c r="D21" i="3"/>
  <c r="G20" i="3"/>
  <c r="E20" i="3"/>
  <c r="F20" i="3" s="1"/>
  <c r="D20" i="3"/>
  <c r="G19" i="3"/>
  <c r="E19" i="3"/>
  <c r="F19" i="3" s="1"/>
  <c r="D19" i="3"/>
  <c r="G18" i="3"/>
  <c r="F18" i="3"/>
  <c r="E18" i="3"/>
  <c r="D18" i="3"/>
  <c r="H18" i="3" s="1"/>
  <c r="G17" i="3"/>
  <c r="E17" i="3"/>
  <c r="F17" i="3" s="1"/>
  <c r="D17" i="3"/>
  <c r="G16" i="3"/>
  <c r="F16" i="3"/>
  <c r="E16" i="3"/>
  <c r="D16" i="3"/>
  <c r="G15" i="3"/>
  <c r="E15" i="3"/>
  <c r="F15" i="3" s="1"/>
  <c r="D15" i="3"/>
  <c r="G14" i="3"/>
  <c r="F14" i="3"/>
  <c r="E14" i="3"/>
  <c r="D14" i="3"/>
  <c r="G13" i="3"/>
  <c r="E13" i="3"/>
  <c r="F13" i="3" s="1"/>
  <c r="D13" i="3"/>
  <c r="G12" i="3"/>
  <c r="E12" i="3"/>
  <c r="F12" i="3" s="1"/>
  <c r="D12" i="3"/>
  <c r="G11" i="3"/>
  <c r="E11" i="3"/>
  <c r="F11" i="3" s="1"/>
  <c r="D11" i="3"/>
  <c r="G10" i="3"/>
  <c r="E10" i="3"/>
  <c r="F10" i="3" s="1"/>
  <c r="D10" i="3"/>
  <c r="G9" i="3"/>
  <c r="E9" i="3"/>
  <c r="F9" i="3" s="1"/>
  <c r="D9" i="3"/>
  <c r="G8" i="3"/>
  <c r="F8" i="3"/>
  <c r="E8" i="3"/>
  <c r="D8" i="3"/>
  <c r="G7" i="3"/>
  <c r="E7" i="3"/>
  <c r="F7" i="3" s="1"/>
  <c r="D7" i="3"/>
  <c r="G6" i="3"/>
  <c r="F6" i="3"/>
  <c r="E6" i="3"/>
  <c r="D6" i="3"/>
  <c r="G5" i="3"/>
  <c r="E5" i="3"/>
  <c r="F5" i="3" s="1"/>
  <c r="D5" i="3"/>
  <c r="G4" i="3"/>
  <c r="E4" i="3"/>
  <c r="F4" i="3" s="1"/>
  <c r="D4" i="3"/>
  <c r="G3" i="3"/>
  <c r="E3" i="3"/>
  <c r="F3" i="3" s="1"/>
  <c r="D3" i="3"/>
  <c r="G2" i="3"/>
  <c r="E2" i="3"/>
  <c r="F2" i="3" s="1"/>
  <c r="D2" i="3"/>
  <c r="P6" i="3"/>
  <c r="P5" i="3"/>
  <c r="P4" i="3"/>
  <c r="P3" i="3"/>
  <c r="P2" i="3"/>
  <c r="C38" i="3"/>
  <c r="H26" i="3" l="1"/>
  <c r="H8" i="3"/>
  <c r="H9" i="3"/>
  <c r="H16" i="3"/>
  <c r="H17" i="3"/>
  <c r="H24" i="3"/>
  <c r="H25" i="3"/>
  <c r="E29" i="3"/>
  <c r="F29" i="3" s="1"/>
  <c r="H29" i="3" s="1"/>
  <c r="H10" i="3"/>
  <c r="H6" i="3"/>
  <c r="H7" i="3"/>
  <c r="H14" i="3"/>
  <c r="H15" i="3"/>
  <c r="H22" i="3"/>
  <c r="H23" i="3"/>
  <c r="H2" i="3"/>
  <c r="H4" i="3"/>
  <c r="H5" i="3"/>
  <c r="H12" i="3"/>
  <c r="H13" i="3"/>
  <c r="H20" i="3"/>
  <c r="H21" i="3"/>
  <c r="H28" i="3"/>
  <c r="H30" i="3"/>
  <c r="H3" i="3"/>
  <c r="H11" i="3"/>
  <c r="H19" i="3"/>
  <c r="H27" i="3"/>
  <c r="C45" i="3"/>
  <c r="C39" i="3"/>
  <c r="C44" i="3"/>
  <c r="C41" i="3"/>
  <c r="C46" i="3"/>
  <c r="C40" i="3"/>
  <c r="C49" i="3"/>
  <c r="C43" i="3"/>
  <c r="C48" i="3"/>
  <c r="C42" i="3"/>
  <c r="C47" i="3"/>
  <c r="D64" i="3" l="1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40" i="3" l="1"/>
  <c r="W2" i="3" l="1"/>
  <c r="S6" i="3" l="1"/>
  <c r="S4" i="3"/>
  <c r="S2" i="3"/>
  <c r="S5" i="3"/>
  <c r="S3" i="3"/>
  <c r="S7" i="3"/>
  <c r="D55" i="3"/>
  <c r="B55" i="3" l="1"/>
  <c r="B56" i="3"/>
  <c r="B57" i="3"/>
  <c r="B58" i="3"/>
  <c r="B59" i="3"/>
  <c r="F55" i="3" l="1"/>
  <c r="A3" i="4"/>
  <c r="A4" i="4"/>
  <c r="A5" i="4"/>
  <c r="A6" i="4"/>
  <c r="A7" i="4"/>
  <c r="A8" i="4"/>
  <c r="A9" i="4"/>
  <c r="A10" i="4"/>
  <c r="A11" i="4"/>
  <c r="A12" i="4"/>
  <c r="A13" i="4"/>
  <c r="A2" i="4"/>
  <c r="F38" i="3" s="1"/>
  <c r="C69" i="3" l="1"/>
  <c r="G69" i="3" s="1"/>
  <c r="C65" i="3"/>
  <c r="G65" i="3" s="1"/>
  <c r="C67" i="3"/>
  <c r="G67" i="3" s="1"/>
  <c r="C64" i="3"/>
  <c r="G64" i="3" s="1"/>
  <c r="C68" i="3"/>
  <c r="G68" i="3" s="1"/>
  <c r="C70" i="3"/>
  <c r="G70" i="3" s="1"/>
  <c r="C66" i="3"/>
  <c r="G66" i="3" s="1"/>
  <c r="F49" i="3"/>
  <c r="F41" i="3"/>
  <c r="F47" i="3"/>
  <c r="F42" i="3"/>
  <c r="F48" i="3"/>
  <c r="F43" i="3"/>
  <c r="F39" i="3"/>
  <c r="F46" i="3"/>
  <c r="F45" i="3"/>
  <c r="F44" i="3"/>
  <c r="F40" i="3"/>
  <c r="T7" i="3"/>
  <c r="D56" i="3"/>
  <c r="D57" i="3"/>
  <c r="H57" i="3" s="1"/>
  <c r="I55" i="3" s="1"/>
  <c r="D58" i="3"/>
  <c r="H58" i="3" s="1"/>
  <c r="I56" i="3" s="1"/>
  <c r="D59" i="3"/>
  <c r="H43" i="3" l="1"/>
  <c r="H41" i="3"/>
  <c r="H40" i="3"/>
  <c r="H39" i="3"/>
  <c r="H47" i="3"/>
  <c r="H44" i="3"/>
  <c r="H45" i="3"/>
  <c r="H48" i="3"/>
  <c r="H49" i="3"/>
  <c r="H46" i="3"/>
  <c r="H42" i="3"/>
  <c r="C50" i="3"/>
  <c r="D38" i="3"/>
  <c r="I38" i="3"/>
  <c r="F59" i="3"/>
  <c r="F57" i="3"/>
  <c r="F58" i="3"/>
  <c r="G55" i="3"/>
  <c r="H55" i="3" s="1"/>
  <c r="I53" i="3" s="1"/>
  <c r="F56" i="3"/>
  <c r="B50" i="3"/>
  <c r="I48" i="3" l="1"/>
  <c r="I42" i="3"/>
  <c r="I41" i="3"/>
  <c r="I46" i="3"/>
  <c r="I44" i="3"/>
  <c r="H50" i="3"/>
  <c r="I47" i="3"/>
  <c r="I49" i="3"/>
  <c r="I43" i="3"/>
  <c r="I45" i="3"/>
  <c r="I40" i="3"/>
  <c r="C75" i="3"/>
  <c r="G75" i="3" s="1"/>
  <c r="C77" i="3"/>
  <c r="G77" i="3" s="1"/>
  <c r="C74" i="3"/>
  <c r="G74" i="3" s="1"/>
  <c r="C76" i="3"/>
  <c r="G76" i="3" s="1"/>
  <c r="C78" i="3"/>
  <c r="G78" i="3" s="1"/>
  <c r="C71" i="3"/>
  <c r="G71" i="3" s="1"/>
  <c r="C73" i="3"/>
  <c r="G73" i="3" s="1"/>
  <c r="C72" i="3"/>
  <c r="G72" i="3" s="1"/>
  <c r="C87" i="3"/>
  <c r="G87" i="3" s="1"/>
  <c r="C89" i="3"/>
  <c r="G89" i="3" s="1"/>
  <c r="C86" i="3"/>
  <c r="G86" i="3" s="1"/>
  <c r="C88" i="3"/>
  <c r="G88" i="3" s="1"/>
  <c r="C79" i="3"/>
  <c r="G79" i="3" s="1"/>
  <c r="C81" i="3"/>
  <c r="G81" i="3" s="1"/>
  <c r="C83" i="3"/>
  <c r="G83" i="3" s="1"/>
  <c r="C85" i="3"/>
  <c r="G85" i="3" s="1"/>
  <c r="C80" i="3"/>
  <c r="G80" i="3" s="1"/>
  <c r="C82" i="3"/>
  <c r="G82" i="3" s="1"/>
  <c r="C84" i="3"/>
  <c r="G84" i="3" s="1"/>
  <c r="I39" i="3"/>
  <c r="G50" i="3"/>
  <c r="G56" i="3"/>
  <c r="H56" i="3" s="1"/>
  <c r="I54" i="3" s="1"/>
  <c r="G59" i="3"/>
  <c r="H59" i="3" s="1"/>
  <c r="I57" i="3" s="1"/>
  <c r="D47" i="3"/>
  <c r="D48" i="3"/>
  <c r="D49" i="3"/>
  <c r="G60" i="3" l="1"/>
  <c r="T2" i="3"/>
  <c r="T6" i="3"/>
  <c r="T3" i="3"/>
  <c r="V3" i="3" l="1"/>
  <c r="V2" i="3"/>
  <c r="S8" i="3"/>
  <c r="T5" i="3"/>
  <c r="V5" i="3" s="1"/>
  <c r="T4" i="3"/>
  <c r="D39" i="3"/>
  <c r="V6" i="3"/>
  <c r="D42" i="3"/>
  <c r="I43" i="2"/>
  <c r="I42" i="2"/>
  <c r="I39" i="2"/>
  <c r="I38" i="2"/>
  <c r="I12" i="2"/>
  <c r="I13" i="2"/>
  <c r="I14" i="2"/>
  <c r="I15" i="2"/>
  <c r="I16" i="2"/>
  <c r="I17" i="2"/>
  <c r="I18" i="2"/>
  <c r="V4" i="3" l="1"/>
  <c r="V7" i="3" s="1"/>
  <c r="D45" i="3"/>
  <c r="D46" i="3"/>
  <c r="D41" i="3"/>
  <c r="D43" i="3"/>
  <c r="D44" i="3"/>
  <c r="I40" i="2"/>
  <c r="I44" i="2"/>
  <c r="I41" i="2"/>
  <c r="I32" i="2"/>
  <c r="I31" i="2"/>
  <c r="I30" i="2"/>
  <c r="I29" i="2"/>
  <c r="I28" i="2"/>
  <c r="I27" i="2"/>
  <c r="I26" i="2"/>
  <c r="D50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<sst xmlns="http://schemas.openxmlformats.org/spreadsheetml/2006/main" count="372" uniqueCount="113">
  <si>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</si>
  <si>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</si>
  <si>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</si>
  <si>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</si>
  <si>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</si>
  <si>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</si>
  <si>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</si>
  <si>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</si>
  <si>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</si>
  <si>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</si>
  <si>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</si>
  <si>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</si>
  <si>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</si>
  <si>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</si>
  <si>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</si>
  <si>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</si>
  <si>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</si>
  <si>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</si>
  <si>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</si>
  <si>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</si>
  <si>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</si>
  <si>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Подтверждение максимума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</si>
  <si>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</si>
  <si>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</si>
  <si>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</si>
  <si>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</si>
  <si>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</si>
  <si>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</si>
  <si>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</si>
  <si>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</si>
  <si>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</si>
  <si>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</si>
  <si>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</si>
  <si>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</si>
  <si>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</si>
  <si>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</si>
  <si>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</si>
  <si>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</si>
  <si>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</si>
  <si>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</si>
  <si>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</si>
  <si>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</si>
  <si>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</si>
  <si>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</si>
  <si>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</si>
  <si>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</si>
  <si>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</si>
  <si>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</si>
  <si>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</si>
  <si>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</si>
  <si>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</si>
  <si>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</si>
  <si>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</si>
  <si>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</si>
  <si>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</si>
  <si>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</si>
  <si>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</si>
  <si>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</si>
  <si>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</si>
  <si>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</si>
  <si>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</si>
  <si>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</si>
  <si>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</si>
  <si>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</si>
  <si>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</si>
  <si>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</si>
  <si>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</si>
  <si>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</si>
  <si>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</si>
  <si>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</si>
  <si>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</si>
  <si>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</si>
  <si>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</si>
  <si>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</si>
  <si>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</si>
  <si>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</si>
  <si>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</si>
  <si>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</si>
  <si>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</si>
  <si>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</si>
  <si>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</si>
  <si>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</si>
  <si>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</si>
  <si>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</si>
  <si>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</si>
  <si>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</si>
  <si>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Профиль</t>
  </si>
  <si>
    <t>Continue</t>
  </si>
  <si>
    <t>Filling_out_the_form</t>
  </si>
  <si>
    <t>log_out</t>
  </si>
  <si>
    <t>Open_sign_up_now</t>
  </si>
  <si>
    <t>Профиль для 10 пользаков</t>
  </si>
  <si>
    <t>open_homepage</t>
  </si>
  <si>
    <t>log_in</t>
  </si>
  <si>
    <t>open_flights</t>
  </si>
  <si>
    <t>find_flight</t>
  </si>
  <si>
    <t>flight_selection</t>
  </si>
  <si>
    <t>Itinerary_Button</t>
  </si>
  <si>
    <t>select_booking</t>
  </si>
  <si>
    <t>(пусто)</t>
  </si>
  <si>
    <t>01_Reg_new_user</t>
  </si>
  <si>
    <t>02_booking_a_ticket</t>
  </si>
  <si>
    <t>03_Log_in_Log_out</t>
  </si>
  <si>
    <t>04_Ticket search</t>
  </si>
  <si>
    <t>05_viewing the flight route</t>
  </si>
  <si>
    <t>06_Cancellation_of_booking</t>
  </si>
  <si>
    <t>Action_Transaction</t>
  </si>
  <si>
    <t>Open_homepage</t>
  </si>
  <si>
    <t>Поиск максимума 3 ступень</t>
  </si>
  <si>
    <t>Тест подтверждения</t>
  </si>
  <si>
    <t>Тест поиска максимума 3 ступень</t>
  </si>
  <si>
    <t>Расчетная интенсивность запросов / 1 час</t>
  </si>
  <si>
    <t xml:space="preserve">Тест подтверждения максимума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</si>
</sst>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78">
    <xf numFmtId="0" fontId="0" fillId="0" borderId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1" fillId="0" borderId="0"/>
    <xf numFmtId="0" fontId="22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6" borderId="6" applyNumberFormat="0" applyAlignment="0" applyProtection="0"/>
    <xf numFmtId="0" fontId="27" fillId="7" borderId="7" applyNumberFormat="0" applyAlignment="0" applyProtection="0"/>
    <xf numFmtId="0" fontId="28" fillId="7" borderId="6" applyNumberFormat="0" applyAlignment="0" applyProtection="0"/>
    <xf numFmtId="0" fontId="29" fillId="0" borderId="8" applyNumberFormat="0" applyFill="0" applyAlignment="0" applyProtection="0"/>
    <xf numFmtId="0" fontId="30" fillId="8" borderId="9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33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33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33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33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33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33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9" borderId="10" applyNumberFormat="0" applyFont="0" applyAlignment="0" applyProtection="0"/>
    <xf numFmtId="9" fontId="34" fillId="0" borderId="0" applyFont="0" applyFill="0" applyBorder="0" applyAlignment="0" applyProtection="0"/>
    <xf numFmtId="0" fontId="9" fillId="0" borderId="0"/>
    <xf numFmtId="0" fontId="38" fillId="4" borderId="0" applyNumberFormat="0" applyBorder="0" applyAlignment="0" applyProtection="0"/>
    <xf numFmtId="0" fontId="9" fillId="9" borderId="10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33" fillId="13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33" fillId="17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33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33" fillId="2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33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33" fillId="33" borderId="0" applyNumberFormat="0" applyBorder="0" applyAlignment="0" applyProtection="0"/>
    <xf numFmtId="0" fontId="8" fillId="0" borderId="0"/>
    <xf numFmtId="0" fontId="8" fillId="9" borderId="10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3">
    <xf numFmtId="0" fontId="0" fillId="0" borderId="0" xfId="0"/>
    <xf numFmtId="0" fontId="19" fillId="5" borderId="1" xfId="0" applyFont="1" applyFill="1" applyBorder="1" applyAlignment="1">
      <alignment horizontal="center" vertical="top" wrapText="1"/>
    </xf>
    <xf numFmtId="0" fontId="20" fillId="0" borderId="2" xfId="0" applyFont="1" applyBorder="1" applyAlignment="1">
      <alignment horizontal="left" vertical="top" wrapText="1"/>
    </xf>
    <xf numFmtId="0" fontId="18" fillId="0" borderId="2" xfId="4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10" fontId="19" fillId="0" borderId="2" xfId="0" applyNumberFormat="1" applyFont="1" applyBorder="1" applyAlignment="1">
      <alignment horizontal="center" vertical="top"/>
    </xf>
    <xf numFmtId="10" fontId="21" fillId="0" borderId="2" xfId="0" applyNumberFormat="1" applyFont="1" applyBorder="1" applyAlignment="1">
      <alignment horizontal="center" vertical="top"/>
    </xf>
    <xf numFmtId="10" fontId="21" fillId="0" borderId="2" xfId="0" applyNumberFormat="1" applyFont="1" applyBorder="1" applyAlignment="1">
      <alignment horizontal="left" vertical="top"/>
    </xf>
    <xf numFmtId="0" fontId="19" fillId="5" borderId="2" xfId="0" applyFont="1" applyFill="1" applyBorder="1" applyAlignment="1">
      <alignment horizontal="left" vertical="top"/>
    </xf>
    <xf numFmtId="0" fontId="10" fillId="0" borderId="2" xfId="42" applyBorder="1"/>
    <xf numFmtId="0" fontId="19" fillId="0" borderId="2" xfId="0" applyFont="1" applyBorder="1" applyAlignment="1">
      <alignment horizontal="left" vertical="top"/>
    </xf>
    <xf numFmtId="10" fontId="19" fillId="0" borderId="2" xfId="0" applyNumberFormat="1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9" fontId="0" fillId="0" borderId="2" xfId="44" applyFont="1" applyBorder="1"/>
    <xf numFmtId="9" fontId="0" fillId="38" borderId="2" xfId="44" applyFont="1" applyFill="1" applyBorder="1"/>
    <xf numFmtId="0" fontId="14" fillId="0" borderId="2" xfId="0" applyFont="1" applyBorder="1" applyAlignment="1">
      <alignment vertical="center" wrapText="1"/>
    </xf>
    <xf numFmtId="0" fontId="0" fillId="40" borderId="2" xfId="0" applyFill="1" applyBorder="1"/>
    <xf numFmtId="165" fontId="0" fillId="41" borderId="2" xfId="0" applyNumberFormat="1" applyFill="1" applyBorder="1"/>
    <xf numFmtId="1" fontId="0" fillId="35" borderId="2" xfId="0" applyNumberFormat="1" applyFill="1" applyBorder="1"/>
    <xf numFmtId="0" fontId="14" fillId="39" borderId="13" xfId="0" applyFont="1" applyFill="1" applyBorder="1" applyAlignment="1">
      <alignment vertical="center" wrapText="1"/>
    </xf>
    <xf numFmtId="0" fontId="12" fillId="39" borderId="13" xfId="0" applyFont="1" applyFill="1" applyBorder="1" applyAlignment="1">
      <alignment horizontal="left" vertical="center" wrapText="1"/>
    </xf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0" fillId="0" borderId="0" xfId="44" applyFont="1" applyBorder="1"/>
    <xf numFmtId="0" fontId="14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0" borderId="2" xfId="0" applyNumberFormat="1" applyFill="1" applyBorder="1"/>
    <xf numFmtId="2" fontId="0" fillId="0" borderId="0" xfId="44" applyNumberFormat="1" applyFont="1" applyBorder="1"/>
    <xf numFmtId="0" fontId="0" fillId="40" borderId="18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0" xfId="0" applyBorder="1"/>
    <xf numFmtId="0" fontId="0" fillId="39" borderId="13" xfId="0" applyFill="1" applyBorder="1"/>
    <xf numFmtId="165" fontId="0" fillId="35" borderId="0" xfId="0" applyNumberFormat="1" applyFill="1" applyBorder="1"/>
    <xf numFmtId="1" fontId="0" fillId="0" borderId="0" xfId="0" applyNumberFormat="1" applyBorder="1"/>
    <xf numFmtId="9" fontId="0" fillId="0" borderId="15" xfId="44" applyFont="1" applyBorder="1"/>
    <xf numFmtId="0" fontId="0" fillId="0" borderId="25" xfId="0" applyBorder="1"/>
    <xf numFmtId="0" fontId="0" fillId="0" borderId="26" xfId="0" applyBorder="1"/>
    <xf numFmtId="1" fontId="0" fillId="0" borderId="26" xfId="0" applyNumberFormat="1" applyBorder="1"/>
    <xf numFmtId="0" fontId="0" fillId="35" borderId="18" xfId="0" applyFill="1" applyBorder="1"/>
    <xf numFmtId="9" fontId="0" fillId="0" borderId="2" xfId="0" applyNumberFormat="1" applyFont="1" applyBorder="1"/>
    <xf numFmtId="0" fontId="0" fillId="0" borderId="27" xfId="0" applyFont="1" applyBorder="1"/>
    <xf numFmtId="0" fontId="35" fillId="0" borderId="23" xfId="0" applyFont="1" applyBorder="1"/>
    <xf numFmtId="164" fontId="35" fillId="0" borderId="0" xfId="0" applyNumberFormat="1" applyFont="1" applyBorder="1"/>
    <xf numFmtId="0" fontId="35" fillId="0" borderId="0" xfId="0" applyFont="1" applyBorder="1"/>
    <xf numFmtId="1" fontId="35" fillId="0" borderId="0" xfId="0" applyNumberFormat="1" applyFont="1" applyBorder="1"/>
    <xf numFmtId="9" fontId="0" fillId="0" borderId="28" xfId="0" applyNumberFormat="1" applyBorder="1"/>
    <xf numFmtId="0" fontId="14" fillId="39" borderId="18" xfId="0" applyFont="1" applyFill="1" applyBorder="1" applyAlignment="1">
      <alignment vertical="center" wrapText="1"/>
    </xf>
    <xf numFmtId="0" fontId="12" fillId="39" borderId="18" xfId="0" applyFont="1" applyFill="1" applyBorder="1" applyAlignment="1">
      <alignment horizontal="center" vertical="center" wrapText="1"/>
    </xf>
    <xf numFmtId="1" fontId="0" fillId="0" borderId="2" xfId="0" applyNumberFormat="1" applyBorder="1"/>
    <xf numFmtId="0" fontId="14" fillId="0" borderId="2" xfId="0" applyFont="1" applyBorder="1" applyAlignment="1">
      <alignment wrapText="1"/>
    </xf>
    <xf numFmtId="0" fontId="0" fillId="0" borderId="2" xfId="0" applyBorder="1"/>
    <xf numFmtId="0" fontId="0" fillId="35" borderId="0" xfId="0" applyFill="1"/>
    <xf numFmtId="0" fontId="3" fillId="0" borderId="0" xfId="136"/>
    <xf numFmtId="0" fontId="0" fillId="5" borderId="0" xfId="0" applyFill="1" applyBorder="1"/>
    <xf numFmtId="1" fontId="2" fillId="0" borderId="0" xfId="150" applyNumberFormat="1"/>
    <xf numFmtId="0" fontId="0" fillId="35" borderId="0" xfId="0" applyFill="1" applyAlignment="1">
      <alignment wrapText="1"/>
    </xf>
    <xf numFmtId="0" fontId="2" fillId="0" borderId="0" xfId="150"/>
    <xf numFmtId="0" fontId="2" fillId="0" borderId="0" xfId="150"/>
    <xf numFmtId="0" fontId="2" fillId="0" borderId="0" xfId="150"/>
    <xf numFmtId="0" fontId="2" fillId="0" borderId="0" xfId="150"/>
    <xf numFmtId="0" fontId="2" fillId="0" borderId="0" xfId="150"/>
    <xf numFmtId="0" fontId="2" fillId="0" borderId="0" xfId="150"/>
    <xf numFmtId="0" fontId="1" fillId="0" borderId="0" xfId="164"/>
    <xf numFmtId="0" fontId="0" fillId="37" borderId="2" xfId="0" applyFill="1" applyBorder="1"/>
    <xf numFmtId="0" fontId="0" fillId="37" borderId="2" xfId="0" applyNumberFormat="1" applyFill="1" applyBorder="1"/>
    <xf numFmtId="0" fontId="0" fillId="0" borderId="2" xfId="0" applyNumberFormat="1" applyFill="1" applyBorder="1"/>
    <xf numFmtId="0" fontId="0" fillId="35" borderId="2" xfId="0" applyNumberFormat="1" applyFill="1" applyBorder="1"/>
    <xf numFmtId="0" fontId="0" fillId="37" borderId="12" xfId="0" applyNumberFormat="1" applyFill="1" applyBorder="1"/>
    <xf numFmtId="0" fontId="12" fillId="0" borderId="13" xfId="0" applyFont="1" applyFill="1" applyBorder="1" applyAlignment="1">
      <alignment horizontal="left" vertical="center" wrapText="1"/>
    </xf>
    <xf numFmtId="0" fontId="12" fillId="0" borderId="18" xfId="0" applyFont="1" applyFill="1" applyBorder="1" applyAlignment="1">
      <alignment horizontal="center" vertical="center" wrapText="1"/>
    </xf>
    <xf numFmtId="9" fontId="0" fillId="0" borderId="2" xfId="44" applyFont="1" applyFill="1" applyBorder="1"/>
    <xf numFmtId="0" fontId="13" fillId="0" borderId="14" xfId="0" applyFont="1" applyFill="1" applyBorder="1" applyAlignment="1">
      <alignment horizontal="left" vertical="center" wrapText="1"/>
    </xf>
    <xf numFmtId="0" fontId="12" fillId="0" borderId="31" xfId="0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 wrapText="1"/>
    </xf>
    <xf numFmtId="0" fontId="0" fillId="41" borderId="32" xfId="0" applyFill="1" applyBorder="1" applyAlignment="1">
      <alignment horizontal="center"/>
    </xf>
    <xf numFmtId="0" fontId="0" fillId="41" borderId="33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41" borderId="3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Fill="1" applyAlignment="1">
      <alignment wrapText="1"/>
    </xf>
    <xf numFmtId="0" fontId="1" fillId="0" borderId="2" xfId="164" applyBorder="1"/>
    <xf numFmtId="0" fontId="13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 wrapText="1"/>
    </xf>
    <xf numFmtId="9" fontId="0" fillId="0" borderId="0" xfId="44" applyFont="1" applyFill="1" applyBorder="1"/>
  </cellXfs>
  <cellStyles count="178">
    <cellStyle name="20% — акцент1" xfId="19" builtinId="30" customBuiltin="1"/>
    <cellStyle name="20% — акцент1 10" xfId="166"/>
    <cellStyle name="20% — акцент1 2" xfId="48"/>
    <cellStyle name="20% — акцент1 3" xfId="68"/>
    <cellStyle name="20% — акцент1 4" xfId="82"/>
    <cellStyle name="20% — акцент1 5" xfId="96"/>
    <cellStyle name="20% — акцент1 6" xfId="110"/>
    <cellStyle name="20% — акцент1 7" xfId="124"/>
    <cellStyle name="20% — акцент1 8" xfId="138"/>
    <cellStyle name="20% — акцент1 9" xfId="152"/>
    <cellStyle name="20% — акцент2" xfId="23" builtinId="34" customBuiltin="1"/>
    <cellStyle name="20% — акцент2 10" xfId="168"/>
    <cellStyle name="20% — акцент2 2" xfId="51"/>
    <cellStyle name="20% — акцент2 3" xfId="70"/>
    <cellStyle name="20% — акцент2 4" xfId="84"/>
    <cellStyle name="20% — акцент2 5" xfId="98"/>
    <cellStyle name="20% — акцент2 6" xfId="112"/>
    <cellStyle name="20% — акцент2 7" xfId="126"/>
    <cellStyle name="20% — акцент2 8" xfId="140"/>
    <cellStyle name="20% — акцент2 9" xfId="154"/>
    <cellStyle name="20% — акцент3" xfId="27" builtinId="38" customBuiltin="1"/>
    <cellStyle name="20% — акцент3 10" xfId="170"/>
    <cellStyle name="20% — акцент3 2" xfId="54"/>
    <cellStyle name="20% — акцент3 3" xfId="72"/>
    <cellStyle name="20% — акцент3 4" xfId="86"/>
    <cellStyle name="20% — акцент3 5" xfId="100"/>
    <cellStyle name="20% — акцент3 6" xfId="114"/>
    <cellStyle name="20% — акцент3 7" xfId="128"/>
    <cellStyle name="20% — акцент3 8" xfId="142"/>
    <cellStyle name="20% — акцент3 9" xfId="156"/>
    <cellStyle name="20% — акцент4" xfId="31" builtinId="42" customBuiltin="1"/>
    <cellStyle name="20% — акцент4 10" xfId="172"/>
    <cellStyle name="20% — акцент4 2" xfId="57"/>
    <cellStyle name="20% — акцент4 3" xfId="74"/>
    <cellStyle name="20% — акцент4 4" xfId="88"/>
    <cellStyle name="20% — акцент4 5" xfId="102"/>
    <cellStyle name="20% — акцент4 6" xfId="116"/>
    <cellStyle name="20% — акцент4 7" xfId="130"/>
    <cellStyle name="20% — акцент4 8" xfId="144"/>
    <cellStyle name="20% — акцент4 9" xfId="158"/>
    <cellStyle name="20% — акцент5" xfId="35" builtinId="46" customBuiltin="1"/>
    <cellStyle name="20% — акцент5 10" xfId="174"/>
    <cellStyle name="20% — акцент5 2" xfId="60"/>
    <cellStyle name="20% — акцент5 3" xfId="76"/>
    <cellStyle name="20% — акцент5 4" xfId="90"/>
    <cellStyle name="20% — акцент5 5" xfId="104"/>
    <cellStyle name="20% — акцент5 6" xfId="118"/>
    <cellStyle name="20% — акцент5 7" xfId="132"/>
    <cellStyle name="20% — акцент5 8" xfId="146"/>
    <cellStyle name="20% — акцент5 9" xfId="160"/>
    <cellStyle name="20% — акцент6" xfId="39" builtinId="50" customBuiltin="1"/>
    <cellStyle name="20% — акцент6 10" xfId="176"/>
    <cellStyle name="20% — акцент6 2" xfId="63"/>
    <cellStyle name="20% — акцент6 3" xfId="78"/>
    <cellStyle name="20% — акцент6 4" xfId="92"/>
    <cellStyle name="20% — акцент6 5" xfId="106"/>
    <cellStyle name="20% — акцент6 6" xfId="120"/>
    <cellStyle name="20% — акцент6 7" xfId="134"/>
    <cellStyle name="20% — акцент6 8" xfId="148"/>
    <cellStyle name="20% — акцент6 9" xfId="162"/>
    <cellStyle name="40% — акцент1" xfId="20" builtinId="31" customBuiltin="1"/>
    <cellStyle name="40% — акцент1 10" xfId="167"/>
    <cellStyle name="40% — акцент1 2" xfId="49"/>
    <cellStyle name="40% — акцент1 3" xfId="69"/>
    <cellStyle name="40% — акцент1 4" xfId="83"/>
    <cellStyle name="40% — акцент1 5" xfId="97"/>
    <cellStyle name="40% — акцент1 6" xfId="111"/>
    <cellStyle name="40% — акцент1 7" xfId="125"/>
    <cellStyle name="40% — акцент1 8" xfId="139"/>
    <cellStyle name="40% — акцент1 9" xfId="153"/>
    <cellStyle name="40% — акцент2" xfId="24" builtinId="35" customBuiltin="1"/>
    <cellStyle name="40% — акцент2 10" xfId="169"/>
    <cellStyle name="40% — акцент2 2" xfId="52"/>
    <cellStyle name="40% — акцент2 3" xfId="71"/>
    <cellStyle name="40% — акцент2 4" xfId="85"/>
    <cellStyle name="40% — акцент2 5" xfId="99"/>
    <cellStyle name="40% — акцент2 6" xfId="113"/>
    <cellStyle name="40% — акцент2 7" xfId="127"/>
    <cellStyle name="40% — акцент2 8" xfId="141"/>
    <cellStyle name="40% — акцент2 9" xfId="155"/>
    <cellStyle name="40% — акцент3" xfId="28" builtinId="39" customBuiltin="1"/>
    <cellStyle name="40% — акцент3 10" xfId="171"/>
    <cellStyle name="40% — акцент3 2" xfId="55"/>
    <cellStyle name="40% — акцент3 3" xfId="73"/>
    <cellStyle name="40% — акцент3 4" xfId="87"/>
    <cellStyle name="40% — акцент3 5" xfId="101"/>
    <cellStyle name="40% — акцент3 6" xfId="115"/>
    <cellStyle name="40% — акцент3 7" xfId="129"/>
    <cellStyle name="40% — акцент3 8" xfId="143"/>
    <cellStyle name="40% — акцент3 9" xfId="157"/>
    <cellStyle name="40% — акцент4" xfId="32" builtinId="43" customBuiltin="1"/>
    <cellStyle name="40% — акцент4 10" xfId="173"/>
    <cellStyle name="40% — акцент4 2" xfId="58"/>
    <cellStyle name="40% — акцент4 3" xfId="75"/>
    <cellStyle name="40% — акцент4 4" xfId="89"/>
    <cellStyle name="40% — акцент4 5" xfId="103"/>
    <cellStyle name="40% — акцент4 6" xfId="117"/>
    <cellStyle name="40% — акцент4 7" xfId="131"/>
    <cellStyle name="40% — акцент4 8" xfId="145"/>
    <cellStyle name="40% — акцент4 9" xfId="159"/>
    <cellStyle name="40% — акцент5" xfId="36" builtinId="47" customBuiltin="1"/>
    <cellStyle name="40% — акцент5 10" xfId="175"/>
    <cellStyle name="40% — акцент5 2" xfId="61"/>
    <cellStyle name="40% — акцент5 3" xfId="77"/>
    <cellStyle name="40% — акцент5 4" xfId="91"/>
    <cellStyle name="40% — акцент5 5" xfId="105"/>
    <cellStyle name="40% — акцент5 6" xfId="119"/>
    <cellStyle name="40% — акцент5 7" xfId="133"/>
    <cellStyle name="40% — акцент5 8" xfId="147"/>
    <cellStyle name="40% — акцент5 9" xfId="161"/>
    <cellStyle name="40% — акцент6" xfId="40" builtinId="51" customBuiltin="1"/>
    <cellStyle name="40% — акцент6 10" xfId="177"/>
    <cellStyle name="40% — акцент6 2" xfId="64"/>
    <cellStyle name="40% — акцент6 3" xfId="79"/>
    <cellStyle name="40% — акцент6 4" xfId="93"/>
    <cellStyle name="40% — акцент6 5" xfId="107"/>
    <cellStyle name="40% — акцент6 6" xfId="121"/>
    <cellStyle name="40% — акцент6 7" xfId="135"/>
    <cellStyle name="40% — акцент6 8" xfId="149"/>
    <cellStyle name="40% — акцент6 9" xfId="163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10" xfId="136"/>
    <cellStyle name="Обычный 11" xfId="150"/>
    <cellStyle name="Обычный 12" xfId="164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Обычный 8" xfId="108"/>
    <cellStyle name="Обычный 9" xfId="122"/>
    <cellStyle name="Плохой" xfId="2" builtinId="27" customBuiltin="1"/>
    <cellStyle name="Пояснение" xfId="16" builtinId="53" customBuiltin="1"/>
    <cellStyle name="Примечание 10" xfId="151"/>
    <cellStyle name="Примечание 11" xfId="165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имечание 7" xfId="109"/>
    <cellStyle name="Примечание 8" xfId="123"/>
    <cellStyle name="Примечание 9" xfId="13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numFmt numFmtId="1" formatCode="0"/>
    </dxf>
    <dxf>
      <numFmt numFmtId="165" formatCode="0.0"/>
    </dxf>
    <dxf>
      <numFmt numFmtId="2" formatCode="0.00"/>
    </dxf>
    <dxf>
      <numFmt numFmtId="168" formatCode="0.000"/>
    </dxf>
    <dxf>
      <numFmt numFmtId="164" formatCode="0.0000"/>
    </dxf>
    <dxf>
      <numFmt numFmtId="167" formatCode="0.00000"/>
    </dxf>
    <dxf>
      <numFmt numFmtId="166" formatCode="0.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??????? ???????" refreshedDate="45061.754572800928" createdVersion="6" refreshedVersion="6" minRefreshableVersion="3" recordCount="26">
  <cacheSource type="worksheet">
    <worksheetSource ref="A63:G89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068.661090856483" createdVersion="6" refreshedVersion="6" minRefreshableVersion="3" recordCount="30">
  <cacheSource type="worksheet">
    <worksheetSource ref="A1:H31" sheet="Автоматизированный расчет"/>
  </cacheSource>
  <cacheFields count="8">
    <cacheField name="Script name" numFmtId="0">
      <sharedItems containsBlank="1"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/>
      </sharedItems>
    </cacheField>
    <cacheField name="count" numFmtId="0">
      <sharedItems containsString="0" containsBlank="1" containsNumber="1" containsInteger="1" minValue="1" maxValue="1"/>
    </cacheField>
    <cacheField name="VU" numFmtId="0">
      <sharedItems containsString="0" containsBlank="1" containsNumber="1" containsInteger="1" minValue="1" maxValue="4"/>
    </cacheField>
    <cacheField name="pacing" numFmtId="0">
      <sharedItems containsString="0" containsBlank="1" containsNumber="1" containsInteger="1" minValue="19" maxValue="47"/>
    </cacheField>
    <cacheField name="одним пользователем в минуту" numFmtId="2">
      <sharedItems containsString="0" containsBlank="1" containsNumber="1" minValue="1.2765957446808511" maxValue="3.1578947368421053"/>
    </cacheField>
    <cacheField name="Длительность ступени" numFmtId="0">
      <sharedItems containsString="0" containsBlank="1" containsNumber="1" containsInteger="1" minValue="20" maxValue="20"/>
    </cacheField>
    <cacheField name="Итого" numFmtId="1">
      <sharedItems containsString="0" containsBlank="1" containsNumber="1" minValue="25.531914893617021" maxValue="114.2857142857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s v="Покупка билета"/>
    <x v="0"/>
    <n v="1"/>
    <n v="4"/>
    <n v="42"/>
    <n v="1.4285714285714286"/>
    <n v="20"/>
    <n v="114.28571428571429"/>
  </r>
  <r>
    <s v="Покупка билета"/>
    <x v="1"/>
    <n v="1"/>
    <n v="4"/>
    <n v="42"/>
    <n v="1.4285714285714286"/>
    <n v="20"/>
    <n v="114.28571428571429"/>
  </r>
  <r>
    <s v="Покупка билета"/>
    <x v="2"/>
    <n v="1"/>
    <n v="4"/>
    <n v="42"/>
    <n v="1.4285714285714286"/>
    <n v="20"/>
    <n v="114.28571428571429"/>
  </r>
  <r>
    <s v="Покупка билета"/>
    <x v="3"/>
    <n v="1"/>
    <n v="4"/>
    <n v="42"/>
    <n v="1.4285714285714286"/>
    <n v="20"/>
    <n v="114.28571428571429"/>
  </r>
  <r>
    <s v="Покупка билета"/>
    <x v="4"/>
    <n v="1"/>
    <n v="4"/>
    <n v="42"/>
    <n v="1.4285714285714286"/>
    <n v="20"/>
    <n v="114.28571428571429"/>
  </r>
  <r>
    <s v="Покупка билета"/>
    <x v="5"/>
    <n v="1"/>
    <n v="4"/>
    <n v="42"/>
    <n v="1.4285714285714286"/>
    <n v="20"/>
    <n v="114.28571428571429"/>
  </r>
  <r>
    <s v="Покупка билета"/>
    <x v="6"/>
    <n v="1"/>
    <n v="4"/>
    <n v="42"/>
    <n v="1.4285714285714286"/>
    <n v="20"/>
    <n v="114.28571428571429"/>
  </r>
  <r>
    <s v="Покупка билета"/>
    <x v="7"/>
    <n v="1"/>
    <n v="4"/>
    <n v="42"/>
    <n v="1.4285714285714286"/>
    <n v="20"/>
    <n v="114.28571428571429"/>
  </r>
  <r>
    <s v="Удаление бронирования "/>
    <x v="0"/>
    <n v="1"/>
    <n v="1"/>
    <n v="25"/>
    <n v="2.4"/>
    <n v="20"/>
    <n v="48"/>
  </r>
  <r>
    <s v="Удаление бронирования "/>
    <x v="1"/>
    <n v="1"/>
    <n v="1"/>
    <n v="25"/>
    <n v="2.4"/>
    <n v="20"/>
    <n v="48"/>
  </r>
  <r>
    <s v="Удаление бронирования "/>
    <x v="6"/>
    <n v="1"/>
    <n v="1"/>
    <n v="25"/>
    <n v="2.4"/>
    <n v="20"/>
    <n v="48"/>
  </r>
  <r>
    <s v="Удаление бронирования "/>
    <x v="8"/>
    <n v="1"/>
    <n v="1"/>
    <n v="25"/>
    <n v="2.4"/>
    <n v="20"/>
    <n v="48"/>
  </r>
  <r>
    <s v="Регистрация новых пользователей"/>
    <x v="0"/>
    <n v="1"/>
    <n v="1"/>
    <n v="19"/>
    <n v="3.1578947368421053"/>
    <n v="20"/>
    <n v="63.15789473684211"/>
  </r>
  <r>
    <s v="Регистрация новых пользователей"/>
    <x v="9"/>
    <n v="1"/>
    <n v="1"/>
    <n v="19"/>
    <n v="3.1578947368421053"/>
    <n v="20"/>
    <n v="63.15789473684211"/>
  </r>
  <r>
    <s v="Регистрация новых пользователей"/>
    <x v="10"/>
    <n v="1"/>
    <n v="1"/>
    <n v="19"/>
    <n v="3.1578947368421053"/>
    <n v="20"/>
    <n v="63.15789473684211"/>
  </r>
  <r>
    <s v="Регистрация новых пользователей"/>
    <x v="11"/>
    <n v="1"/>
    <n v="1"/>
    <n v="19"/>
    <n v="3.1578947368421053"/>
    <n v="20"/>
    <n v="63.15789473684211"/>
  </r>
  <r>
    <s v="Регистрация новых пользователей"/>
    <x v="7"/>
    <n v="1"/>
    <n v="1"/>
    <n v="19"/>
    <n v="3.1578947368421053"/>
    <n v="20"/>
    <n v="63.15789473684211"/>
  </r>
  <r>
    <s v="Логин"/>
    <x v="0"/>
    <n v="1"/>
    <n v="1"/>
    <n v="36"/>
    <n v="1.6666666666666667"/>
    <n v="20"/>
    <n v="33.333333333333336"/>
  </r>
  <r>
    <s v="Логин"/>
    <x v="1"/>
    <n v="1"/>
    <n v="1"/>
    <n v="36"/>
    <n v="1.6666666666666667"/>
    <n v="20"/>
    <n v="33.333333333333336"/>
  </r>
  <r>
    <s v="Логин"/>
    <x v="7"/>
    <n v="1"/>
    <n v="1"/>
    <n v="36"/>
    <n v="1.6666666666666667"/>
    <n v="20"/>
    <n v="33.333333333333336"/>
  </r>
  <r>
    <s v="Поиск билета без покупки"/>
    <x v="0"/>
    <n v="1"/>
    <n v="2"/>
    <n v="34"/>
    <n v="1.7647058823529411"/>
    <n v="20"/>
    <n v="70.588235294117652"/>
  </r>
  <r>
    <s v="Поиск билета без покупки"/>
    <x v="1"/>
    <n v="1"/>
    <n v="2"/>
    <n v="34"/>
    <n v="1.7647058823529411"/>
    <n v="20"/>
    <n v="70.588235294117652"/>
  </r>
  <r>
    <s v="Поиск билета без покупки"/>
    <x v="2"/>
    <n v="1"/>
    <n v="2"/>
    <n v="34"/>
    <n v="1.7647058823529411"/>
    <n v="20"/>
    <n v="70.588235294117652"/>
  </r>
  <r>
    <s v="Поиск билета без покупки"/>
    <x v="3"/>
    <n v="1"/>
    <n v="2"/>
    <n v="34"/>
    <n v="1.7647058823529411"/>
    <n v="20"/>
    <n v="70.588235294117652"/>
  </r>
  <r>
    <s v="Поиск билета без покупки"/>
    <x v="4"/>
    <n v="1"/>
    <n v="2"/>
    <n v="34"/>
    <n v="1.7647058823529411"/>
    <n v="20"/>
    <n v="70.588235294117652"/>
  </r>
  <r>
    <s v="Ознакомление с путевым листом"/>
    <x v="0"/>
    <n v="1"/>
    <n v="1"/>
    <n v="47"/>
    <n v="1.2765957446808511"/>
    <n v="20"/>
    <n v="25.531914893617021"/>
  </r>
  <r>
    <s v="Ознакомление с путевым листом"/>
    <x v="1"/>
    <n v="1"/>
    <n v="1"/>
    <n v="47"/>
    <n v="1.2765957446808511"/>
    <n v="20"/>
    <n v="25.531914893617021"/>
  </r>
  <r>
    <s v="Ознакомление с путевым листом"/>
    <x v="2"/>
    <n v="1"/>
    <n v="1"/>
    <n v="47"/>
    <n v="1.2765957446808511"/>
    <n v="20"/>
    <n v="25.531914893617021"/>
  </r>
  <r>
    <s v="Ознакомление с путевым листом"/>
    <x v="6"/>
    <n v="1"/>
    <n v="1"/>
    <n v="47"/>
    <n v="1.2765957446808511"/>
    <n v="20"/>
    <n v="25.531914893617021"/>
  </r>
  <r>
    <m/>
    <x v="1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5" firstHeaderRow="1" firstDataRow="1" firstDataCol="1"/>
  <pivotFields count="8">
    <pivotField showAll="0"/>
    <pivotField axis="axisRow" showAll="0">
      <items count="14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1:J71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12">
      <pivotArea collapsedLevelsAreSubtotals="1" fieldPosition="0">
        <references count="1">
          <reference field="1" count="0"/>
        </references>
      </pivotArea>
    </format>
    <format dxfId="11">
      <pivotArea collapsedLevelsAreSubtotals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1">
            <x v="4"/>
          </reference>
        </references>
      </pivotArea>
    </format>
    <format dxfId="9">
      <pivotArea dataOnly="0" labelOnly="1" fieldPosition="0">
        <references count="1">
          <reference field="1" count="1">
            <x v="3"/>
          </reference>
        </references>
      </pivotArea>
    </format>
    <format dxfId="8">
      <pivotArea dataOnly="0" labelOnly="1" fieldPosition="0">
        <references count="1">
          <reference field="1" count="1">
            <x v="6"/>
          </reference>
        </references>
      </pivotArea>
    </format>
    <format dxfId="7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9"/>
  <sheetViews>
    <sheetView topLeftCell="B13" zoomScale="80" zoomScaleNormal="80" workbookViewId="0">
      <selection activeCell="I30" sqref="I30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13.42578125" customWidth="1"/>
    <col min="7" max="7" width="18.7109375" bestFit="1" customWidth="1"/>
    <col min="8" max="8" width="23.140625" customWidth="1"/>
    <col min="9" max="9" width="49.5703125" customWidth="1"/>
    <col min="10" max="10" width="21.7109375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34.140625" bestFit="1" customWidth="1"/>
    <col min="20" max="20" width="12.28515625" customWidth="1"/>
  </cols>
  <sheetData>
    <row r="1" spans="1:23" ht="15.75" thickBot="1" x14ac:dyDescent="0.3">
      <c r="A1" t="s">
        <v>22</v>
      </c>
      <c r="B1" t="s">
        <v>23</v>
      </c>
      <c r="C1" t="s">
        <v>24</v>
      </c>
      <c r="D1" t="s">
        <v>28</v>
      </c>
      <c r="E1" t="s">
        <v>38</v>
      </c>
      <c r="F1" t="s">
        <v>39</v>
      </c>
      <c r="G1" t="s">
        <v>40</v>
      </c>
      <c r="H1" t="s">
        <v>7</v>
      </c>
      <c r="I1" s="14" t="s">
        <v>25</v>
      </c>
      <c r="J1" t="s">
        <v>37</v>
      </c>
      <c r="M1" s="44" t="s">
        <v>27</v>
      </c>
      <c r="N1" s="45" t="s">
        <v>29</v>
      </c>
      <c r="O1" s="45" t="s">
        <v>30</v>
      </c>
      <c r="P1" s="45" t="s">
        <v>85</v>
      </c>
      <c r="Q1" s="45" t="s">
        <v>31</v>
      </c>
      <c r="R1" s="45" t="s">
        <v>28</v>
      </c>
      <c r="S1" s="58" t="s">
        <v>35</v>
      </c>
      <c r="T1" s="59" t="s">
        <v>32</v>
      </c>
      <c r="U1" s="59" t="s">
        <v>33</v>
      </c>
      <c r="V1" s="59" t="s">
        <v>34</v>
      </c>
      <c r="W1" s="30" t="s">
        <v>36</v>
      </c>
    </row>
    <row r="2" spans="1:23" x14ac:dyDescent="0.25">
      <c r="A2" s="21" t="s">
        <v>8</v>
      </c>
      <c r="B2" s="21" t="s">
        <v>48</v>
      </c>
      <c r="C2" s="40">
        <v>1</v>
      </c>
      <c r="D2" s="42">
        <f t="shared" ref="D2:D3" si="0">VLOOKUP(A2,$M$1:$X$8,6,FALSE)</f>
        <v>4</v>
      </c>
      <c r="E2">
        <f>VLOOKUP(A2,$M$1:$X$8,5,FALSE)</f>
        <v>42</v>
      </c>
      <c r="F2" s="17">
        <f>60/E2*C2</f>
        <v>1.4285714285714286</v>
      </c>
      <c r="G2">
        <f>VLOOKUP(A2,$M$1:$X$8,9,FALSE)</f>
        <v>20</v>
      </c>
      <c r="H2" s="16">
        <f>D2*F2*G2</f>
        <v>114.28571428571429</v>
      </c>
      <c r="I2" s="15" t="s">
        <v>0</v>
      </c>
      <c r="J2" s="16">
        <v>291.73919780678227</v>
      </c>
      <c r="K2" s="13"/>
      <c r="L2">
        <v>1</v>
      </c>
      <c r="M2" s="47" t="s">
        <v>8</v>
      </c>
      <c r="N2" s="81">
        <v>2.5</v>
      </c>
      <c r="O2" s="82">
        <v>14</v>
      </c>
      <c r="P2" s="83">
        <f>N2+O2</f>
        <v>16.5</v>
      </c>
      <c r="Q2" s="84">
        <v>42</v>
      </c>
      <c r="R2" s="56">
        <v>4</v>
      </c>
      <c r="S2" s="57">
        <f t="shared" ref="S2:S7" si="1">R2/W$2</f>
        <v>0.4</v>
      </c>
      <c r="T2" s="60">
        <f t="shared" ref="T2:T7" si="2">60/(Q2)</f>
        <v>1.4285714285714286</v>
      </c>
      <c r="U2" s="61">
        <v>20</v>
      </c>
      <c r="V2" s="62">
        <f>ROUND(R2*T2*U2,0)</f>
        <v>114</v>
      </c>
      <c r="W2" s="28">
        <f>SUM(R2:R7)</f>
        <v>10</v>
      </c>
    </row>
    <row r="3" spans="1:23" x14ac:dyDescent="0.25">
      <c r="A3" s="21" t="s">
        <v>8</v>
      </c>
      <c r="B3" s="21" t="s">
        <v>0</v>
      </c>
      <c r="C3" s="40">
        <v>1</v>
      </c>
      <c r="D3" s="43">
        <f t="shared" si="0"/>
        <v>4</v>
      </c>
      <c r="E3">
        <f>VLOOKUP(A3,$M$1:$X$8,5,FALSE)</f>
        <v>42</v>
      </c>
      <c r="F3" s="17">
        <f>60/E3*C3</f>
        <v>1.4285714285714286</v>
      </c>
      <c r="G3">
        <f>VLOOKUP(A3,$M$1:$X$8,9,FALSE)</f>
        <v>20</v>
      </c>
      <c r="H3" s="16">
        <f>D3*F3*G3</f>
        <v>114.28571428571429</v>
      </c>
      <c r="I3" s="15" t="s">
        <v>12</v>
      </c>
      <c r="J3" s="16">
        <v>184.87394957983196</v>
      </c>
      <c r="K3" s="13"/>
      <c r="L3" s="69"/>
      <c r="M3" s="47" t="s">
        <v>9</v>
      </c>
      <c r="N3" s="81">
        <v>4</v>
      </c>
      <c r="O3" s="82">
        <v>6</v>
      </c>
      <c r="P3" s="83">
        <f t="shared" ref="P3:P6" si="3">N3+O3</f>
        <v>10</v>
      </c>
      <c r="Q3" s="84">
        <v>25</v>
      </c>
      <c r="R3" s="56">
        <v>1</v>
      </c>
      <c r="S3" s="57">
        <f t="shared" si="1"/>
        <v>0.1</v>
      </c>
      <c r="T3" s="60">
        <f t="shared" si="2"/>
        <v>2.4</v>
      </c>
      <c r="U3" s="61">
        <v>20</v>
      </c>
      <c r="V3" s="62">
        <f>ROUND(R3*T3*U3,0)</f>
        <v>48</v>
      </c>
      <c r="W3" s="28"/>
    </row>
    <row r="4" spans="1:23" x14ac:dyDescent="0.25">
      <c r="A4" s="21" t="s">
        <v>8</v>
      </c>
      <c r="B4" s="21" t="s">
        <v>62</v>
      </c>
      <c r="C4" s="40">
        <v>1</v>
      </c>
      <c r="D4" s="43">
        <f>VLOOKUP(A5,$M$1:$X$8,6,FALSE)</f>
        <v>4</v>
      </c>
      <c r="E4">
        <f>VLOOKUP(A5,$M$1:$X$8,5,FALSE)</f>
        <v>42</v>
      </c>
      <c r="F4" s="17">
        <f t="shared" ref="F4:F29" si="4">60/E4*C4</f>
        <v>1.4285714285714286</v>
      </c>
      <c r="G4">
        <f t="shared" ref="G4:G29" si="5">VLOOKUP(A4,$M$1:$X$8,9,FALSE)</f>
        <v>20</v>
      </c>
      <c r="H4" s="16">
        <f t="shared" ref="H4:H29" si="6">D4*F4*G4</f>
        <v>114.28571428571429</v>
      </c>
      <c r="I4" s="15" t="s">
        <v>6</v>
      </c>
      <c r="J4" s="16">
        <v>210.77694235588976</v>
      </c>
      <c r="K4" s="13"/>
      <c r="L4" s="69"/>
      <c r="M4" s="47" t="s">
        <v>47</v>
      </c>
      <c r="N4" s="81">
        <v>1.8</v>
      </c>
      <c r="O4" s="82">
        <v>8</v>
      </c>
      <c r="P4" s="83">
        <f t="shared" si="3"/>
        <v>9.8000000000000007</v>
      </c>
      <c r="Q4" s="84">
        <v>19</v>
      </c>
      <c r="R4" s="56">
        <v>1</v>
      </c>
      <c r="S4" s="57">
        <f t="shared" si="1"/>
        <v>0.1</v>
      </c>
      <c r="T4" s="60">
        <f t="shared" si="2"/>
        <v>3.1578947368421053</v>
      </c>
      <c r="U4" s="61">
        <v>20</v>
      </c>
      <c r="V4" s="62">
        <f>ROUND(R4*T4*U4,0)</f>
        <v>63</v>
      </c>
      <c r="W4" s="28"/>
    </row>
    <row r="5" spans="1:23" x14ac:dyDescent="0.25">
      <c r="A5" s="21" t="s">
        <v>8</v>
      </c>
      <c r="B5" s="21" t="s">
        <v>11</v>
      </c>
      <c r="C5" s="40">
        <v>1</v>
      </c>
      <c r="D5" s="43">
        <f>VLOOKUP(A6,$M$1:$X$8,6,FALSE)</f>
        <v>4</v>
      </c>
      <c r="E5">
        <f>VLOOKUP(A6,$M$1:$X$8,5,FALSE)</f>
        <v>42</v>
      </c>
      <c r="F5" s="17">
        <f t="shared" si="4"/>
        <v>1.4285714285714286</v>
      </c>
      <c r="G5">
        <f t="shared" si="5"/>
        <v>20</v>
      </c>
      <c r="H5" s="16">
        <f t="shared" si="6"/>
        <v>114.28571428571429</v>
      </c>
      <c r="I5" s="15" t="s">
        <v>11</v>
      </c>
      <c r="J5" s="16">
        <v>184.87394957983196</v>
      </c>
      <c r="K5" s="13"/>
      <c r="L5">
        <v>1</v>
      </c>
      <c r="M5" s="47" t="s">
        <v>52</v>
      </c>
      <c r="N5" s="81">
        <v>1</v>
      </c>
      <c r="O5" s="82">
        <v>8</v>
      </c>
      <c r="P5" s="83">
        <f t="shared" si="3"/>
        <v>9</v>
      </c>
      <c r="Q5" s="84">
        <v>34</v>
      </c>
      <c r="R5" s="56">
        <v>2</v>
      </c>
      <c r="S5" s="57">
        <f t="shared" si="1"/>
        <v>0.2</v>
      </c>
      <c r="T5" s="60">
        <f t="shared" si="2"/>
        <v>1.7647058823529411</v>
      </c>
      <c r="U5" s="61">
        <v>20</v>
      </c>
      <c r="V5" s="62">
        <f>ROUND(R5*T5*U5,0)</f>
        <v>71</v>
      </c>
      <c r="W5" s="28"/>
    </row>
    <row r="6" spans="1:23" x14ac:dyDescent="0.25">
      <c r="A6" s="21" t="s">
        <v>8</v>
      </c>
      <c r="B6" s="21" t="s">
        <v>12</v>
      </c>
      <c r="C6" s="40">
        <v>1</v>
      </c>
      <c r="D6" s="43">
        <f t="shared" ref="D6:D29" si="7">VLOOKUP(A6,$M$1:$X$8,6,FALSE)</f>
        <v>4</v>
      </c>
      <c r="E6">
        <f t="shared" ref="E6:E29" si="8">VLOOKUP(A6,$M$1:$X$8,5,FALSE)</f>
        <v>42</v>
      </c>
      <c r="F6" s="17">
        <f t="shared" si="4"/>
        <v>1.4285714285714286</v>
      </c>
      <c r="G6">
        <f t="shared" si="5"/>
        <v>20</v>
      </c>
      <c r="H6" s="16">
        <f t="shared" si="6"/>
        <v>114.28571428571429</v>
      </c>
      <c r="I6" s="15" t="s">
        <v>3</v>
      </c>
      <c r="J6" s="16">
        <v>114.28571428571429</v>
      </c>
      <c r="K6" s="13"/>
      <c r="M6" s="47" t="s">
        <v>10</v>
      </c>
      <c r="N6" s="81">
        <v>1.8</v>
      </c>
      <c r="O6" s="82">
        <v>6</v>
      </c>
      <c r="P6" s="83">
        <f t="shared" si="3"/>
        <v>7.8</v>
      </c>
      <c r="Q6" s="84">
        <v>47</v>
      </c>
      <c r="R6" s="56">
        <v>1</v>
      </c>
      <c r="S6" s="57">
        <f t="shared" si="1"/>
        <v>0.1</v>
      </c>
      <c r="T6" s="60">
        <f t="shared" si="2"/>
        <v>1.2765957446808511</v>
      </c>
      <c r="U6" s="61">
        <v>20</v>
      </c>
      <c r="V6" s="62">
        <f>ROUND(R6*T6*U6,0)</f>
        <v>26</v>
      </c>
      <c r="W6" s="28"/>
    </row>
    <row r="7" spans="1:23" x14ac:dyDescent="0.25">
      <c r="A7" s="21" t="s">
        <v>8</v>
      </c>
      <c r="B7" s="21" t="s">
        <v>3</v>
      </c>
      <c r="C7" s="40">
        <v>1</v>
      </c>
      <c r="D7" s="43">
        <f t="shared" si="7"/>
        <v>4</v>
      </c>
      <c r="E7">
        <f t="shared" si="8"/>
        <v>42</v>
      </c>
      <c r="F7" s="17">
        <f t="shared" si="4"/>
        <v>1.4285714285714286</v>
      </c>
      <c r="G7">
        <f t="shared" si="5"/>
        <v>20</v>
      </c>
      <c r="H7" s="16">
        <f t="shared" si="6"/>
        <v>114.28571428571429</v>
      </c>
      <c r="I7" s="15" t="s">
        <v>13</v>
      </c>
      <c r="J7" s="16">
        <v>48</v>
      </c>
      <c r="K7" s="13"/>
      <c r="M7" s="47" t="s">
        <v>53</v>
      </c>
      <c r="N7" s="81">
        <v>0.6</v>
      </c>
      <c r="O7" s="85">
        <v>4</v>
      </c>
      <c r="P7" s="83">
        <v>11</v>
      </c>
      <c r="Q7" s="84">
        <v>36</v>
      </c>
      <c r="R7" s="56">
        <v>1</v>
      </c>
      <c r="S7" s="57">
        <f t="shared" si="1"/>
        <v>0.1</v>
      </c>
      <c r="T7" s="60">
        <f t="shared" si="2"/>
        <v>1.6666666666666667</v>
      </c>
      <c r="U7" s="61">
        <v>20</v>
      </c>
      <c r="V7" s="62">
        <f>SUM(V2:V6)</f>
        <v>322</v>
      </c>
      <c r="W7" s="28"/>
    </row>
    <row r="8" spans="1:23" ht="15.75" thickBot="1" x14ac:dyDescent="0.3">
      <c r="A8" s="21" t="s">
        <v>8</v>
      </c>
      <c r="B8" s="21" t="s">
        <v>4</v>
      </c>
      <c r="C8" s="40">
        <v>1</v>
      </c>
      <c r="D8" s="43">
        <f t="shared" si="7"/>
        <v>4</v>
      </c>
      <c r="E8">
        <f t="shared" si="8"/>
        <v>42</v>
      </c>
      <c r="F8" s="17">
        <f t="shared" si="4"/>
        <v>1.4285714285714286</v>
      </c>
      <c r="G8">
        <f t="shared" si="5"/>
        <v>20</v>
      </c>
      <c r="H8" s="16">
        <f t="shared" si="6"/>
        <v>114.28571428571429</v>
      </c>
      <c r="I8" s="15" t="s">
        <v>4</v>
      </c>
      <c r="J8" s="16">
        <v>187.81762917933131</v>
      </c>
      <c r="K8" s="13"/>
      <c r="M8" s="53"/>
      <c r="N8" s="54"/>
      <c r="O8" s="54"/>
      <c r="P8" s="54"/>
      <c r="Q8" s="54"/>
      <c r="R8" s="54"/>
      <c r="S8" s="63">
        <f>SUM(S2:S7)</f>
        <v>1</v>
      </c>
      <c r="T8" s="54"/>
      <c r="U8" s="54"/>
      <c r="V8" s="54"/>
      <c r="W8" s="29"/>
    </row>
    <row r="9" spans="1:23" ht="15.75" thickBot="1" x14ac:dyDescent="0.3">
      <c r="A9" s="21" t="s">
        <v>8</v>
      </c>
      <c r="B9" s="21" t="s">
        <v>6</v>
      </c>
      <c r="C9" s="40">
        <v>1</v>
      </c>
      <c r="D9" s="43">
        <f t="shared" si="7"/>
        <v>4</v>
      </c>
      <c r="E9">
        <f t="shared" si="8"/>
        <v>42</v>
      </c>
      <c r="F9" s="17">
        <f t="shared" si="4"/>
        <v>1.4285714285714286</v>
      </c>
      <c r="G9">
        <f t="shared" si="5"/>
        <v>20</v>
      </c>
      <c r="H9" s="16">
        <f t="shared" si="6"/>
        <v>114.28571428571429</v>
      </c>
      <c r="I9" s="15" t="s">
        <v>48</v>
      </c>
      <c r="J9" s="16">
        <v>354.89709254362435</v>
      </c>
      <c r="K9" s="13"/>
    </row>
    <row r="10" spans="1:23" x14ac:dyDescent="0.25">
      <c r="A10" s="21" t="s">
        <v>9</v>
      </c>
      <c r="B10" s="21" t="s">
        <v>48</v>
      </c>
      <c r="C10" s="21">
        <v>1</v>
      </c>
      <c r="D10" s="30">
        <f t="shared" si="7"/>
        <v>1</v>
      </c>
      <c r="E10" s="16">
        <f t="shared" si="8"/>
        <v>25</v>
      </c>
      <c r="F10" s="17">
        <f t="shared" si="4"/>
        <v>2.4</v>
      </c>
      <c r="G10">
        <f t="shared" si="5"/>
        <v>20</v>
      </c>
      <c r="H10" s="16">
        <f t="shared" si="6"/>
        <v>48</v>
      </c>
      <c r="I10" s="15" t="s">
        <v>50</v>
      </c>
      <c r="J10" s="16">
        <v>63.15789473684211</v>
      </c>
    </row>
    <row r="11" spans="1:23" x14ac:dyDescent="0.25">
      <c r="A11" s="21" t="s">
        <v>9</v>
      </c>
      <c r="B11" s="21" t="s">
        <v>0</v>
      </c>
      <c r="C11" s="21">
        <v>1</v>
      </c>
      <c r="D11" s="28">
        <f t="shared" si="7"/>
        <v>1</v>
      </c>
      <c r="E11" s="16">
        <f t="shared" si="8"/>
        <v>25</v>
      </c>
      <c r="F11" s="17">
        <f t="shared" si="4"/>
        <v>2.4</v>
      </c>
      <c r="G11">
        <f t="shared" si="5"/>
        <v>20</v>
      </c>
      <c r="H11" s="16">
        <f t="shared" si="6"/>
        <v>48</v>
      </c>
      <c r="I11" s="15" t="s">
        <v>49</v>
      </c>
      <c r="J11" s="16">
        <v>63.15789473684211</v>
      </c>
    </row>
    <row r="12" spans="1:23" x14ac:dyDescent="0.25">
      <c r="A12" s="21" t="s">
        <v>9</v>
      </c>
      <c r="B12" s="21" t="s">
        <v>4</v>
      </c>
      <c r="C12" s="21">
        <v>1</v>
      </c>
      <c r="D12" s="28">
        <f t="shared" si="7"/>
        <v>1</v>
      </c>
      <c r="E12" s="16">
        <f t="shared" si="8"/>
        <v>25</v>
      </c>
      <c r="F12" s="17">
        <f t="shared" si="4"/>
        <v>2.4</v>
      </c>
      <c r="G12">
        <f t="shared" si="5"/>
        <v>20</v>
      </c>
      <c r="H12" s="16">
        <f t="shared" si="6"/>
        <v>48</v>
      </c>
      <c r="I12" s="15" t="s">
        <v>51</v>
      </c>
      <c r="J12" s="16">
        <v>63.15789473684211</v>
      </c>
    </row>
    <row r="13" spans="1:23" ht="15.75" thickBot="1" x14ac:dyDescent="0.3">
      <c r="A13" s="21" t="s">
        <v>9</v>
      </c>
      <c r="B13" s="21" t="s">
        <v>13</v>
      </c>
      <c r="C13" s="21">
        <v>1</v>
      </c>
      <c r="D13" s="28">
        <f t="shared" si="7"/>
        <v>1</v>
      </c>
      <c r="E13" s="16">
        <f t="shared" si="8"/>
        <v>25</v>
      </c>
      <c r="F13" s="17">
        <f t="shared" si="4"/>
        <v>2.4</v>
      </c>
      <c r="G13">
        <f t="shared" si="5"/>
        <v>20</v>
      </c>
      <c r="H13" s="16">
        <f t="shared" si="6"/>
        <v>48</v>
      </c>
      <c r="I13" s="15" t="s">
        <v>62</v>
      </c>
      <c r="J13" s="16">
        <v>210.40586447344899</v>
      </c>
    </row>
    <row r="14" spans="1:23" x14ac:dyDescent="0.25">
      <c r="A14" s="21" t="s">
        <v>47</v>
      </c>
      <c r="B14" s="21" t="s">
        <v>48</v>
      </c>
      <c r="C14" s="21">
        <v>1</v>
      </c>
      <c r="D14" s="30">
        <f t="shared" si="7"/>
        <v>1</v>
      </c>
      <c r="E14" s="16">
        <f t="shared" si="8"/>
        <v>19</v>
      </c>
      <c r="F14" s="17">
        <f t="shared" si="4"/>
        <v>3.1578947368421053</v>
      </c>
      <c r="G14">
        <f t="shared" si="5"/>
        <v>20</v>
      </c>
      <c r="H14" s="16">
        <f t="shared" si="6"/>
        <v>63.15789473684211</v>
      </c>
      <c r="I14" s="15" t="s">
        <v>99</v>
      </c>
      <c r="J14" s="16"/>
    </row>
    <row r="15" spans="1:23" x14ac:dyDescent="0.25">
      <c r="A15" s="21" t="s">
        <v>47</v>
      </c>
      <c r="B15" s="21" t="s">
        <v>50</v>
      </c>
      <c r="C15" s="21">
        <v>1</v>
      </c>
      <c r="D15" s="28">
        <f t="shared" si="7"/>
        <v>1</v>
      </c>
      <c r="E15" s="16">
        <f t="shared" si="8"/>
        <v>19</v>
      </c>
      <c r="F15" s="17">
        <f t="shared" si="4"/>
        <v>3.1578947368421053</v>
      </c>
      <c r="G15">
        <f t="shared" si="5"/>
        <v>20</v>
      </c>
      <c r="H15" s="16">
        <f t="shared" si="6"/>
        <v>63.15789473684211</v>
      </c>
      <c r="I15" s="15" t="s">
        <v>26</v>
      </c>
      <c r="J15" s="16">
        <v>1977.1440240149811</v>
      </c>
    </row>
    <row r="16" spans="1:23" x14ac:dyDescent="0.25">
      <c r="A16" s="21" t="s">
        <v>47</v>
      </c>
      <c r="B16" s="21" t="s">
        <v>49</v>
      </c>
      <c r="C16" s="21">
        <v>1</v>
      </c>
      <c r="D16" s="28">
        <f t="shared" si="7"/>
        <v>1</v>
      </c>
      <c r="E16" s="16">
        <f t="shared" si="8"/>
        <v>19</v>
      </c>
      <c r="F16" s="17">
        <f t="shared" si="4"/>
        <v>3.1578947368421053</v>
      </c>
      <c r="G16">
        <f t="shared" si="5"/>
        <v>20</v>
      </c>
      <c r="H16" s="16">
        <f t="shared" si="6"/>
        <v>63.15789473684211</v>
      </c>
    </row>
    <row r="17" spans="1:8" x14ac:dyDescent="0.25">
      <c r="A17" s="21" t="s">
        <v>47</v>
      </c>
      <c r="B17" s="21" t="s">
        <v>51</v>
      </c>
      <c r="C17" s="21">
        <v>1</v>
      </c>
      <c r="D17" s="28">
        <f t="shared" si="7"/>
        <v>1</v>
      </c>
      <c r="E17" s="16">
        <f t="shared" si="8"/>
        <v>19</v>
      </c>
      <c r="F17" s="17">
        <f t="shared" si="4"/>
        <v>3.1578947368421053</v>
      </c>
      <c r="G17">
        <f t="shared" si="5"/>
        <v>20</v>
      </c>
      <c r="H17" s="16">
        <f t="shared" si="6"/>
        <v>63.15789473684211</v>
      </c>
    </row>
    <row r="18" spans="1:8" ht="15.75" thickBot="1" x14ac:dyDescent="0.3">
      <c r="A18" s="21" t="s">
        <v>47</v>
      </c>
      <c r="B18" s="21" t="s">
        <v>6</v>
      </c>
      <c r="C18" s="21">
        <v>1</v>
      </c>
      <c r="D18" s="28">
        <f t="shared" si="7"/>
        <v>1</v>
      </c>
      <c r="E18" s="16">
        <f t="shared" si="8"/>
        <v>19</v>
      </c>
      <c r="F18" s="17">
        <f t="shared" si="4"/>
        <v>3.1578947368421053</v>
      </c>
      <c r="G18">
        <f t="shared" si="5"/>
        <v>20</v>
      </c>
      <c r="H18" s="16">
        <f t="shared" si="6"/>
        <v>63.15789473684211</v>
      </c>
    </row>
    <row r="19" spans="1:8" x14ac:dyDescent="0.25">
      <c r="A19" s="21" t="s">
        <v>53</v>
      </c>
      <c r="B19" s="21" t="s">
        <v>48</v>
      </c>
      <c r="C19" s="40">
        <v>1</v>
      </c>
      <c r="D19" s="42">
        <f t="shared" si="7"/>
        <v>1</v>
      </c>
      <c r="E19">
        <f t="shared" si="8"/>
        <v>36</v>
      </c>
      <c r="F19" s="17">
        <f t="shared" si="4"/>
        <v>1.6666666666666667</v>
      </c>
      <c r="G19">
        <f t="shared" si="5"/>
        <v>20</v>
      </c>
      <c r="H19" s="16">
        <f t="shared" si="6"/>
        <v>33.333333333333336</v>
      </c>
    </row>
    <row r="20" spans="1:8" x14ac:dyDescent="0.25">
      <c r="A20" s="21" t="s">
        <v>53</v>
      </c>
      <c r="B20" s="21" t="s">
        <v>0</v>
      </c>
      <c r="C20" s="40">
        <v>1</v>
      </c>
      <c r="D20" s="43">
        <f t="shared" si="7"/>
        <v>1</v>
      </c>
      <c r="E20">
        <f t="shared" si="8"/>
        <v>36</v>
      </c>
      <c r="F20" s="17">
        <f t="shared" si="4"/>
        <v>1.6666666666666667</v>
      </c>
      <c r="G20">
        <f t="shared" si="5"/>
        <v>20</v>
      </c>
      <c r="H20" s="16">
        <f t="shared" si="6"/>
        <v>33.333333333333336</v>
      </c>
    </row>
    <row r="21" spans="1:8" ht="15.75" thickBot="1" x14ac:dyDescent="0.3">
      <c r="A21" s="21" t="s">
        <v>53</v>
      </c>
      <c r="B21" s="21" t="s">
        <v>6</v>
      </c>
      <c r="C21" s="40">
        <v>1</v>
      </c>
      <c r="D21" s="41">
        <f t="shared" si="7"/>
        <v>1</v>
      </c>
      <c r="E21">
        <f t="shared" si="8"/>
        <v>36</v>
      </c>
      <c r="F21" s="17">
        <f t="shared" si="4"/>
        <v>1.6666666666666667</v>
      </c>
      <c r="G21">
        <f t="shared" si="5"/>
        <v>20</v>
      </c>
      <c r="H21" s="16">
        <f t="shared" si="6"/>
        <v>33.333333333333336</v>
      </c>
    </row>
    <row r="22" spans="1:8" x14ac:dyDescent="0.25">
      <c r="A22" s="21" t="s">
        <v>52</v>
      </c>
      <c r="B22" s="21" t="s">
        <v>48</v>
      </c>
      <c r="C22" s="21">
        <v>1</v>
      </c>
      <c r="D22" s="28">
        <f t="shared" si="7"/>
        <v>2</v>
      </c>
      <c r="E22">
        <f t="shared" si="8"/>
        <v>34</v>
      </c>
      <c r="F22" s="17">
        <f t="shared" si="4"/>
        <v>1.7647058823529411</v>
      </c>
      <c r="G22">
        <f t="shared" si="5"/>
        <v>20</v>
      </c>
      <c r="H22" s="16">
        <f t="shared" si="6"/>
        <v>70.588235294117652</v>
      </c>
    </row>
    <row r="23" spans="1:8" x14ac:dyDescent="0.25">
      <c r="A23" s="21" t="s">
        <v>52</v>
      </c>
      <c r="B23" s="21" t="s">
        <v>0</v>
      </c>
      <c r="C23" s="21">
        <v>1</v>
      </c>
      <c r="D23" s="28">
        <f t="shared" si="7"/>
        <v>2</v>
      </c>
      <c r="E23">
        <f t="shared" si="8"/>
        <v>34</v>
      </c>
      <c r="F23" s="17">
        <f t="shared" si="4"/>
        <v>1.7647058823529411</v>
      </c>
      <c r="G23">
        <f t="shared" si="5"/>
        <v>20</v>
      </c>
      <c r="H23" s="16">
        <f t="shared" si="6"/>
        <v>70.588235294117652</v>
      </c>
    </row>
    <row r="24" spans="1:8" x14ac:dyDescent="0.25">
      <c r="A24" s="21" t="s">
        <v>52</v>
      </c>
      <c r="B24" s="21" t="s">
        <v>62</v>
      </c>
      <c r="C24" s="21">
        <v>1</v>
      </c>
      <c r="D24" s="28">
        <f t="shared" si="7"/>
        <v>2</v>
      </c>
      <c r="E24">
        <f t="shared" si="8"/>
        <v>34</v>
      </c>
      <c r="F24" s="17">
        <f t="shared" si="4"/>
        <v>1.7647058823529411</v>
      </c>
      <c r="G24">
        <f t="shared" si="5"/>
        <v>20</v>
      </c>
      <c r="H24" s="16">
        <f t="shared" si="6"/>
        <v>70.588235294117652</v>
      </c>
    </row>
    <row r="25" spans="1:8" x14ac:dyDescent="0.25">
      <c r="A25" s="21" t="s">
        <v>52</v>
      </c>
      <c r="B25" s="21" t="s">
        <v>11</v>
      </c>
      <c r="C25" s="21">
        <v>1</v>
      </c>
      <c r="D25" s="28">
        <f t="shared" si="7"/>
        <v>2</v>
      </c>
      <c r="E25">
        <f t="shared" si="8"/>
        <v>34</v>
      </c>
      <c r="F25" s="17">
        <f t="shared" si="4"/>
        <v>1.7647058823529411</v>
      </c>
      <c r="G25">
        <f t="shared" si="5"/>
        <v>20</v>
      </c>
      <c r="H25" s="16">
        <f t="shared" si="6"/>
        <v>70.588235294117652</v>
      </c>
    </row>
    <row r="26" spans="1:8" ht="15.75" thickBot="1" x14ac:dyDescent="0.3">
      <c r="A26" s="21" t="s">
        <v>52</v>
      </c>
      <c r="B26" s="21" t="s">
        <v>12</v>
      </c>
      <c r="C26" s="21">
        <v>1</v>
      </c>
      <c r="D26" s="28">
        <f t="shared" si="7"/>
        <v>2</v>
      </c>
      <c r="E26">
        <f t="shared" si="8"/>
        <v>34</v>
      </c>
      <c r="F26" s="17">
        <f t="shared" si="4"/>
        <v>1.7647058823529411</v>
      </c>
      <c r="G26">
        <f t="shared" si="5"/>
        <v>20</v>
      </c>
      <c r="H26" s="16">
        <f t="shared" si="6"/>
        <v>70.588235294117652</v>
      </c>
    </row>
    <row r="27" spans="1:8" x14ac:dyDescent="0.25">
      <c r="A27" s="21" t="s">
        <v>10</v>
      </c>
      <c r="B27" s="21" t="s">
        <v>48</v>
      </c>
      <c r="C27" s="21">
        <v>1</v>
      </c>
      <c r="D27" s="30">
        <f t="shared" si="7"/>
        <v>1</v>
      </c>
      <c r="E27">
        <f t="shared" si="8"/>
        <v>47</v>
      </c>
      <c r="F27" s="17">
        <f t="shared" si="4"/>
        <v>1.2765957446808511</v>
      </c>
      <c r="G27">
        <f t="shared" si="5"/>
        <v>20</v>
      </c>
      <c r="H27" s="16">
        <f t="shared" si="6"/>
        <v>25.531914893617021</v>
      </c>
    </row>
    <row r="28" spans="1:8" x14ac:dyDescent="0.25">
      <c r="A28" s="21" t="s">
        <v>10</v>
      </c>
      <c r="B28" s="21" t="s">
        <v>0</v>
      </c>
      <c r="C28" s="21">
        <v>1</v>
      </c>
      <c r="D28" s="28">
        <f t="shared" si="7"/>
        <v>1</v>
      </c>
      <c r="E28">
        <f t="shared" si="8"/>
        <v>47</v>
      </c>
      <c r="F28" s="17">
        <f t="shared" si="4"/>
        <v>1.2765957446808511</v>
      </c>
      <c r="G28">
        <f t="shared" si="5"/>
        <v>20</v>
      </c>
      <c r="H28" s="16">
        <f t="shared" si="6"/>
        <v>25.531914893617021</v>
      </c>
    </row>
    <row r="29" spans="1:8" x14ac:dyDescent="0.25">
      <c r="A29" s="21" t="str">
        <f>$A$28</f>
        <v>Ознакомление с путевым листом</v>
      </c>
      <c r="B29" s="21" t="s">
        <v>62</v>
      </c>
      <c r="C29" s="21">
        <v>1</v>
      </c>
      <c r="D29" s="28">
        <f t="shared" si="7"/>
        <v>1</v>
      </c>
      <c r="E29">
        <f t="shared" si="8"/>
        <v>47</v>
      </c>
      <c r="F29" s="17">
        <f t="shared" si="4"/>
        <v>1.2765957446808511</v>
      </c>
      <c r="G29">
        <f t="shared" si="5"/>
        <v>20</v>
      </c>
      <c r="H29" s="16">
        <f t="shared" si="6"/>
        <v>25.531914893617021</v>
      </c>
    </row>
    <row r="30" spans="1:8" x14ac:dyDescent="0.25">
      <c r="A30" s="21" t="s">
        <v>10</v>
      </c>
      <c r="B30" s="21" t="s">
        <v>4</v>
      </c>
      <c r="C30" s="21">
        <v>1</v>
      </c>
      <c r="D30" s="28">
        <f>VLOOKUP(A30,$M$1:$X$8,6,FALSE)</f>
        <v>1</v>
      </c>
      <c r="E30">
        <f>VLOOKUP(A30,$M$1:$X$8,5,FALSE)</f>
        <v>47</v>
      </c>
      <c r="F30" s="17">
        <f>60/E30*C30</f>
        <v>1.2765957446808511</v>
      </c>
      <c r="G30">
        <f>VLOOKUP(A30,$M$1:$X$8,9,FALSE)</f>
        <v>20</v>
      </c>
      <c r="H30" s="16">
        <f>D30*F30*G30</f>
        <v>25.531914893617021</v>
      </c>
    </row>
    <row r="31" spans="1:8" x14ac:dyDescent="0.25">
      <c r="A31" s="21"/>
      <c r="B31" s="21"/>
      <c r="C31" s="21"/>
      <c r="D31" s="28"/>
      <c r="F31" s="17"/>
      <c r="H31" s="16"/>
    </row>
    <row r="35" spans="1:9" ht="15.75" thickBot="1" x14ac:dyDescent="0.3"/>
    <row r="36" spans="1:9" x14ac:dyDescent="0.25">
      <c r="A36" s="92" t="s">
        <v>64</v>
      </c>
      <c r="B36" s="93"/>
      <c r="C36" s="94" t="s">
        <v>86</v>
      </c>
      <c r="D36" s="95"/>
    </row>
    <row r="37" spans="1:9" ht="93.75" x14ac:dyDescent="0.3">
      <c r="A37" s="24" t="s">
        <v>63</v>
      </c>
      <c r="B37" s="64" t="s">
        <v>44</v>
      </c>
      <c r="C37" s="20" t="s">
        <v>42</v>
      </c>
      <c r="D37" s="20" t="s">
        <v>43</v>
      </c>
      <c r="E37" s="32"/>
      <c r="F37" s="67" t="s">
        <v>68</v>
      </c>
      <c r="G37" s="20" t="s">
        <v>41</v>
      </c>
      <c r="H37" s="20" t="s">
        <v>45</v>
      </c>
      <c r="I37" s="20" t="s">
        <v>46</v>
      </c>
    </row>
    <row r="38" spans="1:9" ht="37.5" x14ac:dyDescent="0.25">
      <c r="A38" s="24" t="s">
        <v>48</v>
      </c>
      <c r="B38" s="65">
        <f>520*2</f>
        <v>1040</v>
      </c>
      <c r="C38" s="66">
        <f>GETPIVOTDATA("Итого",$I$1,"transaction rq",A38)*3</f>
        <v>1064.6912776308732</v>
      </c>
      <c r="D38" s="18">
        <f>1-B38/C38</f>
        <v>2.3191020861761613E-2</v>
      </c>
      <c r="E38" s="31"/>
      <c r="F38" s="68" t="str">
        <f>VLOOKUP(A38,Соответствие!A:B,2,FALSE)</f>
        <v>open_homepage</v>
      </c>
      <c r="G38" s="33">
        <f>C38/3</f>
        <v>354.89709254362441</v>
      </c>
      <c r="H38" s="21">
        <f>VLOOKUP(F38,SummaryReport!A:J,8,FALSE)</f>
        <v>355</v>
      </c>
      <c r="I38" s="19">
        <f t="shared" ref="I38:I49" si="9">1-G38/H38</f>
        <v>2.898801588044897E-4</v>
      </c>
    </row>
    <row r="39" spans="1:9" ht="18.75" x14ac:dyDescent="0.25">
      <c r="A39" s="25" t="s">
        <v>0</v>
      </c>
      <c r="B39" s="65">
        <f>422*2</f>
        <v>844</v>
      </c>
      <c r="C39" s="66">
        <f t="shared" ref="C39:C49" si="10">GETPIVOTDATA("Итого",$I$1,"transaction rq",A39)*3</f>
        <v>875.21759342034682</v>
      </c>
      <c r="D39" s="18">
        <f>1-B39/C39</f>
        <v>3.5668379674988704E-2</v>
      </c>
      <c r="E39" s="31"/>
      <c r="F39" s="68" t="str">
        <f>VLOOKUP(A39,Соответствие!A:B,2,FALSE)</f>
        <v>log_in</v>
      </c>
      <c r="G39" s="33">
        <f t="shared" ref="G39:G49" si="11">C39/3</f>
        <v>291.73919780678227</v>
      </c>
      <c r="H39" s="21">
        <f>VLOOKUP(F39,SummaryReport!A:J,8,FALSE)</f>
        <v>291</v>
      </c>
      <c r="I39" s="19">
        <f t="shared" si="9"/>
        <v>-2.5401986487363359E-3</v>
      </c>
    </row>
    <row r="40" spans="1:9" ht="37.5" x14ac:dyDescent="0.25">
      <c r="A40" s="86" t="s">
        <v>62</v>
      </c>
      <c r="B40" s="87">
        <f>305*2</f>
        <v>610</v>
      </c>
      <c r="C40" s="38">
        <f t="shared" si="10"/>
        <v>631.21759342034693</v>
      </c>
      <c r="D40" s="88">
        <f>1-B40/C40</f>
        <v>3.3613754815318475E-2</v>
      </c>
      <c r="E40" s="31"/>
      <c r="F40" s="68" t="str">
        <f>VLOOKUP(A40,Соответствие!A:B,2,FALSE)</f>
        <v>open_flights</v>
      </c>
      <c r="G40" s="33">
        <f t="shared" si="11"/>
        <v>210.40586447344899</v>
      </c>
      <c r="H40" s="21">
        <f>VLOOKUP(F40,SummaryReport!A:J,8,FALSE)</f>
        <v>209</v>
      </c>
      <c r="I40" s="19">
        <f t="shared" si="9"/>
        <v>-6.7266242748755811E-3</v>
      </c>
    </row>
    <row r="41" spans="1:9" ht="37.5" x14ac:dyDescent="0.25">
      <c r="A41" s="86" t="s">
        <v>11</v>
      </c>
      <c r="B41" s="87">
        <f>282*2</f>
        <v>564</v>
      </c>
      <c r="C41" s="38">
        <f t="shared" si="10"/>
        <v>554.62184873949582</v>
      </c>
      <c r="D41" s="88">
        <f t="shared" ref="D41:D50" si="12">1-B41/C41</f>
        <v>-1.6909090909090985E-2</v>
      </c>
      <c r="E41" s="31"/>
      <c r="F41" s="68" t="str">
        <f>VLOOKUP(A41,Соответствие!A:B,2,FALSE)</f>
        <v>find_flight</v>
      </c>
      <c r="G41" s="33">
        <f t="shared" si="11"/>
        <v>184.87394957983193</v>
      </c>
      <c r="H41" s="21">
        <f>VLOOKUP(F41,SummaryReport!A:J,8,FALSE)</f>
        <v>183</v>
      </c>
      <c r="I41" s="19">
        <f t="shared" si="9"/>
        <v>-1.0240161638425782E-2</v>
      </c>
    </row>
    <row r="42" spans="1:9" ht="37.5" x14ac:dyDescent="0.25">
      <c r="A42" s="86" t="s">
        <v>12</v>
      </c>
      <c r="B42" s="87">
        <f>270*2</f>
        <v>540</v>
      </c>
      <c r="C42" s="38">
        <f t="shared" si="10"/>
        <v>554.62184873949582</v>
      </c>
      <c r="D42" s="88">
        <f t="shared" si="12"/>
        <v>2.6363636363636367E-2</v>
      </c>
      <c r="E42" s="31"/>
      <c r="F42" s="68" t="str">
        <f>VLOOKUP(A42,Соответствие!A:B,2,FALSE)</f>
        <v>flight_selection</v>
      </c>
      <c r="G42" s="33">
        <f t="shared" si="11"/>
        <v>184.87394957983193</v>
      </c>
      <c r="H42" s="21">
        <f>VLOOKUP(F42,SummaryReport!A:J,8,FALSE)</f>
        <v>184</v>
      </c>
      <c r="I42" s="19">
        <f t="shared" si="9"/>
        <v>-4.7497259773474632E-3</v>
      </c>
    </row>
    <row r="43" spans="1:9" ht="18.75" x14ac:dyDescent="0.25">
      <c r="A43" s="86" t="s">
        <v>3</v>
      </c>
      <c r="B43" s="87">
        <f>175*2</f>
        <v>350</v>
      </c>
      <c r="C43" s="38">
        <f t="shared" si="10"/>
        <v>342.85714285714289</v>
      </c>
      <c r="D43" s="88">
        <f t="shared" si="12"/>
        <v>-2.0833333333333259E-2</v>
      </c>
      <c r="E43" s="31"/>
      <c r="F43" s="68" t="str">
        <f>VLOOKUP(A43,Соответствие!A:B,2,FALSE)</f>
        <v>payment_details</v>
      </c>
      <c r="G43" s="33">
        <f t="shared" si="11"/>
        <v>114.28571428571429</v>
      </c>
      <c r="H43" s="21">
        <f>VLOOKUP(F43,SummaryReport!A:J,8,FALSE)</f>
        <v>114</v>
      </c>
      <c r="I43" s="19">
        <f t="shared" si="9"/>
        <v>-2.5062656641603454E-3</v>
      </c>
    </row>
    <row r="44" spans="1:9" ht="18.75" x14ac:dyDescent="0.25">
      <c r="A44" s="86" t="s">
        <v>4</v>
      </c>
      <c r="B44" s="87">
        <f>280*2</f>
        <v>560</v>
      </c>
      <c r="C44" s="38">
        <f t="shared" si="10"/>
        <v>563.45288753799389</v>
      </c>
      <c r="D44" s="88">
        <f t="shared" si="12"/>
        <v>6.1280856205765399E-3</v>
      </c>
      <c r="E44" s="39"/>
      <c r="F44" s="68" t="str">
        <f>VLOOKUP(A44,Соответствие!A:B,2,FALSE)</f>
        <v>Itinerary_Button</v>
      </c>
      <c r="G44" s="33">
        <f t="shared" si="11"/>
        <v>187.81762917933131</v>
      </c>
      <c r="H44" s="21">
        <f>VLOOKUP(F44,SummaryReport!A:J,8,FALSE)</f>
        <v>187</v>
      </c>
      <c r="I44" s="19">
        <f t="shared" si="9"/>
        <v>-4.3723485525737349E-3</v>
      </c>
    </row>
    <row r="45" spans="1:9" ht="18.75" x14ac:dyDescent="0.25">
      <c r="A45" s="86" t="s">
        <v>13</v>
      </c>
      <c r="B45" s="87">
        <f>73*2</f>
        <v>146</v>
      </c>
      <c r="C45" s="38">
        <f t="shared" si="10"/>
        <v>144</v>
      </c>
      <c r="D45" s="88">
        <f t="shared" si="12"/>
        <v>-1.388888888888884E-2</v>
      </c>
      <c r="E45" s="31"/>
      <c r="F45" s="68" t="str">
        <f>VLOOKUP(A45,Соответствие!A:B,2,FALSE)</f>
        <v>select_booking</v>
      </c>
      <c r="G45" s="33">
        <f t="shared" si="11"/>
        <v>48</v>
      </c>
      <c r="H45" s="21">
        <f>VLOOKUP(F45,SummaryReport!A:J,8,FALSE)</f>
        <v>48</v>
      </c>
      <c r="I45" s="19">
        <f t="shared" si="9"/>
        <v>0</v>
      </c>
    </row>
    <row r="46" spans="1:9" ht="18.75" x14ac:dyDescent="0.25">
      <c r="A46" s="86" t="s">
        <v>6</v>
      </c>
      <c r="B46" s="87">
        <f>326*2</f>
        <v>652</v>
      </c>
      <c r="C46" s="38">
        <f t="shared" si="10"/>
        <v>632.33082706766925</v>
      </c>
      <c r="D46" s="88">
        <f t="shared" si="12"/>
        <v>-3.1105826397146208E-2</v>
      </c>
      <c r="E46" s="31"/>
      <c r="F46" s="68" t="str">
        <f>VLOOKUP(A46,Соответствие!A:B,2,FALSE)</f>
        <v>log_out</v>
      </c>
      <c r="G46" s="33">
        <f t="shared" si="11"/>
        <v>210.77694235588976</v>
      </c>
      <c r="H46" s="21">
        <f>VLOOKUP(F46,SummaryReport!A:J,8,FALSE)</f>
        <v>210</v>
      </c>
      <c r="I46" s="19">
        <f t="shared" si="9"/>
        <v>-3.6997255042370281E-3</v>
      </c>
    </row>
    <row r="47" spans="1:9" ht="37.5" x14ac:dyDescent="0.25">
      <c r="A47" s="86" t="s">
        <v>50</v>
      </c>
      <c r="B47" s="87">
        <f>97*2</f>
        <v>194</v>
      </c>
      <c r="C47" s="38">
        <f t="shared" si="10"/>
        <v>189.47368421052633</v>
      </c>
      <c r="D47" s="88">
        <f t="shared" si="12"/>
        <v>-2.3888888888888848E-2</v>
      </c>
      <c r="E47" s="31"/>
      <c r="F47" s="68" t="str">
        <f>VLOOKUP(A47,Соответствие!A:B,2,FALSE)</f>
        <v>Open_sign_up_now</v>
      </c>
      <c r="G47" s="33">
        <f t="shared" si="11"/>
        <v>63.15789473684211</v>
      </c>
      <c r="H47" s="21">
        <f>VLOOKUP(F47,SummaryReport!A:J,8,FALSE)</f>
        <v>63</v>
      </c>
      <c r="I47" s="19">
        <f t="shared" si="9"/>
        <v>-2.5062656641605674E-3</v>
      </c>
    </row>
    <row r="48" spans="1:9" ht="37.5" x14ac:dyDescent="0.25">
      <c r="A48" s="86" t="s">
        <v>49</v>
      </c>
      <c r="B48" s="87">
        <f>97*2</f>
        <v>194</v>
      </c>
      <c r="C48" s="38">
        <f t="shared" si="10"/>
        <v>189.47368421052633</v>
      </c>
      <c r="D48" s="88">
        <f t="shared" si="12"/>
        <v>-2.3888888888888848E-2</v>
      </c>
      <c r="E48" s="31"/>
      <c r="F48" s="68" t="str">
        <f>VLOOKUP(A48,Соответствие!A:B,2,FALSE)</f>
        <v>Filling_out_the_form</v>
      </c>
      <c r="G48" s="33">
        <f t="shared" si="11"/>
        <v>63.15789473684211</v>
      </c>
      <c r="H48" s="21">
        <f>VLOOKUP(F48,SummaryReport!A:J,8,FALSE)</f>
        <v>63</v>
      </c>
      <c r="I48" s="19">
        <f t="shared" si="9"/>
        <v>-2.5062656641605674E-3</v>
      </c>
    </row>
    <row r="49" spans="1:10" ht="38.25" thickBot="1" x14ac:dyDescent="0.3">
      <c r="A49" s="86" t="s">
        <v>51</v>
      </c>
      <c r="B49" s="87">
        <f>97*2</f>
        <v>194</v>
      </c>
      <c r="C49" s="38">
        <f t="shared" si="10"/>
        <v>189.47368421052633</v>
      </c>
      <c r="D49" s="88">
        <f t="shared" si="12"/>
        <v>-2.3888888888888848E-2</v>
      </c>
      <c r="E49" s="31"/>
      <c r="F49" s="68" t="str">
        <f>VLOOKUP(A49,Соответствие!A:B,2,FALSE)</f>
        <v>Continue</v>
      </c>
      <c r="G49" s="33">
        <f t="shared" si="11"/>
        <v>63.15789473684211</v>
      </c>
      <c r="H49" s="21">
        <f>VLOOKUP(F49,SummaryReport!A:J,8,FALSE)</f>
        <v>63</v>
      </c>
      <c r="I49" s="19">
        <f t="shared" si="9"/>
        <v>-2.5062656641605674E-3</v>
      </c>
    </row>
    <row r="50" spans="1:10" ht="19.5" thickBot="1" x14ac:dyDescent="0.3">
      <c r="A50" s="89" t="s">
        <v>7</v>
      </c>
      <c r="B50" s="90">
        <f>SUM(B38:B49)</f>
        <v>5888</v>
      </c>
      <c r="C50" s="91">
        <f>SUM(C38:C49)</f>
        <v>5931.4320720449441</v>
      </c>
      <c r="D50" s="88">
        <f t="shared" si="12"/>
        <v>7.3223584991626289E-3</v>
      </c>
      <c r="G50" s="16">
        <f>G38+G39+G40+G41+G42+G43+G44+G45+G46+G47+G48+G49</f>
        <v>1977.1440240149811</v>
      </c>
      <c r="H50">
        <f>H38+H39+H40+H41+H42+H43+H44+H45+H46+H47+H48+H49</f>
        <v>1970</v>
      </c>
      <c r="I50" s="30"/>
    </row>
    <row r="51" spans="1:10" ht="18.75" x14ac:dyDescent="0.25">
      <c r="A51" s="99"/>
      <c r="B51" s="100"/>
      <c r="C51" s="101"/>
      <c r="D51" s="102"/>
      <c r="G51" s="16"/>
      <c r="I51" s="28"/>
    </row>
    <row r="52" spans="1:10" ht="15.75" thickBot="1" x14ac:dyDescent="0.3">
      <c r="I52" s="28"/>
    </row>
    <row r="53" spans="1:10" x14ac:dyDescent="0.25">
      <c r="A53" s="44"/>
      <c r="B53" s="45"/>
      <c r="C53" s="46" t="s">
        <v>61</v>
      </c>
      <c r="D53" s="46"/>
      <c r="E53" s="46"/>
      <c r="F53" s="46"/>
      <c r="G53" s="46"/>
      <c r="H53" s="46"/>
      <c r="I53" s="52">
        <f>1-B55/H55</f>
        <v>1.8333333333333202E-2</v>
      </c>
    </row>
    <row r="54" spans="1:10" x14ac:dyDescent="0.25">
      <c r="A54" s="47"/>
      <c r="B54" s="48" t="s">
        <v>70</v>
      </c>
      <c r="C54" s="48" t="s">
        <v>60</v>
      </c>
      <c r="D54" s="48" t="s">
        <v>56</v>
      </c>
      <c r="E54" s="48" t="s">
        <v>58</v>
      </c>
      <c r="F54" s="48" t="s">
        <v>57</v>
      </c>
      <c r="G54" s="48" t="s">
        <v>59</v>
      </c>
      <c r="H54" s="48" t="s">
        <v>69</v>
      </c>
      <c r="I54" s="52">
        <f>1-B56/H56</f>
        <v>-4.1666666666666741E-2</v>
      </c>
    </row>
    <row r="55" spans="1:10" x14ac:dyDescent="0.25">
      <c r="A55" s="49" t="s">
        <v>8</v>
      </c>
      <c r="B55" s="35">
        <f>124/3</f>
        <v>41.333333333333336</v>
      </c>
      <c r="C55" s="23">
        <v>57</v>
      </c>
      <c r="D55" s="22">
        <f>60/C55</f>
        <v>1.0526315789473684</v>
      </c>
      <c r="E55" s="27">
        <v>20</v>
      </c>
      <c r="F55" s="50">
        <f>B55/(D55*E55)</f>
        <v>1.9633333333333336</v>
      </c>
      <c r="G55" s="51">
        <f>ROUND(F55,0)</f>
        <v>2</v>
      </c>
      <c r="H55" s="51">
        <f>G55*D55*E55</f>
        <v>42.105263157894733</v>
      </c>
      <c r="I55" s="52">
        <f>1-B57/H57</f>
        <v>4.166666666666663E-2</v>
      </c>
    </row>
    <row r="56" spans="1:10" x14ac:dyDescent="0.25">
      <c r="A56" s="49" t="s">
        <v>78</v>
      </c>
      <c r="B56" s="35">
        <f>150/3</f>
        <v>50</v>
      </c>
      <c r="C56" s="23">
        <v>25</v>
      </c>
      <c r="D56" s="22">
        <f>60/C56</f>
        <v>2.4</v>
      </c>
      <c r="E56" s="27">
        <v>20</v>
      </c>
      <c r="F56" s="50">
        <f>B56/(D56*E56)</f>
        <v>1.0416666666666667</v>
      </c>
      <c r="G56" s="51">
        <f>ROUND(F56,0)</f>
        <v>1</v>
      </c>
      <c r="H56" s="51">
        <f>G56*D56*E56</f>
        <v>48</v>
      </c>
      <c r="I56" s="52">
        <f>1-B58/H58</f>
        <v>0</v>
      </c>
    </row>
    <row r="57" spans="1:10" x14ac:dyDescent="0.25">
      <c r="A57" s="49" t="s">
        <v>71</v>
      </c>
      <c r="B57" s="36">
        <f>30/3</f>
        <v>10</v>
      </c>
      <c r="C57" s="26">
        <v>115</v>
      </c>
      <c r="D57" s="22">
        <f>60/C57</f>
        <v>0.52173913043478259</v>
      </c>
      <c r="E57" s="27">
        <v>20</v>
      </c>
      <c r="F57" s="50">
        <f>B57/(D57*E57)</f>
        <v>0.95833333333333337</v>
      </c>
      <c r="G57" s="51">
        <v>1</v>
      </c>
      <c r="H57" s="51">
        <f>G57*D57*E57</f>
        <v>10.434782608695652</v>
      </c>
      <c r="I57" s="52">
        <f>1-B59/H59</f>
        <v>0</v>
      </c>
    </row>
    <row r="58" spans="1:10" ht="15.75" thickBot="1" x14ac:dyDescent="0.3">
      <c r="A58" s="49" t="s">
        <v>54</v>
      </c>
      <c r="B58" s="35">
        <f>20/3</f>
        <v>6.666666666666667</v>
      </c>
      <c r="C58" s="23">
        <v>180</v>
      </c>
      <c r="D58" s="22">
        <f>60/C58</f>
        <v>0.33333333333333331</v>
      </c>
      <c r="E58" s="27">
        <v>20</v>
      </c>
      <c r="F58" s="50">
        <f>B58/(D58*E58)</f>
        <v>1.0000000000000002</v>
      </c>
      <c r="G58" s="51">
        <v>1</v>
      </c>
      <c r="H58" s="51">
        <f>G58*D58*E58</f>
        <v>6.6666666666666661</v>
      </c>
      <c r="I58" s="29"/>
    </row>
    <row r="59" spans="1:10" x14ac:dyDescent="0.25">
      <c r="A59" s="49" t="s">
        <v>55</v>
      </c>
      <c r="B59" s="35">
        <f>120/3</f>
        <v>40</v>
      </c>
      <c r="C59" s="23">
        <v>30</v>
      </c>
      <c r="D59" s="22">
        <f>60/C59</f>
        <v>2</v>
      </c>
      <c r="E59" s="27">
        <v>20</v>
      </c>
      <c r="F59" s="50">
        <f>B59/(D59*E59)</f>
        <v>1</v>
      </c>
      <c r="G59" s="51">
        <f>ROUND(F59,0)</f>
        <v>1</v>
      </c>
      <c r="H59" s="51">
        <f>G59*D59*E59</f>
        <v>40</v>
      </c>
    </row>
    <row r="60" spans="1:10" ht="15.75" thickBot="1" x14ac:dyDescent="0.3">
      <c r="A60" s="53"/>
      <c r="B60" s="54"/>
      <c r="C60" s="54"/>
      <c r="D60" s="54"/>
      <c r="E60" s="54"/>
      <c r="F60" s="54"/>
      <c r="G60" s="55">
        <f>SUM(G55:G59)</f>
        <v>6</v>
      </c>
      <c r="H60" s="54"/>
    </row>
    <row r="61" spans="1:10" x14ac:dyDescent="0.25">
      <c r="I61" s="14" t="s">
        <v>25</v>
      </c>
      <c r="J61" t="s">
        <v>37</v>
      </c>
    </row>
    <row r="62" spans="1:10" ht="15.75" thickBot="1" x14ac:dyDescent="0.3">
      <c r="I62" s="15" t="s">
        <v>75</v>
      </c>
      <c r="J62" s="16">
        <v>48</v>
      </c>
    </row>
    <row r="63" spans="1:10" x14ac:dyDescent="0.25">
      <c r="A63" s="44" t="s">
        <v>81</v>
      </c>
      <c r="B63" s="45" t="s">
        <v>82</v>
      </c>
      <c r="C63" s="45" t="s">
        <v>83</v>
      </c>
      <c r="D63" s="45" t="s">
        <v>31</v>
      </c>
      <c r="E63" s="45" t="s">
        <v>84</v>
      </c>
      <c r="F63" s="45" t="s">
        <v>40</v>
      </c>
      <c r="G63" s="45" t="s">
        <v>7</v>
      </c>
      <c r="H63" s="30"/>
      <c r="I63" s="15" t="s">
        <v>72</v>
      </c>
      <c r="J63" s="16">
        <v>154.66666666666669</v>
      </c>
    </row>
    <row r="64" spans="1:10" x14ac:dyDescent="0.25">
      <c r="A64" s="47" t="s">
        <v>8</v>
      </c>
      <c r="B64" s="48" t="s">
        <v>72</v>
      </c>
      <c r="C64" s="51">
        <f t="shared" ref="C64:C89" si="13">VLOOKUP(A64,$A$55:$H$59,6,FALSE)</f>
        <v>1.9633333333333336</v>
      </c>
      <c r="D64" s="48">
        <f t="shared" ref="D64:D89" si="14">VLOOKUP(A64,$A$55:$H$59,3,FALSE)</f>
        <v>57</v>
      </c>
      <c r="E64" s="51">
        <f t="shared" ref="E64:E89" si="15">60/D64</f>
        <v>1.0526315789473684</v>
      </c>
      <c r="F64" s="48">
        <v>20</v>
      </c>
      <c r="G64" s="51">
        <f t="shared" ref="G64:G89" si="16">C64*E64*F64</f>
        <v>41.333333333333336</v>
      </c>
      <c r="H64" s="28"/>
      <c r="I64" s="15" t="s">
        <v>74</v>
      </c>
      <c r="J64" s="16">
        <v>48</v>
      </c>
    </row>
    <row r="65" spans="1:10" x14ac:dyDescent="0.25">
      <c r="A65" s="47" t="s">
        <v>8</v>
      </c>
      <c r="B65" s="48" t="s">
        <v>53</v>
      </c>
      <c r="C65" s="51">
        <f t="shared" si="13"/>
        <v>1.9633333333333336</v>
      </c>
      <c r="D65" s="48">
        <f t="shared" si="14"/>
        <v>57</v>
      </c>
      <c r="E65" s="51">
        <f t="shared" si="15"/>
        <v>1.0526315789473684</v>
      </c>
      <c r="F65" s="48">
        <v>20</v>
      </c>
      <c r="G65" s="51">
        <f t="shared" si="16"/>
        <v>41.333333333333336</v>
      </c>
      <c r="H65" s="28"/>
      <c r="I65" s="37" t="s">
        <v>77</v>
      </c>
      <c r="J65" s="16">
        <v>148</v>
      </c>
    </row>
    <row r="66" spans="1:10" x14ac:dyDescent="0.25">
      <c r="A66" s="47" t="s">
        <v>8</v>
      </c>
      <c r="B66" s="48" t="s">
        <v>73</v>
      </c>
      <c r="C66" s="51">
        <f t="shared" si="13"/>
        <v>1.9633333333333336</v>
      </c>
      <c r="D66" s="48">
        <f t="shared" si="14"/>
        <v>57</v>
      </c>
      <c r="E66" s="51">
        <f t="shared" si="15"/>
        <v>1.0526315789473684</v>
      </c>
      <c r="F66" s="48">
        <v>20</v>
      </c>
      <c r="G66" s="51">
        <f t="shared" si="16"/>
        <v>41.333333333333336</v>
      </c>
      <c r="H66" s="28"/>
      <c r="I66" s="37" t="s">
        <v>53</v>
      </c>
      <c r="J66" s="16">
        <v>148</v>
      </c>
    </row>
    <row r="67" spans="1:10" x14ac:dyDescent="0.25">
      <c r="A67" s="47" t="s">
        <v>8</v>
      </c>
      <c r="B67" s="48" t="s">
        <v>74</v>
      </c>
      <c r="C67" s="51">
        <f t="shared" si="13"/>
        <v>1.9633333333333336</v>
      </c>
      <c r="D67" s="48">
        <f t="shared" si="14"/>
        <v>57</v>
      </c>
      <c r="E67" s="51">
        <f t="shared" si="15"/>
        <v>1.0526315789473684</v>
      </c>
      <c r="F67" s="48">
        <v>20</v>
      </c>
      <c r="G67" s="51">
        <f t="shared" si="16"/>
        <v>41.333333333333336</v>
      </c>
      <c r="H67" s="28"/>
      <c r="I67" s="15" t="s">
        <v>73</v>
      </c>
      <c r="J67" s="16">
        <v>48</v>
      </c>
    </row>
    <row r="68" spans="1:10" x14ac:dyDescent="0.25">
      <c r="A68" s="47" t="s">
        <v>8</v>
      </c>
      <c r="B68" s="48" t="s">
        <v>75</v>
      </c>
      <c r="C68" s="51">
        <f t="shared" si="13"/>
        <v>1.9633333333333336</v>
      </c>
      <c r="D68" s="48">
        <f t="shared" si="14"/>
        <v>57</v>
      </c>
      <c r="E68" s="51">
        <f t="shared" si="15"/>
        <v>1.0526315789473684</v>
      </c>
      <c r="F68" s="48">
        <v>20</v>
      </c>
      <c r="G68" s="51">
        <f t="shared" si="16"/>
        <v>41.333333333333336</v>
      </c>
      <c r="H68" s="28"/>
      <c r="I68" s="37" t="s">
        <v>76</v>
      </c>
      <c r="J68" s="16">
        <v>41.333333333333336</v>
      </c>
    </row>
    <row r="69" spans="1:10" x14ac:dyDescent="0.25">
      <c r="A69" s="47" t="s">
        <v>8</v>
      </c>
      <c r="B69" s="48" t="s">
        <v>76</v>
      </c>
      <c r="C69" s="51">
        <f t="shared" si="13"/>
        <v>1.9633333333333336</v>
      </c>
      <c r="D69" s="48">
        <f t="shared" si="14"/>
        <v>57</v>
      </c>
      <c r="E69" s="51">
        <f t="shared" si="15"/>
        <v>1.0526315789473684</v>
      </c>
      <c r="F69" s="48">
        <v>20</v>
      </c>
      <c r="G69" s="51">
        <f t="shared" si="16"/>
        <v>41.333333333333336</v>
      </c>
      <c r="H69" s="28"/>
      <c r="I69" s="15" t="s">
        <v>79</v>
      </c>
      <c r="J69" s="16">
        <v>50</v>
      </c>
    </row>
    <row r="70" spans="1:10" x14ac:dyDescent="0.25">
      <c r="A70" s="47" t="s">
        <v>8</v>
      </c>
      <c r="B70" s="48" t="s">
        <v>77</v>
      </c>
      <c r="C70" s="51">
        <f t="shared" si="13"/>
        <v>1.9633333333333336</v>
      </c>
      <c r="D70" s="48">
        <f t="shared" si="14"/>
        <v>57</v>
      </c>
      <c r="E70" s="51">
        <f t="shared" si="15"/>
        <v>1.0526315789473684</v>
      </c>
      <c r="F70" s="48">
        <v>20</v>
      </c>
      <c r="G70" s="51">
        <f t="shared" si="16"/>
        <v>41.333333333333336</v>
      </c>
      <c r="H70" s="28"/>
      <c r="I70" s="37" t="s">
        <v>80</v>
      </c>
      <c r="J70" s="16">
        <v>10</v>
      </c>
    </row>
    <row r="71" spans="1:10" x14ac:dyDescent="0.25">
      <c r="A71" s="47" t="s">
        <v>78</v>
      </c>
      <c r="B71" s="48" t="s">
        <v>72</v>
      </c>
      <c r="C71" s="51">
        <f t="shared" si="13"/>
        <v>1.0416666666666667</v>
      </c>
      <c r="D71" s="48">
        <f t="shared" si="14"/>
        <v>25</v>
      </c>
      <c r="E71" s="51">
        <f t="shared" si="15"/>
        <v>2.4</v>
      </c>
      <c r="F71" s="48">
        <v>20</v>
      </c>
      <c r="G71" s="51">
        <f t="shared" si="16"/>
        <v>50</v>
      </c>
      <c r="H71" s="28"/>
      <c r="I71" s="15" t="s">
        <v>26</v>
      </c>
      <c r="J71" s="13">
        <v>696.00000000000011</v>
      </c>
    </row>
    <row r="72" spans="1:10" x14ac:dyDescent="0.25">
      <c r="A72" s="47" t="s">
        <v>78</v>
      </c>
      <c r="B72" s="48" t="s">
        <v>53</v>
      </c>
      <c r="C72" s="51">
        <f t="shared" si="13"/>
        <v>1.0416666666666667</v>
      </c>
      <c r="D72" s="48">
        <f t="shared" si="14"/>
        <v>25</v>
      </c>
      <c r="E72" s="51">
        <f t="shared" si="15"/>
        <v>2.4</v>
      </c>
      <c r="F72" s="48">
        <v>20</v>
      </c>
      <c r="G72" s="51">
        <f t="shared" si="16"/>
        <v>50</v>
      </c>
      <c r="H72" s="28"/>
    </row>
    <row r="73" spans="1:10" x14ac:dyDescent="0.25">
      <c r="A73" s="47" t="s">
        <v>78</v>
      </c>
      <c r="B73" s="48" t="s">
        <v>77</v>
      </c>
      <c r="C73" s="51">
        <f t="shared" si="13"/>
        <v>1.0416666666666667</v>
      </c>
      <c r="D73" s="48">
        <f t="shared" si="14"/>
        <v>25</v>
      </c>
      <c r="E73" s="51">
        <f t="shared" si="15"/>
        <v>2.4</v>
      </c>
      <c r="F73" s="48">
        <v>20</v>
      </c>
      <c r="G73" s="51">
        <f t="shared" si="16"/>
        <v>50</v>
      </c>
      <c r="H73" s="28"/>
    </row>
    <row r="74" spans="1:10" x14ac:dyDescent="0.25">
      <c r="A74" s="47" t="s">
        <v>71</v>
      </c>
      <c r="B74" s="48" t="s">
        <v>72</v>
      </c>
      <c r="C74" s="51">
        <f t="shared" si="13"/>
        <v>0.95833333333333337</v>
      </c>
      <c r="D74" s="48">
        <f t="shared" si="14"/>
        <v>115</v>
      </c>
      <c r="E74" s="51">
        <f t="shared" si="15"/>
        <v>0.52173913043478259</v>
      </c>
      <c r="F74" s="48">
        <v>20</v>
      </c>
      <c r="G74" s="51">
        <f t="shared" si="16"/>
        <v>10</v>
      </c>
      <c r="H74" s="28"/>
    </row>
    <row r="75" spans="1:10" x14ac:dyDescent="0.25">
      <c r="A75" s="47" t="s">
        <v>71</v>
      </c>
      <c r="B75" s="48" t="s">
        <v>53</v>
      </c>
      <c r="C75" s="51">
        <f t="shared" si="13"/>
        <v>0.95833333333333337</v>
      </c>
      <c r="D75" s="48">
        <f t="shared" si="14"/>
        <v>115</v>
      </c>
      <c r="E75" s="51">
        <f t="shared" si="15"/>
        <v>0.52173913043478259</v>
      </c>
      <c r="F75" s="48">
        <v>20</v>
      </c>
      <c r="G75" s="51">
        <f t="shared" si="16"/>
        <v>10</v>
      </c>
      <c r="H75" s="28"/>
    </row>
    <row r="76" spans="1:10" x14ac:dyDescent="0.25">
      <c r="A76" s="47" t="s">
        <v>71</v>
      </c>
      <c r="B76" s="48" t="s">
        <v>79</v>
      </c>
      <c r="C76" s="51">
        <f t="shared" si="13"/>
        <v>0.95833333333333337</v>
      </c>
      <c r="D76" s="48">
        <f t="shared" si="14"/>
        <v>115</v>
      </c>
      <c r="E76" s="51">
        <f t="shared" si="15"/>
        <v>0.52173913043478259</v>
      </c>
      <c r="F76" s="48">
        <v>20</v>
      </c>
      <c r="G76" s="51">
        <f t="shared" si="16"/>
        <v>10</v>
      </c>
      <c r="H76" s="28"/>
    </row>
    <row r="77" spans="1:10" x14ac:dyDescent="0.25">
      <c r="A77" s="47" t="s">
        <v>71</v>
      </c>
      <c r="B77" s="48" t="s">
        <v>80</v>
      </c>
      <c r="C77" s="51">
        <f t="shared" si="13"/>
        <v>0.95833333333333337</v>
      </c>
      <c r="D77" s="48">
        <f t="shared" si="14"/>
        <v>115</v>
      </c>
      <c r="E77" s="51">
        <f t="shared" si="15"/>
        <v>0.52173913043478259</v>
      </c>
      <c r="F77" s="48">
        <v>20</v>
      </c>
      <c r="G77" s="51">
        <f t="shared" si="16"/>
        <v>10</v>
      </c>
      <c r="H77" s="28"/>
    </row>
    <row r="78" spans="1:10" x14ac:dyDescent="0.25">
      <c r="A78" s="47" t="s">
        <v>71</v>
      </c>
      <c r="B78" s="48" t="s">
        <v>77</v>
      </c>
      <c r="C78" s="51">
        <f t="shared" si="13"/>
        <v>0.95833333333333337</v>
      </c>
      <c r="D78" s="48">
        <f t="shared" si="14"/>
        <v>115</v>
      </c>
      <c r="E78" s="51">
        <f t="shared" si="15"/>
        <v>0.52173913043478259</v>
      </c>
      <c r="F78" s="48">
        <v>20</v>
      </c>
      <c r="G78" s="51">
        <f t="shared" si="16"/>
        <v>10</v>
      </c>
      <c r="H78" s="28"/>
    </row>
    <row r="79" spans="1:10" x14ac:dyDescent="0.25">
      <c r="A79" s="47" t="s">
        <v>54</v>
      </c>
      <c r="B79" s="48" t="s">
        <v>72</v>
      </c>
      <c r="C79" s="51">
        <f t="shared" si="13"/>
        <v>1.0000000000000002</v>
      </c>
      <c r="D79" s="48">
        <f t="shared" si="14"/>
        <v>180</v>
      </c>
      <c r="E79" s="51">
        <f t="shared" si="15"/>
        <v>0.33333333333333331</v>
      </c>
      <c r="F79" s="48">
        <v>20</v>
      </c>
      <c r="G79" s="51">
        <f t="shared" si="16"/>
        <v>6.6666666666666679</v>
      </c>
      <c r="H79" s="28"/>
    </row>
    <row r="80" spans="1:10" x14ac:dyDescent="0.25">
      <c r="A80" s="47" t="s">
        <v>54</v>
      </c>
      <c r="B80" s="48" t="s">
        <v>72</v>
      </c>
      <c r="C80" s="51">
        <f t="shared" si="13"/>
        <v>1.0000000000000002</v>
      </c>
      <c r="D80" s="48">
        <f t="shared" si="14"/>
        <v>180</v>
      </c>
      <c r="E80" s="51">
        <f t="shared" si="15"/>
        <v>0.33333333333333331</v>
      </c>
      <c r="F80" s="48">
        <v>20</v>
      </c>
      <c r="G80" s="51">
        <f t="shared" si="16"/>
        <v>6.6666666666666679</v>
      </c>
      <c r="H80" s="28"/>
    </row>
    <row r="81" spans="1:8" x14ac:dyDescent="0.25">
      <c r="A81" s="47" t="s">
        <v>54</v>
      </c>
      <c r="B81" s="48" t="s">
        <v>53</v>
      </c>
      <c r="C81" s="51">
        <f t="shared" si="13"/>
        <v>1.0000000000000002</v>
      </c>
      <c r="D81" s="48">
        <f t="shared" si="14"/>
        <v>180</v>
      </c>
      <c r="E81" s="51">
        <f t="shared" si="15"/>
        <v>0.33333333333333331</v>
      </c>
      <c r="F81" s="48">
        <v>20</v>
      </c>
      <c r="G81" s="51">
        <f t="shared" si="16"/>
        <v>6.6666666666666679</v>
      </c>
      <c r="H81" s="28"/>
    </row>
    <row r="82" spans="1:8" x14ac:dyDescent="0.25">
      <c r="A82" s="47" t="s">
        <v>54</v>
      </c>
      <c r="B82" s="48" t="s">
        <v>73</v>
      </c>
      <c r="C82" s="51">
        <f t="shared" si="13"/>
        <v>1.0000000000000002</v>
      </c>
      <c r="D82" s="48">
        <f t="shared" si="14"/>
        <v>180</v>
      </c>
      <c r="E82" s="51">
        <f t="shared" si="15"/>
        <v>0.33333333333333331</v>
      </c>
      <c r="F82" s="48">
        <v>20</v>
      </c>
      <c r="G82" s="51">
        <f t="shared" si="16"/>
        <v>6.6666666666666679</v>
      </c>
      <c r="H82" s="28"/>
    </row>
    <row r="83" spans="1:8" x14ac:dyDescent="0.25">
      <c r="A83" s="47" t="s">
        <v>54</v>
      </c>
      <c r="B83" s="48" t="s">
        <v>74</v>
      </c>
      <c r="C83" s="51">
        <f t="shared" si="13"/>
        <v>1.0000000000000002</v>
      </c>
      <c r="D83" s="48">
        <f t="shared" si="14"/>
        <v>180</v>
      </c>
      <c r="E83" s="51">
        <f t="shared" si="15"/>
        <v>0.33333333333333331</v>
      </c>
      <c r="F83" s="48">
        <v>20</v>
      </c>
      <c r="G83" s="51">
        <f t="shared" si="16"/>
        <v>6.6666666666666679</v>
      </c>
      <c r="H83" s="28"/>
    </row>
    <row r="84" spans="1:8" x14ac:dyDescent="0.25">
      <c r="A84" s="47" t="s">
        <v>54</v>
      </c>
      <c r="B84" s="48" t="s">
        <v>75</v>
      </c>
      <c r="C84" s="51">
        <f t="shared" si="13"/>
        <v>1.0000000000000002</v>
      </c>
      <c r="D84" s="48">
        <f t="shared" si="14"/>
        <v>180</v>
      </c>
      <c r="E84" s="51">
        <f t="shared" si="15"/>
        <v>0.33333333333333331</v>
      </c>
      <c r="F84" s="48">
        <v>20</v>
      </c>
      <c r="G84" s="51">
        <f t="shared" si="16"/>
        <v>6.6666666666666679</v>
      </c>
      <c r="H84" s="28"/>
    </row>
    <row r="85" spans="1:8" x14ac:dyDescent="0.25">
      <c r="A85" s="47" t="s">
        <v>54</v>
      </c>
      <c r="B85" s="48" t="s">
        <v>77</v>
      </c>
      <c r="C85" s="51">
        <f t="shared" si="13"/>
        <v>1.0000000000000002</v>
      </c>
      <c r="D85" s="48">
        <f t="shared" si="14"/>
        <v>180</v>
      </c>
      <c r="E85" s="51">
        <f t="shared" si="15"/>
        <v>0.33333333333333331</v>
      </c>
      <c r="F85" s="48">
        <v>20</v>
      </c>
      <c r="G85" s="51">
        <f t="shared" si="16"/>
        <v>6.6666666666666679</v>
      </c>
      <c r="H85" s="28"/>
    </row>
    <row r="86" spans="1:8" x14ac:dyDescent="0.25">
      <c r="A86" s="47" t="s">
        <v>55</v>
      </c>
      <c r="B86" s="48" t="s">
        <v>72</v>
      </c>
      <c r="C86" s="51">
        <f t="shared" si="13"/>
        <v>1</v>
      </c>
      <c r="D86" s="48">
        <f t="shared" si="14"/>
        <v>30</v>
      </c>
      <c r="E86" s="51">
        <f t="shared" si="15"/>
        <v>2</v>
      </c>
      <c r="F86" s="48">
        <v>20</v>
      </c>
      <c r="G86" s="51">
        <f t="shared" si="16"/>
        <v>40</v>
      </c>
      <c r="H86" s="28"/>
    </row>
    <row r="87" spans="1:8" x14ac:dyDescent="0.25">
      <c r="A87" s="47" t="s">
        <v>55</v>
      </c>
      <c r="B87" s="48" t="s">
        <v>53</v>
      </c>
      <c r="C87" s="51">
        <f t="shared" si="13"/>
        <v>1</v>
      </c>
      <c r="D87" s="48">
        <f t="shared" si="14"/>
        <v>30</v>
      </c>
      <c r="E87" s="51">
        <f t="shared" si="15"/>
        <v>2</v>
      </c>
      <c r="F87" s="48">
        <v>20</v>
      </c>
      <c r="G87" s="51">
        <f t="shared" si="16"/>
        <v>40</v>
      </c>
      <c r="H87" s="28"/>
    </row>
    <row r="88" spans="1:8" x14ac:dyDescent="0.25">
      <c r="A88" s="47" t="s">
        <v>55</v>
      </c>
      <c r="B88" s="48" t="s">
        <v>79</v>
      </c>
      <c r="C88" s="51">
        <f t="shared" si="13"/>
        <v>1</v>
      </c>
      <c r="D88" s="48">
        <f t="shared" si="14"/>
        <v>30</v>
      </c>
      <c r="E88" s="51">
        <f t="shared" si="15"/>
        <v>2</v>
      </c>
      <c r="F88" s="48">
        <v>20</v>
      </c>
      <c r="G88" s="51">
        <f t="shared" si="16"/>
        <v>40</v>
      </c>
      <c r="H88" s="28"/>
    </row>
    <row r="89" spans="1:8" ht="15.75" thickBot="1" x14ac:dyDescent="0.3">
      <c r="A89" s="53" t="s">
        <v>55</v>
      </c>
      <c r="B89" s="54" t="s">
        <v>77</v>
      </c>
      <c r="C89" s="55">
        <f t="shared" si="13"/>
        <v>1</v>
      </c>
      <c r="D89" s="54">
        <f t="shared" si="14"/>
        <v>30</v>
      </c>
      <c r="E89" s="55">
        <f t="shared" si="15"/>
        <v>2</v>
      </c>
      <c r="F89" s="54">
        <v>20</v>
      </c>
      <c r="G89" s="55">
        <f t="shared" si="16"/>
        <v>40</v>
      </c>
      <c r="H89" s="29"/>
    </row>
  </sheetData>
  <mergeCells count="2">
    <mergeCell ref="A36:B36"/>
    <mergeCell ref="C36:D36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5" x14ac:dyDescent="0.25"/>
  <cols>
    <col min="1" max="1" width="47.42578125" bestFit="1" customWidth="1"/>
    <col min="2" max="2" width="25.5703125" customWidth="1"/>
  </cols>
  <sheetData>
    <row r="1" spans="1:2" x14ac:dyDescent="0.25">
      <c r="A1" s="34" t="s">
        <v>65</v>
      </c>
      <c r="B1" s="34" t="s">
        <v>66</v>
      </c>
    </row>
    <row r="2" spans="1:2" x14ac:dyDescent="0.25">
      <c r="A2" s="68" t="str">
        <f>'Автоматизированный расчет'!A38</f>
        <v>Главная Welcome страница</v>
      </c>
      <c r="B2" s="68" t="s">
        <v>92</v>
      </c>
    </row>
    <row r="3" spans="1:2" x14ac:dyDescent="0.25">
      <c r="A3" s="68" t="str">
        <f>'Автоматизированный расчет'!A39</f>
        <v>Вход в систему</v>
      </c>
      <c r="B3" s="68" t="s">
        <v>93</v>
      </c>
    </row>
    <row r="4" spans="1:2" x14ac:dyDescent="0.25">
      <c r="A4" s="68" t="str">
        <f>'Автоматизированный расчет'!A40</f>
        <v>Переход на страницу поиска билетов</v>
      </c>
      <c r="B4" s="68" t="s">
        <v>94</v>
      </c>
    </row>
    <row r="5" spans="1:2" x14ac:dyDescent="0.25">
      <c r="A5" s="68" t="str">
        <f>'Автоматизированный расчет'!A41</f>
        <v xml:space="preserve">Заполнение полей для поиска билета </v>
      </c>
      <c r="B5" s="68" t="s">
        <v>95</v>
      </c>
    </row>
    <row r="6" spans="1:2" x14ac:dyDescent="0.25">
      <c r="A6" s="68" t="str">
        <f>'Автоматизированный расчет'!A42</f>
        <v xml:space="preserve">Выбор рейса из найденных </v>
      </c>
      <c r="B6" s="68" t="s">
        <v>96</v>
      </c>
    </row>
    <row r="7" spans="1:2" x14ac:dyDescent="0.25">
      <c r="A7" s="68" t="str">
        <f>'Автоматизированный расчет'!A43</f>
        <v>Оплата билета</v>
      </c>
      <c r="B7" s="68" t="s">
        <v>19</v>
      </c>
    </row>
    <row r="8" spans="1:2" x14ac:dyDescent="0.25">
      <c r="A8" s="68" t="str">
        <f>'Автоматизированный расчет'!A44</f>
        <v>Просмотр квитанций</v>
      </c>
      <c r="B8" s="68" t="s">
        <v>97</v>
      </c>
    </row>
    <row r="9" spans="1:2" x14ac:dyDescent="0.25">
      <c r="A9" s="68" t="str">
        <f>'Автоматизированный расчет'!A45</f>
        <v xml:space="preserve">Отмена бронирования </v>
      </c>
      <c r="B9" s="68" t="s">
        <v>98</v>
      </c>
    </row>
    <row r="10" spans="1:2" x14ac:dyDescent="0.25">
      <c r="A10" s="68" t="str">
        <f>'Автоматизированный расчет'!A46</f>
        <v>Выход из системы</v>
      </c>
      <c r="B10" s="68" t="s">
        <v>89</v>
      </c>
    </row>
    <row r="11" spans="1:2" x14ac:dyDescent="0.25">
      <c r="A11" s="68" t="str">
        <f>'Автоматизированный расчет'!A47</f>
        <v>Перход на страницу регистрации</v>
      </c>
      <c r="B11" s="68" t="s">
        <v>90</v>
      </c>
    </row>
    <row r="12" spans="1:2" x14ac:dyDescent="0.25">
      <c r="A12" s="68" t="str">
        <f>'Автоматизированный расчет'!A48</f>
        <v>Заполнение полей регистарции</v>
      </c>
      <c r="B12" s="68" t="s">
        <v>88</v>
      </c>
    </row>
    <row r="13" spans="1:2" x14ac:dyDescent="0.25">
      <c r="A13" s="68" t="str">
        <f>'Автоматизированный расчет'!A49</f>
        <v>Переход на следуюущий эран после регистарции</v>
      </c>
      <c r="B13" s="68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zoomScaleNormal="100" workbookViewId="0">
      <selection activeCell="F30" sqref="F30"/>
    </sheetView>
  </sheetViews>
  <sheetFormatPr defaultRowHeight="15" x14ac:dyDescent="0.25"/>
  <cols>
    <col min="1" max="1" width="36.42578125" bestFit="1" customWidth="1"/>
  </cols>
  <sheetData>
    <row r="1" spans="1:14" x14ac:dyDescent="0.25">
      <c r="A1" t="s">
        <v>100</v>
      </c>
      <c r="B1" t="s">
        <v>67</v>
      </c>
      <c r="C1" s="16">
        <v>0</v>
      </c>
      <c r="D1" s="16">
        <v>0</v>
      </c>
      <c r="E1" s="16">
        <v>1.38</v>
      </c>
      <c r="F1" s="16">
        <v>0.15</v>
      </c>
      <c r="G1" s="16">
        <v>0.94699999999999995</v>
      </c>
      <c r="H1" s="16">
        <v>63</v>
      </c>
      <c r="I1" s="16">
        <v>0</v>
      </c>
      <c r="J1" s="16">
        <v>0</v>
      </c>
      <c r="K1" s="48"/>
      <c r="L1" s="48"/>
      <c r="M1" s="48"/>
      <c r="N1" s="48"/>
    </row>
    <row r="2" spans="1:14" x14ac:dyDescent="0.25">
      <c r="A2" t="s">
        <v>101</v>
      </c>
      <c r="B2" t="s">
        <v>67</v>
      </c>
      <c r="C2" s="16">
        <v>0</v>
      </c>
      <c r="D2" s="16">
        <v>0</v>
      </c>
      <c r="E2" s="16">
        <v>2.238</v>
      </c>
      <c r="F2" s="16">
        <v>0.189</v>
      </c>
      <c r="G2" s="16">
        <v>1.823</v>
      </c>
      <c r="H2" s="16">
        <v>113</v>
      </c>
      <c r="I2" s="16">
        <v>0</v>
      </c>
      <c r="J2" s="16">
        <v>0</v>
      </c>
      <c r="K2" s="48"/>
      <c r="L2" s="71"/>
      <c r="M2" s="48"/>
      <c r="N2" s="48"/>
    </row>
    <row r="3" spans="1:14" x14ac:dyDescent="0.25">
      <c r="A3" t="s">
        <v>102</v>
      </c>
      <c r="B3" t="s">
        <v>67</v>
      </c>
      <c r="C3" s="16">
        <v>0</v>
      </c>
      <c r="D3" s="16">
        <v>0</v>
      </c>
      <c r="E3" s="16">
        <v>1.0589999999999999</v>
      </c>
      <c r="F3" s="16">
        <v>0.13</v>
      </c>
      <c r="G3" s="16">
        <v>0.47399999999999998</v>
      </c>
      <c r="H3" s="16">
        <v>34</v>
      </c>
      <c r="I3" s="16">
        <v>0</v>
      </c>
      <c r="J3" s="16">
        <v>0</v>
      </c>
      <c r="K3" s="48"/>
      <c r="L3" s="71"/>
      <c r="M3" s="48"/>
      <c r="N3" s="48"/>
    </row>
    <row r="4" spans="1:14" x14ac:dyDescent="0.25">
      <c r="A4" t="s">
        <v>103</v>
      </c>
      <c r="B4" t="s">
        <v>67</v>
      </c>
      <c r="C4" s="16">
        <v>0</v>
      </c>
      <c r="D4" s="16">
        <v>0</v>
      </c>
      <c r="E4" s="16">
        <v>1.361</v>
      </c>
      <c r="F4" s="16">
        <v>0.14699999999999999</v>
      </c>
      <c r="G4" s="16">
        <v>0.84799999999999998</v>
      </c>
      <c r="H4" s="16">
        <v>70</v>
      </c>
      <c r="I4" s="16">
        <v>0</v>
      </c>
      <c r="J4" s="16">
        <v>0</v>
      </c>
      <c r="K4" s="48"/>
      <c r="L4" s="71"/>
      <c r="M4" s="48"/>
      <c r="N4" s="48"/>
    </row>
    <row r="5" spans="1:14" x14ac:dyDescent="0.25">
      <c r="A5" t="s">
        <v>104</v>
      </c>
      <c r="B5" t="s">
        <v>67</v>
      </c>
      <c r="C5" s="16">
        <v>0</v>
      </c>
      <c r="D5" s="16">
        <v>0</v>
      </c>
      <c r="E5" s="16">
        <v>1.3779999999999999</v>
      </c>
      <c r="F5" s="16">
        <v>8.6999999999999994E-2</v>
      </c>
      <c r="G5" s="16">
        <v>1.306</v>
      </c>
      <c r="H5" s="16">
        <v>26</v>
      </c>
      <c r="I5" s="16">
        <v>0</v>
      </c>
      <c r="J5" s="16">
        <v>0</v>
      </c>
      <c r="K5" s="48"/>
      <c r="L5" s="71"/>
      <c r="M5" s="48"/>
      <c r="N5" s="48"/>
    </row>
    <row r="6" spans="1:14" x14ac:dyDescent="0.25">
      <c r="A6" t="s">
        <v>105</v>
      </c>
      <c r="B6" t="s">
        <v>67</v>
      </c>
      <c r="C6" s="16">
        <v>0</v>
      </c>
      <c r="D6" s="16">
        <v>0</v>
      </c>
      <c r="E6" s="16">
        <v>2.7679999999999998</v>
      </c>
      <c r="F6" s="16">
        <v>0.23100000000000001</v>
      </c>
      <c r="G6" s="16">
        <v>2.4060000000000001</v>
      </c>
      <c r="H6" s="16">
        <v>48</v>
      </c>
      <c r="I6" s="16">
        <v>0</v>
      </c>
      <c r="J6" s="16">
        <v>0</v>
      </c>
      <c r="K6" s="48"/>
      <c r="L6" s="71"/>
      <c r="M6" s="48"/>
      <c r="N6" s="48"/>
    </row>
    <row r="7" spans="1:14" x14ac:dyDescent="0.25">
      <c r="A7" t="s">
        <v>106</v>
      </c>
      <c r="B7" t="s">
        <v>67</v>
      </c>
      <c r="C7" s="16">
        <v>0</v>
      </c>
      <c r="D7" s="16">
        <v>0</v>
      </c>
      <c r="E7" s="16">
        <v>2.7679999999999998</v>
      </c>
      <c r="F7" s="16">
        <v>0.57999999999999996</v>
      </c>
      <c r="G7" s="16">
        <v>2.0310000000000001</v>
      </c>
      <c r="H7" s="16">
        <v>354</v>
      </c>
      <c r="I7" s="16">
        <v>0</v>
      </c>
      <c r="J7" s="16">
        <v>0</v>
      </c>
      <c r="K7" s="48"/>
      <c r="L7" s="71"/>
      <c r="M7" s="48"/>
      <c r="N7" s="48"/>
    </row>
    <row r="8" spans="1:14" x14ac:dyDescent="0.25">
      <c r="A8" t="s">
        <v>87</v>
      </c>
      <c r="B8" t="s">
        <v>67</v>
      </c>
      <c r="C8" s="16">
        <v>0</v>
      </c>
      <c r="D8" s="16">
        <v>0</v>
      </c>
      <c r="E8" s="16">
        <v>0.22</v>
      </c>
      <c r="F8" s="16">
        <v>1.0999999999999999E-2</v>
      </c>
      <c r="G8" s="16">
        <v>0.20399999999999999</v>
      </c>
      <c r="H8" s="16">
        <v>63</v>
      </c>
      <c r="I8" s="16">
        <v>0</v>
      </c>
      <c r="J8" s="16">
        <v>0</v>
      </c>
      <c r="K8" s="48"/>
      <c r="L8" s="71"/>
      <c r="M8" s="48"/>
      <c r="N8" s="48"/>
    </row>
    <row r="9" spans="1:14" x14ac:dyDescent="0.25">
      <c r="A9" t="s">
        <v>88</v>
      </c>
      <c r="B9" t="s">
        <v>67</v>
      </c>
      <c r="C9" s="16">
        <v>0</v>
      </c>
      <c r="D9" s="16">
        <v>0</v>
      </c>
      <c r="E9" s="16">
        <v>0.88400000000000001</v>
      </c>
      <c r="F9" s="16">
        <v>0.13200000000000001</v>
      </c>
      <c r="G9" s="16">
        <v>0.45200000000000001</v>
      </c>
      <c r="H9" s="16">
        <v>63</v>
      </c>
      <c r="I9" s="16">
        <v>0</v>
      </c>
      <c r="J9" s="16">
        <v>0</v>
      </c>
      <c r="K9" s="48"/>
      <c r="L9" s="71"/>
      <c r="M9" s="48"/>
      <c r="N9" s="48"/>
    </row>
    <row r="10" spans="1:14" x14ac:dyDescent="0.25">
      <c r="A10" t="s">
        <v>95</v>
      </c>
      <c r="B10" t="s">
        <v>67</v>
      </c>
      <c r="C10" s="16">
        <v>0</v>
      </c>
      <c r="D10" s="16">
        <v>0</v>
      </c>
      <c r="E10" s="16">
        <v>0.59799999999999998</v>
      </c>
      <c r="F10" s="16">
        <v>7.4999999999999997E-2</v>
      </c>
      <c r="G10" s="16">
        <v>6.0999999999999999E-2</v>
      </c>
      <c r="H10" s="16">
        <v>183</v>
      </c>
      <c r="I10" s="16">
        <v>0</v>
      </c>
      <c r="J10" s="16">
        <v>0</v>
      </c>
      <c r="K10" s="48"/>
      <c r="L10" s="71"/>
      <c r="M10" s="48"/>
      <c r="N10" s="48"/>
    </row>
    <row r="11" spans="1:14" x14ac:dyDescent="0.25">
      <c r="A11" t="s">
        <v>96</v>
      </c>
      <c r="B11" t="s">
        <v>67</v>
      </c>
      <c r="C11" s="16">
        <v>0</v>
      </c>
      <c r="D11" s="16">
        <v>0</v>
      </c>
      <c r="E11" s="16">
        <v>0.44400000000000001</v>
      </c>
      <c r="F11" s="16">
        <v>5.8999999999999997E-2</v>
      </c>
      <c r="G11" s="16">
        <v>6.5000000000000002E-2</v>
      </c>
      <c r="H11" s="16">
        <v>184</v>
      </c>
      <c r="I11" s="16">
        <v>0</v>
      </c>
      <c r="J11" s="16">
        <v>0</v>
      </c>
      <c r="K11" s="48"/>
      <c r="L11" s="71"/>
      <c r="M11" s="48"/>
      <c r="N11" s="48"/>
    </row>
    <row r="12" spans="1:14" x14ac:dyDescent="0.25">
      <c r="A12" t="s">
        <v>97</v>
      </c>
      <c r="B12" t="s">
        <v>67</v>
      </c>
      <c r="C12" s="16">
        <v>0</v>
      </c>
      <c r="D12" s="16">
        <v>0</v>
      </c>
      <c r="E12" s="16">
        <v>1.3109999999999999</v>
      </c>
      <c r="F12" s="16">
        <v>6.8000000000000005E-2</v>
      </c>
      <c r="G12" s="16">
        <v>0.63700000000000001</v>
      </c>
      <c r="H12" s="16">
        <v>187</v>
      </c>
      <c r="I12" s="16">
        <v>0</v>
      </c>
      <c r="J12" s="16">
        <v>0</v>
      </c>
      <c r="K12" s="48"/>
      <c r="L12" s="71"/>
      <c r="M12" s="48"/>
      <c r="N12" s="48"/>
    </row>
    <row r="13" spans="1:14" x14ac:dyDescent="0.25">
      <c r="A13" t="s">
        <v>93</v>
      </c>
      <c r="B13" t="s">
        <v>67</v>
      </c>
      <c r="C13" s="16">
        <v>0</v>
      </c>
      <c r="D13" s="16">
        <v>0</v>
      </c>
      <c r="E13" s="16">
        <v>0.54400000000000004</v>
      </c>
      <c r="F13" s="16">
        <v>5.2999999999999999E-2</v>
      </c>
      <c r="G13" s="16">
        <v>0.20399999999999999</v>
      </c>
      <c r="H13" s="16">
        <v>291</v>
      </c>
      <c r="I13" s="16">
        <v>0</v>
      </c>
      <c r="J13" s="16">
        <v>0</v>
      </c>
      <c r="K13" s="48"/>
      <c r="L13" s="71"/>
      <c r="M13" s="48"/>
      <c r="N13" s="48"/>
    </row>
    <row r="14" spans="1:14" x14ac:dyDescent="0.25">
      <c r="A14" t="s">
        <v>89</v>
      </c>
      <c r="B14" t="s">
        <v>67</v>
      </c>
      <c r="C14" s="16">
        <v>0</v>
      </c>
      <c r="D14" s="16">
        <v>0</v>
      </c>
      <c r="E14" s="16">
        <v>0.76100000000000001</v>
      </c>
      <c r="F14" s="16">
        <v>6.3E-2</v>
      </c>
      <c r="G14" s="16">
        <v>9.2999999999999999E-2</v>
      </c>
      <c r="H14" s="16">
        <v>210</v>
      </c>
      <c r="I14" s="16">
        <v>0</v>
      </c>
      <c r="J14" s="16">
        <v>0</v>
      </c>
      <c r="K14" s="48"/>
      <c r="L14" s="71"/>
      <c r="M14" s="48"/>
      <c r="N14" s="48"/>
    </row>
    <row r="15" spans="1:14" x14ac:dyDescent="0.25">
      <c r="A15" t="s">
        <v>94</v>
      </c>
      <c r="B15" t="s">
        <v>67</v>
      </c>
      <c r="C15" s="16">
        <v>0</v>
      </c>
      <c r="D15" s="16">
        <v>0</v>
      </c>
      <c r="E15" s="16">
        <v>0.51300000000000001</v>
      </c>
      <c r="F15" s="16">
        <v>3.6999999999999998E-2</v>
      </c>
      <c r="G15" s="16">
        <v>0.158</v>
      </c>
      <c r="H15" s="16">
        <v>209</v>
      </c>
      <c r="I15" s="16">
        <v>0</v>
      </c>
      <c r="J15" s="16">
        <v>0</v>
      </c>
      <c r="K15" s="48"/>
      <c r="L15" s="71"/>
      <c r="M15" s="48"/>
      <c r="N15" s="48"/>
    </row>
    <row r="16" spans="1:14" x14ac:dyDescent="0.25">
      <c r="A16" t="s">
        <v>107</v>
      </c>
      <c r="B16" t="s">
        <v>67</v>
      </c>
      <c r="C16" s="16">
        <v>0</v>
      </c>
      <c r="D16" s="16">
        <v>0</v>
      </c>
      <c r="E16" s="16">
        <v>0.621</v>
      </c>
      <c r="F16" s="16">
        <v>4.3999999999999997E-2</v>
      </c>
      <c r="G16" s="16">
        <v>0.156</v>
      </c>
      <c r="H16" s="16">
        <v>355</v>
      </c>
      <c r="I16" s="16">
        <v>0</v>
      </c>
      <c r="J16" s="16">
        <v>0</v>
      </c>
      <c r="K16" s="48"/>
      <c r="L16" s="71"/>
      <c r="M16" s="48"/>
      <c r="N16" s="48"/>
    </row>
    <row r="17" spans="1:14" x14ac:dyDescent="0.25">
      <c r="A17" t="s">
        <v>90</v>
      </c>
      <c r="B17" t="s">
        <v>67</v>
      </c>
      <c r="C17" s="16">
        <v>0</v>
      </c>
      <c r="D17" s="16">
        <v>0</v>
      </c>
      <c r="E17" s="16">
        <v>0.53100000000000003</v>
      </c>
      <c r="F17" s="16">
        <v>7.0000000000000007E-2</v>
      </c>
      <c r="G17" s="16">
        <v>0.06</v>
      </c>
      <c r="H17" s="16">
        <v>63</v>
      </c>
      <c r="I17" s="16">
        <v>0</v>
      </c>
      <c r="J17" s="16">
        <v>0</v>
      </c>
      <c r="K17" s="48"/>
      <c r="L17" s="71"/>
      <c r="M17" s="48"/>
      <c r="N17" s="48"/>
    </row>
    <row r="18" spans="1:14" x14ac:dyDescent="0.25">
      <c r="A18" t="s">
        <v>19</v>
      </c>
      <c r="B18" t="s">
        <v>67</v>
      </c>
      <c r="C18" s="16">
        <v>0</v>
      </c>
      <c r="D18" s="16">
        <v>0</v>
      </c>
      <c r="E18" s="16">
        <v>0.89600000000000002</v>
      </c>
      <c r="F18" s="16">
        <v>0.14299999999999999</v>
      </c>
      <c r="G18" s="16">
        <v>0.33400000000000002</v>
      </c>
      <c r="H18" s="16">
        <v>114</v>
      </c>
      <c r="I18" s="16">
        <v>0</v>
      </c>
      <c r="J18" s="16">
        <v>0</v>
      </c>
      <c r="K18" s="48"/>
      <c r="L18" s="71"/>
      <c r="M18" s="48"/>
      <c r="N18" s="48"/>
    </row>
    <row r="19" spans="1:14" x14ac:dyDescent="0.25">
      <c r="A19" t="s">
        <v>98</v>
      </c>
      <c r="B19" t="s">
        <v>67</v>
      </c>
      <c r="C19" s="16">
        <v>0</v>
      </c>
      <c r="D19" s="16">
        <v>0</v>
      </c>
      <c r="E19" s="16">
        <v>1.7030000000000001</v>
      </c>
      <c r="F19" s="16">
        <v>0.214</v>
      </c>
      <c r="G19" s="16">
        <v>1.454</v>
      </c>
      <c r="H19" s="16">
        <v>48</v>
      </c>
      <c r="I19" s="16">
        <v>0</v>
      </c>
      <c r="J19" s="16">
        <v>0</v>
      </c>
      <c r="K19" s="48"/>
      <c r="L19" s="71"/>
      <c r="M19" s="48"/>
      <c r="N19" s="48"/>
    </row>
    <row r="20" spans="1:14" x14ac:dyDescent="0.25">
      <c r="A20" t="s">
        <v>98</v>
      </c>
      <c r="B20" t="s">
        <v>67</v>
      </c>
      <c r="C20" s="16">
        <v>0</v>
      </c>
      <c r="D20" s="16">
        <v>0</v>
      </c>
      <c r="E20" s="16">
        <v>2.2890000000000001</v>
      </c>
      <c r="F20" s="16">
        <v>0.28499999999999998</v>
      </c>
      <c r="G20" s="16">
        <v>1.323</v>
      </c>
      <c r="H20" s="16">
        <v>431</v>
      </c>
      <c r="I20" s="16">
        <v>0</v>
      </c>
      <c r="J20" s="16">
        <v>0</v>
      </c>
      <c r="K20" s="48"/>
      <c r="L20" s="71"/>
      <c r="M20" s="48"/>
      <c r="N20" s="48"/>
    </row>
    <row r="21" spans="1:14" x14ac:dyDescent="0.25">
      <c r="A21" t="s">
        <v>98</v>
      </c>
      <c r="B21" t="s">
        <v>67</v>
      </c>
      <c r="C21">
        <v>0</v>
      </c>
      <c r="D21">
        <v>0</v>
      </c>
      <c r="E21">
        <v>2.448</v>
      </c>
      <c r="F21">
        <v>0.312</v>
      </c>
      <c r="G21">
        <v>1.859</v>
      </c>
      <c r="H21">
        <v>144</v>
      </c>
      <c r="I21">
        <v>0</v>
      </c>
      <c r="J21">
        <v>0</v>
      </c>
      <c r="K21" s="48"/>
      <c r="L21" s="48"/>
      <c r="M21" s="48"/>
      <c r="N21" s="48"/>
    </row>
    <row r="35" spans="1:10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</row>
    <row r="36" spans="1:10" x14ac:dyDescent="0.25">
      <c r="A36" s="70"/>
      <c r="B36" s="70"/>
      <c r="C36" s="70"/>
      <c r="D36" s="70"/>
      <c r="E36" s="70"/>
      <c r="F36" s="70"/>
      <c r="G36" s="70"/>
      <c r="H36" s="70"/>
      <c r="I36" s="70"/>
      <c r="J36" s="70"/>
    </row>
    <row r="37" spans="1:10" x14ac:dyDescent="0.25">
      <c r="A37" s="70"/>
      <c r="B37" s="70"/>
      <c r="C37" s="70"/>
      <c r="D37" s="70"/>
      <c r="E37" s="70"/>
      <c r="F37" s="70"/>
      <c r="G37" s="70"/>
      <c r="H37" s="70"/>
      <c r="I37" s="70"/>
      <c r="J37" s="70"/>
    </row>
    <row r="38" spans="1:10" x14ac:dyDescent="0.25">
      <c r="A38" s="70"/>
      <c r="B38" s="70"/>
      <c r="C38" s="70"/>
      <c r="D38" s="70"/>
      <c r="E38" s="70"/>
      <c r="F38" s="70"/>
      <c r="G38" s="70"/>
      <c r="H38" s="70"/>
      <c r="I38" s="70"/>
      <c r="J38" s="70"/>
    </row>
    <row r="39" spans="1:10" x14ac:dyDescent="0.25">
      <c r="A39" s="70"/>
      <c r="B39" s="70"/>
      <c r="C39" s="70"/>
      <c r="D39" s="70"/>
      <c r="E39" s="70"/>
      <c r="F39" s="70"/>
      <c r="G39" s="70"/>
      <c r="H39" s="70"/>
      <c r="I39" s="70"/>
      <c r="J39" s="70"/>
    </row>
    <row r="40" spans="1:10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</row>
    <row r="41" spans="1:10" x14ac:dyDescent="0.25">
      <c r="A41" s="70"/>
      <c r="B41" s="70"/>
      <c r="C41" s="70"/>
      <c r="D41" s="70"/>
      <c r="E41" s="70"/>
      <c r="F41" s="70"/>
      <c r="G41" s="70"/>
      <c r="H41" s="70"/>
      <c r="I41" s="70"/>
      <c r="J41" s="70"/>
    </row>
    <row r="42" spans="1:10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U45"/>
  <sheetViews>
    <sheetView topLeftCell="A16" workbookViewId="0">
      <selection activeCell="G38" sqref="G38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7.5703125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96" t="s">
        <v>91</v>
      </c>
      <c r="F9" s="96"/>
      <c r="G9" s="96"/>
      <c r="H9" s="96"/>
      <c r="I9" s="96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68" t="s">
        <v>93</v>
      </c>
      <c r="G12" s="4">
        <v>292</v>
      </c>
      <c r="H12" s="3">
        <v>291</v>
      </c>
      <c r="I12" s="5">
        <f>1-G12/H12</f>
        <v>-3.4364261168384758E-3</v>
      </c>
    </row>
    <row r="13" spans="5:9" ht="31.5" x14ac:dyDescent="0.25">
      <c r="E13" s="2" t="s">
        <v>1</v>
      </c>
      <c r="F13" s="68" t="s">
        <v>95</v>
      </c>
      <c r="G13" s="4">
        <v>185</v>
      </c>
      <c r="H13" s="3">
        <v>183</v>
      </c>
      <c r="I13" s="5">
        <f t="shared" ref="I13:I18" si="0">1-G13/H13</f>
        <v>-1.0928961748633892E-2</v>
      </c>
    </row>
    <row r="14" spans="5:9" ht="31.5" x14ac:dyDescent="0.25">
      <c r="E14" s="2" t="s">
        <v>2</v>
      </c>
      <c r="F14" s="68" t="s">
        <v>96</v>
      </c>
      <c r="G14" s="4">
        <v>185</v>
      </c>
      <c r="H14" s="3">
        <v>184</v>
      </c>
      <c r="I14" s="5">
        <f t="shared" si="0"/>
        <v>-5.4347826086955653E-3</v>
      </c>
    </row>
    <row r="15" spans="5:9" ht="15.75" x14ac:dyDescent="0.25">
      <c r="E15" s="2" t="s">
        <v>3</v>
      </c>
      <c r="F15" s="68" t="s">
        <v>19</v>
      </c>
      <c r="G15" s="4">
        <v>114</v>
      </c>
      <c r="H15" s="3">
        <v>114</v>
      </c>
      <c r="I15" s="6">
        <f t="shared" si="0"/>
        <v>0</v>
      </c>
    </row>
    <row r="16" spans="5:9" ht="31.5" customHeight="1" x14ac:dyDescent="0.25">
      <c r="E16" s="2" t="s">
        <v>20</v>
      </c>
      <c r="F16" s="68" t="s">
        <v>97</v>
      </c>
      <c r="G16" s="4">
        <v>188</v>
      </c>
      <c r="H16" s="3">
        <v>187</v>
      </c>
      <c r="I16" s="5">
        <f t="shared" si="0"/>
        <v>-5.3475935828877219E-3</v>
      </c>
    </row>
    <row r="17" spans="5:9" ht="47.25" x14ac:dyDescent="0.25">
      <c r="E17" s="2" t="s">
        <v>5</v>
      </c>
      <c r="F17" s="68" t="s">
        <v>98</v>
      </c>
      <c r="G17" s="4">
        <v>48</v>
      </c>
      <c r="H17" s="3">
        <v>48</v>
      </c>
      <c r="I17" s="5">
        <f t="shared" si="0"/>
        <v>0</v>
      </c>
    </row>
    <row r="18" spans="5:9" ht="15.75" x14ac:dyDescent="0.25">
      <c r="E18" s="2" t="s">
        <v>6</v>
      </c>
      <c r="F18" s="68" t="s">
        <v>89</v>
      </c>
      <c r="G18" s="4">
        <v>211</v>
      </c>
      <c r="H18" s="3">
        <v>210</v>
      </c>
      <c r="I18" s="5">
        <f t="shared" si="0"/>
        <v>-4.761904761904745E-3</v>
      </c>
    </row>
    <row r="23" spans="5:9" x14ac:dyDescent="0.25">
      <c r="E23" s="96" t="s">
        <v>108</v>
      </c>
      <c r="F23" s="96"/>
      <c r="G23" s="96"/>
      <c r="H23" s="96"/>
      <c r="I23" s="96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2" t="s">
        <v>0</v>
      </c>
      <c r="F26" s="68" t="s">
        <v>93</v>
      </c>
      <c r="G26" s="10">
        <f>G12*3</f>
        <v>876</v>
      </c>
      <c r="H26" s="9">
        <v>878</v>
      </c>
      <c r="I26" s="11">
        <f>1-G26/H26</f>
        <v>2.277904328018221E-3</v>
      </c>
    </row>
    <row r="27" spans="5:9" ht="15.75" x14ac:dyDescent="0.25">
      <c r="E27" s="12" t="s">
        <v>1</v>
      </c>
      <c r="F27" s="68" t="s">
        <v>95</v>
      </c>
      <c r="G27" s="10">
        <f>G13*3</f>
        <v>555</v>
      </c>
      <c r="H27" s="9">
        <v>554</v>
      </c>
      <c r="I27" s="11">
        <f t="shared" ref="I27:I32" si="1">1-G27/H27</f>
        <v>-1.8050541516245744E-3</v>
      </c>
    </row>
    <row r="28" spans="5:9" ht="15.75" x14ac:dyDescent="0.25">
      <c r="E28" s="12" t="s">
        <v>2</v>
      </c>
      <c r="F28" s="68" t="s">
        <v>96</v>
      </c>
      <c r="G28" s="10">
        <f>G14*3</f>
        <v>555</v>
      </c>
      <c r="H28" s="9">
        <v>553</v>
      </c>
      <c r="I28" s="11">
        <f t="shared" si="1"/>
        <v>-3.6166365280290158E-3</v>
      </c>
    </row>
    <row r="29" spans="5:9" ht="15.75" x14ac:dyDescent="0.25">
      <c r="E29" s="12" t="s">
        <v>3</v>
      </c>
      <c r="F29" s="68" t="s">
        <v>19</v>
      </c>
      <c r="G29" s="10">
        <f>G15*3</f>
        <v>342</v>
      </c>
      <c r="H29" s="9">
        <v>343</v>
      </c>
      <c r="I29" s="7">
        <f t="shared" si="1"/>
        <v>2.9154518950437192E-3</v>
      </c>
    </row>
    <row r="30" spans="5:9" ht="15.75" x14ac:dyDescent="0.25">
      <c r="E30" s="12" t="s">
        <v>20</v>
      </c>
      <c r="F30" s="68" t="s">
        <v>97</v>
      </c>
      <c r="G30" s="10">
        <f>G16*3</f>
        <v>564</v>
      </c>
      <c r="H30" s="9">
        <v>565</v>
      </c>
      <c r="I30" s="11">
        <f t="shared" si="1"/>
        <v>1.7699115044247371E-3</v>
      </c>
    </row>
    <row r="31" spans="5:9" ht="15.75" x14ac:dyDescent="0.25">
      <c r="E31" s="12" t="s">
        <v>5</v>
      </c>
      <c r="F31" s="68" t="s">
        <v>98</v>
      </c>
      <c r="G31" s="10">
        <f>G17*3</f>
        <v>144</v>
      </c>
      <c r="H31" s="9">
        <v>144</v>
      </c>
      <c r="I31" s="11">
        <f t="shared" si="1"/>
        <v>0</v>
      </c>
    </row>
    <row r="32" spans="5:9" ht="15.75" x14ac:dyDescent="0.25">
      <c r="E32" s="12" t="s">
        <v>6</v>
      </c>
      <c r="F32" s="68" t="s">
        <v>89</v>
      </c>
      <c r="G32" s="10">
        <f>G18*3</f>
        <v>633</v>
      </c>
      <c r="H32" s="9">
        <v>632</v>
      </c>
      <c r="I32" s="11">
        <f t="shared" si="1"/>
        <v>-1.5822784810126667E-3</v>
      </c>
    </row>
    <row r="35" spans="5:21" x14ac:dyDescent="0.25">
      <c r="E35" s="96" t="s">
        <v>21</v>
      </c>
      <c r="F35" s="96"/>
      <c r="G35" s="96"/>
      <c r="H35" s="96"/>
      <c r="I35" s="96"/>
    </row>
    <row r="37" spans="5:21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80"/>
      <c r="M37" s="80"/>
      <c r="N37" s="80"/>
      <c r="O37" s="80"/>
      <c r="P37" s="80"/>
      <c r="Q37" s="80"/>
      <c r="R37" s="80"/>
      <c r="S37" s="80"/>
      <c r="T37" s="80"/>
      <c r="U37" s="80"/>
    </row>
    <row r="38" spans="5:21" ht="15.75" x14ac:dyDescent="0.25">
      <c r="E38" s="12" t="s">
        <v>0</v>
      </c>
      <c r="F38" s="68" t="s">
        <v>93</v>
      </c>
      <c r="G38" s="10">
        <f>G12*9</f>
        <v>2628</v>
      </c>
      <c r="H38" s="98">
        <v>2626</v>
      </c>
      <c r="I38" s="11">
        <f>1-G38/H38</f>
        <v>-7.6161462300072813E-4</v>
      </c>
      <c r="L38" s="80"/>
      <c r="M38" s="80"/>
      <c r="N38" s="80"/>
      <c r="O38" s="80"/>
      <c r="P38" s="80"/>
      <c r="Q38" s="80"/>
      <c r="R38" s="80"/>
      <c r="S38" s="80"/>
      <c r="T38" s="80"/>
      <c r="U38" s="80"/>
    </row>
    <row r="39" spans="5:21" ht="15.75" x14ac:dyDescent="0.25">
      <c r="E39" s="12" t="s">
        <v>1</v>
      </c>
      <c r="F39" s="68" t="s">
        <v>95</v>
      </c>
      <c r="G39" s="10">
        <f>G13*9</f>
        <v>1665</v>
      </c>
      <c r="H39" s="98">
        <v>1662</v>
      </c>
      <c r="I39" s="11">
        <f t="shared" ref="I39:I44" si="2">1-G39/H39</f>
        <v>-1.8050541516245744E-3</v>
      </c>
      <c r="L39" s="80"/>
      <c r="M39" s="80"/>
      <c r="N39" s="80"/>
      <c r="O39" s="80"/>
      <c r="P39" s="80"/>
      <c r="Q39" s="80"/>
      <c r="R39" s="80"/>
      <c r="S39" s="80"/>
      <c r="T39" s="80"/>
      <c r="U39" s="80"/>
    </row>
    <row r="40" spans="5:21" ht="15.75" x14ac:dyDescent="0.25">
      <c r="E40" s="12" t="s">
        <v>2</v>
      </c>
      <c r="F40" s="68" t="s">
        <v>96</v>
      </c>
      <c r="G40" s="10">
        <f>G14*9</f>
        <v>1665</v>
      </c>
      <c r="H40" s="98">
        <v>1662</v>
      </c>
      <c r="I40" s="11">
        <f t="shared" si="2"/>
        <v>-1.8050541516245744E-3</v>
      </c>
      <c r="L40" s="80"/>
      <c r="M40" s="80"/>
      <c r="N40" s="80"/>
      <c r="O40" s="80"/>
      <c r="P40" s="80"/>
      <c r="Q40" s="80"/>
      <c r="R40" s="80"/>
      <c r="S40" s="80"/>
      <c r="T40" s="80"/>
      <c r="U40" s="80"/>
    </row>
    <row r="41" spans="5:21" ht="15.75" x14ac:dyDescent="0.25">
      <c r="E41" s="12" t="s">
        <v>3</v>
      </c>
      <c r="F41" s="68" t="s">
        <v>19</v>
      </c>
      <c r="G41" s="10">
        <f>G15*9</f>
        <v>1026</v>
      </c>
      <c r="H41" s="98">
        <v>1027</v>
      </c>
      <c r="I41" s="7">
        <f t="shared" si="2"/>
        <v>9.7370983446931625E-4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</row>
    <row r="42" spans="5:21" ht="15.75" x14ac:dyDescent="0.25">
      <c r="E42" s="12" t="s">
        <v>20</v>
      </c>
      <c r="F42" s="68" t="s">
        <v>97</v>
      </c>
      <c r="G42" s="10">
        <f>G16*9</f>
        <v>1692</v>
      </c>
      <c r="H42" s="98">
        <v>1687</v>
      </c>
      <c r="I42" s="11">
        <f t="shared" si="2"/>
        <v>-2.9638411381149865E-3</v>
      </c>
      <c r="L42" s="80"/>
      <c r="M42" s="80"/>
      <c r="N42" s="80"/>
      <c r="O42" s="80"/>
      <c r="P42" s="80"/>
      <c r="Q42" s="80"/>
      <c r="R42" s="80"/>
      <c r="S42" s="80"/>
      <c r="T42" s="80"/>
      <c r="U42" s="80"/>
    </row>
    <row r="43" spans="5:21" ht="15.75" x14ac:dyDescent="0.25">
      <c r="E43" s="12" t="s">
        <v>5</v>
      </c>
      <c r="F43" s="68" t="s">
        <v>98</v>
      </c>
      <c r="G43" s="10">
        <f>G17*9</f>
        <v>432</v>
      </c>
      <c r="H43" s="98">
        <v>431</v>
      </c>
      <c r="I43" s="11">
        <f t="shared" si="2"/>
        <v>-2.3201856148491462E-3</v>
      </c>
      <c r="L43" s="80"/>
      <c r="M43" s="80"/>
      <c r="N43" s="80"/>
      <c r="O43" s="80"/>
      <c r="P43" s="80"/>
      <c r="Q43" s="80"/>
      <c r="R43" s="80"/>
      <c r="S43" s="80"/>
      <c r="T43" s="80"/>
      <c r="U43" s="80"/>
    </row>
    <row r="44" spans="5:21" ht="15.75" x14ac:dyDescent="0.25">
      <c r="E44" s="12" t="s">
        <v>6</v>
      </c>
      <c r="F44" s="68" t="s">
        <v>89</v>
      </c>
      <c r="G44" s="10">
        <f>G18*9</f>
        <v>1899</v>
      </c>
      <c r="H44" s="98">
        <v>1895</v>
      </c>
      <c r="I44" s="11">
        <f t="shared" si="2"/>
        <v>-2.1108179419524475E-3</v>
      </c>
      <c r="L44" s="80"/>
      <c r="M44" s="80"/>
      <c r="N44" s="80"/>
      <c r="O44" s="80"/>
      <c r="P44" s="80"/>
      <c r="Q44" s="80"/>
      <c r="R44" s="80"/>
      <c r="S44" s="80"/>
      <c r="T44" s="80"/>
      <c r="U44" s="80"/>
    </row>
    <row r="45" spans="5:21" x14ac:dyDescent="0.25">
      <c r="L45" s="74"/>
      <c r="M45" s="72"/>
      <c r="N45" s="75"/>
      <c r="O45" s="75"/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workbookViewId="0">
      <selection activeCell="I28" sqref="I28"/>
    </sheetView>
  </sheetViews>
  <sheetFormatPr defaultRowHeight="15" x14ac:dyDescent="0.25"/>
  <cols>
    <col min="1" max="1" width="29.5703125" customWidth="1"/>
    <col min="2" max="2" width="17.7109375" customWidth="1"/>
    <col min="3" max="3" width="17.85546875" customWidth="1"/>
    <col min="4" max="4" width="17.28515625" customWidth="1"/>
    <col min="13" max="13" width="15.28515625" customWidth="1"/>
  </cols>
  <sheetData>
    <row r="1" spans="1:4" x14ac:dyDescent="0.25">
      <c r="A1" s="97"/>
    </row>
    <row r="2" spans="1:4" x14ac:dyDescent="0.25">
      <c r="A2" s="69" t="s">
        <v>109</v>
      </c>
    </row>
    <row r="4" spans="1:4" ht="73.5" customHeight="1" x14ac:dyDescent="0.3">
      <c r="A4" s="67" t="s">
        <v>68</v>
      </c>
      <c r="B4" s="20" t="s">
        <v>41</v>
      </c>
      <c r="C4" s="20" t="s">
        <v>45</v>
      </c>
      <c r="D4" s="20" t="s">
        <v>46</v>
      </c>
    </row>
    <row r="5" spans="1:4" x14ac:dyDescent="0.25">
      <c r="A5" s="68" t="s">
        <v>92</v>
      </c>
      <c r="B5" s="33">
        <v>354.89709254362441</v>
      </c>
      <c r="C5" s="21">
        <v>355</v>
      </c>
      <c r="D5" s="19">
        <v>2.898801588044897E-4</v>
      </c>
    </row>
    <row r="6" spans="1:4" x14ac:dyDescent="0.25">
      <c r="A6" s="68" t="s">
        <v>93</v>
      </c>
      <c r="B6" s="33">
        <v>291.73919780678227</v>
      </c>
      <c r="C6" s="21">
        <v>291</v>
      </c>
      <c r="D6" s="19">
        <v>-2.5401986487363359E-3</v>
      </c>
    </row>
    <row r="7" spans="1:4" x14ac:dyDescent="0.25">
      <c r="A7" s="68" t="s">
        <v>94</v>
      </c>
      <c r="B7" s="33">
        <v>210.40586447344899</v>
      </c>
      <c r="C7" s="21">
        <v>209</v>
      </c>
      <c r="D7" s="19">
        <v>-6.7266242748755811E-3</v>
      </c>
    </row>
    <row r="8" spans="1:4" x14ac:dyDescent="0.25">
      <c r="A8" s="68" t="s">
        <v>95</v>
      </c>
      <c r="B8" s="33">
        <v>184.87394957983193</v>
      </c>
      <c r="C8" s="21">
        <v>183</v>
      </c>
      <c r="D8" s="19">
        <v>-1.0240161638425782E-2</v>
      </c>
    </row>
    <row r="9" spans="1:4" x14ac:dyDescent="0.25">
      <c r="A9" s="68" t="s">
        <v>96</v>
      </c>
      <c r="B9" s="33">
        <v>184.87394957983193</v>
      </c>
      <c r="C9" s="21">
        <v>184</v>
      </c>
      <c r="D9" s="19">
        <v>-4.7497259773474632E-3</v>
      </c>
    </row>
    <row r="10" spans="1:4" x14ac:dyDescent="0.25">
      <c r="A10" s="68" t="s">
        <v>19</v>
      </c>
      <c r="B10" s="33">
        <v>114.28571428571429</v>
      </c>
      <c r="C10" s="21">
        <v>114</v>
      </c>
      <c r="D10" s="19">
        <v>-2.5062656641603454E-3</v>
      </c>
    </row>
    <row r="11" spans="1:4" x14ac:dyDescent="0.25">
      <c r="A11" s="68" t="s">
        <v>97</v>
      </c>
      <c r="B11" s="33">
        <v>187.81762917933131</v>
      </c>
      <c r="C11" s="21">
        <v>187</v>
      </c>
      <c r="D11" s="19">
        <v>-4.3723485525737349E-3</v>
      </c>
    </row>
    <row r="12" spans="1:4" x14ac:dyDescent="0.25">
      <c r="A12" s="68" t="s">
        <v>98</v>
      </c>
      <c r="B12" s="33">
        <v>48</v>
      </c>
      <c r="C12" s="21">
        <v>48</v>
      </c>
      <c r="D12" s="19">
        <v>0</v>
      </c>
    </row>
    <row r="13" spans="1:4" x14ac:dyDescent="0.25">
      <c r="A13" s="68" t="s">
        <v>89</v>
      </c>
      <c r="B13" s="33">
        <v>210.77694235588976</v>
      </c>
      <c r="C13" s="21">
        <v>210</v>
      </c>
      <c r="D13" s="19">
        <v>-3.6997255042370281E-3</v>
      </c>
    </row>
    <row r="14" spans="1:4" x14ac:dyDescent="0.25">
      <c r="A14" s="68" t="s">
        <v>90</v>
      </c>
      <c r="B14" s="33">
        <v>63.15789473684211</v>
      </c>
      <c r="C14" s="21">
        <v>63</v>
      </c>
      <c r="D14" s="19">
        <v>-2.5062656641605674E-3</v>
      </c>
    </row>
    <row r="15" spans="1:4" x14ac:dyDescent="0.25">
      <c r="A15" s="68" t="s">
        <v>88</v>
      </c>
      <c r="B15" s="33">
        <v>63.15789473684211</v>
      </c>
      <c r="C15" s="21">
        <v>63</v>
      </c>
      <c r="D15" s="19">
        <v>-2.5062656641605674E-3</v>
      </c>
    </row>
    <row r="16" spans="1:4" x14ac:dyDescent="0.25">
      <c r="A16" s="68" t="s">
        <v>87</v>
      </c>
      <c r="B16" s="33">
        <v>63.15789473684211</v>
      </c>
      <c r="C16" s="21">
        <v>63</v>
      </c>
      <c r="D16" s="19">
        <v>-2.5062656641605674E-3</v>
      </c>
    </row>
    <row r="18" spans="1:22" ht="30" x14ac:dyDescent="0.25">
      <c r="A18" s="73" t="s">
        <v>110</v>
      </c>
    </row>
    <row r="19" spans="1:22" x14ac:dyDescent="0.25">
      <c r="A19" s="16"/>
      <c r="B19" s="16"/>
      <c r="C19" s="16"/>
    </row>
    <row r="20" spans="1:22" ht="75" x14ac:dyDescent="0.3">
      <c r="A20" s="67" t="s">
        <v>68</v>
      </c>
      <c r="B20" s="20" t="s">
        <v>41</v>
      </c>
      <c r="C20" s="20" t="s">
        <v>45</v>
      </c>
      <c r="D20" s="20" t="s">
        <v>46</v>
      </c>
      <c r="J20" s="76"/>
      <c r="M20" s="77"/>
      <c r="N20" s="77"/>
      <c r="O20" s="77"/>
      <c r="P20" s="77"/>
      <c r="Q20" s="77"/>
      <c r="R20" s="77"/>
      <c r="S20" s="77"/>
      <c r="T20" s="77"/>
      <c r="U20" s="77"/>
      <c r="V20" s="77"/>
    </row>
    <row r="21" spans="1:22" x14ac:dyDescent="0.25">
      <c r="A21" s="68" t="s">
        <v>92</v>
      </c>
      <c r="B21" s="33">
        <v>1064.6912776308732</v>
      </c>
      <c r="C21" s="21">
        <v>1066</v>
      </c>
      <c r="D21" s="19">
        <v>1.2276945301377129E-3</v>
      </c>
      <c r="J21" s="76"/>
      <c r="M21" s="77"/>
      <c r="N21" s="77"/>
      <c r="O21" s="77"/>
      <c r="P21" s="77"/>
      <c r="Q21" s="77"/>
      <c r="R21" s="77"/>
      <c r="S21" s="77"/>
      <c r="T21" s="77"/>
      <c r="U21" s="77"/>
      <c r="V21" s="77"/>
    </row>
    <row r="22" spans="1:22" x14ac:dyDescent="0.25">
      <c r="A22" s="68" t="s">
        <v>93</v>
      </c>
      <c r="B22" s="33">
        <v>875.21759342034682</v>
      </c>
      <c r="C22" s="21">
        <v>878</v>
      </c>
      <c r="D22" s="19">
        <v>3.1690279950491451E-3</v>
      </c>
      <c r="J22" s="76"/>
      <c r="M22" s="77"/>
      <c r="N22" s="77"/>
      <c r="O22" s="77"/>
      <c r="P22" s="77"/>
      <c r="Q22" s="77"/>
      <c r="R22" s="77"/>
      <c r="S22" s="77"/>
      <c r="T22" s="77"/>
      <c r="U22" s="77"/>
      <c r="V22" s="77"/>
    </row>
    <row r="23" spans="1:22" x14ac:dyDescent="0.25">
      <c r="A23" s="68" t="s">
        <v>94</v>
      </c>
      <c r="B23" s="33">
        <v>631.21759342034693</v>
      </c>
      <c r="C23" s="21">
        <v>633</v>
      </c>
      <c r="D23" s="19">
        <v>2.8158081827063253E-3</v>
      </c>
      <c r="J23" s="76"/>
      <c r="M23" s="77"/>
      <c r="N23" s="77"/>
      <c r="O23" s="77"/>
      <c r="P23" s="77"/>
      <c r="Q23" s="77"/>
      <c r="R23" s="77"/>
      <c r="S23" s="77"/>
      <c r="T23" s="77"/>
      <c r="U23" s="77"/>
      <c r="V23" s="77"/>
    </row>
    <row r="24" spans="1:22" x14ac:dyDescent="0.25">
      <c r="A24" s="68" t="s">
        <v>95</v>
      </c>
      <c r="B24" s="33">
        <v>554.62184873949582</v>
      </c>
      <c r="C24" s="21">
        <v>554</v>
      </c>
      <c r="D24" s="19">
        <v>-1.1224706489094682E-3</v>
      </c>
      <c r="J24" s="76"/>
      <c r="M24" s="77"/>
      <c r="N24" s="77"/>
      <c r="O24" s="77"/>
      <c r="P24" s="77"/>
      <c r="Q24" s="77"/>
      <c r="R24" s="77"/>
      <c r="S24" s="77"/>
      <c r="T24" s="77"/>
      <c r="U24" s="77"/>
      <c r="V24" s="77"/>
    </row>
    <row r="25" spans="1:22" x14ac:dyDescent="0.25">
      <c r="A25" s="68" t="s">
        <v>96</v>
      </c>
      <c r="B25" s="33">
        <v>554.62184873949582</v>
      </c>
      <c r="C25" s="21">
        <v>553</v>
      </c>
      <c r="D25" s="19">
        <v>-2.9328186970991599E-3</v>
      </c>
      <c r="J25" s="76"/>
      <c r="M25" s="77"/>
      <c r="N25" s="77"/>
      <c r="O25" s="77"/>
      <c r="P25" s="77"/>
      <c r="Q25" s="77"/>
      <c r="R25" s="77"/>
      <c r="S25" s="77"/>
      <c r="T25" s="77"/>
      <c r="U25" s="77"/>
      <c r="V25" s="77"/>
    </row>
    <row r="26" spans="1:22" x14ac:dyDescent="0.25">
      <c r="A26" s="68" t="s">
        <v>19</v>
      </c>
      <c r="B26" s="33">
        <v>342.85714285714289</v>
      </c>
      <c r="C26" s="21">
        <v>343</v>
      </c>
      <c r="D26" s="19">
        <v>4.1649312786329329E-4</v>
      </c>
      <c r="J26" s="76"/>
      <c r="M26" s="77"/>
      <c r="N26" s="77"/>
      <c r="O26" s="77"/>
      <c r="P26" s="77"/>
      <c r="Q26" s="77"/>
      <c r="R26" s="77"/>
      <c r="S26" s="77"/>
      <c r="T26" s="77"/>
      <c r="U26" s="77"/>
      <c r="V26" s="77"/>
    </row>
    <row r="27" spans="1:22" x14ac:dyDescent="0.25">
      <c r="A27" s="68" t="s">
        <v>97</v>
      </c>
      <c r="B27" s="33">
        <v>563.45288753799389</v>
      </c>
      <c r="C27" s="21">
        <v>565</v>
      </c>
      <c r="D27" s="19">
        <v>2.7382521451435604E-3</v>
      </c>
      <c r="J27" s="76"/>
      <c r="M27" s="77"/>
      <c r="N27" s="77"/>
      <c r="O27" s="77"/>
      <c r="P27" s="77"/>
      <c r="Q27" s="77"/>
      <c r="R27" s="77"/>
      <c r="S27" s="77"/>
      <c r="T27" s="77"/>
      <c r="U27" s="77"/>
      <c r="V27" s="77"/>
    </row>
    <row r="28" spans="1:22" x14ac:dyDescent="0.25">
      <c r="A28" s="68" t="s">
        <v>98</v>
      </c>
      <c r="B28" s="33">
        <v>144</v>
      </c>
      <c r="C28" s="21">
        <v>144</v>
      </c>
      <c r="D28" s="19">
        <v>0</v>
      </c>
    </row>
    <row r="29" spans="1:22" x14ac:dyDescent="0.25">
      <c r="A29" s="68" t="s">
        <v>89</v>
      </c>
      <c r="B29" s="33">
        <v>632.33082706766925</v>
      </c>
      <c r="C29" s="21">
        <v>632</v>
      </c>
      <c r="D29" s="19">
        <v>-5.2346055010965564E-4</v>
      </c>
      <c r="L29" s="78"/>
    </row>
    <row r="30" spans="1:22" x14ac:dyDescent="0.25">
      <c r="A30" s="68" t="s">
        <v>90</v>
      </c>
      <c r="B30" s="33">
        <v>189.47368421052633</v>
      </c>
      <c r="C30" s="21">
        <v>189</v>
      </c>
      <c r="D30" s="19">
        <v>-2.5062656641605674E-3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</row>
    <row r="31" spans="1:22" x14ac:dyDescent="0.25">
      <c r="A31" s="68" t="s">
        <v>88</v>
      </c>
      <c r="B31" s="33">
        <v>189.47368421052633</v>
      </c>
      <c r="C31" s="21">
        <v>188</v>
      </c>
      <c r="D31" s="19">
        <v>-7.838745800671898E-3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</row>
    <row r="32" spans="1:22" x14ac:dyDescent="0.25">
      <c r="A32" s="68" t="s">
        <v>87</v>
      </c>
      <c r="B32" s="33">
        <v>189.47368421052633</v>
      </c>
      <c r="C32" s="21">
        <v>188</v>
      </c>
      <c r="D32" s="19">
        <v>-7.838745800671898E-3</v>
      </c>
      <c r="M32" s="78"/>
      <c r="N32" s="78"/>
      <c r="O32" s="78"/>
      <c r="P32" s="78"/>
      <c r="Q32" s="78"/>
      <c r="R32" s="78"/>
      <c r="S32" s="78"/>
      <c r="T32" s="78"/>
      <c r="U32" s="78"/>
      <c r="V32" s="78"/>
    </row>
    <row r="33" spans="1:22" x14ac:dyDescent="0.25">
      <c r="M33" s="78"/>
      <c r="N33" s="78"/>
      <c r="O33" s="78"/>
      <c r="P33" s="78"/>
      <c r="Q33" s="78"/>
      <c r="R33" s="78"/>
      <c r="S33" s="78"/>
      <c r="T33" s="78"/>
      <c r="U33" s="78"/>
      <c r="V33" s="78"/>
    </row>
    <row r="34" spans="1:22" x14ac:dyDescent="0.25">
      <c r="A34" s="69" t="s">
        <v>112</v>
      </c>
      <c r="B34" s="76"/>
      <c r="C34" s="76"/>
      <c r="D34" s="76"/>
      <c r="E34" s="76"/>
      <c r="F34" s="76"/>
      <c r="G34" s="76"/>
      <c r="H34" s="76"/>
      <c r="I34" s="76"/>
      <c r="M34" s="78"/>
      <c r="N34" s="78"/>
      <c r="O34" s="78"/>
      <c r="P34" s="78"/>
      <c r="Q34" s="78"/>
      <c r="R34" s="78"/>
      <c r="S34" s="78"/>
      <c r="T34" s="78"/>
      <c r="U34" s="78"/>
      <c r="V34" s="78"/>
    </row>
    <row r="35" spans="1:22" x14ac:dyDescent="0.25">
      <c r="B35" s="76"/>
      <c r="C35" s="76"/>
      <c r="D35" s="76"/>
      <c r="E35" s="76"/>
      <c r="F35" s="76"/>
      <c r="G35" s="76"/>
      <c r="H35" s="76"/>
      <c r="I35" s="76"/>
      <c r="M35" s="78"/>
      <c r="N35" s="78"/>
      <c r="O35" s="78"/>
      <c r="P35" s="78"/>
      <c r="Q35" s="78"/>
      <c r="R35" s="78"/>
      <c r="S35" s="78"/>
      <c r="T35" s="78"/>
      <c r="U35" s="78"/>
      <c r="V35" s="78"/>
    </row>
    <row r="36" spans="1:22" ht="75" x14ac:dyDescent="0.3">
      <c r="A36" s="67" t="s">
        <v>68</v>
      </c>
      <c r="B36" s="20" t="s">
        <v>111</v>
      </c>
      <c r="C36" s="20" t="s">
        <v>45</v>
      </c>
      <c r="D36" s="20" t="s">
        <v>46</v>
      </c>
      <c r="E36" s="76"/>
      <c r="F36" s="76"/>
      <c r="G36" s="76"/>
      <c r="H36" s="76"/>
      <c r="I36" s="76"/>
      <c r="M36" s="78"/>
      <c r="N36" s="78"/>
      <c r="O36" s="78"/>
      <c r="P36" s="78"/>
      <c r="Q36" s="78"/>
      <c r="R36" s="78"/>
      <c r="S36" s="78"/>
      <c r="T36" s="78"/>
      <c r="U36" s="78"/>
      <c r="V36" s="78"/>
    </row>
    <row r="37" spans="1:22" x14ac:dyDescent="0.25">
      <c r="A37" s="68" t="s">
        <v>92</v>
      </c>
      <c r="B37" s="33">
        <v>3194.0738328926195</v>
      </c>
      <c r="C37" s="21">
        <v>3196</v>
      </c>
      <c r="D37" s="19">
        <v>6.0268057177115253E-4</v>
      </c>
      <c r="E37" s="76"/>
      <c r="F37" s="76"/>
      <c r="G37" s="76"/>
      <c r="H37" s="76"/>
      <c r="I37" s="76"/>
      <c r="N37" s="78"/>
      <c r="O37" s="78"/>
      <c r="P37" s="78"/>
      <c r="Q37" s="78"/>
      <c r="R37" s="78"/>
      <c r="S37" s="78"/>
      <c r="T37" s="78"/>
      <c r="U37" s="78"/>
      <c r="V37" s="78"/>
    </row>
    <row r="38" spans="1:22" x14ac:dyDescent="0.25">
      <c r="A38" s="68" t="s">
        <v>93</v>
      </c>
      <c r="B38" s="33">
        <v>2625.6527802610403</v>
      </c>
      <c r="C38" s="21">
        <v>2626</v>
      </c>
      <c r="D38" s="19">
        <v>1.3222381529309768E-4</v>
      </c>
      <c r="E38" s="76"/>
      <c r="F38" s="76"/>
      <c r="G38" s="76"/>
      <c r="H38" s="76"/>
      <c r="I38" s="76"/>
    </row>
    <row r="39" spans="1:22" x14ac:dyDescent="0.25">
      <c r="A39" s="68" t="s">
        <v>94</v>
      </c>
      <c r="B39" s="33">
        <v>1893.6527802610408</v>
      </c>
      <c r="C39" s="21">
        <v>1892</v>
      </c>
      <c r="D39" s="19">
        <v>-8.7356250583559003E-4</v>
      </c>
      <c r="E39" s="76"/>
      <c r="F39" s="76"/>
      <c r="G39" s="76"/>
      <c r="H39" s="76"/>
      <c r="I39" s="76"/>
      <c r="M39" s="79"/>
    </row>
    <row r="40" spans="1:22" x14ac:dyDescent="0.25">
      <c r="A40" s="68" t="s">
        <v>95</v>
      </c>
      <c r="B40" s="33">
        <v>1663.8655462184875</v>
      </c>
      <c r="C40" s="21">
        <v>1662</v>
      </c>
      <c r="D40" s="19">
        <v>-1.1224706489094682E-3</v>
      </c>
      <c r="E40" s="76"/>
      <c r="F40" s="76"/>
      <c r="G40" s="76"/>
      <c r="H40" s="76"/>
      <c r="I40" s="76"/>
      <c r="M40" s="79"/>
      <c r="N40" s="79"/>
      <c r="O40" s="79"/>
      <c r="P40" s="79"/>
      <c r="Q40" s="79"/>
      <c r="R40" s="79"/>
      <c r="S40" s="79"/>
      <c r="T40" s="79"/>
      <c r="U40" s="79"/>
      <c r="V40" s="79"/>
    </row>
    <row r="41" spans="1:22" x14ac:dyDescent="0.25">
      <c r="A41" s="68" t="s">
        <v>96</v>
      </c>
      <c r="B41" s="33">
        <v>1663.8655462184875</v>
      </c>
      <c r="C41" s="21">
        <v>1662</v>
      </c>
      <c r="D41" s="19">
        <v>-1.1224706489094682E-3</v>
      </c>
      <c r="E41" s="76"/>
      <c r="F41" s="76"/>
      <c r="G41" s="76"/>
      <c r="H41" s="76"/>
      <c r="I41" s="76"/>
      <c r="M41" s="79"/>
      <c r="N41" s="79"/>
      <c r="O41" s="79"/>
      <c r="P41" s="79"/>
      <c r="Q41" s="79"/>
      <c r="R41" s="79"/>
      <c r="S41" s="79"/>
      <c r="T41" s="79"/>
      <c r="U41" s="79"/>
      <c r="V41" s="79"/>
    </row>
    <row r="42" spans="1:22" x14ac:dyDescent="0.25">
      <c r="A42" s="68" t="s">
        <v>19</v>
      </c>
      <c r="B42" s="33">
        <v>1028.5714285714287</v>
      </c>
      <c r="C42" s="21">
        <v>1027</v>
      </c>
      <c r="D42" s="19">
        <v>-1.5301154541662587E-3</v>
      </c>
      <c r="M42" s="79"/>
      <c r="N42" s="79"/>
      <c r="O42" s="79"/>
      <c r="P42" s="79"/>
      <c r="Q42" s="79"/>
      <c r="R42" s="79"/>
      <c r="S42" s="79"/>
      <c r="T42" s="79"/>
      <c r="U42" s="79"/>
      <c r="V42" s="79"/>
    </row>
    <row r="43" spans="1:22" x14ac:dyDescent="0.25">
      <c r="A43" s="68" t="s">
        <v>97</v>
      </c>
      <c r="B43" s="33">
        <v>1690.3586626139818</v>
      </c>
      <c r="C43" s="21">
        <v>1687</v>
      </c>
      <c r="D43" s="19">
        <v>-1.9909084848737102E-3</v>
      </c>
      <c r="M43" s="79"/>
      <c r="N43" s="79"/>
      <c r="O43" s="79"/>
      <c r="P43" s="79"/>
      <c r="Q43" s="79"/>
      <c r="R43" s="79"/>
      <c r="S43" s="79"/>
      <c r="T43" s="79"/>
      <c r="U43" s="79"/>
      <c r="V43" s="79"/>
    </row>
    <row r="44" spans="1:22" x14ac:dyDescent="0.25">
      <c r="A44" s="68" t="s">
        <v>98</v>
      </c>
      <c r="B44" s="33">
        <v>432</v>
      </c>
      <c r="C44" s="21">
        <v>431</v>
      </c>
      <c r="D44" s="19">
        <v>-2.3201856148491462E-3</v>
      </c>
      <c r="M44" s="79"/>
      <c r="N44" s="79"/>
      <c r="O44" s="79"/>
      <c r="P44" s="79"/>
      <c r="Q44" s="79"/>
      <c r="R44" s="79"/>
      <c r="S44" s="79"/>
      <c r="T44" s="79"/>
      <c r="U44" s="79"/>
      <c r="V44" s="79"/>
    </row>
    <row r="45" spans="1:22" x14ac:dyDescent="0.25">
      <c r="A45" s="68" t="s">
        <v>89</v>
      </c>
      <c r="B45" s="33">
        <v>1896.9924812030076</v>
      </c>
      <c r="C45" s="21">
        <v>1895</v>
      </c>
      <c r="D45" s="19">
        <v>-1.0514412680779905E-3</v>
      </c>
      <c r="M45" s="79"/>
      <c r="N45" s="79"/>
      <c r="O45" s="79"/>
      <c r="P45" s="79"/>
      <c r="Q45" s="79"/>
      <c r="R45" s="79"/>
      <c r="S45" s="79"/>
      <c r="T45" s="79"/>
      <c r="U45" s="79"/>
      <c r="V45" s="79"/>
    </row>
    <row r="46" spans="1:22" x14ac:dyDescent="0.25">
      <c r="A46" s="68" t="s">
        <v>90</v>
      </c>
      <c r="B46" s="33">
        <v>568.42105263157896</v>
      </c>
      <c r="C46" s="21">
        <v>570</v>
      </c>
      <c r="D46" s="19">
        <v>2.7700831024930483E-3</v>
      </c>
      <c r="M46" s="79"/>
      <c r="N46" s="79"/>
      <c r="O46" s="79"/>
      <c r="P46" s="79"/>
      <c r="Q46" s="79"/>
      <c r="R46" s="79"/>
      <c r="S46" s="79"/>
      <c r="T46" s="79"/>
      <c r="U46" s="79"/>
      <c r="V46" s="79"/>
    </row>
    <row r="47" spans="1:22" x14ac:dyDescent="0.25">
      <c r="A47" s="68" t="s">
        <v>88</v>
      </c>
      <c r="B47" s="33">
        <v>568.42105263157896</v>
      </c>
      <c r="C47" s="21">
        <v>570</v>
      </c>
      <c r="D47" s="19">
        <v>2.7700831024930483E-3</v>
      </c>
      <c r="N47" s="79"/>
      <c r="O47" s="79"/>
      <c r="P47" s="79"/>
      <c r="Q47" s="79"/>
      <c r="R47" s="79"/>
      <c r="S47" s="79"/>
      <c r="T47" s="79"/>
      <c r="U47" s="79"/>
      <c r="V47" s="79"/>
    </row>
    <row r="48" spans="1:22" x14ac:dyDescent="0.25">
      <c r="A48" s="68" t="s">
        <v>87</v>
      </c>
      <c r="B48" s="33">
        <v>568.42105263157896</v>
      </c>
      <c r="C48" s="21">
        <v>570</v>
      </c>
      <c r="D48" s="19">
        <v>2.7700831024930483E-3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всех тестов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admin</cp:lastModifiedBy>
  <dcterms:created xsi:type="dcterms:W3CDTF">2015-06-05T18:19:34Z</dcterms:created>
  <dcterms:modified xsi:type="dcterms:W3CDTF">2023-05-22T11:05:31Z</dcterms:modified>
</cp:coreProperties>
</file>