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3570" yWindow="3765" windowWidth="22335" windowHeight="11385"/>
  </bookViews>
  <sheets>
    <sheet name="ЛЗК с копмлектацией" sheetId="1" r:id="rId1"/>
    <sheet name="Категории" sheetId="3" state="hidden" r:id="rId2"/>
  </sheets>
  <definedNames>
    <definedName name="cons">'ЛЗК с копмлектацией'!#REF!</definedName>
    <definedName name="sklad">'ЛЗК с копмлектацией'!#REF!</definedName>
    <definedName name="_xlnm.Print_Titles" localSheetId="0">'ЛЗК с копмлектацией'!$10:$11</definedName>
    <definedName name="_xlnm.Print_Area" localSheetId="0">'ЛЗК с копмлектацией'!#REF!</definedName>
    <definedName name="Части">'ЛЗК с копмлектацией'!#REF!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4" i="1" l="1"/>
  <c r="AM44" i="1"/>
  <c r="AL44" i="1"/>
  <c r="AK44" i="1"/>
  <c r="K44" i="1"/>
  <c r="J44" i="1"/>
  <c r="H44" i="1"/>
  <c r="G44" i="1"/>
  <c r="F44" i="1"/>
  <c r="E44" i="1"/>
  <c r="D44" i="1"/>
  <c r="C44" i="1"/>
  <c r="B44" i="1"/>
  <c r="A44" i="1"/>
  <c r="AQ44" i="1"/>
  <c r="AN43" i="1"/>
  <c r="AM43" i="1"/>
  <c r="AL43" i="1"/>
  <c r="AK43" i="1"/>
  <c r="K43" i="1"/>
  <c r="J43" i="1"/>
  <c r="H43" i="1"/>
  <c r="G43" i="1"/>
  <c r="F43" i="1"/>
  <c r="E43" i="1"/>
  <c r="D43" i="1"/>
  <c r="C43" i="1"/>
  <c r="B43" i="1"/>
  <c r="A43" i="1"/>
  <c r="AQ43" i="1"/>
  <c r="AN42" i="1"/>
  <c r="AM42" i="1"/>
  <c r="AL42" i="1"/>
  <c r="AK42" i="1"/>
  <c r="K42" i="1"/>
  <c r="J42" i="1"/>
  <c r="H42" i="1"/>
  <c r="G42" i="1"/>
  <c r="F42" i="1"/>
  <c r="E42" i="1"/>
  <c r="D42" i="1"/>
  <c r="C42" i="1"/>
  <c r="B42" i="1"/>
  <c r="A42" i="1"/>
  <c r="AQ42" i="1"/>
  <c r="AN41" i="1"/>
  <c r="AM41" i="1"/>
  <c r="AL41" i="1"/>
  <c r="AK41" i="1"/>
  <c r="K41" i="1"/>
  <c r="J41" i="1"/>
  <c r="H41" i="1"/>
  <c r="G41" i="1"/>
  <c r="F41" i="1"/>
  <c r="E41" i="1"/>
  <c r="D41" i="1"/>
  <c r="C41" i="1"/>
  <c r="B41" i="1"/>
  <c r="A41" i="1"/>
  <c r="AQ41" i="1"/>
  <c r="AN40" i="1"/>
  <c r="AM40" i="1"/>
  <c r="AL40" i="1"/>
  <c r="AK40" i="1"/>
  <c r="K40" i="1"/>
  <c r="J40" i="1"/>
  <c r="H40" i="1"/>
  <c r="G40" i="1"/>
  <c r="F40" i="1"/>
  <c r="E40" i="1"/>
  <c r="D40" i="1"/>
  <c r="C40" i="1"/>
  <c r="B40" i="1"/>
  <c r="A40" i="1"/>
  <c r="AQ40" i="1"/>
  <c r="AN39" i="1"/>
  <c r="AM39" i="1"/>
  <c r="AL39" i="1"/>
  <c r="AK39" i="1"/>
  <c r="K39" i="1"/>
  <c r="J39" i="1"/>
  <c r="H39" i="1"/>
  <c r="G39" i="1"/>
  <c r="F39" i="1"/>
  <c r="E39" i="1"/>
  <c r="D39" i="1"/>
  <c r="C39" i="1"/>
  <c r="B39" i="1"/>
  <c r="A39" i="1"/>
  <c r="AQ39" i="1"/>
  <c r="AN38" i="1"/>
  <c r="AM38" i="1"/>
  <c r="AL38" i="1"/>
  <c r="AK38" i="1"/>
  <c r="K38" i="1"/>
  <c r="J38" i="1"/>
  <c r="H38" i="1"/>
  <c r="G38" i="1"/>
  <c r="F38" i="1"/>
  <c r="E38" i="1"/>
  <c r="D38" i="1"/>
  <c r="C38" i="1"/>
  <c r="B38" i="1"/>
  <c r="A38" i="1"/>
  <c r="AQ38" i="1"/>
  <c r="AN37" i="1"/>
  <c r="AM37" i="1"/>
  <c r="AL37" i="1"/>
  <c r="AK37" i="1"/>
  <c r="K37" i="1"/>
  <c r="J37" i="1"/>
  <c r="H37" i="1"/>
  <c r="G37" i="1"/>
  <c r="F37" i="1"/>
  <c r="E37" i="1"/>
  <c r="D37" i="1"/>
  <c r="C37" i="1"/>
  <c r="B37" i="1"/>
  <c r="A37" i="1"/>
  <c r="AQ37" i="1"/>
  <c r="AN36" i="1"/>
  <c r="AM36" i="1"/>
  <c r="AL36" i="1"/>
  <c r="AK36" i="1"/>
  <c r="K36" i="1"/>
  <c r="J36" i="1"/>
  <c r="H36" i="1"/>
  <c r="G36" i="1"/>
  <c r="F36" i="1"/>
  <c r="E36" i="1"/>
  <c r="D36" i="1"/>
  <c r="C36" i="1"/>
  <c r="B36" i="1"/>
  <c r="A36" i="1"/>
  <c r="AQ36" i="1"/>
  <c r="AN35" i="1"/>
  <c r="AM35" i="1"/>
  <c r="AL35" i="1"/>
  <c r="AK35" i="1"/>
  <c r="K35" i="1"/>
  <c r="J35" i="1"/>
  <c r="H35" i="1"/>
  <c r="G35" i="1"/>
  <c r="F35" i="1"/>
  <c r="E35" i="1"/>
  <c r="D35" i="1"/>
  <c r="C35" i="1"/>
  <c r="B35" i="1"/>
  <c r="A35" i="1"/>
  <c r="AQ35" i="1"/>
  <c r="AN34" i="1"/>
  <c r="AM34" i="1"/>
  <c r="AL34" i="1"/>
  <c r="AK34" i="1"/>
  <c r="K34" i="1"/>
  <c r="J34" i="1"/>
  <c r="H34" i="1"/>
  <c r="G34" i="1"/>
  <c r="F34" i="1"/>
  <c r="E34" i="1"/>
  <c r="D34" i="1"/>
  <c r="C34" i="1"/>
  <c r="B34" i="1"/>
  <c r="A34" i="1"/>
  <c r="AQ34" i="1"/>
  <c r="AN33" i="1"/>
  <c r="AM33" i="1"/>
  <c r="AL33" i="1"/>
  <c r="AK33" i="1"/>
  <c r="K33" i="1"/>
  <c r="J33" i="1"/>
  <c r="H33" i="1"/>
  <c r="G33" i="1"/>
  <c r="F33" i="1"/>
  <c r="E33" i="1"/>
  <c r="D33" i="1"/>
  <c r="C33" i="1"/>
  <c r="B33" i="1"/>
  <c r="A33" i="1"/>
  <c r="AQ33" i="1"/>
  <c r="AN32" i="1"/>
  <c r="AM32" i="1"/>
  <c r="AL32" i="1"/>
  <c r="AK32" i="1"/>
  <c r="K32" i="1"/>
  <c r="J32" i="1"/>
  <c r="H32" i="1"/>
  <c r="G32" i="1"/>
  <c r="F32" i="1"/>
  <c r="E32" i="1"/>
  <c r="D32" i="1"/>
  <c r="C32" i="1"/>
  <c r="B32" i="1"/>
  <c r="A32" i="1"/>
  <c r="AQ32" i="1"/>
  <c r="AN31" i="1"/>
  <c r="AM31" i="1"/>
  <c r="AL31" i="1"/>
  <c r="AK31" i="1"/>
  <c r="K31" i="1"/>
  <c r="J31" i="1"/>
  <c r="H31" i="1"/>
  <c r="G31" i="1"/>
  <c r="F31" i="1"/>
  <c r="E31" i="1"/>
  <c r="D31" i="1"/>
  <c r="C31" i="1"/>
  <c r="B31" i="1"/>
  <c r="A31" i="1"/>
  <c r="AQ31" i="1"/>
  <c r="AN30" i="1"/>
  <c r="AM30" i="1"/>
  <c r="AL30" i="1"/>
  <c r="AK30" i="1"/>
  <c r="K30" i="1"/>
  <c r="J30" i="1"/>
  <c r="H30" i="1"/>
  <c r="G30" i="1"/>
  <c r="F30" i="1"/>
  <c r="E30" i="1"/>
  <c r="D30" i="1"/>
  <c r="C30" i="1"/>
  <c r="B30" i="1"/>
  <c r="A30" i="1"/>
  <c r="AQ30" i="1"/>
  <c r="AN29" i="1"/>
  <c r="AM29" i="1"/>
  <c r="AL29" i="1"/>
  <c r="AK29" i="1"/>
  <c r="K29" i="1"/>
  <c r="J29" i="1"/>
  <c r="H29" i="1"/>
  <c r="G29" i="1"/>
  <c r="F29" i="1"/>
  <c r="E29" i="1"/>
  <c r="D29" i="1"/>
  <c r="C29" i="1"/>
  <c r="B29" i="1"/>
  <c r="A29" i="1"/>
  <c r="AQ29" i="1"/>
  <c r="AN28" i="1"/>
  <c r="AM28" i="1"/>
  <c r="AL28" i="1"/>
  <c r="AK28" i="1"/>
  <c r="K28" i="1"/>
  <c r="J28" i="1"/>
  <c r="H28" i="1"/>
  <c r="G28" i="1"/>
  <c r="F28" i="1"/>
  <c r="E28" i="1"/>
  <c r="D28" i="1"/>
  <c r="C28" i="1"/>
  <c r="B28" i="1"/>
  <c r="A28" i="1"/>
  <c r="AQ28" i="1"/>
  <c r="AN27" i="1"/>
  <c r="AM27" i="1"/>
  <c r="AL27" i="1"/>
  <c r="AK27" i="1"/>
  <c r="K27" i="1"/>
  <c r="J27" i="1"/>
  <c r="H27" i="1"/>
  <c r="G27" i="1"/>
  <c r="F27" i="1"/>
  <c r="E27" i="1"/>
  <c r="D27" i="1"/>
  <c r="C27" i="1"/>
  <c r="B27" i="1"/>
  <c r="A27" i="1"/>
  <c r="AQ27" i="1"/>
  <c r="AN26" i="1"/>
  <c r="AM26" i="1"/>
  <c r="AL26" i="1"/>
  <c r="AK26" i="1"/>
  <c r="K26" i="1"/>
  <c r="J26" i="1"/>
  <c r="H26" i="1"/>
  <c r="G26" i="1"/>
  <c r="F26" i="1"/>
  <c r="E26" i="1"/>
  <c r="D26" i="1"/>
  <c r="C26" i="1"/>
  <c r="B26" i="1"/>
  <c r="A26" i="1"/>
  <c r="AQ26" i="1"/>
  <c r="AN25" i="1"/>
  <c r="AM25" i="1"/>
  <c r="AL25" i="1"/>
  <c r="AK25" i="1"/>
  <c r="K25" i="1"/>
  <c r="J25" i="1"/>
  <c r="H25" i="1"/>
  <c r="G25" i="1"/>
  <c r="F25" i="1"/>
  <c r="E25" i="1"/>
  <c r="D25" i="1"/>
  <c r="C25" i="1"/>
  <c r="B25" i="1"/>
  <c r="A25" i="1"/>
  <c r="AQ25" i="1"/>
  <c r="AN24" i="1"/>
  <c r="AM24" i="1"/>
  <c r="AL24" i="1"/>
  <c r="AK24" i="1"/>
  <c r="K24" i="1"/>
  <c r="J24" i="1"/>
  <c r="H24" i="1"/>
  <c r="G24" i="1"/>
  <c r="F24" i="1"/>
  <c r="E24" i="1"/>
  <c r="D24" i="1"/>
  <c r="C24" i="1"/>
  <c r="B24" i="1"/>
  <c r="A24" i="1"/>
  <c r="AQ24" i="1"/>
  <c r="AN23" i="1"/>
  <c r="AM23" i="1"/>
  <c r="AL23" i="1"/>
  <c r="AK23" i="1"/>
  <c r="K23" i="1"/>
  <c r="J23" i="1"/>
  <c r="H23" i="1"/>
  <c r="G23" i="1"/>
  <c r="F23" i="1"/>
  <c r="E23" i="1"/>
  <c r="D23" i="1"/>
  <c r="C23" i="1"/>
  <c r="B23" i="1"/>
  <c r="A23" i="1"/>
  <c r="AQ23" i="1"/>
  <c r="AN22" i="1"/>
  <c r="AM22" i="1"/>
  <c r="AL22" i="1"/>
  <c r="AK22" i="1"/>
  <c r="K22" i="1"/>
  <c r="J22" i="1"/>
  <c r="H22" i="1"/>
  <c r="G22" i="1"/>
  <c r="F22" i="1"/>
  <c r="E22" i="1"/>
  <c r="D22" i="1"/>
  <c r="C22" i="1"/>
  <c r="B22" i="1"/>
  <c r="A22" i="1"/>
  <c r="AQ22" i="1"/>
  <c r="AN21" i="1"/>
  <c r="AM21" i="1"/>
  <c r="AL21" i="1"/>
  <c r="AK21" i="1"/>
  <c r="K21" i="1"/>
  <c r="J21" i="1"/>
  <c r="H21" i="1"/>
  <c r="G21" i="1"/>
  <c r="F21" i="1"/>
  <c r="E21" i="1"/>
  <c r="D21" i="1"/>
  <c r="C21" i="1"/>
  <c r="B21" i="1"/>
  <c r="A21" i="1"/>
  <c r="AQ21" i="1"/>
  <c r="AN20" i="1"/>
  <c r="AM20" i="1"/>
  <c r="AL20" i="1"/>
  <c r="AK20" i="1"/>
  <c r="K20" i="1"/>
  <c r="J20" i="1"/>
  <c r="H20" i="1"/>
  <c r="G20" i="1"/>
  <c r="F20" i="1"/>
  <c r="E20" i="1"/>
  <c r="D20" i="1"/>
  <c r="C20" i="1"/>
  <c r="B20" i="1"/>
  <c r="A20" i="1"/>
  <c r="AQ20" i="1"/>
  <c r="AN19" i="1"/>
  <c r="AM19" i="1"/>
  <c r="AL19" i="1"/>
  <c r="AK19" i="1"/>
  <c r="K19" i="1"/>
  <c r="J19" i="1"/>
  <c r="H19" i="1"/>
  <c r="G19" i="1"/>
  <c r="F19" i="1"/>
  <c r="E19" i="1"/>
  <c r="D19" i="1"/>
  <c r="C19" i="1"/>
  <c r="B19" i="1"/>
  <c r="A19" i="1"/>
  <c r="AQ19" i="1"/>
  <c r="AN18" i="1"/>
  <c r="AM18" i="1"/>
  <c r="AL18" i="1"/>
  <c r="AK18" i="1"/>
  <c r="K18" i="1"/>
  <c r="J18" i="1"/>
  <c r="H18" i="1"/>
  <c r="G18" i="1"/>
  <c r="F18" i="1"/>
  <c r="E18" i="1"/>
  <c r="D18" i="1"/>
  <c r="C18" i="1"/>
  <c r="B18" i="1"/>
  <c r="A18" i="1"/>
  <c r="AQ18" i="1"/>
  <c r="AN17" i="1"/>
  <c r="AM17" i="1"/>
  <c r="AL17" i="1"/>
  <c r="AK17" i="1"/>
  <c r="K17" i="1"/>
  <c r="J17" i="1"/>
  <c r="H17" i="1"/>
  <c r="G17" i="1"/>
  <c r="F17" i="1"/>
  <c r="E17" i="1"/>
  <c r="D17" i="1"/>
  <c r="C17" i="1"/>
  <c r="B17" i="1"/>
  <c r="A17" i="1"/>
  <c r="AQ17" i="1"/>
  <c r="AN16" i="1"/>
  <c r="AM16" i="1"/>
  <c r="AL16" i="1"/>
  <c r="AK16" i="1"/>
  <c r="K16" i="1"/>
  <c r="J16" i="1"/>
  <c r="H16" i="1"/>
  <c r="G16" i="1"/>
  <c r="F16" i="1"/>
  <c r="E16" i="1"/>
  <c r="D16" i="1"/>
  <c r="C16" i="1"/>
  <c r="B16" i="1"/>
  <c r="A16" i="1"/>
  <c r="AQ16" i="1"/>
  <c r="AN15" i="1"/>
  <c r="AM15" i="1"/>
  <c r="AL15" i="1"/>
  <c r="AK15" i="1"/>
  <c r="K15" i="1"/>
  <c r="J15" i="1"/>
  <c r="H15" i="1"/>
  <c r="G15" i="1"/>
  <c r="F15" i="1"/>
  <c r="E15" i="1"/>
  <c r="D15" i="1"/>
  <c r="C15" i="1"/>
  <c r="B15" i="1"/>
  <c r="A15" i="1"/>
  <c r="AQ15" i="1"/>
  <c r="AN14" i="1"/>
  <c r="AM14" i="1"/>
  <c r="AL14" i="1"/>
  <c r="AK14" i="1"/>
  <c r="K14" i="1"/>
  <c r="J14" i="1"/>
  <c r="H14" i="1"/>
  <c r="G14" i="1"/>
  <c r="F14" i="1"/>
  <c r="E14" i="1"/>
  <c r="D14" i="1"/>
  <c r="C14" i="1"/>
  <c r="B14" i="1"/>
  <c r="A14" i="1"/>
  <c r="AQ14" i="1"/>
  <c r="AN13" i="1"/>
  <c r="AM13" i="1"/>
  <c r="AL13" i="1"/>
  <c r="AK13" i="1"/>
  <c r="K13" i="1"/>
  <c r="J13" i="1"/>
  <c r="H13" i="1"/>
  <c r="G13" i="1"/>
  <c r="F13" i="1"/>
  <c r="E13" i="1"/>
  <c r="D13" i="1"/>
  <c r="C13" i="1"/>
  <c r="B13" i="1"/>
  <c r="A13" i="1"/>
  <c r="AQ13" i="1"/>
  <c r="AQ12" i="1" l="1"/>
  <c r="G12" i="1" l="1"/>
  <c r="K12" i="1"/>
  <c r="G13" i="3" l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9" i="3"/>
  <c r="G50" i="3"/>
  <c r="G51" i="3"/>
  <c r="G12" i="3"/>
  <c r="G11" i="3"/>
  <c r="AN12" i="1"/>
  <c r="AL2" i="1" s="1"/>
  <c r="AM12" i="1"/>
  <c r="AK2" i="1" s="1"/>
  <c r="AL12" i="1"/>
  <c r="AK12" i="1"/>
  <c r="E40" i="3"/>
  <c r="G40" i="3" s="1"/>
  <c r="AH2" i="1" l="1"/>
  <c r="A12" i="1"/>
  <c r="J12" i="1"/>
  <c r="H12" i="1" l="1"/>
  <c r="F12" i="1"/>
  <c r="E12" i="1"/>
  <c r="D12" i="1"/>
  <c r="C12" i="1"/>
  <c r="B12" i="1"/>
  <c r="D10" i="1"/>
  <c r="C9" i="1"/>
  <c r="C10" i="1"/>
  <c r="AG2" i="1" l="1"/>
  <c r="AJ2" i="1" s="1"/>
  <c r="AJ42" i="1" l="1"/>
  <c r="AI42" i="1" s="1"/>
  <c r="L42" i="1" s="1"/>
  <c r="M42" i="1" s="1"/>
  <c r="AJ40" i="1"/>
  <c r="AI40" i="1" s="1"/>
  <c r="L40" i="1" s="1"/>
  <c r="M40" i="1" s="1"/>
  <c r="AJ38" i="1"/>
  <c r="AI38" i="1" s="1"/>
  <c r="L38" i="1" s="1"/>
  <c r="M38" i="1" s="1"/>
  <c r="AJ36" i="1"/>
  <c r="AI36" i="1" s="1"/>
  <c r="L36" i="1" s="1"/>
  <c r="M36" i="1" s="1"/>
  <c r="AJ32" i="1"/>
  <c r="AI32" i="1" s="1"/>
  <c r="L32" i="1" s="1"/>
  <c r="M32" i="1" s="1"/>
  <c r="AJ30" i="1"/>
  <c r="AI30" i="1" s="1"/>
  <c r="L30" i="1" s="1"/>
  <c r="M30" i="1" s="1"/>
  <c r="AJ26" i="1"/>
  <c r="AI26" i="1" s="1"/>
  <c r="L26" i="1" s="1"/>
  <c r="M26" i="1" s="1"/>
  <c r="AJ18" i="1"/>
  <c r="AI18" i="1" s="1"/>
  <c r="L18" i="1" s="1"/>
  <c r="M18" i="1" s="1"/>
  <c r="AJ16" i="1"/>
  <c r="AI16" i="1" s="1"/>
  <c r="L16" i="1" s="1"/>
  <c r="M16" i="1" s="1"/>
  <c r="AJ14" i="1"/>
  <c r="AI14" i="1" s="1"/>
  <c r="L14" i="1" s="1"/>
  <c r="M14" i="1" s="1"/>
  <c r="AJ43" i="1"/>
  <c r="AI43" i="1" s="1"/>
  <c r="L43" i="1" s="1"/>
  <c r="M43" i="1" s="1"/>
  <c r="AJ41" i="1"/>
  <c r="AI41" i="1" s="1"/>
  <c r="L41" i="1" s="1"/>
  <c r="M41" i="1" s="1"/>
  <c r="AJ39" i="1"/>
  <c r="AI39" i="1" s="1"/>
  <c r="L39" i="1" s="1"/>
  <c r="M39" i="1" s="1"/>
  <c r="AJ37" i="1"/>
  <c r="AI37" i="1" s="1"/>
  <c r="L37" i="1" s="1"/>
  <c r="M37" i="1" s="1"/>
  <c r="AJ35" i="1"/>
  <c r="AI35" i="1" s="1"/>
  <c r="L35" i="1" s="1"/>
  <c r="M35" i="1" s="1"/>
  <c r="AJ33" i="1"/>
  <c r="AI33" i="1" s="1"/>
  <c r="L33" i="1" s="1"/>
  <c r="M33" i="1" s="1"/>
  <c r="AJ31" i="1"/>
  <c r="AI31" i="1" s="1"/>
  <c r="L31" i="1" s="1"/>
  <c r="M31" i="1" s="1"/>
  <c r="AJ29" i="1"/>
  <c r="AI29" i="1" s="1"/>
  <c r="L29" i="1" s="1"/>
  <c r="M29" i="1" s="1"/>
  <c r="AJ27" i="1"/>
  <c r="AI27" i="1" s="1"/>
  <c r="L27" i="1" s="1"/>
  <c r="M27" i="1" s="1"/>
  <c r="AJ25" i="1"/>
  <c r="AI25" i="1" s="1"/>
  <c r="L25" i="1" s="1"/>
  <c r="M25" i="1" s="1"/>
  <c r="AJ23" i="1"/>
  <c r="AI23" i="1" s="1"/>
  <c r="L23" i="1" s="1"/>
  <c r="M23" i="1" s="1"/>
  <c r="AJ21" i="1"/>
  <c r="AI21" i="1" s="1"/>
  <c r="L21" i="1" s="1"/>
  <c r="M21" i="1" s="1"/>
  <c r="AJ19" i="1"/>
  <c r="AI19" i="1" s="1"/>
  <c r="L19" i="1" s="1"/>
  <c r="M19" i="1" s="1"/>
  <c r="AJ17" i="1"/>
  <c r="AI17" i="1" s="1"/>
  <c r="L17" i="1" s="1"/>
  <c r="M17" i="1" s="1"/>
  <c r="AJ15" i="1"/>
  <c r="AI15" i="1" s="1"/>
  <c r="L15" i="1" s="1"/>
  <c r="M15" i="1" s="1"/>
  <c r="AJ13" i="1"/>
  <c r="AI13" i="1" s="1"/>
  <c r="L13" i="1" s="1"/>
  <c r="M13" i="1" s="1"/>
  <c r="AJ24" i="1"/>
  <c r="AI24" i="1" s="1"/>
  <c r="L24" i="1" s="1"/>
  <c r="M24" i="1" s="1"/>
  <c r="AJ22" i="1"/>
  <c r="AI22" i="1" s="1"/>
  <c r="L22" i="1" s="1"/>
  <c r="M22" i="1" s="1"/>
  <c r="AJ20" i="1"/>
  <c r="AI20" i="1" s="1"/>
  <c r="L20" i="1" s="1"/>
  <c r="M20" i="1" s="1"/>
  <c r="AJ44" i="1"/>
  <c r="AI44" i="1" s="1"/>
  <c r="L44" i="1" s="1"/>
  <c r="M44" i="1" s="1"/>
  <c r="AJ34" i="1"/>
  <c r="AI34" i="1" s="1"/>
  <c r="L34" i="1" s="1"/>
  <c r="M34" i="1" s="1"/>
  <c r="AJ28" i="1"/>
  <c r="AI28" i="1" s="1"/>
  <c r="L28" i="1" s="1"/>
  <c r="M28" i="1" s="1"/>
  <c r="AJ12" i="1"/>
  <c r="AI12" i="1" s="1"/>
  <c r="L12" i="1" s="1"/>
  <c r="M12" i="1" s="1"/>
</calcChain>
</file>

<file path=xl/sharedStrings.xml><?xml version="1.0" encoding="utf-8"?>
<sst xmlns="http://schemas.openxmlformats.org/spreadsheetml/2006/main" count="567" uniqueCount="272">
  <si>
    <t>№</t>
  </si>
  <si>
    <t>Ед. изм.</t>
  </si>
  <si>
    <t>Таблица для ОМТС</t>
  </si>
  <si>
    <t>Наименование</t>
  </si>
  <si>
    <t>Производитель</t>
  </si>
  <si>
    <t>Описание</t>
  </si>
  <si>
    <t>ERP номер</t>
  </si>
  <si>
    <t>Кол-во</t>
  </si>
  <si>
    <t>Примечание</t>
  </si>
  <si>
    <t xml:space="preserve">  </t>
  </si>
  <si>
    <t>Таблица цеха</t>
  </si>
  <si>
    <t>кол-во</t>
  </si>
  <si>
    <t>наименование</t>
  </si>
  <si>
    <t xml:space="preserve"> </t>
  </si>
  <si>
    <t>Установка оборудования</t>
  </si>
  <si>
    <t>Сборка шины</t>
  </si>
  <si>
    <t>№ п/п</t>
  </si>
  <si>
    <t>Категория</t>
  </si>
  <si>
    <t>Этап сборки</t>
  </si>
  <si>
    <t xml:space="preserve"> Описание</t>
  </si>
  <si>
    <t xml:space="preserve"> Трудозатраты, мин</t>
  </si>
  <si>
    <t>Комментарии</t>
  </si>
  <si>
    <t>Напольный шкаф (в сборе)</t>
  </si>
  <si>
    <t>Сборка конструктива</t>
  </si>
  <si>
    <t>Транспортировка, распаковка, демонтаж/монтаж двери и МП</t>
  </si>
  <si>
    <t>Навесной шкаф (в сборе)</t>
  </si>
  <si>
    <t>Транспортировка, распаковка, демонтаж/монтаж двери и МП, монтаж креплений</t>
  </si>
  <si>
    <t>Навесной шкаф без МП</t>
  </si>
  <si>
    <t>Шкаф без МП, с установленной рамой и рейками</t>
  </si>
  <si>
    <t>Комплект д/соед. шкафов в линейку</t>
  </si>
  <si>
    <t>Соединение шкафов в линейку</t>
  </si>
  <si>
    <t>Комплект для соединения шкафов в линейку</t>
  </si>
  <si>
    <t>Элемент конструктива</t>
  </si>
  <si>
    <t>Двери, боковые и задняя панель, МП</t>
  </si>
  <si>
    <t>Комплектующие шкафа</t>
  </si>
  <si>
    <t>Системные шасси, кронштейны, перегородки, шины заземления и т.д.</t>
  </si>
  <si>
    <t>Короб пластиковый</t>
  </si>
  <si>
    <t>Рез по длине, разметка, сверление отверстий, фиксация саморезами, установка крышки</t>
  </si>
  <si>
    <t>DIN- рейка</t>
  </si>
  <si>
    <t>Рез по длине, разметка, сверление отверстий, фиксация саморезами</t>
  </si>
  <si>
    <t>Компл. с монтажом на рейку</t>
  </si>
  <si>
    <t>Монтаж на рейку, маркировка</t>
  </si>
  <si>
    <t xml:space="preserve">Монтаж </t>
  </si>
  <si>
    <t>Компл. панельного испол. (1 исп.)</t>
  </si>
  <si>
    <t>Разметка и сверление до пяти отверстий в МП, монтаж, маркировка, установка доп. Оборудования</t>
  </si>
  <si>
    <t>Компл. панельного испол. (2 исп.)</t>
  </si>
  <si>
    <t>Компл. панельного испол.(мех. подъем)</t>
  </si>
  <si>
    <t>Разметка и сверление до пяти отверстий в МП, монтаж, маркировка/ установка выкатного механизма и автомата(для выкатных автоматов), частичная сборка/разборка для подключения проводников</t>
  </si>
  <si>
    <t>Заходное отверстие, отверстие с помощью пресса, монтаж</t>
  </si>
  <si>
    <t>Сигнальные лампы, кнопки, переключатели</t>
  </si>
  <si>
    <t>Вентилятор, панель управлениия</t>
  </si>
  <si>
    <t>Заходные отверстия (4шт), лобзик, монтаж</t>
  </si>
  <si>
    <t>Вентилятры, решетки и панели управления, распложенные на двери и т.д.</t>
  </si>
  <si>
    <t>Оборудование 19"</t>
  </si>
  <si>
    <t>Монтаж обрудования весом до 5 кг в стойку</t>
  </si>
  <si>
    <t>Коммутатор,заглушки, шасси (обрудование весом до 5 кг)</t>
  </si>
  <si>
    <t>Оборудование 19" (ИБП)</t>
  </si>
  <si>
    <t>Монтаж обрудования весом более 5 кг в стойку (задействовано 2 человека)</t>
  </si>
  <si>
    <t>Изолятор силовой</t>
  </si>
  <si>
    <t>Изготовление отверстий в шине и МП, монтаж, крепление шины</t>
  </si>
  <si>
    <t>Изолятор ступенчатый</t>
  </si>
  <si>
    <t>Шинодержатель (сборный)</t>
  </si>
  <si>
    <t>Шина медная 25-40</t>
  </si>
  <si>
    <t>Шина медная 50-80</t>
  </si>
  <si>
    <t>Шина медная 100-120</t>
  </si>
  <si>
    <t>Листовой материал</t>
  </si>
  <si>
    <t>Разметка, нарезка, монтаж</t>
  </si>
  <si>
    <t>Орг. Стекло</t>
  </si>
  <si>
    <t>Шпилька</t>
  </si>
  <si>
    <t>Замер, нарезка,калибровка резьбы, монтаж</t>
  </si>
  <si>
    <t>Шпилька для монтажа орг. Стекла</t>
  </si>
  <si>
    <t xml:space="preserve">Кроссировка </t>
  </si>
  <si>
    <t>Аксессуары для комплектующих</t>
  </si>
  <si>
    <t>Наконечник до 16мм2, шт</t>
  </si>
  <si>
    <t>Наконечник 25-70 мм2, шт /разъем</t>
  </si>
  <si>
    <t>Наконечник 95-150 мм2, шт</t>
  </si>
  <si>
    <t>Сигнальные лампы</t>
  </si>
  <si>
    <t>трудоемкость, мин</t>
  </si>
  <si>
    <t>Всего, мин</t>
  </si>
  <si>
    <t>Без влияния на трудозатраты</t>
  </si>
  <si>
    <t>материалы, время на монтаж которых учтено в других категориях или незначительно.</t>
  </si>
  <si>
    <t>Провода, метизы, расходники</t>
  </si>
  <si>
    <t>Шина гибкая</t>
  </si>
  <si>
    <t>Рез в длину, изгиб, установка</t>
  </si>
  <si>
    <t>Замер длины, нарезка, зачистка, опрессовка и подключение провода</t>
  </si>
  <si>
    <t>Силовая клемма</t>
  </si>
  <si>
    <t>Установка на МП</t>
  </si>
  <si>
    <t>Рез в длину, зачистка</t>
  </si>
  <si>
    <t>Рез в длину, изгиб, соединение шин</t>
  </si>
  <si>
    <t>(ЩИТ) Шина медная 25-40</t>
  </si>
  <si>
    <t>(ЩИТ) Шина медная 50-80</t>
  </si>
  <si>
    <t>(Шина) Наконечник до 16мм2, шт</t>
  </si>
  <si>
    <t>Замер длины, нарезка, зачистка, опрессовка, отверстие в шине (при необходимости) и подключение провода</t>
  </si>
  <si>
    <t>(Шина) Наконечник 25-70 мм2, шт /разъем</t>
  </si>
  <si>
    <t>Гермоввод</t>
  </si>
  <si>
    <t>Наконечник двойной до 16 мм2, шт</t>
  </si>
  <si>
    <t>Тип шкафа</t>
  </si>
  <si>
    <t>Подтип шкафа</t>
  </si>
  <si>
    <t>ША</t>
  </si>
  <si>
    <t>v.4</t>
  </si>
  <si>
    <t>Щит</t>
  </si>
  <si>
    <t>ЩВРШкаф</t>
  </si>
  <si>
    <t>ЩВРЩит</t>
  </si>
  <si>
    <t>наконеч</t>
  </si>
  <si>
    <t>Изолятор</t>
  </si>
  <si>
    <t>Комплекты соединения</t>
  </si>
  <si>
    <t xml:space="preserve">Стоимость минуты, руб </t>
  </si>
  <si>
    <t>Стоимость операции, руб</t>
  </si>
  <si>
    <t>Монтаж</t>
  </si>
  <si>
    <t>Клеммы с монтажом на МП</t>
  </si>
  <si>
    <t>Пластиковые короба</t>
  </si>
  <si>
    <t>DIN-рейки</t>
  </si>
  <si>
    <t>Клеммы, реле, автоматы,доп. Контакты, источники, диоды и т.д.</t>
  </si>
  <si>
    <t>Перемычки, предохранители, доп. Контакты и т.д.</t>
  </si>
  <si>
    <t>Вес комплектующих не более 5 кг (1 монтажник), автоматы, УПП и т.д.</t>
  </si>
  <si>
    <t>Вес комплектующих более 5 кг (2 монтажника), частотники и т.д.</t>
  </si>
  <si>
    <t>Вес комплектующих  более 50 кг (2 монтажника + мех. подъем), частотники, выкатные автоматы   и т.д.</t>
  </si>
  <si>
    <t>Изготовление отверстий в  МП, рейках; монтаж, крепление шины</t>
  </si>
  <si>
    <t>Изготовление отверстий в МП, монтаж, крепление шины</t>
  </si>
  <si>
    <t>Изготовление отверстий и монтаж гермоввода</t>
  </si>
  <si>
    <t>Шкаф ЕХ</t>
  </si>
  <si>
    <t>X</t>
  </si>
  <si>
    <t>2141-2143</t>
  </si>
  <si>
    <t>Блок-бокс технологический CHZMEK-ББТ-6,0-2,4-2,9</t>
  </si>
  <si>
    <t>3</t>
  </si>
  <si>
    <t>ЩСН</t>
  </si>
  <si>
    <t>1</t>
  </si>
  <si>
    <t>Шкаф навесной ST, 700х500х250мм, IP65</t>
  </si>
  <si>
    <t>R5ST0759</t>
  </si>
  <si>
    <t>1424.31252</t>
  </si>
  <si>
    <t>DKC</t>
  </si>
  <si>
    <t>шт.</t>
  </si>
  <si>
    <t>11260</t>
  </si>
  <si>
    <t>2</t>
  </si>
  <si>
    <t>Короб перфорированный RL6 25x80мм, длина 2м</t>
  </si>
  <si>
    <t>01126RL</t>
  </si>
  <si>
    <t>1412.32414</t>
  </si>
  <si>
    <t>м</t>
  </si>
  <si>
    <t>300</t>
  </si>
  <si>
    <t>Короб перфорированный RL6 40x80мм, длина 2м</t>
  </si>
  <si>
    <t>01127RL</t>
  </si>
  <si>
    <t>1412.7586</t>
  </si>
  <si>
    <t>6</t>
  </si>
  <si>
    <t>4</t>
  </si>
  <si>
    <t>Короб перфорированный RL6 60x80мм, длина 2м</t>
  </si>
  <si>
    <t>01128RL</t>
  </si>
  <si>
    <t>1412.27474</t>
  </si>
  <si>
    <t>5</t>
  </si>
  <si>
    <t>Кабель-канал круглый на клейкой основе GMF-20T</t>
  </si>
  <si>
    <t>GMF-20T</t>
  </si>
  <si>
    <t>1412.2719</t>
  </si>
  <si>
    <t>ID</t>
  </si>
  <si>
    <t>7</t>
  </si>
  <si>
    <t>201</t>
  </si>
  <si>
    <t>DIN рейка OMEGA 3F с отверстиями, 35х7,5мм, длина 2м</t>
  </si>
  <si>
    <t>02140</t>
  </si>
  <si>
    <t>1412.0532</t>
  </si>
  <si>
    <t>шт</t>
  </si>
  <si>
    <t>9</t>
  </si>
  <si>
    <t>0</t>
  </si>
  <si>
    <t>Наконечники кольцевые НКИ 0,5-16 кв.мм., для болтов М4-М10, наконечники НШвИ 0,5-16 кв.мм, наконечники двойные НШвИ(2) 0,5-16 кв.мм</t>
  </si>
  <si>
    <t>НКИ 1,25-16, НШвИ 0,5-16, НШвИ(2) 0,5-16</t>
  </si>
  <si>
    <t>54</t>
  </si>
  <si>
    <t>90</t>
  </si>
  <si>
    <t>8</t>
  </si>
  <si>
    <t>Жгут для кабеля</t>
  </si>
  <si>
    <t>0964</t>
  </si>
  <si>
    <t>1401.2477</t>
  </si>
  <si>
    <t>Оргстекло 4 мм</t>
  </si>
  <si>
    <t>1105.26152</t>
  </si>
  <si>
    <t>м2</t>
  </si>
  <si>
    <t>1200</t>
  </si>
  <si>
    <t>10</t>
  </si>
  <si>
    <t>Провод монтажный 2,5 кв.мм, белый</t>
  </si>
  <si>
    <t>ПуГВ 1х2,5 б</t>
  </si>
  <si>
    <t>1414.0068</t>
  </si>
  <si>
    <t>11</t>
  </si>
  <si>
    <t>Провод монтажный 2,5 кв.мм, синий</t>
  </si>
  <si>
    <t>ПуГВ 1х2.5 г</t>
  </si>
  <si>
    <t>1414.16223</t>
  </si>
  <si>
    <t>ООО "ЧЗМЭК"</t>
  </si>
  <si>
    <t>12</t>
  </si>
  <si>
    <t>Провод монтажный 1,5 кв.мм, белый</t>
  </si>
  <si>
    <t>ПуГВ 1х1,5 б</t>
  </si>
  <si>
    <t>1414.0082</t>
  </si>
  <si>
    <t>13</t>
  </si>
  <si>
    <t>Сальник PG29, диаметр кабеля 18-24 мм</t>
  </si>
  <si>
    <t>YSA20-25-29-54-K41</t>
  </si>
  <si>
    <t>1422.0220</t>
  </si>
  <si>
    <t>IEK</t>
  </si>
  <si>
    <t>360</t>
  </si>
  <si>
    <t>14</t>
  </si>
  <si>
    <t>Паспортная табличка</t>
  </si>
  <si>
    <t>2300.1325</t>
  </si>
  <si>
    <t>15</t>
  </si>
  <si>
    <t>Шильдики на дверцу щита</t>
  </si>
  <si>
    <t>2300.3213/2</t>
  </si>
  <si>
    <t>компл.</t>
  </si>
  <si>
    <t>16</t>
  </si>
  <si>
    <t>Знак безопасности, символ "Молния" 50х50мм</t>
  </si>
  <si>
    <t>1426.0824</t>
  </si>
  <si>
    <t>17</t>
  </si>
  <si>
    <t>Этикетки самокл., А4, 230 дел. 18х12мм</t>
  </si>
  <si>
    <t>022791</t>
  </si>
  <si>
    <t>1401.25260</t>
  </si>
  <si>
    <t>MEGA LABEL</t>
  </si>
  <si>
    <t>лист</t>
  </si>
  <si>
    <t>18</t>
  </si>
  <si>
    <t>Гайка М8</t>
  </si>
  <si>
    <t>1800.0156</t>
  </si>
  <si>
    <t>19</t>
  </si>
  <si>
    <t>Гровер М8</t>
  </si>
  <si>
    <t>1800.1193</t>
  </si>
  <si>
    <t>20</t>
  </si>
  <si>
    <t>Шайба М8, DIN 125</t>
  </si>
  <si>
    <t>1800.0155</t>
  </si>
  <si>
    <t>21</t>
  </si>
  <si>
    <t>Площадка 30х30 самокл. под хомуты</t>
  </si>
  <si>
    <t>1422.1114</t>
  </si>
  <si>
    <t>22</t>
  </si>
  <si>
    <t>Саморез с прессшайбой, сверло 4,2х19</t>
  </si>
  <si>
    <t>1800.0229</t>
  </si>
  <si>
    <t>50</t>
  </si>
  <si>
    <t>23</t>
  </si>
  <si>
    <t>Хомуты кабельные нейлоновые, 160мм</t>
  </si>
  <si>
    <t>1422.0054</t>
  </si>
  <si>
    <t>100</t>
  </si>
  <si>
    <t>60</t>
  </si>
  <si>
    <t>24</t>
  </si>
  <si>
    <t>Провод монтажный 4 кв.мм, белый</t>
  </si>
  <si>
    <t>ПуГВ 1х4 б</t>
  </si>
  <si>
    <t>1414.1124</t>
  </si>
  <si>
    <t>25</t>
  </si>
  <si>
    <t>Провод монтажный 4 кв.мм, голубой</t>
  </si>
  <si>
    <t>ПуГВ 1х4 г</t>
  </si>
  <si>
    <t>1414.1300</t>
  </si>
  <si>
    <t>26</t>
  </si>
  <si>
    <t>Шины на DIN-рейку в корпусе (кросс-модуль) L+PEN 2х15</t>
  </si>
  <si>
    <t>YND10-2-15-125</t>
  </si>
  <si>
    <t>1423.1197</t>
  </si>
  <si>
    <t>ИЭК</t>
  </si>
  <si>
    <t>180</t>
  </si>
  <si>
    <t>27</t>
  </si>
  <si>
    <t>Выключатель автоматический NXB-63, 3 полюса, 20А, ток к.з. 6kA, хар-ка С</t>
  </si>
  <si>
    <t>814171</t>
  </si>
  <si>
    <t>1403.41938</t>
  </si>
  <si>
    <t>CHINT</t>
  </si>
  <si>
    <t>28</t>
  </si>
  <si>
    <t>Автомат дифференциальный NB1L, 1 полюс + нейтр., 16 A, ток к.з. 10kA, 30mA</t>
  </si>
  <si>
    <t>203107</t>
  </si>
  <si>
    <t>1403.39746</t>
  </si>
  <si>
    <t>29</t>
  </si>
  <si>
    <t>Автомат дифференциальный NB1L 1P+N С6 30мА тип АC 10кА</t>
  </si>
  <si>
    <t>203104</t>
  </si>
  <si>
    <t>1403.43037</t>
  </si>
  <si>
    <t>30</t>
  </si>
  <si>
    <t>Выключатель автоматический NXB-63, 1 полюс, 6А, ток к.з. 6kA, хар-ка С</t>
  </si>
  <si>
    <t>814012</t>
  </si>
  <si>
    <t>1403.39745</t>
  </si>
  <si>
    <t>31</t>
  </si>
  <si>
    <t>Рубильник перекидной NH40-100/3CS, 100А</t>
  </si>
  <si>
    <t>393545</t>
  </si>
  <si>
    <t>1417.46524</t>
  </si>
  <si>
    <t>32</t>
  </si>
  <si>
    <t>Стопор концевой EB 35/3</t>
  </si>
  <si>
    <t>on1060014</t>
  </si>
  <si>
    <t>1409.46432</t>
  </si>
  <si>
    <t>Onka</t>
  </si>
  <si>
    <t>33</t>
  </si>
  <si>
    <t>Клеммник пружинный быстрозажимной (Push in), 2.5 мм.кв, серая</t>
  </si>
  <si>
    <t>on1020013</t>
  </si>
  <si>
    <t>1409.46428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</si>
</sst>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7" fillId="0" borderId="0"/>
    <xf numFmtId="0" fontId="12" fillId="0" borderId="0">
      <alignment horizontal="center" vertical="center"/>
    </xf>
    <xf numFmtId="2" fontId="12" fillId="0" borderId="0">
      <alignment horizontal="center" vertical="center"/>
    </xf>
    <xf numFmtId="0" fontId="12" fillId="0" borderId="0">
      <alignment horizontal="center" vertical="center"/>
    </xf>
    <xf numFmtId="2" fontId="12" fillId="0" borderId="0">
      <alignment horizontal="left" vertical="center"/>
    </xf>
    <xf numFmtId="2" fontId="12" fillId="0" borderId="0">
      <alignment horizontal="left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12" fillId="0" borderId="0">
      <alignment horizontal="center" vertical="center"/>
    </xf>
    <xf numFmtId="2" fontId="8" fillId="0" borderId="0">
      <alignment horizontal="center" vertical="center" wrapText="1"/>
    </xf>
    <xf numFmtId="2" fontId="8" fillId="0" borderId="0">
      <alignment horizontal="center" vertical="center" wrapText="1"/>
      <protection locked="0"/>
    </xf>
    <xf numFmtId="2" fontId="8" fillId="0" borderId="0">
      <alignment horizontal="center" vertical="center" wrapText="1"/>
      <protection locked="0"/>
    </xf>
    <xf numFmtId="2" fontId="8" fillId="0" borderId="0">
      <alignment horizontal="center" vertical="center" wrapText="1"/>
      <protection locked="0"/>
    </xf>
  </cellStyleXfs>
  <cellXfs count="65">
    <xf numFmtId="0" fontId="0" fillId="0" borderId="0" xfId="0"/>
    <xf numFmtId="2" fontId="5" fillId="0" borderId="0" xfId="0" applyNumberFormat="1" applyFont="1" applyAlignment="1">
      <alignment horizontal="center" wrapText="1"/>
    </xf>
    <xf numFmtId="0" fontId="17" fillId="0" borderId="1" xfId="1" applyBorder="1"/>
    <xf numFmtId="0" fontId="17" fillId="0" borderId="0" xfId="1" applyAlignment="1">
      <alignment wrapText="1"/>
    </xf>
    <xf numFmtId="0" fontId="17" fillId="3" borderId="1" xfId="1" applyFill="1" applyBorder="1"/>
    <xf numFmtId="0" fontId="17" fillId="0" borderId="0" xfId="1"/>
    <xf numFmtId="0" fontId="0" fillId="0" borderId="1" xfId="0" applyBorder="1"/>
    <xf numFmtId="0" fontId="17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1" applyFont="1" applyBorder="1"/>
    <xf numFmtId="0" fontId="12" fillId="0" borderId="1" xfId="1" applyFont="1" applyBorder="1" applyAlignment="1">
      <alignment wrapText="1"/>
    </xf>
    <xf numFmtId="2" fontId="8" fillId="0" borderId="0" xfId="0" applyNumberFormat="1" applyFont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 applyProtection="1">
      <alignment wrapText="1"/>
      <protection locked="0"/>
    </xf>
    <xf numFmtId="2" fontId="4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wrapText="1"/>
    </xf>
    <xf numFmtId="2" fontId="5" fillId="0" borderId="0" xfId="0" applyNumberFormat="1" applyFont="1"/>
    <xf numFmtId="2" fontId="5" fillId="0" borderId="0" xfId="0" applyNumberFormat="1" applyFont="1" applyAlignment="1" applyProtection="1">
      <alignment wrapText="1"/>
      <protection locked="0"/>
    </xf>
    <xf numFmtId="2" fontId="6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vertical="top" wrapText="1"/>
    </xf>
    <xf numFmtId="2" fontId="7" fillId="0" borderId="0" xfId="0" applyNumberFormat="1" applyFont="1" applyAlignment="1">
      <alignment horizontal="center" wrapText="1"/>
    </xf>
    <xf numFmtId="2" fontId="17" fillId="0" borderId="0" xfId="1" applyNumberFormat="1"/>
    <xf numFmtId="2" fontId="9" fillId="0" borderId="0" xfId="0" applyNumberFormat="1" applyFont="1" applyAlignment="1">
      <alignment vertical="top" wrapText="1"/>
    </xf>
    <xf numFmtId="2" fontId="10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 applyProtection="1">
      <alignment horizontal="center" wrapText="1"/>
      <protection locked="0"/>
    </xf>
    <xf numFmtId="2" fontId="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2" fontId="2" fillId="0" borderId="0" xfId="0" applyNumberFormat="1" applyFont="1" applyAlignment="1" applyProtection="1">
      <alignment wrapText="1"/>
      <protection locked="0"/>
    </xf>
    <xf numFmtId="2" fontId="10" fillId="2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 applyProtection="1">
      <alignment horizontal="center" vertical="center" wrapText="1"/>
      <protection locked="0"/>
    </xf>
    <xf numFmtId="2" fontId="14" fillId="2" borderId="0" xfId="0" applyNumberFormat="1" applyFont="1" applyFill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wrapText="1"/>
    </xf>
    <xf numFmtId="2" fontId="16" fillId="0" borderId="0" xfId="0" applyNumberFormat="1" applyFont="1" applyAlignment="1" applyProtection="1">
      <alignment wrapText="1"/>
      <protection locked="0"/>
    </xf>
    <xf numFmtId="2" fontId="13" fillId="0" borderId="0" xfId="0" applyNumberFormat="1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2" fillId="0" borderId="0" xfId="2">
      <alignment horizontal="center" vertical="center"/>
    </xf>
    <xf numFmtId="2" fontId="12" fillId="0" borderId="0" xfId="3">
      <alignment horizontal="center" vertical="center"/>
    </xf>
    <xf numFmtId="0" fontId="12" fillId="0" borderId="0" xfId="4">
      <alignment horizontal="center" vertical="center"/>
    </xf>
    <xf numFmtId="2" fontId="12" fillId="0" borderId="0" xfId="5">
      <alignment horizontal="left" vertical="center"/>
    </xf>
    <xf numFmtId="2" fontId="12" fillId="0" borderId="0" xfId="6">
      <alignment horizontal="left" vertical="center"/>
    </xf>
    <xf numFmtId="2" fontId="12" fillId="0" borderId="0" xfId="7">
      <alignment horizontal="center" vertical="center"/>
    </xf>
    <xf numFmtId="2" fontId="12" fillId="0" borderId="0" xfId="8">
      <alignment horizontal="center" vertical="center"/>
    </xf>
    <xf numFmtId="2" fontId="12" fillId="0" borderId="0" xfId="9">
      <alignment horizontal="center" vertical="center"/>
    </xf>
    <xf numFmtId="2" fontId="12" fillId="0" borderId="0" xfId="10">
      <alignment horizontal="center" vertical="center"/>
    </xf>
    <xf numFmtId="2" fontId="12" fillId="0" borderId="0" xfId="11">
      <alignment horizontal="center" vertical="center"/>
    </xf>
    <xf numFmtId="2" fontId="12" fillId="0" borderId="0" xfId="12">
      <alignment horizontal="center" vertical="center"/>
    </xf>
    <xf numFmtId="2" fontId="12" fillId="0" borderId="0" xfId="13">
      <alignment horizontal="center" vertical="center"/>
    </xf>
    <xf numFmtId="2" fontId="12" fillId="0" borderId="0" xfId="14">
      <alignment horizontal="center" vertical="center"/>
    </xf>
    <xf numFmtId="2" fontId="12" fillId="0" borderId="0" xfId="15">
      <alignment horizontal="center" vertical="center"/>
    </xf>
    <xf numFmtId="2" fontId="12" fillId="0" borderId="0" xfId="16">
      <alignment horizontal="center" vertical="center"/>
    </xf>
    <xf numFmtId="2" fontId="8" fillId="0" borderId="0" xfId="17">
      <alignment horizontal="center" vertical="center" wrapText="1"/>
    </xf>
    <xf numFmtId="2" fontId="8" fillId="0" borderId="0" xfId="18">
      <alignment horizontal="center" vertical="center" wrapText="1"/>
      <protection locked="0"/>
    </xf>
    <xf numFmtId="2" fontId="8" fillId="0" borderId="0" xfId="19">
      <alignment horizontal="center" vertical="center" wrapText="1"/>
      <protection locked="0"/>
    </xf>
    <xf numFmtId="2" fontId="8" fillId="0" borderId="0" xfId="20">
      <alignment horizontal="center" vertical="center" wrapText="1"/>
      <protection locked="0"/>
    </xf>
  </cellXfs>
  <cellStyles count="21">
    <cellStyle name="ColStyle1" xfId="2"/>
    <cellStyle name="ColStyle10" xfId="11"/>
    <cellStyle name="ColStyle11" xfId="12"/>
    <cellStyle name="ColStyle12" xfId="13"/>
    <cellStyle name="ColStyle13" xfId="14"/>
    <cellStyle name="ColStyle14" xfId="15"/>
    <cellStyle name="ColStyle15" xfId="16"/>
    <cellStyle name="ColStyle16" xfId="17"/>
    <cellStyle name="ColStyle17" xfId="18"/>
    <cellStyle name="ColStyle18" xfId="19"/>
    <cellStyle name="ColStyle19" xfId="20"/>
    <cellStyle name="ColStyle2" xfId="3"/>
    <cellStyle name="ColStyle3" xfId="4"/>
    <cellStyle name="ColStyle4" xfId="5"/>
    <cellStyle name="ColStyle5" xfId="6"/>
    <cellStyle name="ColStyle6" xfId="7"/>
    <cellStyle name="ColStyle7" xfId="8"/>
    <cellStyle name="ColStyle8" xfId="9"/>
    <cellStyle name="ColStyle9" xfId="1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</sheetPr>
  <dimension ref="A1:BI48"/>
  <sheetViews>
    <sheetView tabSelected="1" topLeftCell="A7" zoomScaleNormal="100" zoomScaleSheetLayoutView="100" zoomScalePageLayoutView="80" workbookViewId="0">
      <selection activeCell="B9" sqref="B9"/>
    </sheetView>
  </sheetViews>
  <sheetFormatPr defaultColWidth="9.140625" defaultRowHeight="37.5" customHeight="1" outlineLevelCol="1" x14ac:dyDescent="0.25"/>
  <cols>
    <col min="1" max="1" width="5.42578125" style="41" customWidth="1"/>
    <col min="2" max="2" width="51.28515625" style="41" customWidth="1"/>
    <col min="3" max="3" width="20.28515625" style="41" customWidth="1"/>
    <col min="4" max="4" width="15.7109375" style="41" customWidth="1"/>
    <col min="5" max="5" width="14.5703125" style="41" customWidth="1"/>
    <col min="6" max="7" width="8" style="41" customWidth="1"/>
    <col min="8" max="8" width="24.85546875" style="41" customWidth="1"/>
    <col min="9" max="9" width="12" style="41" customWidth="1"/>
    <col min="10" max="10" width="26.5703125" style="41" customWidth="1"/>
    <col min="11" max="11" width="8.42578125" style="41" customWidth="1"/>
    <col min="12" max="15" width="12" style="41" customWidth="1"/>
    <col min="16" max="16" width="9.140625" style="41"/>
    <col min="17" max="17" width="4.28515625" style="41" bestFit="1" customWidth="1"/>
    <col min="18" max="30" width="4" style="41" bestFit="1" customWidth="1"/>
    <col min="31" max="31" width="5.140625" style="41" customWidth="1"/>
    <col min="32" max="32" width="5.42578125" style="41" customWidth="1"/>
    <col min="33" max="33" width="10.7109375" style="42" customWidth="1"/>
    <col min="34" max="34" width="14.85546875" style="41" customWidth="1"/>
    <col min="35" max="35" width="9.140625" style="41" customWidth="1"/>
    <col min="36" max="36" width="9.140625" style="41" customWidth="1" collapsed="1"/>
    <col min="37" max="40" width="9.140625" style="41" hidden="1" customWidth="1" outlineLevel="1"/>
    <col min="41" max="16384" width="9.140625" style="41"/>
  </cols>
  <sheetData>
    <row r="1" spans="1:43" s="14" customFormat="1" ht="18" customHeight="1" x14ac:dyDescent="0.2">
      <c r="A1" s="14" t="s">
        <v>99</v>
      </c>
      <c r="B1" s="15"/>
      <c r="C1" s="15"/>
      <c r="AG1" s="16" t="s">
        <v>96</v>
      </c>
      <c r="AH1" s="14" t="s">
        <v>97</v>
      </c>
    </row>
    <row r="2" spans="1:43" s="18" customFormat="1" ht="18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Q2" s="45" t="s">
        <v>122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G2" s="20" t="str">
        <f>IF(AH2="","ША","ЩВР")</f>
        <v>ША</v>
      </c>
      <c r="AH2" s="18" t="str">
        <f>IF(SUM(AK2,AL2)=0,"",IF(AND(AK2&gt;0,AL2&gt;0),"Щит",IF(AL2&gt;0,"Щит","Шкаф")))</f>
        <v/>
      </c>
      <c r="AJ2" s="18">
        <f>VLOOKUP(CONCATENATE(AG2,AH2),Категории!E2:F4,2,FALSE)</f>
        <v>1</v>
      </c>
      <c r="AK2" s="18">
        <f>SUM(AM:AM)</f>
        <v>0</v>
      </c>
      <c r="AL2" s="18">
        <f>SUM(AN:AN)</f>
        <v>0</v>
      </c>
    </row>
    <row r="3" spans="1:43" s="18" customFormat="1" ht="7.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Q3" s="45" t="s">
        <v>123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G3" s="20"/>
    </row>
    <row r="4" spans="1:43" s="18" customFormat="1" ht="18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Q4" s="45" t="s">
        <v>124</v>
      </c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G4" s="20"/>
    </row>
    <row r="5" spans="1:43" s="18" customFormat="1" ht="18" customHeight="1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Q5" s="19" t="s">
        <v>9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G5" s="20"/>
      <c r="AH5" s="24"/>
    </row>
    <row r="6" spans="1:43" s="18" customFormat="1" ht="18" customHeigh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G6" s="20"/>
      <c r="AH6" s="24"/>
    </row>
    <row r="7" spans="1:43" s="18" customFormat="1" ht="20.2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G7" s="20"/>
      <c r="AH7" s="24"/>
    </row>
    <row r="8" spans="1:43" s="1" customFormat="1" ht="16.5" customHeight="1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G8" s="28"/>
    </row>
    <row r="9" spans="1:43" s="1" customFormat="1" ht="21.75" customHeight="1" x14ac:dyDescent="0.2">
      <c r="A9" s="30" t="s">
        <v>2</v>
      </c>
      <c r="B9" s="29"/>
      <c r="C9" s="30" t="str">
        <f>Q3</f>
        <v>Блок-бокс технологический CHZMEK-ББТ-6,0-2,4-2,9</v>
      </c>
      <c r="D9" s="29"/>
      <c r="E9" s="29"/>
      <c r="F9" s="29"/>
      <c r="G9" s="29"/>
      <c r="H9" s="29"/>
      <c r="I9" s="29"/>
      <c r="J9" s="30" t="s">
        <v>10</v>
      </c>
      <c r="K9" s="30"/>
      <c r="L9" s="29"/>
      <c r="M9" s="29"/>
      <c r="N9" s="29"/>
      <c r="O9" s="29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G9" s="28"/>
    </row>
    <row r="10" spans="1:43" s="13" customFormat="1" ht="18.75" customHeight="1" x14ac:dyDescent="0.2">
      <c r="A10" s="30"/>
      <c r="B10" s="31"/>
      <c r="C10" s="31" t="str">
        <f>Q3</f>
        <v>Блок-бокс технологический CHZMEK-ББТ-6,0-2,4-2,9</v>
      </c>
      <c r="D10" s="31" t="str">
        <f>CONCATENATE(Q12,R12)</f>
        <v>ЩСН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G10" s="33"/>
    </row>
    <row r="11" spans="1:43" s="11" customFormat="1" ht="38.25" customHeight="1" x14ac:dyDescent="0.25">
      <c r="A11" s="34" t="s">
        <v>0</v>
      </c>
      <c r="B11" s="35" t="s">
        <v>5</v>
      </c>
      <c r="C11" s="35" t="s">
        <v>3</v>
      </c>
      <c r="D11" s="35" t="s">
        <v>4</v>
      </c>
      <c r="E11" s="35" t="s">
        <v>6</v>
      </c>
      <c r="F11" s="35" t="s">
        <v>1</v>
      </c>
      <c r="G11" s="35" t="s">
        <v>7</v>
      </c>
      <c r="H11" s="35" t="s">
        <v>8</v>
      </c>
      <c r="I11" s="31"/>
      <c r="J11" s="35" t="s">
        <v>12</v>
      </c>
      <c r="K11" s="35" t="s">
        <v>11</v>
      </c>
      <c r="L11" s="35" t="s">
        <v>77</v>
      </c>
      <c r="M11" s="35" t="s">
        <v>78</v>
      </c>
      <c r="N11" s="31"/>
      <c r="O11" s="31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G11" s="37"/>
      <c r="AK11" s="11" t="s">
        <v>103</v>
      </c>
      <c r="AL11" s="11" t="s">
        <v>100</v>
      </c>
      <c r="AM11" s="11" t="s">
        <v>104</v>
      </c>
      <c r="AN11" s="11" t="s">
        <v>105</v>
      </c>
    </row>
    <row r="12" spans="1:43" s="11" customFormat="1" ht="31.5" x14ac:dyDescent="0.25">
      <c r="A12" s="44" t="str">
        <f>S12</f>
        <v>1</v>
      </c>
      <c r="B12" s="39" t="str">
        <f>CONCATENATE(T12,U12)</f>
        <v>Шкаф навесной ST, 700х500х250мм, IP65</v>
      </c>
      <c r="C12" s="12" t="str">
        <f>CONCATENATE(V12,W12)</f>
        <v>R5ST0759</v>
      </c>
      <c r="D12" s="12" t="str">
        <f>CONCATENATE(Z12,AA12)</f>
        <v>DKC</v>
      </c>
      <c r="E12" s="12" t="str">
        <f>CONCATENATE(X12,Y12)</f>
        <v>1424.31252</v>
      </c>
      <c r="F12" s="12" t="str">
        <f>AB12</f>
        <v>шт.</v>
      </c>
      <c r="G12" s="12" t="str">
        <f>IF(OR(AD12=0,AD12="0,00"),AC12,AD12)</f>
        <v>1</v>
      </c>
      <c r="H12" s="12">
        <f>AE12</f>
        <v>0</v>
      </c>
      <c r="I12" s="38"/>
      <c r="J12" s="12" t="str">
        <f>CONCATENATE(V12,W12)</f>
        <v>R5ST0759</v>
      </c>
      <c r="K12" s="12" t="str">
        <f>IF(OR(AD12=0,AD12="0,00"),AC12,AD12)</f>
        <v>1</v>
      </c>
      <c r="L12" s="12">
        <f>AI12</f>
        <v>60</v>
      </c>
      <c r="M12" s="12">
        <f>K12*L12</f>
        <v>60</v>
      </c>
      <c r="N12" s="38"/>
      <c r="O12" s="38"/>
      <c r="P12" s="11" t="s">
        <v>9</v>
      </c>
      <c r="Q12" s="46"/>
      <c r="R12" s="47" t="s">
        <v>125</v>
      </c>
      <c r="S12" s="48" t="s">
        <v>126</v>
      </c>
      <c r="T12" s="49" t="s">
        <v>127</v>
      </c>
      <c r="U12" s="50"/>
      <c r="V12" s="51" t="s">
        <v>128</v>
      </c>
      <c r="W12" s="52"/>
      <c r="X12" s="53" t="s">
        <v>129</v>
      </c>
      <c r="Y12" s="54"/>
      <c r="Z12" s="55" t="s">
        <v>130</v>
      </c>
      <c r="AA12" s="56"/>
      <c r="AB12" s="57" t="s">
        <v>131</v>
      </c>
      <c r="AC12" s="58"/>
      <c r="AD12" s="59" t="s">
        <v>126</v>
      </c>
      <c r="AE12" s="60"/>
      <c r="AF12" s="61" t="s">
        <v>124</v>
      </c>
      <c r="AG12" s="62" t="s">
        <v>132</v>
      </c>
      <c r="AH12" s="63" t="s">
        <v>25</v>
      </c>
      <c r="AI12" s="11">
        <f>IFERROR(VLOOKUP(AJ12,Категории!$B$11:$E$51,4,FALSE),0)</f>
        <v>60</v>
      </c>
      <c r="AJ12" s="11" t="str">
        <f>IF($AJ$2=1,AH12,IF($AJ$2=3,AL12,AK12))</f>
        <v>Навесной шкаф (в сборе)</v>
      </c>
      <c r="AK12" s="11" t="str">
        <f>IF(AH12=Категории!$B$39,Категории!$B$43,IF(AH12=Категории!$B$40,Категории!$B$43,IF(AH12=Категории!$B$41,Категории!$B$44,AH12)))</f>
        <v>Навесной шкаф (в сборе)</v>
      </c>
      <c r="AL12" s="11" t="str">
        <f>IF(AH12=Категории!$B$32,Категории!$B$35,IF(AH12=Категории!$B$33,Категории!$B$36,IF(AH12=Категории!$B$39,Категории!$B$43,IF(AH12=Категории!$B$40,Категории!$B$43,IF(AH12=Категории!$B$41,Категории!$B$44,AH12)))))</f>
        <v>Навесной шкаф (в сборе)</v>
      </c>
      <c r="AM12" s="11" t="str">
        <f>IF(OR(AH12=Категории!$B$30,AH12=Категории!$B$31),1,"")</f>
        <v/>
      </c>
      <c r="AN12" s="11" t="str">
        <f>IF(AH12=Категории!$B$14,1,"")</f>
        <v/>
      </c>
      <c r="AO12" s="64"/>
      <c r="AP12" s="11" t="s">
        <v>121</v>
      </c>
      <c r="AQ12" s="11" t="e">
        <f>IF(VALUE(#REF!)&gt;1,IF(VALUE(AD12)&lt;#REF!,1,0),0)</f>
        <v>#REF!</v>
      </c>
    </row>
    <row r="13" spans="1:43" s="11" customFormat="1" ht="31.5" x14ac:dyDescent="0.25">
      <c r="A13" s="44" t="str">
        <f t="shared" ref="A13:A44" si="0">S13</f>
        <v>2</v>
      </c>
      <c r="B13" s="39" t="str">
        <f t="shared" ref="B13:B44" si="1">CONCATENATE(T13,U13)</f>
        <v>Короб перфорированный RL6 25x80мм, длина 2м</v>
      </c>
      <c r="C13" s="12" t="str">
        <f t="shared" ref="C13:C44" si="2">CONCATENATE(V13,W13)</f>
        <v>01126RL</v>
      </c>
      <c r="D13" s="12" t="str">
        <f t="shared" ref="D13:D44" si="3">CONCATENATE(Z13,AA13)</f>
        <v>DKC</v>
      </c>
      <c r="E13" s="12" t="str">
        <f t="shared" ref="E13:E44" si="4">CONCATENATE(X13,Y13)</f>
        <v>1412.32414</v>
      </c>
      <c r="F13" s="12" t="str">
        <f t="shared" ref="F13:F44" si="5">AB13</f>
        <v>м</v>
      </c>
      <c r="G13" s="12" t="str">
        <f t="shared" ref="G13:G44" si="6">IF(OR(AD13=0,AD13="0,00"),AC13,AD13)</f>
        <v>2</v>
      </c>
      <c r="H13" s="12">
        <f t="shared" ref="H13:H44" si="7">AE13</f>
        <v>0</v>
      </c>
      <c r="I13" s="38"/>
      <c r="J13" s="12" t="str">
        <f t="shared" ref="J13:J44" si="8">CONCATENATE(V13,W13)</f>
        <v>01126RL</v>
      </c>
      <c r="K13" s="12" t="str">
        <f t="shared" ref="K13:K44" si="9">IF(OR(AD13=0,AD13="0,00"),AC13,AD13)</f>
        <v>2</v>
      </c>
      <c r="L13" s="12">
        <f t="shared" ref="L13:L44" si="10">AI13</f>
        <v>15</v>
      </c>
      <c r="M13" s="12">
        <f t="shared" ref="M13:M44" si="11">K13*L13</f>
        <v>30</v>
      </c>
      <c r="N13" s="38"/>
      <c r="O13" s="38"/>
      <c r="P13" s="11" t="s">
        <v>9</v>
      </c>
      <c r="Q13" s="46"/>
      <c r="R13" s="47" t="s">
        <v>125</v>
      </c>
      <c r="S13" s="48" t="s">
        <v>133</v>
      </c>
      <c r="T13" s="49" t="s">
        <v>134</v>
      </c>
      <c r="U13" s="50"/>
      <c r="V13" s="51" t="s">
        <v>135</v>
      </c>
      <c r="W13" s="52"/>
      <c r="X13" s="53" t="s">
        <v>136</v>
      </c>
      <c r="Y13" s="54"/>
      <c r="Z13" s="55" t="s">
        <v>130</v>
      </c>
      <c r="AA13" s="56"/>
      <c r="AB13" s="57" t="s">
        <v>137</v>
      </c>
      <c r="AC13" s="58"/>
      <c r="AD13" s="59" t="s">
        <v>133</v>
      </c>
      <c r="AE13" s="60"/>
      <c r="AF13" s="61" t="s">
        <v>124</v>
      </c>
      <c r="AG13" s="62" t="s">
        <v>138</v>
      </c>
      <c r="AH13" s="63" t="s">
        <v>36</v>
      </c>
      <c r="AI13" s="11">
        <f>IFERROR(VLOOKUP(AJ13,Категории!$B$11:$E$51,4,FALSE),0)</f>
        <v>15</v>
      </c>
      <c r="AJ13" s="11" t="str">
        <f t="shared" ref="AJ13:AJ44" si="12">IF($AJ$2=1,AH13,IF($AJ$2=3,AL13,AK13))</f>
        <v>Короб пластиковый</v>
      </c>
      <c r="AK13" s="11" t="str">
        <f>IF(AH13=Категории!$B$39,Категории!$B$43,IF(AH13=Категории!$B$40,Категории!$B$43,IF(AH13=Категории!$B$41,Категории!$B$44,AH13)))</f>
        <v>Короб пластиковый</v>
      </c>
      <c r="AL13" s="11" t="str">
        <f>IF(AH13=Категории!$B$32,Категории!$B$35,IF(AH13=Категории!$B$33,Категории!$B$36,IF(AH13=Категории!$B$39,Категории!$B$43,IF(AH13=Категории!$B$40,Категории!$B$43,IF(AH13=Категории!$B$41,Категории!$B$44,AH13)))))</f>
        <v>Короб пластиковый</v>
      </c>
      <c r="AM13" s="11" t="str">
        <f>IF(OR(AH13=Категории!$B$30,AH13=Категории!$B$31),1,"")</f>
        <v/>
      </c>
      <c r="AN13" s="11" t="str">
        <f>IF(AH13=Категории!$B$14,1,"")</f>
        <v/>
      </c>
      <c r="AO13" s="64"/>
      <c r="AP13" s="11" t="s">
        <v>121</v>
      </c>
      <c r="AQ13" s="11" t="e">
        <f>IF(VALUE(#REF!)&gt;1,IF(VALUE(AD13)&lt;#REF!,1,0),0)</f>
        <v>#REF!</v>
      </c>
    </row>
    <row r="14" spans="1:43" s="11" customFormat="1" ht="31.5" x14ac:dyDescent="0.25">
      <c r="A14" s="44" t="str">
        <f t="shared" si="0"/>
        <v>3</v>
      </c>
      <c r="B14" s="39" t="str">
        <f t="shared" si="1"/>
        <v>Короб перфорированный RL6 40x80мм, длина 2м</v>
      </c>
      <c r="C14" s="12" t="str">
        <f t="shared" si="2"/>
        <v>01127RL</v>
      </c>
      <c r="D14" s="12" t="str">
        <f t="shared" si="3"/>
        <v>DKC</v>
      </c>
      <c r="E14" s="12" t="str">
        <f t="shared" si="4"/>
        <v>1412.7586</v>
      </c>
      <c r="F14" s="12" t="str">
        <f t="shared" si="5"/>
        <v>м</v>
      </c>
      <c r="G14" s="12" t="str">
        <f t="shared" si="6"/>
        <v>6</v>
      </c>
      <c r="H14" s="12">
        <f t="shared" si="7"/>
        <v>0</v>
      </c>
      <c r="I14" s="38"/>
      <c r="J14" s="12" t="str">
        <f t="shared" si="8"/>
        <v>01127RL</v>
      </c>
      <c r="K14" s="12" t="str">
        <f t="shared" si="9"/>
        <v>6</v>
      </c>
      <c r="L14" s="12">
        <f t="shared" si="10"/>
        <v>15</v>
      </c>
      <c r="M14" s="12">
        <f t="shared" si="11"/>
        <v>90</v>
      </c>
      <c r="N14" s="38"/>
      <c r="O14" s="38"/>
      <c r="P14" s="11" t="s">
        <v>9</v>
      </c>
      <c r="Q14" s="46"/>
      <c r="R14" s="47" t="s">
        <v>125</v>
      </c>
      <c r="S14" s="48" t="s">
        <v>124</v>
      </c>
      <c r="T14" s="49" t="s">
        <v>139</v>
      </c>
      <c r="U14" s="50"/>
      <c r="V14" s="51" t="s">
        <v>140</v>
      </c>
      <c r="W14" s="52"/>
      <c r="X14" s="53" t="s">
        <v>141</v>
      </c>
      <c r="Y14" s="54"/>
      <c r="Z14" s="55" t="s">
        <v>130</v>
      </c>
      <c r="AA14" s="56"/>
      <c r="AB14" s="57" t="s">
        <v>137</v>
      </c>
      <c r="AC14" s="58"/>
      <c r="AD14" s="59" t="s">
        <v>142</v>
      </c>
      <c r="AE14" s="60"/>
      <c r="AF14" s="61" t="s">
        <v>124</v>
      </c>
      <c r="AG14" s="62" t="s">
        <v>138</v>
      </c>
      <c r="AH14" s="63" t="s">
        <v>36</v>
      </c>
      <c r="AI14" s="11">
        <f>IFERROR(VLOOKUP(AJ14,Категории!$B$11:$E$51,4,FALSE),0)</f>
        <v>15</v>
      </c>
      <c r="AJ14" s="11" t="str">
        <f t="shared" si="12"/>
        <v>Короб пластиковый</v>
      </c>
      <c r="AK14" s="11" t="str">
        <f>IF(AH14=Категории!$B$39,Категории!$B$43,IF(AH14=Категории!$B$40,Категории!$B$43,IF(AH14=Категории!$B$41,Категории!$B$44,AH14)))</f>
        <v>Короб пластиковый</v>
      </c>
      <c r="AL14" s="11" t="str">
        <f>IF(AH14=Категории!$B$32,Категории!$B$35,IF(AH14=Категории!$B$33,Категории!$B$36,IF(AH14=Категории!$B$39,Категории!$B$43,IF(AH14=Категории!$B$40,Категории!$B$43,IF(AH14=Категории!$B$41,Категории!$B$44,AH14)))))</f>
        <v>Короб пластиковый</v>
      </c>
      <c r="AM14" s="11" t="str">
        <f>IF(OR(AH14=Категории!$B$30,AH14=Категории!$B$31),1,"")</f>
        <v/>
      </c>
      <c r="AN14" s="11" t="str">
        <f>IF(AH14=Категории!$B$14,1,"")</f>
        <v/>
      </c>
      <c r="AO14" s="64"/>
      <c r="AP14" s="11" t="s">
        <v>121</v>
      </c>
      <c r="AQ14" s="11" t="e">
        <f>IF(VALUE(#REF!)&gt;1,IF(VALUE(AD14)&lt;#REF!,1,0),0)</f>
        <v>#REF!</v>
      </c>
    </row>
    <row r="15" spans="1:43" s="11" customFormat="1" ht="31.5" x14ac:dyDescent="0.25">
      <c r="A15" s="44" t="str">
        <f t="shared" si="0"/>
        <v>4</v>
      </c>
      <c r="B15" s="39" t="str">
        <f t="shared" si="1"/>
        <v>Короб перфорированный RL6 60x80мм, длина 2м</v>
      </c>
      <c r="C15" s="12" t="str">
        <f t="shared" si="2"/>
        <v>01128RL</v>
      </c>
      <c r="D15" s="12" t="str">
        <f t="shared" si="3"/>
        <v>DKC</v>
      </c>
      <c r="E15" s="12" t="str">
        <f t="shared" si="4"/>
        <v>1412.27474</v>
      </c>
      <c r="F15" s="12" t="str">
        <f t="shared" si="5"/>
        <v>м</v>
      </c>
      <c r="G15" s="12" t="str">
        <f t="shared" si="6"/>
        <v>3</v>
      </c>
      <c r="H15" s="12">
        <f t="shared" si="7"/>
        <v>0</v>
      </c>
      <c r="I15" s="38"/>
      <c r="J15" s="12" t="str">
        <f t="shared" si="8"/>
        <v>01128RL</v>
      </c>
      <c r="K15" s="12" t="str">
        <f t="shared" si="9"/>
        <v>3</v>
      </c>
      <c r="L15" s="12">
        <f t="shared" si="10"/>
        <v>15</v>
      </c>
      <c r="M15" s="12">
        <f t="shared" si="11"/>
        <v>45</v>
      </c>
      <c r="N15" s="38"/>
      <c r="O15" s="38"/>
      <c r="P15" s="11" t="s">
        <v>9</v>
      </c>
      <c r="Q15" s="46"/>
      <c r="R15" s="47" t="s">
        <v>125</v>
      </c>
      <c r="S15" s="48" t="s">
        <v>143</v>
      </c>
      <c r="T15" s="49" t="s">
        <v>144</v>
      </c>
      <c r="U15" s="50"/>
      <c r="V15" s="51" t="s">
        <v>145</v>
      </c>
      <c r="W15" s="52"/>
      <c r="X15" s="53" t="s">
        <v>146</v>
      </c>
      <c r="Y15" s="54"/>
      <c r="Z15" s="55" t="s">
        <v>130</v>
      </c>
      <c r="AA15" s="56"/>
      <c r="AB15" s="57" t="s">
        <v>137</v>
      </c>
      <c r="AC15" s="58"/>
      <c r="AD15" s="59" t="s">
        <v>124</v>
      </c>
      <c r="AE15" s="60"/>
      <c r="AF15" s="61" t="s">
        <v>124</v>
      </c>
      <c r="AG15" s="62" t="s">
        <v>138</v>
      </c>
      <c r="AH15" s="63" t="s">
        <v>36</v>
      </c>
      <c r="AI15" s="11">
        <f>IFERROR(VLOOKUP(AJ15,Категории!$B$11:$E$51,4,FALSE),0)</f>
        <v>15</v>
      </c>
      <c r="AJ15" s="11" t="str">
        <f t="shared" si="12"/>
        <v>Короб пластиковый</v>
      </c>
      <c r="AK15" s="11" t="str">
        <f>IF(AH15=Категории!$B$39,Категории!$B$43,IF(AH15=Категории!$B$40,Категории!$B$43,IF(AH15=Категории!$B$41,Категории!$B$44,AH15)))</f>
        <v>Короб пластиковый</v>
      </c>
      <c r="AL15" s="11" t="str">
        <f>IF(AH15=Категории!$B$32,Категории!$B$35,IF(AH15=Категории!$B$33,Категории!$B$36,IF(AH15=Категории!$B$39,Категории!$B$43,IF(AH15=Категории!$B$40,Категории!$B$43,IF(AH15=Категории!$B$41,Категории!$B$44,AH15)))))</f>
        <v>Короб пластиковый</v>
      </c>
      <c r="AM15" s="11" t="str">
        <f>IF(OR(AH15=Категории!$B$30,AH15=Категории!$B$31),1,"")</f>
        <v/>
      </c>
      <c r="AN15" s="11" t="str">
        <f>IF(AH15=Категории!$B$14,1,"")</f>
        <v/>
      </c>
      <c r="AO15" s="64"/>
      <c r="AP15" s="11" t="s">
        <v>121</v>
      </c>
      <c r="AQ15" s="11" t="e">
        <f>IF(VALUE(#REF!)&gt;1,IF(VALUE(AD15)&lt;#REF!,1,0),0)</f>
        <v>#REF!</v>
      </c>
    </row>
    <row r="16" spans="1:43" s="11" customFormat="1" ht="31.5" x14ac:dyDescent="0.25">
      <c r="A16" s="44" t="str">
        <f t="shared" si="0"/>
        <v>5</v>
      </c>
      <c r="B16" s="39" t="str">
        <f t="shared" si="1"/>
        <v>Кабель-канал круглый на клейкой основе GMF-20T</v>
      </c>
      <c r="C16" s="12" t="str">
        <f t="shared" si="2"/>
        <v>GMF-20T</v>
      </c>
      <c r="D16" s="12" t="str">
        <f t="shared" si="3"/>
        <v>ID</v>
      </c>
      <c r="E16" s="12" t="str">
        <f t="shared" si="4"/>
        <v>1412.2719</v>
      </c>
      <c r="F16" s="12" t="str">
        <f t="shared" si="5"/>
        <v>шт.</v>
      </c>
      <c r="G16" s="12" t="str">
        <f t="shared" si="6"/>
        <v>7</v>
      </c>
      <c r="H16" s="12">
        <f t="shared" si="7"/>
        <v>0</v>
      </c>
      <c r="I16" s="38"/>
      <c r="J16" s="12" t="str">
        <f t="shared" si="8"/>
        <v>GMF-20T</v>
      </c>
      <c r="K16" s="12" t="str">
        <f t="shared" si="9"/>
        <v>7</v>
      </c>
      <c r="L16" s="12">
        <f t="shared" si="10"/>
        <v>15</v>
      </c>
      <c r="M16" s="12">
        <f t="shared" si="11"/>
        <v>105</v>
      </c>
      <c r="N16" s="38"/>
      <c r="O16" s="38"/>
      <c r="P16" s="11" t="s">
        <v>9</v>
      </c>
      <c r="Q16" s="46"/>
      <c r="R16" s="47" t="s">
        <v>125</v>
      </c>
      <c r="S16" s="48" t="s">
        <v>147</v>
      </c>
      <c r="T16" s="49" t="s">
        <v>148</v>
      </c>
      <c r="U16" s="50"/>
      <c r="V16" s="51" t="s">
        <v>149</v>
      </c>
      <c r="W16" s="52"/>
      <c r="X16" s="53" t="s">
        <v>150</v>
      </c>
      <c r="Y16" s="54"/>
      <c r="Z16" s="55" t="s">
        <v>151</v>
      </c>
      <c r="AA16" s="56"/>
      <c r="AB16" s="57" t="s">
        <v>131</v>
      </c>
      <c r="AC16" s="58"/>
      <c r="AD16" s="59" t="s">
        <v>152</v>
      </c>
      <c r="AE16" s="60"/>
      <c r="AF16" s="61" t="s">
        <v>124</v>
      </c>
      <c r="AG16" s="62" t="s">
        <v>153</v>
      </c>
      <c r="AH16" s="63" t="s">
        <v>36</v>
      </c>
      <c r="AI16" s="11">
        <f>IFERROR(VLOOKUP(AJ16,Категории!$B$11:$E$51,4,FALSE),0)</f>
        <v>15</v>
      </c>
      <c r="AJ16" s="11" t="str">
        <f t="shared" si="12"/>
        <v>Короб пластиковый</v>
      </c>
      <c r="AK16" s="11" t="str">
        <f>IF(AH16=Категории!$B$39,Категории!$B$43,IF(AH16=Категории!$B$40,Категории!$B$43,IF(AH16=Категории!$B$41,Категории!$B$44,AH16)))</f>
        <v>Короб пластиковый</v>
      </c>
      <c r="AL16" s="11" t="str">
        <f>IF(AH16=Категории!$B$32,Категории!$B$35,IF(AH16=Категории!$B$33,Категории!$B$36,IF(AH16=Категории!$B$39,Категории!$B$43,IF(AH16=Категории!$B$40,Категории!$B$43,IF(AH16=Категории!$B$41,Категории!$B$44,AH16)))))</f>
        <v>Короб пластиковый</v>
      </c>
      <c r="AM16" s="11" t="str">
        <f>IF(OR(AH16=Категории!$B$30,AH16=Категории!$B$31),1,"")</f>
        <v/>
      </c>
      <c r="AN16" s="11" t="str">
        <f>IF(AH16=Категории!$B$14,1,"")</f>
        <v/>
      </c>
      <c r="AO16" s="64"/>
      <c r="AP16" s="11" t="s">
        <v>121</v>
      </c>
      <c r="AQ16" s="11" t="e">
        <f>IF(VALUE(#REF!)&gt;1,IF(VALUE(AD16)&lt;#REF!,1,0),0)</f>
        <v>#REF!</v>
      </c>
    </row>
    <row r="17" spans="1:43" s="11" customFormat="1" ht="15" x14ac:dyDescent="0.25">
      <c r="A17" s="44" t="str">
        <f t="shared" si="0"/>
        <v>6</v>
      </c>
      <c r="B17" s="39" t="str">
        <f t="shared" si="1"/>
        <v>DIN рейка OMEGA 3F с отверстиями, 35х7,5мм, длина 2м</v>
      </c>
      <c r="C17" s="12" t="str">
        <f t="shared" si="2"/>
        <v>02140</v>
      </c>
      <c r="D17" s="12" t="str">
        <f t="shared" si="3"/>
        <v>DKC</v>
      </c>
      <c r="E17" s="12" t="str">
        <f t="shared" si="4"/>
        <v>1412.0532</v>
      </c>
      <c r="F17" s="12" t="str">
        <f t="shared" si="5"/>
        <v>шт</v>
      </c>
      <c r="G17" s="12" t="str">
        <f t="shared" si="6"/>
        <v>9</v>
      </c>
      <c r="H17" s="12">
        <f t="shared" si="7"/>
        <v>0</v>
      </c>
      <c r="I17" s="38"/>
      <c r="J17" s="12" t="str">
        <f t="shared" si="8"/>
        <v>02140</v>
      </c>
      <c r="K17" s="12" t="str">
        <f t="shared" si="9"/>
        <v>9</v>
      </c>
      <c r="L17" s="12">
        <f t="shared" si="10"/>
        <v>15</v>
      </c>
      <c r="M17" s="12">
        <f t="shared" si="11"/>
        <v>135</v>
      </c>
      <c r="N17" s="38"/>
      <c r="O17" s="38"/>
      <c r="P17" s="11" t="s">
        <v>9</v>
      </c>
      <c r="Q17" s="46"/>
      <c r="R17" s="47" t="s">
        <v>125</v>
      </c>
      <c r="S17" s="48" t="s">
        <v>142</v>
      </c>
      <c r="T17" s="49" t="s">
        <v>154</v>
      </c>
      <c r="U17" s="50"/>
      <c r="V17" s="51" t="s">
        <v>155</v>
      </c>
      <c r="W17" s="52"/>
      <c r="X17" s="53" t="s">
        <v>156</v>
      </c>
      <c r="Y17" s="54"/>
      <c r="Z17" s="55" t="s">
        <v>130</v>
      </c>
      <c r="AA17" s="56"/>
      <c r="AB17" s="57" t="s">
        <v>157</v>
      </c>
      <c r="AC17" s="58"/>
      <c r="AD17" s="59" t="s">
        <v>158</v>
      </c>
      <c r="AE17" s="60"/>
      <c r="AF17" s="61" t="s">
        <v>124</v>
      </c>
      <c r="AG17" s="62" t="s">
        <v>159</v>
      </c>
      <c r="AH17" s="63" t="s">
        <v>38</v>
      </c>
      <c r="AI17" s="11">
        <f>IFERROR(VLOOKUP(AJ17,Категории!$B$11:$E$51,4,FALSE),0)</f>
        <v>15</v>
      </c>
      <c r="AJ17" s="11" t="str">
        <f t="shared" si="12"/>
        <v>DIN- рейка</v>
      </c>
      <c r="AK17" s="11" t="str">
        <f>IF(AH17=Категории!$B$39,Категории!$B$43,IF(AH17=Категории!$B$40,Категории!$B$43,IF(AH17=Категории!$B$41,Категории!$B$44,AH17)))</f>
        <v>DIN- рейка</v>
      </c>
      <c r="AL17" s="11" t="str">
        <f>IF(AH17=Категории!$B$32,Категории!$B$35,IF(AH17=Категории!$B$33,Категории!$B$36,IF(AH17=Категории!$B$39,Категории!$B$43,IF(AH17=Категории!$B$40,Категории!$B$43,IF(AH17=Категории!$B$41,Категории!$B$44,AH17)))))</f>
        <v>DIN- рейка</v>
      </c>
      <c r="AM17" s="11" t="str">
        <f>IF(OR(AH17=Категории!$B$30,AH17=Категории!$B$31),1,"")</f>
        <v/>
      </c>
      <c r="AN17" s="11" t="str">
        <f>IF(AH17=Категории!$B$14,1,"")</f>
        <v/>
      </c>
      <c r="AO17" s="64"/>
      <c r="AP17" s="11" t="s">
        <v>121</v>
      </c>
      <c r="AQ17" s="11" t="e">
        <f>IF(VALUE(#REF!)&gt;1,IF(VALUE(AD17)&lt;#REF!,1,0),0)</f>
        <v>#REF!</v>
      </c>
    </row>
    <row r="18" spans="1:43" s="11" customFormat="1" ht="42" x14ac:dyDescent="0.25">
      <c r="A18" s="44" t="str">
        <f t="shared" si="0"/>
        <v>7</v>
      </c>
      <c r="B18" s="39" t="str">
        <f t="shared" si="1"/>
        <v>Наконечники кольцевые НКИ 0,5-16 кв.мм., для болтов М4-М10, наконечники НШвИ 0,5-16 кв.мм, наконечники двойные НШвИ(2) 0,5-16 кв.мм</v>
      </c>
      <c r="C18" s="12" t="str">
        <f t="shared" si="2"/>
        <v>НКИ 1,25-16, НШвИ 0,5-16, НШвИ(2) 0,5-16</v>
      </c>
      <c r="D18" s="12" t="str">
        <f t="shared" si="3"/>
        <v/>
      </c>
      <c r="E18" s="12" t="str">
        <f t="shared" si="4"/>
        <v/>
      </c>
      <c r="F18" s="12" t="str">
        <f t="shared" si="5"/>
        <v>шт.</v>
      </c>
      <c r="G18" s="12" t="str">
        <f t="shared" si="6"/>
        <v>54</v>
      </c>
      <c r="H18" s="12">
        <f t="shared" si="7"/>
        <v>0</v>
      </c>
      <c r="I18" s="38"/>
      <c r="J18" s="12" t="str">
        <f t="shared" si="8"/>
        <v>НКИ 1,25-16, НШвИ 0,5-16, НШвИ(2) 0,5-16</v>
      </c>
      <c r="K18" s="12" t="str">
        <f t="shared" si="9"/>
        <v>54</v>
      </c>
      <c r="L18" s="12">
        <f t="shared" si="10"/>
        <v>1.75</v>
      </c>
      <c r="M18" s="12">
        <f t="shared" si="11"/>
        <v>94.5</v>
      </c>
      <c r="N18" s="38"/>
      <c r="O18" s="38"/>
      <c r="P18" s="11" t="s">
        <v>9</v>
      </c>
      <c r="Q18" s="46"/>
      <c r="R18" s="47" t="s">
        <v>125</v>
      </c>
      <c r="S18" s="48" t="s">
        <v>152</v>
      </c>
      <c r="T18" s="49" t="s">
        <v>160</v>
      </c>
      <c r="U18" s="50"/>
      <c r="V18" s="51" t="s">
        <v>161</v>
      </c>
      <c r="W18" s="52"/>
      <c r="X18" s="53"/>
      <c r="Y18" s="54"/>
      <c r="Z18" s="55"/>
      <c r="AA18" s="56"/>
      <c r="AB18" s="57" t="s">
        <v>131</v>
      </c>
      <c r="AC18" s="58"/>
      <c r="AD18" s="59" t="s">
        <v>162</v>
      </c>
      <c r="AE18" s="60"/>
      <c r="AF18" s="61" t="s">
        <v>124</v>
      </c>
      <c r="AG18" s="62" t="s">
        <v>163</v>
      </c>
      <c r="AH18" s="63" t="s">
        <v>73</v>
      </c>
      <c r="AI18" s="11">
        <f>IFERROR(VLOOKUP(AJ18,Категории!$B$11:$E$51,4,FALSE),0)</f>
        <v>1.75</v>
      </c>
      <c r="AJ18" s="11" t="str">
        <f t="shared" si="12"/>
        <v>Наконечник до 16мм2, шт</v>
      </c>
      <c r="AK18" s="11" t="str">
        <f>IF(AH18=Категории!$B$39,Категории!$B$43,IF(AH18=Категории!$B$40,Категории!$B$43,IF(AH18=Категории!$B$41,Категории!$B$44,AH18)))</f>
        <v>(Шина) Наконечник до 16мм2, шт</v>
      </c>
      <c r="AL18" s="11" t="str">
        <f>IF(AH18=Категории!$B$32,Категории!$B$35,IF(AH18=Категории!$B$33,Категории!$B$36,IF(AH18=Категории!$B$39,Категории!$B$43,IF(AH18=Категории!$B$40,Категории!$B$43,IF(AH18=Категории!$B$41,Категории!$B$44,AH18)))))</f>
        <v>(Шина) Наконечник до 16мм2, шт</v>
      </c>
      <c r="AM18" s="11" t="str">
        <f>IF(OR(AH18=Категории!$B$30,AH18=Категории!$B$31),1,"")</f>
        <v/>
      </c>
      <c r="AN18" s="11" t="str">
        <f>IF(AH18=Категории!$B$14,1,"")</f>
        <v/>
      </c>
      <c r="AO18" s="64"/>
      <c r="AP18" s="11" t="s">
        <v>121</v>
      </c>
      <c r="AQ18" s="11" t="e">
        <f>IF(VALUE(#REF!)&gt;1,IF(VALUE(AD18)&lt;#REF!,1,0),0)</f>
        <v>#REF!</v>
      </c>
    </row>
    <row r="19" spans="1:43" s="11" customFormat="1" ht="52.5" x14ac:dyDescent="0.25">
      <c r="A19" s="44" t="str">
        <f t="shared" si="0"/>
        <v>8</v>
      </c>
      <c r="B19" s="39" t="str">
        <f t="shared" si="1"/>
        <v>Жгут для кабеля</v>
      </c>
      <c r="C19" s="12" t="str">
        <f t="shared" si="2"/>
        <v>0964</v>
      </c>
      <c r="D19" s="12" t="str">
        <f t="shared" si="3"/>
        <v>DKC</v>
      </c>
      <c r="E19" s="12" t="str">
        <f t="shared" si="4"/>
        <v>1401.2477</v>
      </c>
      <c r="F19" s="12" t="str">
        <f t="shared" si="5"/>
        <v>м</v>
      </c>
      <c r="G19" s="12" t="str">
        <f t="shared" si="6"/>
        <v>2</v>
      </c>
      <c r="H19" s="12">
        <f t="shared" si="7"/>
        <v>0</v>
      </c>
      <c r="I19" s="38"/>
      <c r="J19" s="12" t="str">
        <f t="shared" si="8"/>
        <v>0964</v>
      </c>
      <c r="K19" s="12" t="str">
        <f t="shared" si="9"/>
        <v>2</v>
      </c>
      <c r="L19" s="12">
        <f t="shared" si="10"/>
        <v>0</v>
      </c>
      <c r="M19" s="12">
        <f t="shared" si="11"/>
        <v>0</v>
      </c>
      <c r="N19" s="38"/>
      <c r="O19" s="38"/>
      <c r="P19" s="11" t="s">
        <v>9</v>
      </c>
      <c r="Q19" s="46"/>
      <c r="R19" s="47" t="s">
        <v>125</v>
      </c>
      <c r="S19" s="48" t="s">
        <v>164</v>
      </c>
      <c r="T19" s="49" t="s">
        <v>165</v>
      </c>
      <c r="U19" s="50"/>
      <c r="V19" s="51" t="s">
        <v>166</v>
      </c>
      <c r="W19" s="52"/>
      <c r="X19" s="53" t="s">
        <v>167</v>
      </c>
      <c r="Y19" s="54"/>
      <c r="Z19" s="55" t="s">
        <v>130</v>
      </c>
      <c r="AA19" s="56"/>
      <c r="AB19" s="57" t="s">
        <v>137</v>
      </c>
      <c r="AC19" s="58"/>
      <c r="AD19" s="59" t="s">
        <v>133</v>
      </c>
      <c r="AE19" s="60"/>
      <c r="AF19" s="61" t="s">
        <v>124</v>
      </c>
      <c r="AG19" s="62" t="s">
        <v>159</v>
      </c>
      <c r="AH19" s="63" t="s">
        <v>79</v>
      </c>
      <c r="AI19" s="11">
        <f>IFERROR(VLOOKUP(AJ19,Категории!$B$11:$E$51,4,FALSE),0)</f>
        <v>0</v>
      </c>
      <c r="AJ19" s="11" t="str">
        <f t="shared" si="12"/>
        <v>Без влияния на трудозатраты</v>
      </c>
      <c r="AK19" s="11" t="str">
        <f>IF(AH19=Категории!$B$39,Категории!$B$43,IF(AH19=Категории!$B$40,Категории!$B$43,IF(AH19=Категории!$B$41,Категории!$B$44,AH19)))</f>
        <v>Без влияния на трудозатраты</v>
      </c>
      <c r="AL19" s="11" t="str">
        <f>IF(AH19=Категории!$B$32,Категории!$B$35,IF(AH19=Категории!$B$33,Категории!$B$36,IF(AH19=Категории!$B$39,Категории!$B$43,IF(AH19=Категории!$B$40,Категории!$B$43,IF(AH19=Категории!$B$41,Категории!$B$44,AH19)))))</f>
        <v>Без влияния на трудозатраты</v>
      </c>
      <c r="AM19" s="11" t="str">
        <f>IF(OR(AH19=Категории!$B$30,AH19=Категории!$B$31),1,"")</f>
        <v/>
      </c>
      <c r="AN19" s="11" t="str">
        <f>IF(AH19=Категории!$B$14,1,"")</f>
        <v/>
      </c>
      <c r="AO19" s="64"/>
      <c r="AP19" s="11" t="s">
        <v>121</v>
      </c>
      <c r="AQ19" s="11" t="e">
        <f>IF(VALUE(#REF!)&gt;1,IF(VALUE(AD19)&lt;#REF!,1,0),0)</f>
        <v>#REF!</v>
      </c>
    </row>
    <row r="20" spans="1:43" s="11" customFormat="1" ht="21" x14ac:dyDescent="0.25">
      <c r="A20" s="44" t="str">
        <f t="shared" si="0"/>
        <v>9</v>
      </c>
      <c r="B20" s="39" t="str">
        <f t="shared" si="1"/>
        <v>Оргстекло 4 мм</v>
      </c>
      <c r="C20" s="12" t="str">
        <f t="shared" si="2"/>
        <v/>
      </c>
      <c r="D20" s="12" t="str">
        <f t="shared" si="3"/>
        <v/>
      </c>
      <c r="E20" s="12" t="str">
        <f t="shared" si="4"/>
        <v>1105.26152</v>
      </c>
      <c r="F20" s="12" t="str">
        <f t="shared" si="5"/>
        <v>м2</v>
      </c>
      <c r="G20" s="12" t="str">
        <f t="shared" si="6"/>
        <v>1</v>
      </c>
      <c r="H20" s="12">
        <f t="shared" si="7"/>
        <v>0</v>
      </c>
      <c r="I20" s="38"/>
      <c r="J20" s="12" t="str">
        <f t="shared" si="8"/>
        <v/>
      </c>
      <c r="K20" s="12" t="str">
        <f t="shared" si="9"/>
        <v>1</v>
      </c>
      <c r="L20" s="12">
        <f t="shared" si="10"/>
        <v>60</v>
      </c>
      <c r="M20" s="12">
        <f t="shared" si="11"/>
        <v>60</v>
      </c>
      <c r="N20" s="38"/>
      <c r="O20" s="38"/>
      <c r="P20" s="11" t="s">
        <v>9</v>
      </c>
      <c r="Q20" s="46"/>
      <c r="R20" s="47" t="s">
        <v>125</v>
      </c>
      <c r="S20" s="48" t="s">
        <v>158</v>
      </c>
      <c r="T20" s="49" t="s">
        <v>168</v>
      </c>
      <c r="U20" s="50"/>
      <c r="V20" s="51"/>
      <c r="W20" s="52"/>
      <c r="X20" s="53" t="s">
        <v>169</v>
      </c>
      <c r="Y20" s="54"/>
      <c r="Z20" s="55"/>
      <c r="AA20" s="56"/>
      <c r="AB20" s="57" t="s">
        <v>170</v>
      </c>
      <c r="AC20" s="58"/>
      <c r="AD20" s="59" t="s">
        <v>126</v>
      </c>
      <c r="AE20" s="60"/>
      <c r="AF20" s="61" t="s">
        <v>124</v>
      </c>
      <c r="AG20" s="62" t="s">
        <v>171</v>
      </c>
      <c r="AH20" s="63" t="s">
        <v>65</v>
      </c>
      <c r="AI20" s="11">
        <f>IFERROR(VLOOKUP(AJ20,Категории!$B$11:$E$51,4,FALSE),0)</f>
        <v>60</v>
      </c>
      <c r="AJ20" s="11" t="str">
        <f t="shared" si="12"/>
        <v>Листовой материал</v>
      </c>
      <c r="AK20" s="11" t="str">
        <f>IF(AH20=Категории!$B$39,Категории!$B$43,IF(AH20=Категории!$B$40,Категории!$B$43,IF(AH20=Категории!$B$41,Категории!$B$44,AH20)))</f>
        <v>Листовой материал</v>
      </c>
      <c r="AL20" s="11" t="str">
        <f>IF(AH20=Категории!$B$32,Категории!$B$35,IF(AH20=Категории!$B$33,Категории!$B$36,IF(AH20=Категории!$B$39,Категории!$B$43,IF(AH20=Категории!$B$40,Категории!$B$43,IF(AH20=Категории!$B$41,Категории!$B$44,AH20)))))</f>
        <v>Листовой материал</v>
      </c>
      <c r="AM20" s="11" t="str">
        <f>IF(OR(AH20=Категории!$B$30,AH20=Категории!$B$31),1,"")</f>
        <v/>
      </c>
      <c r="AN20" s="11" t="str">
        <f>IF(AH20=Категории!$B$14,1,"")</f>
        <v/>
      </c>
      <c r="AO20" s="64"/>
      <c r="AP20" s="11" t="s">
        <v>121</v>
      </c>
      <c r="AQ20" s="11" t="e">
        <f>IF(VALUE(#REF!)&gt;1,IF(VALUE(AD20)&lt;#REF!,1,0),0)</f>
        <v>#REF!</v>
      </c>
    </row>
    <row r="21" spans="1:43" s="11" customFormat="1" ht="52.5" x14ac:dyDescent="0.25">
      <c r="A21" s="44" t="str">
        <f t="shared" si="0"/>
        <v>10</v>
      </c>
      <c r="B21" s="39" t="str">
        <f t="shared" si="1"/>
        <v>Провод монтажный 2,5 кв.мм, белый</v>
      </c>
      <c r="C21" s="12" t="str">
        <f t="shared" si="2"/>
        <v>ПуГВ 1х2,5 б</v>
      </c>
      <c r="D21" s="12" t="str">
        <f t="shared" si="3"/>
        <v/>
      </c>
      <c r="E21" s="12" t="str">
        <f t="shared" si="4"/>
        <v>1414.0068</v>
      </c>
      <c r="F21" s="12" t="str">
        <f t="shared" si="5"/>
        <v>м</v>
      </c>
      <c r="G21" s="12" t="str">
        <f t="shared" si="6"/>
        <v>3</v>
      </c>
      <c r="H21" s="12">
        <f t="shared" si="7"/>
        <v>0</v>
      </c>
      <c r="I21" s="38"/>
      <c r="J21" s="12" t="str">
        <f t="shared" si="8"/>
        <v>ПуГВ 1х2,5 б</v>
      </c>
      <c r="K21" s="12" t="str">
        <f t="shared" si="9"/>
        <v>3</v>
      </c>
      <c r="L21" s="12">
        <f t="shared" si="10"/>
        <v>0</v>
      </c>
      <c r="M21" s="12">
        <f t="shared" si="11"/>
        <v>0</v>
      </c>
      <c r="N21" s="38"/>
      <c r="O21" s="38"/>
      <c r="P21" s="11" t="s">
        <v>9</v>
      </c>
      <c r="Q21" s="46"/>
      <c r="R21" s="47" t="s">
        <v>125</v>
      </c>
      <c r="S21" s="48" t="s">
        <v>172</v>
      </c>
      <c r="T21" s="49" t="s">
        <v>173</v>
      </c>
      <c r="U21" s="50"/>
      <c r="V21" s="51" t="s">
        <v>174</v>
      </c>
      <c r="W21" s="52"/>
      <c r="X21" s="53" t="s">
        <v>175</v>
      </c>
      <c r="Y21" s="54"/>
      <c r="Z21" s="55"/>
      <c r="AA21" s="56"/>
      <c r="AB21" s="57" t="s">
        <v>137</v>
      </c>
      <c r="AC21" s="58"/>
      <c r="AD21" s="59" t="s">
        <v>124</v>
      </c>
      <c r="AE21" s="60"/>
      <c r="AF21" s="61" t="s">
        <v>124</v>
      </c>
      <c r="AG21" s="62" t="s">
        <v>159</v>
      </c>
      <c r="AH21" s="63" t="s">
        <v>79</v>
      </c>
      <c r="AI21" s="11">
        <f>IFERROR(VLOOKUP(AJ21,Категории!$B$11:$E$51,4,FALSE),0)</f>
        <v>0</v>
      </c>
      <c r="AJ21" s="11" t="str">
        <f t="shared" si="12"/>
        <v>Без влияния на трудозатраты</v>
      </c>
      <c r="AK21" s="11" t="str">
        <f>IF(AH21=Категории!$B$39,Категории!$B$43,IF(AH21=Категории!$B$40,Категории!$B$43,IF(AH21=Категории!$B$41,Категории!$B$44,AH21)))</f>
        <v>Без влияния на трудозатраты</v>
      </c>
      <c r="AL21" s="11" t="str">
        <f>IF(AH21=Категории!$B$32,Категории!$B$35,IF(AH21=Категории!$B$33,Категории!$B$36,IF(AH21=Категории!$B$39,Категории!$B$43,IF(AH21=Категории!$B$40,Категории!$B$43,IF(AH21=Категории!$B$41,Категории!$B$44,AH21)))))</f>
        <v>Без влияния на трудозатраты</v>
      </c>
      <c r="AM21" s="11" t="str">
        <f>IF(OR(AH21=Категории!$B$30,AH21=Категории!$B$31),1,"")</f>
        <v/>
      </c>
      <c r="AN21" s="11" t="str">
        <f>IF(AH21=Категории!$B$14,1,"")</f>
        <v/>
      </c>
      <c r="AO21" s="64"/>
      <c r="AP21" s="11" t="s">
        <v>121</v>
      </c>
      <c r="AQ21" s="11" t="e">
        <f>IF(VALUE(#REF!)&gt;1,IF(VALUE(AD21)&lt;#REF!,1,0),0)</f>
        <v>#REF!</v>
      </c>
    </row>
    <row r="22" spans="1:43" s="11" customFormat="1" ht="52.5" x14ac:dyDescent="0.25">
      <c r="A22" s="44" t="str">
        <f t="shared" si="0"/>
        <v>11</v>
      </c>
      <c r="B22" s="39" t="str">
        <f t="shared" si="1"/>
        <v>Провод монтажный 2,5 кв.мм, синий</v>
      </c>
      <c r="C22" s="12" t="str">
        <f t="shared" si="2"/>
        <v>ПуГВ 1х2.5 г</v>
      </c>
      <c r="D22" s="12" t="str">
        <f t="shared" si="3"/>
        <v>ООО "ЧЗМЭК"</v>
      </c>
      <c r="E22" s="12" t="str">
        <f t="shared" si="4"/>
        <v>1414.16223</v>
      </c>
      <c r="F22" s="12" t="str">
        <f t="shared" si="5"/>
        <v>м</v>
      </c>
      <c r="G22" s="12" t="str">
        <f t="shared" si="6"/>
        <v>2</v>
      </c>
      <c r="H22" s="12">
        <f t="shared" si="7"/>
        <v>0</v>
      </c>
      <c r="I22" s="38"/>
      <c r="J22" s="12" t="str">
        <f t="shared" si="8"/>
        <v>ПуГВ 1х2.5 г</v>
      </c>
      <c r="K22" s="12" t="str">
        <f t="shared" si="9"/>
        <v>2</v>
      </c>
      <c r="L22" s="12">
        <f t="shared" si="10"/>
        <v>0</v>
      </c>
      <c r="M22" s="12">
        <f t="shared" si="11"/>
        <v>0</v>
      </c>
      <c r="N22" s="38"/>
      <c r="O22" s="38"/>
      <c r="P22" s="11" t="s">
        <v>9</v>
      </c>
      <c r="Q22" s="46"/>
      <c r="R22" s="47" t="s">
        <v>125</v>
      </c>
      <c r="S22" s="48" t="s">
        <v>176</v>
      </c>
      <c r="T22" s="49" t="s">
        <v>177</v>
      </c>
      <c r="U22" s="50"/>
      <c r="V22" s="51" t="s">
        <v>178</v>
      </c>
      <c r="W22" s="52"/>
      <c r="X22" s="53" t="s">
        <v>179</v>
      </c>
      <c r="Y22" s="54"/>
      <c r="Z22" s="55" t="s">
        <v>180</v>
      </c>
      <c r="AA22" s="56"/>
      <c r="AB22" s="57" t="s">
        <v>137</v>
      </c>
      <c r="AC22" s="58"/>
      <c r="AD22" s="59" t="s">
        <v>133</v>
      </c>
      <c r="AE22" s="60"/>
      <c r="AF22" s="61" t="s">
        <v>124</v>
      </c>
      <c r="AG22" s="62" t="s">
        <v>159</v>
      </c>
      <c r="AH22" s="63" t="s">
        <v>79</v>
      </c>
      <c r="AI22" s="11">
        <f>IFERROR(VLOOKUP(AJ22,Категории!$B$11:$E$51,4,FALSE),0)</f>
        <v>0</v>
      </c>
      <c r="AJ22" s="11" t="str">
        <f t="shared" si="12"/>
        <v>Без влияния на трудозатраты</v>
      </c>
      <c r="AK22" s="11" t="str">
        <f>IF(AH22=Категории!$B$39,Категории!$B$43,IF(AH22=Категории!$B$40,Категории!$B$43,IF(AH22=Категории!$B$41,Категории!$B$44,AH22)))</f>
        <v>Без влияния на трудозатраты</v>
      </c>
      <c r="AL22" s="11" t="str">
        <f>IF(AH22=Категории!$B$32,Категории!$B$35,IF(AH22=Категории!$B$33,Категории!$B$36,IF(AH22=Категории!$B$39,Категории!$B$43,IF(AH22=Категории!$B$40,Категории!$B$43,IF(AH22=Категории!$B$41,Категории!$B$44,AH22)))))</f>
        <v>Без влияния на трудозатраты</v>
      </c>
      <c r="AM22" s="11" t="str">
        <f>IF(OR(AH22=Категории!$B$30,AH22=Категории!$B$31),1,"")</f>
        <v/>
      </c>
      <c r="AN22" s="11" t="str">
        <f>IF(AH22=Категории!$B$14,1,"")</f>
        <v/>
      </c>
      <c r="AO22" s="64"/>
      <c r="AP22" s="11" t="s">
        <v>121</v>
      </c>
      <c r="AQ22" s="11" t="e">
        <f>IF(VALUE(#REF!)&gt;1,IF(VALUE(AD22)&lt;#REF!,1,0),0)</f>
        <v>#REF!</v>
      </c>
    </row>
    <row r="23" spans="1:43" s="11" customFormat="1" ht="52.5" x14ac:dyDescent="0.25">
      <c r="A23" s="44" t="str">
        <f t="shared" si="0"/>
        <v>12</v>
      </c>
      <c r="B23" s="39" t="str">
        <f t="shared" si="1"/>
        <v>Провод монтажный 1,5 кв.мм, белый</v>
      </c>
      <c r="C23" s="12" t="str">
        <f t="shared" si="2"/>
        <v>ПуГВ 1х1,5 б</v>
      </c>
      <c r="D23" s="12" t="str">
        <f t="shared" si="3"/>
        <v/>
      </c>
      <c r="E23" s="12" t="str">
        <f t="shared" si="4"/>
        <v>1414.0082</v>
      </c>
      <c r="F23" s="12" t="str">
        <f t="shared" si="5"/>
        <v>м</v>
      </c>
      <c r="G23" s="12" t="str">
        <f t="shared" si="6"/>
        <v>2</v>
      </c>
      <c r="H23" s="12">
        <f t="shared" si="7"/>
        <v>0</v>
      </c>
      <c r="I23" s="38"/>
      <c r="J23" s="12" t="str">
        <f t="shared" si="8"/>
        <v>ПуГВ 1х1,5 б</v>
      </c>
      <c r="K23" s="12" t="str">
        <f t="shared" si="9"/>
        <v>2</v>
      </c>
      <c r="L23" s="12">
        <f t="shared" si="10"/>
        <v>0</v>
      </c>
      <c r="M23" s="12">
        <f t="shared" si="11"/>
        <v>0</v>
      </c>
      <c r="N23" s="38"/>
      <c r="O23" s="38"/>
      <c r="P23" s="11" t="s">
        <v>9</v>
      </c>
      <c r="Q23" s="46"/>
      <c r="R23" s="47" t="s">
        <v>125</v>
      </c>
      <c r="S23" s="48" t="s">
        <v>181</v>
      </c>
      <c r="T23" s="49" t="s">
        <v>182</v>
      </c>
      <c r="U23" s="50"/>
      <c r="V23" s="51" t="s">
        <v>183</v>
      </c>
      <c r="W23" s="52"/>
      <c r="X23" s="53" t="s">
        <v>184</v>
      </c>
      <c r="Y23" s="54"/>
      <c r="Z23" s="55"/>
      <c r="AA23" s="56"/>
      <c r="AB23" s="57" t="s">
        <v>137</v>
      </c>
      <c r="AC23" s="58"/>
      <c r="AD23" s="59" t="s">
        <v>133</v>
      </c>
      <c r="AE23" s="60"/>
      <c r="AF23" s="61" t="s">
        <v>124</v>
      </c>
      <c r="AG23" s="62" t="s">
        <v>159</v>
      </c>
      <c r="AH23" s="63" t="s">
        <v>79</v>
      </c>
      <c r="AI23" s="11">
        <f>IFERROR(VLOOKUP(AJ23,Категории!$B$11:$E$51,4,FALSE),0)</f>
        <v>0</v>
      </c>
      <c r="AJ23" s="11" t="str">
        <f t="shared" si="12"/>
        <v>Без влияния на трудозатраты</v>
      </c>
      <c r="AK23" s="11" t="str">
        <f>IF(AH23=Категории!$B$39,Категории!$B$43,IF(AH23=Категории!$B$40,Категории!$B$43,IF(AH23=Категории!$B$41,Категории!$B$44,AH23)))</f>
        <v>Без влияния на трудозатраты</v>
      </c>
      <c r="AL23" s="11" t="str">
        <f>IF(AH23=Категории!$B$32,Категории!$B$35,IF(AH23=Категории!$B$33,Категории!$B$36,IF(AH23=Категории!$B$39,Категории!$B$43,IF(AH23=Категории!$B$40,Категории!$B$43,IF(AH23=Категории!$B$41,Категории!$B$44,AH23)))))</f>
        <v>Без влияния на трудозатраты</v>
      </c>
      <c r="AM23" s="11" t="str">
        <f>IF(OR(AH23=Категории!$B$30,AH23=Категории!$B$31),1,"")</f>
        <v/>
      </c>
      <c r="AN23" s="11" t="str">
        <f>IF(AH23=Категории!$B$14,1,"")</f>
        <v/>
      </c>
      <c r="AO23" s="64"/>
      <c r="AP23" s="11" t="s">
        <v>121</v>
      </c>
      <c r="AQ23" s="11" t="e">
        <f>IF(VALUE(#REF!)&gt;1,IF(VALUE(AD23)&lt;#REF!,1,0),0)</f>
        <v>#REF!</v>
      </c>
    </row>
    <row r="24" spans="1:43" s="11" customFormat="1" ht="21" x14ac:dyDescent="0.25">
      <c r="A24" s="44" t="str">
        <f t="shared" si="0"/>
        <v>13</v>
      </c>
      <c r="B24" s="39" t="str">
        <f t="shared" si="1"/>
        <v>Сальник PG29, диаметр кабеля 18-24 мм</v>
      </c>
      <c r="C24" s="12" t="str">
        <f t="shared" si="2"/>
        <v>YSA20-25-29-54-K41</v>
      </c>
      <c r="D24" s="12" t="str">
        <f t="shared" si="3"/>
        <v>IEK</v>
      </c>
      <c r="E24" s="12" t="str">
        <f t="shared" si="4"/>
        <v>1422.0220</v>
      </c>
      <c r="F24" s="12" t="str">
        <f t="shared" si="5"/>
        <v>шт.</v>
      </c>
      <c r="G24" s="12" t="str">
        <f t="shared" si="6"/>
        <v>2</v>
      </c>
      <c r="H24" s="12">
        <f t="shared" si="7"/>
        <v>0</v>
      </c>
      <c r="I24" s="38"/>
      <c r="J24" s="12" t="str">
        <f t="shared" si="8"/>
        <v>YSA20-25-29-54-K41</v>
      </c>
      <c r="K24" s="12" t="str">
        <f t="shared" si="9"/>
        <v>2</v>
      </c>
      <c r="L24" s="12">
        <f t="shared" si="10"/>
        <v>10</v>
      </c>
      <c r="M24" s="12">
        <f t="shared" si="11"/>
        <v>20</v>
      </c>
      <c r="N24" s="38"/>
      <c r="O24" s="38"/>
      <c r="P24" s="11" t="s">
        <v>9</v>
      </c>
      <c r="Q24" s="46"/>
      <c r="R24" s="47" t="s">
        <v>125</v>
      </c>
      <c r="S24" s="48" t="s">
        <v>185</v>
      </c>
      <c r="T24" s="49" t="s">
        <v>186</v>
      </c>
      <c r="U24" s="50"/>
      <c r="V24" s="51" t="s">
        <v>187</v>
      </c>
      <c r="W24" s="52"/>
      <c r="X24" s="53" t="s">
        <v>188</v>
      </c>
      <c r="Y24" s="54"/>
      <c r="Z24" s="55" t="s">
        <v>189</v>
      </c>
      <c r="AA24" s="56"/>
      <c r="AB24" s="57" t="s">
        <v>131</v>
      </c>
      <c r="AC24" s="58"/>
      <c r="AD24" s="59" t="s">
        <v>133</v>
      </c>
      <c r="AE24" s="60"/>
      <c r="AF24" s="61" t="s">
        <v>124</v>
      </c>
      <c r="AG24" s="62" t="s">
        <v>190</v>
      </c>
      <c r="AH24" s="63" t="s">
        <v>76</v>
      </c>
      <c r="AI24" s="11">
        <f>IFERROR(VLOOKUP(AJ24,Категории!$B$11:$E$51,4,FALSE),0)</f>
        <v>10</v>
      </c>
      <c r="AJ24" s="11" t="str">
        <f t="shared" si="12"/>
        <v>Сигнальные лампы</v>
      </c>
      <c r="AK24" s="11" t="str">
        <f>IF(AH24=Категории!$B$39,Категории!$B$43,IF(AH24=Категории!$B$40,Категории!$B$43,IF(AH24=Категории!$B$41,Категории!$B$44,AH24)))</f>
        <v>Сигнальные лампы</v>
      </c>
      <c r="AL24" s="11" t="str">
        <f>IF(AH24=Категории!$B$32,Категории!$B$35,IF(AH24=Категории!$B$33,Категории!$B$36,IF(AH24=Категории!$B$39,Категории!$B$43,IF(AH24=Категории!$B$40,Категории!$B$43,IF(AH24=Категории!$B$41,Категории!$B$44,AH24)))))</f>
        <v>Сигнальные лампы</v>
      </c>
      <c r="AM24" s="11" t="str">
        <f>IF(OR(AH24=Категории!$B$30,AH24=Категории!$B$31),1,"")</f>
        <v/>
      </c>
      <c r="AN24" s="11" t="str">
        <f>IF(AH24=Категории!$B$14,1,"")</f>
        <v/>
      </c>
      <c r="AO24" s="64"/>
      <c r="AP24" s="11" t="s">
        <v>121</v>
      </c>
      <c r="AQ24" s="11" t="e">
        <f>IF(VALUE(#REF!)&gt;1,IF(VALUE(AD24)&lt;#REF!,1,0),0)</f>
        <v>#REF!</v>
      </c>
    </row>
    <row r="25" spans="1:43" s="11" customFormat="1" ht="15" x14ac:dyDescent="0.25">
      <c r="A25" s="44" t="str">
        <f t="shared" si="0"/>
        <v>14</v>
      </c>
      <c r="B25" s="39" t="str">
        <f t="shared" si="1"/>
        <v>Паспортная табличка</v>
      </c>
      <c r="C25" s="12" t="str">
        <f t="shared" si="2"/>
        <v/>
      </c>
      <c r="D25" s="12" t="str">
        <f t="shared" si="3"/>
        <v>ООО "ЧЗМЭК"</v>
      </c>
      <c r="E25" s="12" t="str">
        <f t="shared" si="4"/>
        <v>2300.1325</v>
      </c>
      <c r="F25" s="12" t="str">
        <f t="shared" si="5"/>
        <v>шт.</v>
      </c>
      <c r="G25" s="12" t="str">
        <f t="shared" si="6"/>
        <v>1</v>
      </c>
      <c r="H25" s="12">
        <f t="shared" si="7"/>
        <v>0</v>
      </c>
      <c r="I25" s="38"/>
      <c r="J25" s="12" t="str">
        <f t="shared" si="8"/>
        <v/>
      </c>
      <c r="K25" s="12" t="str">
        <f t="shared" si="9"/>
        <v>1</v>
      </c>
      <c r="L25" s="12">
        <f t="shared" si="10"/>
        <v>0</v>
      </c>
      <c r="M25" s="12">
        <f t="shared" si="11"/>
        <v>0</v>
      </c>
      <c r="N25" s="38"/>
      <c r="O25" s="38"/>
      <c r="P25" s="11" t="s">
        <v>9</v>
      </c>
      <c r="Q25" s="46"/>
      <c r="R25" s="47" t="s">
        <v>125</v>
      </c>
      <c r="S25" s="48" t="s">
        <v>191</v>
      </c>
      <c r="T25" s="49" t="s">
        <v>192</v>
      </c>
      <c r="U25" s="50"/>
      <c r="V25" s="51"/>
      <c r="W25" s="52"/>
      <c r="X25" s="53" t="s">
        <v>193</v>
      </c>
      <c r="Y25" s="54"/>
      <c r="Z25" s="55" t="s">
        <v>180</v>
      </c>
      <c r="AA25" s="56"/>
      <c r="AB25" s="57" t="s">
        <v>131</v>
      </c>
      <c r="AC25" s="58"/>
      <c r="AD25" s="59" t="s">
        <v>126</v>
      </c>
      <c r="AE25" s="60"/>
      <c r="AF25" s="61" t="s">
        <v>124</v>
      </c>
      <c r="AG25" s="62" t="s">
        <v>159</v>
      </c>
      <c r="AH25" s="63"/>
      <c r="AI25" s="11">
        <f>IFERROR(VLOOKUP(AJ25,Категории!$B$11:$E$51,4,FALSE),0)</f>
        <v>0</v>
      </c>
      <c r="AJ25" s="11">
        <f t="shared" si="12"/>
        <v>0</v>
      </c>
      <c r="AK25" s="11">
        <f>IF(AH25=Категории!$B$39,Категории!$B$43,IF(AH25=Категории!$B$40,Категории!$B$43,IF(AH25=Категории!$B$41,Категории!$B$44,AH25)))</f>
        <v>0</v>
      </c>
      <c r="AL25" s="11">
        <f>IF(AH25=Категории!$B$32,Категории!$B$35,IF(AH25=Категории!$B$33,Категории!$B$36,IF(AH25=Категории!$B$39,Категории!$B$43,IF(AH25=Категории!$B$40,Категории!$B$43,IF(AH25=Категории!$B$41,Категории!$B$44,AH25)))))</f>
        <v>0</v>
      </c>
      <c r="AM25" s="11" t="str">
        <f>IF(OR(AH25=Категории!$B$30,AH25=Категории!$B$31),1,"")</f>
        <v/>
      </c>
      <c r="AN25" s="11" t="str">
        <f>IF(AH25=Категории!$B$14,1,"")</f>
        <v/>
      </c>
      <c r="AO25" s="64"/>
      <c r="AP25" s="11" t="s">
        <v>121</v>
      </c>
      <c r="AQ25" s="11" t="e">
        <f>IF(VALUE(#REF!)&gt;1,IF(VALUE(AD25)&lt;#REF!,1,0),0)</f>
        <v>#REF!</v>
      </c>
    </row>
    <row r="26" spans="1:43" s="11" customFormat="1" ht="15" x14ac:dyDescent="0.25">
      <c r="A26" s="44" t="str">
        <f t="shared" si="0"/>
        <v>15</v>
      </c>
      <c r="B26" s="39" t="str">
        <f t="shared" si="1"/>
        <v>Шильдики на дверцу щита</v>
      </c>
      <c r="C26" s="12" t="str">
        <f t="shared" si="2"/>
        <v/>
      </c>
      <c r="D26" s="12" t="str">
        <f t="shared" si="3"/>
        <v>ООО "ЧЗМЭК"</v>
      </c>
      <c r="E26" s="12" t="str">
        <f t="shared" si="4"/>
        <v>2300.3213/2</v>
      </c>
      <c r="F26" s="12" t="str">
        <f t="shared" si="5"/>
        <v>компл.</v>
      </c>
      <c r="G26" s="12" t="str">
        <f t="shared" si="6"/>
        <v>1</v>
      </c>
      <c r="H26" s="12">
        <f t="shared" si="7"/>
        <v>0</v>
      </c>
      <c r="I26" s="38"/>
      <c r="J26" s="12" t="str">
        <f t="shared" si="8"/>
        <v/>
      </c>
      <c r="K26" s="12" t="str">
        <f t="shared" si="9"/>
        <v>1</v>
      </c>
      <c r="L26" s="12">
        <f t="shared" si="10"/>
        <v>0</v>
      </c>
      <c r="M26" s="12">
        <f t="shared" si="11"/>
        <v>0</v>
      </c>
      <c r="N26" s="38"/>
      <c r="O26" s="38"/>
      <c r="P26" s="11" t="s">
        <v>9</v>
      </c>
      <c r="Q26" s="46"/>
      <c r="R26" s="47" t="s">
        <v>125</v>
      </c>
      <c r="S26" s="48" t="s">
        <v>194</v>
      </c>
      <c r="T26" s="49" t="s">
        <v>195</v>
      </c>
      <c r="U26" s="50"/>
      <c r="V26" s="51"/>
      <c r="W26" s="52"/>
      <c r="X26" s="53" t="s">
        <v>196</v>
      </c>
      <c r="Y26" s="54"/>
      <c r="Z26" s="55" t="s">
        <v>180</v>
      </c>
      <c r="AA26" s="56"/>
      <c r="AB26" s="57" t="s">
        <v>197</v>
      </c>
      <c r="AC26" s="58"/>
      <c r="AD26" s="59" t="s">
        <v>126</v>
      </c>
      <c r="AE26" s="60"/>
      <c r="AF26" s="61" t="s">
        <v>124</v>
      </c>
      <c r="AG26" s="62" t="s">
        <v>159</v>
      </c>
      <c r="AH26" s="63"/>
      <c r="AI26" s="11">
        <f>IFERROR(VLOOKUP(AJ26,Категории!$B$11:$E$51,4,FALSE),0)</f>
        <v>0</v>
      </c>
      <c r="AJ26" s="11">
        <f t="shared" si="12"/>
        <v>0</v>
      </c>
      <c r="AK26" s="11">
        <f>IF(AH26=Категории!$B$39,Категории!$B$43,IF(AH26=Категории!$B$40,Категории!$B$43,IF(AH26=Категории!$B$41,Категории!$B$44,AH26)))</f>
        <v>0</v>
      </c>
      <c r="AL26" s="11">
        <f>IF(AH26=Категории!$B$32,Категории!$B$35,IF(AH26=Категории!$B$33,Категории!$B$36,IF(AH26=Категории!$B$39,Категории!$B$43,IF(AH26=Категории!$B$40,Категории!$B$43,IF(AH26=Категории!$B$41,Категории!$B$44,AH26)))))</f>
        <v>0</v>
      </c>
      <c r="AM26" s="11" t="str">
        <f>IF(OR(AH26=Категории!$B$30,AH26=Категории!$B$31),1,"")</f>
        <v/>
      </c>
      <c r="AN26" s="11" t="str">
        <f>IF(AH26=Категории!$B$14,1,"")</f>
        <v/>
      </c>
      <c r="AO26" s="64"/>
      <c r="AP26" s="11" t="s">
        <v>121</v>
      </c>
      <c r="AQ26" s="11" t="e">
        <f>IF(VALUE(#REF!)&gt;1,IF(VALUE(AD26)&lt;#REF!,1,0),0)</f>
        <v>#REF!</v>
      </c>
    </row>
    <row r="27" spans="1:43" s="11" customFormat="1" ht="52.5" x14ac:dyDescent="0.25">
      <c r="A27" s="44" t="str">
        <f t="shared" si="0"/>
        <v>16</v>
      </c>
      <c r="B27" s="39" t="str">
        <f t="shared" si="1"/>
        <v>Знак безопасности, символ "Молния" 50х50мм</v>
      </c>
      <c r="C27" s="12" t="str">
        <f t="shared" si="2"/>
        <v/>
      </c>
      <c r="D27" s="12" t="str">
        <f t="shared" si="3"/>
        <v/>
      </c>
      <c r="E27" s="12" t="str">
        <f t="shared" si="4"/>
        <v>1426.0824</v>
      </c>
      <c r="F27" s="12" t="str">
        <f t="shared" si="5"/>
        <v>шт.</v>
      </c>
      <c r="G27" s="12" t="str">
        <f t="shared" si="6"/>
        <v>2</v>
      </c>
      <c r="H27" s="12">
        <f t="shared" si="7"/>
        <v>0</v>
      </c>
      <c r="I27" s="38"/>
      <c r="J27" s="12" t="str">
        <f t="shared" si="8"/>
        <v/>
      </c>
      <c r="K27" s="12" t="str">
        <f t="shared" si="9"/>
        <v>2</v>
      </c>
      <c r="L27" s="12">
        <f t="shared" si="10"/>
        <v>0</v>
      </c>
      <c r="M27" s="12">
        <f t="shared" si="11"/>
        <v>0</v>
      </c>
      <c r="N27" s="38"/>
      <c r="O27" s="38"/>
      <c r="P27" s="11" t="s">
        <v>9</v>
      </c>
      <c r="Q27" s="46"/>
      <c r="R27" s="47" t="s">
        <v>125</v>
      </c>
      <c r="S27" s="48" t="s">
        <v>198</v>
      </c>
      <c r="T27" s="49" t="s">
        <v>199</v>
      </c>
      <c r="U27" s="50"/>
      <c r="V27" s="51"/>
      <c r="W27" s="52"/>
      <c r="X27" s="53" t="s">
        <v>200</v>
      </c>
      <c r="Y27" s="54"/>
      <c r="Z27" s="55"/>
      <c r="AA27" s="56"/>
      <c r="AB27" s="57" t="s">
        <v>131</v>
      </c>
      <c r="AC27" s="58"/>
      <c r="AD27" s="59" t="s">
        <v>133</v>
      </c>
      <c r="AE27" s="60"/>
      <c r="AF27" s="61" t="s">
        <v>124</v>
      </c>
      <c r="AG27" s="62" t="s">
        <v>159</v>
      </c>
      <c r="AH27" s="63" t="s">
        <v>79</v>
      </c>
      <c r="AI27" s="11">
        <f>IFERROR(VLOOKUP(AJ27,Категории!$B$11:$E$51,4,FALSE),0)</f>
        <v>0</v>
      </c>
      <c r="AJ27" s="11" t="str">
        <f t="shared" si="12"/>
        <v>Без влияния на трудозатраты</v>
      </c>
      <c r="AK27" s="11" t="str">
        <f>IF(AH27=Категории!$B$39,Категории!$B$43,IF(AH27=Категории!$B$40,Категории!$B$43,IF(AH27=Категории!$B$41,Категории!$B$44,AH27)))</f>
        <v>Без влияния на трудозатраты</v>
      </c>
      <c r="AL27" s="11" t="str">
        <f>IF(AH27=Категории!$B$32,Категории!$B$35,IF(AH27=Категории!$B$33,Категории!$B$36,IF(AH27=Категории!$B$39,Категории!$B$43,IF(AH27=Категории!$B$40,Категории!$B$43,IF(AH27=Категории!$B$41,Категории!$B$44,AH27)))))</f>
        <v>Без влияния на трудозатраты</v>
      </c>
      <c r="AM27" s="11" t="str">
        <f>IF(OR(AH27=Категории!$B$30,AH27=Категории!$B$31),1,"")</f>
        <v/>
      </c>
      <c r="AN27" s="11" t="str">
        <f>IF(AH27=Категории!$B$14,1,"")</f>
        <v/>
      </c>
      <c r="AO27" s="64"/>
      <c r="AP27" s="11" t="s">
        <v>121</v>
      </c>
      <c r="AQ27" s="11" t="e">
        <f>IF(VALUE(#REF!)&gt;1,IF(VALUE(AD27)&lt;#REF!,1,0),0)</f>
        <v>#REF!</v>
      </c>
    </row>
    <row r="28" spans="1:43" s="11" customFormat="1" ht="52.5" x14ac:dyDescent="0.25">
      <c r="A28" s="44" t="str">
        <f t="shared" si="0"/>
        <v>17</v>
      </c>
      <c r="B28" s="39" t="str">
        <f t="shared" si="1"/>
        <v>Этикетки самокл., А4, 230 дел. 18х12мм</v>
      </c>
      <c r="C28" s="12" t="str">
        <f t="shared" si="2"/>
        <v>022791</v>
      </c>
      <c r="D28" s="12" t="str">
        <f t="shared" si="3"/>
        <v>MEGA LABEL</v>
      </c>
      <c r="E28" s="12" t="str">
        <f t="shared" si="4"/>
        <v>1401.25260</v>
      </c>
      <c r="F28" s="12" t="str">
        <f t="shared" si="5"/>
        <v>лист</v>
      </c>
      <c r="G28" s="12" t="str">
        <f t="shared" si="6"/>
        <v>1</v>
      </c>
      <c r="H28" s="12">
        <f t="shared" si="7"/>
        <v>0</v>
      </c>
      <c r="I28" s="38"/>
      <c r="J28" s="12" t="str">
        <f t="shared" si="8"/>
        <v>022791</v>
      </c>
      <c r="K28" s="12" t="str">
        <f t="shared" si="9"/>
        <v>1</v>
      </c>
      <c r="L28" s="12">
        <f t="shared" si="10"/>
        <v>0</v>
      </c>
      <c r="M28" s="12">
        <f t="shared" si="11"/>
        <v>0</v>
      </c>
      <c r="N28" s="38"/>
      <c r="O28" s="38"/>
      <c r="P28" s="11" t="s">
        <v>9</v>
      </c>
      <c r="Q28" s="46"/>
      <c r="R28" s="47" t="s">
        <v>125</v>
      </c>
      <c r="S28" s="48" t="s">
        <v>201</v>
      </c>
      <c r="T28" s="49" t="s">
        <v>202</v>
      </c>
      <c r="U28" s="50"/>
      <c r="V28" s="51" t="s">
        <v>203</v>
      </c>
      <c r="W28" s="52"/>
      <c r="X28" s="53" t="s">
        <v>204</v>
      </c>
      <c r="Y28" s="54"/>
      <c r="Z28" s="55" t="s">
        <v>205</v>
      </c>
      <c r="AA28" s="56"/>
      <c r="AB28" s="57" t="s">
        <v>206</v>
      </c>
      <c r="AC28" s="58"/>
      <c r="AD28" s="59" t="s">
        <v>126</v>
      </c>
      <c r="AE28" s="60"/>
      <c r="AF28" s="61" t="s">
        <v>124</v>
      </c>
      <c r="AG28" s="62" t="s">
        <v>159</v>
      </c>
      <c r="AH28" s="63" t="s">
        <v>79</v>
      </c>
      <c r="AI28" s="11">
        <f>IFERROR(VLOOKUP(AJ28,Категории!$B$11:$E$51,4,FALSE),0)</f>
        <v>0</v>
      </c>
      <c r="AJ28" s="11" t="str">
        <f t="shared" si="12"/>
        <v>Без влияния на трудозатраты</v>
      </c>
      <c r="AK28" s="11" t="str">
        <f>IF(AH28=Категории!$B$39,Категории!$B$43,IF(AH28=Категории!$B$40,Категории!$B$43,IF(AH28=Категории!$B$41,Категории!$B$44,AH28)))</f>
        <v>Без влияния на трудозатраты</v>
      </c>
      <c r="AL28" s="11" t="str">
        <f>IF(AH28=Категории!$B$32,Категории!$B$35,IF(AH28=Категории!$B$33,Категории!$B$36,IF(AH28=Категории!$B$39,Категории!$B$43,IF(AH28=Категории!$B$40,Категории!$B$43,IF(AH28=Категории!$B$41,Категории!$B$44,AH28)))))</f>
        <v>Без влияния на трудозатраты</v>
      </c>
      <c r="AM28" s="11" t="str">
        <f>IF(OR(AH28=Категории!$B$30,AH28=Категории!$B$31),1,"")</f>
        <v/>
      </c>
      <c r="AN28" s="11" t="str">
        <f>IF(AH28=Категории!$B$14,1,"")</f>
        <v/>
      </c>
      <c r="AO28" s="64"/>
      <c r="AP28" s="11" t="s">
        <v>121</v>
      </c>
      <c r="AQ28" s="11" t="e">
        <f>IF(VALUE(#REF!)&gt;1,IF(VALUE(AD28)&lt;#REF!,1,0),0)</f>
        <v>#REF!</v>
      </c>
    </row>
    <row r="29" spans="1:43" s="11" customFormat="1" ht="52.5" x14ac:dyDescent="0.25">
      <c r="A29" s="44" t="str">
        <f t="shared" si="0"/>
        <v>18</v>
      </c>
      <c r="B29" s="39" t="str">
        <f t="shared" si="1"/>
        <v>Гайка М8</v>
      </c>
      <c r="C29" s="12" t="str">
        <f t="shared" si="2"/>
        <v/>
      </c>
      <c r="D29" s="12" t="str">
        <f t="shared" si="3"/>
        <v/>
      </c>
      <c r="E29" s="12" t="str">
        <f t="shared" si="4"/>
        <v>1800.0156</v>
      </c>
      <c r="F29" s="12" t="str">
        <f t="shared" si="5"/>
        <v>шт.</v>
      </c>
      <c r="G29" s="12" t="str">
        <f t="shared" si="6"/>
        <v>6</v>
      </c>
      <c r="H29" s="12">
        <f t="shared" si="7"/>
        <v>0</v>
      </c>
      <c r="I29" s="38"/>
      <c r="J29" s="12" t="str">
        <f t="shared" si="8"/>
        <v/>
      </c>
      <c r="K29" s="12" t="str">
        <f t="shared" si="9"/>
        <v>6</v>
      </c>
      <c r="L29" s="12">
        <f t="shared" si="10"/>
        <v>0</v>
      </c>
      <c r="M29" s="12">
        <f t="shared" si="11"/>
        <v>0</v>
      </c>
      <c r="N29" s="38"/>
      <c r="O29" s="38"/>
      <c r="P29" s="11" t="s">
        <v>9</v>
      </c>
      <c r="Q29" s="46"/>
      <c r="R29" s="47" t="s">
        <v>125</v>
      </c>
      <c r="S29" s="48" t="s">
        <v>207</v>
      </c>
      <c r="T29" s="49" t="s">
        <v>208</v>
      </c>
      <c r="U29" s="50"/>
      <c r="V29" s="51"/>
      <c r="W29" s="52"/>
      <c r="X29" s="53" t="s">
        <v>209</v>
      </c>
      <c r="Y29" s="54"/>
      <c r="Z29" s="55"/>
      <c r="AA29" s="56"/>
      <c r="AB29" s="57" t="s">
        <v>131</v>
      </c>
      <c r="AC29" s="58"/>
      <c r="AD29" s="59" t="s">
        <v>142</v>
      </c>
      <c r="AE29" s="60"/>
      <c r="AF29" s="61" t="s">
        <v>124</v>
      </c>
      <c r="AG29" s="62" t="s">
        <v>159</v>
      </c>
      <c r="AH29" s="63" t="s">
        <v>79</v>
      </c>
      <c r="AI29" s="11">
        <f>IFERROR(VLOOKUP(AJ29,Категории!$B$11:$E$51,4,FALSE),0)</f>
        <v>0</v>
      </c>
      <c r="AJ29" s="11" t="str">
        <f t="shared" si="12"/>
        <v>Без влияния на трудозатраты</v>
      </c>
      <c r="AK29" s="11" t="str">
        <f>IF(AH29=Категории!$B$39,Категории!$B$43,IF(AH29=Категории!$B$40,Категории!$B$43,IF(AH29=Категории!$B$41,Категории!$B$44,AH29)))</f>
        <v>Без влияния на трудозатраты</v>
      </c>
      <c r="AL29" s="11" t="str">
        <f>IF(AH29=Категории!$B$32,Категории!$B$35,IF(AH29=Категории!$B$33,Категории!$B$36,IF(AH29=Категории!$B$39,Категории!$B$43,IF(AH29=Категории!$B$40,Категории!$B$43,IF(AH29=Категории!$B$41,Категории!$B$44,AH29)))))</f>
        <v>Без влияния на трудозатраты</v>
      </c>
      <c r="AM29" s="11" t="str">
        <f>IF(OR(AH29=Категории!$B$30,AH29=Категории!$B$31),1,"")</f>
        <v/>
      </c>
      <c r="AN29" s="11" t="str">
        <f>IF(AH29=Категории!$B$14,1,"")</f>
        <v/>
      </c>
      <c r="AO29" s="64"/>
      <c r="AP29" s="11" t="s">
        <v>121</v>
      </c>
      <c r="AQ29" s="11" t="e">
        <f>IF(VALUE(#REF!)&gt;1,IF(VALUE(AD29)&lt;#REF!,1,0),0)</f>
        <v>#REF!</v>
      </c>
    </row>
    <row r="30" spans="1:43" s="11" customFormat="1" ht="15" x14ac:dyDescent="0.25">
      <c r="A30" s="44" t="str">
        <f t="shared" si="0"/>
        <v>19</v>
      </c>
      <c r="B30" s="39" t="str">
        <f t="shared" si="1"/>
        <v>Гровер М8</v>
      </c>
      <c r="C30" s="12" t="str">
        <f t="shared" si="2"/>
        <v/>
      </c>
      <c r="D30" s="12" t="str">
        <f t="shared" si="3"/>
        <v/>
      </c>
      <c r="E30" s="12" t="str">
        <f t="shared" si="4"/>
        <v>1800.1193</v>
      </c>
      <c r="F30" s="12" t="str">
        <f t="shared" si="5"/>
        <v>шт.</v>
      </c>
      <c r="G30" s="12" t="str">
        <f t="shared" si="6"/>
        <v>6</v>
      </c>
      <c r="H30" s="12">
        <f t="shared" si="7"/>
        <v>0</v>
      </c>
      <c r="I30" s="38"/>
      <c r="J30" s="12" t="str">
        <f t="shared" si="8"/>
        <v/>
      </c>
      <c r="K30" s="12" t="str">
        <f t="shared" si="9"/>
        <v>6</v>
      </c>
      <c r="L30" s="12">
        <f t="shared" si="10"/>
        <v>0</v>
      </c>
      <c r="M30" s="12">
        <f t="shared" si="11"/>
        <v>0</v>
      </c>
      <c r="N30" s="38"/>
      <c r="O30" s="38"/>
      <c r="P30" s="11" t="s">
        <v>9</v>
      </c>
      <c r="Q30" s="46"/>
      <c r="R30" s="47" t="s">
        <v>125</v>
      </c>
      <c r="S30" s="48" t="s">
        <v>210</v>
      </c>
      <c r="T30" s="49" t="s">
        <v>211</v>
      </c>
      <c r="U30" s="50"/>
      <c r="V30" s="51"/>
      <c r="W30" s="52"/>
      <c r="X30" s="53" t="s">
        <v>212</v>
      </c>
      <c r="Y30" s="54"/>
      <c r="Z30" s="55"/>
      <c r="AA30" s="56"/>
      <c r="AB30" s="57" t="s">
        <v>131</v>
      </c>
      <c r="AC30" s="58"/>
      <c r="AD30" s="59" t="s">
        <v>142</v>
      </c>
      <c r="AE30" s="60"/>
      <c r="AF30" s="61" t="s">
        <v>124</v>
      </c>
      <c r="AG30" s="62"/>
      <c r="AH30" s="63"/>
      <c r="AI30" s="11">
        <f>IFERROR(VLOOKUP(AJ30,Категории!$B$11:$E$51,4,FALSE),0)</f>
        <v>0</v>
      </c>
      <c r="AJ30" s="11">
        <f t="shared" si="12"/>
        <v>0</v>
      </c>
      <c r="AK30" s="11">
        <f>IF(AH30=Категории!$B$39,Категории!$B$43,IF(AH30=Категории!$B$40,Категории!$B$43,IF(AH30=Категории!$B$41,Категории!$B$44,AH30)))</f>
        <v>0</v>
      </c>
      <c r="AL30" s="11">
        <f>IF(AH30=Категории!$B$32,Категории!$B$35,IF(AH30=Категории!$B$33,Категории!$B$36,IF(AH30=Категории!$B$39,Категории!$B$43,IF(AH30=Категории!$B$40,Категории!$B$43,IF(AH30=Категории!$B$41,Категории!$B$44,AH30)))))</f>
        <v>0</v>
      </c>
      <c r="AM30" s="11" t="str">
        <f>IF(OR(AH30=Категории!$B$30,AH30=Категории!$B$31),1,"")</f>
        <v/>
      </c>
      <c r="AN30" s="11" t="str">
        <f>IF(AH30=Категории!$B$14,1,"")</f>
        <v/>
      </c>
      <c r="AO30" s="64"/>
      <c r="AP30" s="11" t="s">
        <v>121</v>
      </c>
      <c r="AQ30" s="11" t="e">
        <f>IF(VALUE(#REF!)&gt;1,IF(VALUE(AD30)&lt;#REF!,1,0),0)</f>
        <v>#REF!</v>
      </c>
    </row>
    <row r="31" spans="1:43" s="11" customFormat="1" ht="52.5" x14ac:dyDescent="0.25">
      <c r="A31" s="44" t="str">
        <f t="shared" si="0"/>
        <v>20</v>
      </c>
      <c r="B31" s="39" t="str">
        <f t="shared" si="1"/>
        <v>Шайба М8, DIN 125</v>
      </c>
      <c r="C31" s="12" t="str">
        <f t="shared" si="2"/>
        <v/>
      </c>
      <c r="D31" s="12" t="str">
        <f t="shared" si="3"/>
        <v/>
      </c>
      <c r="E31" s="12" t="str">
        <f t="shared" si="4"/>
        <v>1800.0155</v>
      </c>
      <c r="F31" s="12" t="str">
        <f t="shared" si="5"/>
        <v>шт.</v>
      </c>
      <c r="G31" s="12" t="str">
        <f t="shared" si="6"/>
        <v>6</v>
      </c>
      <c r="H31" s="12">
        <f t="shared" si="7"/>
        <v>0</v>
      </c>
      <c r="I31" s="38"/>
      <c r="J31" s="12" t="str">
        <f t="shared" si="8"/>
        <v/>
      </c>
      <c r="K31" s="12" t="str">
        <f t="shared" si="9"/>
        <v>6</v>
      </c>
      <c r="L31" s="12">
        <f t="shared" si="10"/>
        <v>0</v>
      </c>
      <c r="M31" s="12">
        <f t="shared" si="11"/>
        <v>0</v>
      </c>
      <c r="N31" s="38"/>
      <c r="O31" s="38"/>
      <c r="P31" s="11" t="s">
        <v>9</v>
      </c>
      <c r="Q31" s="46"/>
      <c r="R31" s="47" t="s">
        <v>125</v>
      </c>
      <c r="S31" s="48" t="s">
        <v>213</v>
      </c>
      <c r="T31" s="49" t="s">
        <v>214</v>
      </c>
      <c r="U31" s="50"/>
      <c r="V31" s="51"/>
      <c r="W31" s="52"/>
      <c r="X31" s="53" t="s">
        <v>215</v>
      </c>
      <c r="Y31" s="54"/>
      <c r="Z31" s="55"/>
      <c r="AA31" s="56"/>
      <c r="AB31" s="57" t="s">
        <v>131</v>
      </c>
      <c r="AC31" s="58"/>
      <c r="AD31" s="59" t="s">
        <v>142</v>
      </c>
      <c r="AE31" s="60"/>
      <c r="AF31" s="61" t="s">
        <v>124</v>
      </c>
      <c r="AG31" s="62" t="s">
        <v>159</v>
      </c>
      <c r="AH31" s="63" t="s">
        <v>79</v>
      </c>
      <c r="AI31" s="11">
        <f>IFERROR(VLOOKUP(AJ31,Категории!$B$11:$E$51,4,FALSE),0)</f>
        <v>0</v>
      </c>
      <c r="AJ31" s="11" t="str">
        <f t="shared" si="12"/>
        <v>Без влияния на трудозатраты</v>
      </c>
      <c r="AK31" s="11" t="str">
        <f>IF(AH31=Категории!$B$39,Категории!$B$43,IF(AH31=Категории!$B$40,Категории!$B$43,IF(AH31=Категории!$B$41,Категории!$B$44,AH31)))</f>
        <v>Без влияния на трудозатраты</v>
      </c>
      <c r="AL31" s="11" t="str">
        <f>IF(AH31=Категории!$B$32,Категории!$B$35,IF(AH31=Категории!$B$33,Категории!$B$36,IF(AH31=Категории!$B$39,Категории!$B$43,IF(AH31=Категории!$B$40,Категории!$B$43,IF(AH31=Категории!$B$41,Категории!$B$44,AH31)))))</f>
        <v>Без влияния на трудозатраты</v>
      </c>
      <c r="AM31" s="11" t="str">
        <f>IF(OR(AH31=Категории!$B$30,AH31=Категории!$B$31),1,"")</f>
        <v/>
      </c>
      <c r="AN31" s="11" t="str">
        <f>IF(AH31=Категории!$B$14,1,"")</f>
        <v/>
      </c>
      <c r="AO31" s="64"/>
      <c r="AP31" s="11" t="s">
        <v>121</v>
      </c>
      <c r="AQ31" s="11" t="e">
        <f>IF(VALUE(#REF!)&gt;1,IF(VALUE(AD31)&lt;#REF!,1,0),0)</f>
        <v>#REF!</v>
      </c>
    </row>
    <row r="32" spans="1:43" s="11" customFormat="1" ht="52.5" x14ac:dyDescent="0.25">
      <c r="A32" s="44" t="str">
        <f t="shared" si="0"/>
        <v>21</v>
      </c>
      <c r="B32" s="39" t="str">
        <f t="shared" si="1"/>
        <v>Площадка 30х30 самокл. под хомуты</v>
      </c>
      <c r="C32" s="12" t="str">
        <f t="shared" si="2"/>
        <v/>
      </c>
      <c r="D32" s="12" t="str">
        <f t="shared" si="3"/>
        <v>IEK</v>
      </c>
      <c r="E32" s="12" t="str">
        <f t="shared" si="4"/>
        <v>1422.1114</v>
      </c>
      <c r="F32" s="12" t="str">
        <f t="shared" si="5"/>
        <v>шт.</v>
      </c>
      <c r="G32" s="12" t="str">
        <f t="shared" si="6"/>
        <v>10</v>
      </c>
      <c r="H32" s="12">
        <f t="shared" si="7"/>
        <v>0</v>
      </c>
      <c r="I32" s="38"/>
      <c r="J32" s="12" t="str">
        <f t="shared" si="8"/>
        <v/>
      </c>
      <c r="K32" s="12" t="str">
        <f t="shared" si="9"/>
        <v>10</v>
      </c>
      <c r="L32" s="12">
        <f t="shared" si="10"/>
        <v>0</v>
      </c>
      <c r="M32" s="12">
        <f t="shared" si="11"/>
        <v>0</v>
      </c>
      <c r="N32" s="38"/>
      <c r="O32" s="38"/>
      <c r="P32" s="11" t="s">
        <v>9</v>
      </c>
      <c r="Q32" s="46"/>
      <c r="R32" s="47" t="s">
        <v>125</v>
      </c>
      <c r="S32" s="48" t="s">
        <v>216</v>
      </c>
      <c r="T32" s="49" t="s">
        <v>217</v>
      </c>
      <c r="U32" s="50"/>
      <c r="V32" s="51"/>
      <c r="W32" s="52"/>
      <c r="X32" s="53" t="s">
        <v>218</v>
      </c>
      <c r="Y32" s="54"/>
      <c r="Z32" s="55" t="s">
        <v>189</v>
      </c>
      <c r="AA32" s="56"/>
      <c r="AB32" s="57" t="s">
        <v>131</v>
      </c>
      <c r="AC32" s="58"/>
      <c r="AD32" s="59" t="s">
        <v>172</v>
      </c>
      <c r="AE32" s="60"/>
      <c r="AF32" s="61" t="s">
        <v>124</v>
      </c>
      <c r="AG32" s="62" t="s">
        <v>159</v>
      </c>
      <c r="AH32" s="63" t="s">
        <v>79</v>
      </c>
      <c r="AI32" s="11">
        <f>IFERROR(VLOOKUP(AJ32,Категории!$B$11:$E$51,4,FALSE),0)</f>
        <v>0</v>
      </c>
      <c r="AJ32" s="11" t="str">
        <f t="shared" si="12"/>
        <v>Без влияния на трудозатраты</v>
      </c>
      <c r="AK32" s="11" t="str">
        <f>IF(AH32=Категории!$B$39,Категории!$B$43,IF(AH32=Категории!$B$40,Категории!$B$43,IF(AH32=Категории!$B$41,Категории!$B$44,AH32)))</f>
        <v>Без влияния на трудозатраты</v>
      </c>
      <c r="AL32" s="11" t="str">
        <f>IF(AH32=Категории!$B$32,Категории!$B$35,IF(AH32=Категории!$B$33,Категории!$B$36,IF(AH32=Категории!$B$39,Категории!$B$43,IF(AH32=Категории!$B$40,Категории!$B$43,IF(AH32=Категории!$B$41,Категории!$B$44,AH32)))))</f>
        <v>Без влияния на трудозатраты</v>
      </c>
      <c r="AM32" s="11" t="str">
        <f>IF(OR(AH32=Категории!$B$30,AH32=Категории!$B$31),1,"")</f>
        <v/>
      </c>
      <c r="AN32" s="11" t="str">
        <f>IF(AH32=Категории!$B$14,1,"")</f>
        <v/>
      </c>
      <c r="AO32" s="64"/>
      <c r="AP32" s="11" t="s">
        <v>121</v>
      </c>
      <c r="AQ32" s="11" t="e">
        <f>IF(VALUE(#REF!)&gt;1,IF(VALUE(AD32)&lt;#REF!,1,0),0)</f>
        <v>#REF!</v>
      </c>
    </row>
    <row r="33" spans="1:43" s="11" customFormat="1" ht="52.5" x14ac:dyDescent="0.25">
      <c r="A33" s="44" t="str">
        <f t="shared" si="0"/>
        <v>22</v>
      </c>
      <c r="B33" s="39" t="str">
        <f t="shared" si="1"/>
        <v>Саморез с прессшайбой, сверло 4,2х19</v>
      </c>
      <c r="C33" s="12" t="str">
        <f t="shared" si="2"/>
        <v/>
      </c>
      <c r="D33" s="12" t="str">
        <f t="shared" si="3"/>
        <v/>
      </c>
      <c r="E33" s="12" t="str">
        <f t="shared" si="4"/>
        <v>1800.0229</v>
      </c>
      <c r="F33" s="12" t="str">
        <f t="shared" si="5"/>
        <v>шт.</v>
      </c>
      <c r="G33" s="12" t="str">
        <f t="shared" si="6"/>
        <v>50</v>
      </c>
      <c r="H33" s="12">
        <f t="shared" si="7"/>
        <v>0</v>
      </c>
      <c r="I33" s="38"/>
      <c r="J33" s="12" t="str">
        <f t="shared" si="8"/>
        <v/>
      </c>
      <c r="K33" s="12" t="str">
        <f t="shared" si="9"/>
        <v>50</v>
      </c>
      <c r="L33" s="12">
        <f t="shared" si="10"/>
        <v>0</v>
      </c>
      <c r="M33" s="12">
        <f t="shared" si="11"/>
        <v>0</v>
      </c>
      <c r="N33" s="38"/>
      <c r="O33" s="38"/>
      <c r="P33" s="11" t="s">
        <v>9</v>
      </c>
      <c r="Q33" s="46"/>
      <c r="R33" s="47" t="s">
        <v>125</v>
      </c>
      <c r="S33" s="48" t="s">
        <v>219</v>
      </c>
      <c r="T33" s="49" t="s">
        <v>220</v>
      </c>
      <c r="U33" s="50"/>
      <c r="V33" s="51"/>
      <c r="W33" s="52"/>
      <c r="X33" s="53" t="s">
        <v>221</v>
      </c>
      <c r="Y33" s="54"/>
      <c r="Z33" s="55"/>
      <c r="AA33" s="56"/>
      <c r="AB33" s="57" t="s">
        <v>131</v>
      </c>
      <c r="AC33" s="58"/>
      <c r="AD33" s="59" t="s">
        <v>222</v>
      </c>
      <c r="AE33" s="60"/>
      <c r="AF33" s="61" t="s">
        <v>124</v>
      </c>
      <c r="AG33" s="62" t="s">
        <v>159</v>
      </c>
      <c r="AH33" s="63" t="s">
        <v>79</v>
      </c>
      <c r="AI33" s="11">
        <f>IFERROR(VLOOKUP(AJ33,Категории!$B$11:$E$51,4,FALSE),0)</f>
        <v>0</v>
      </c>
      <c r="AJ33" s="11" t="str">
        <f t="shared" si="12"/>
        <v>Без влияния на трудозатраты</v>
      </c>
      <c r="AK33" s="11" t="str">
        <f>IF(AH33=Категории!$B$39,Категории!$B$43,IF(AH33=Категории!$B$40,Категории!$B$43,IF(AH33=Категории!$B$41,Категории!$B$44,AH33)))</f>
        <v>Без влияния на трудозатраты</v>
      </c>
      <c r="AL33" s="11" t="str">
        <f>IF(AH33=Категории!$B$32,Категории!$B$35,IF(AH33=Категории!$B$33,Категории!$B$36,IF(AH33=Категории!$B$39,Категории!$B$43,IF(AH33=Категории!$B$40,Категории!$B$43,IF(AH33=Категории!$B$41,Категории!$B$44,AH33)))))</f>
        <v>Без влияния на трудозатраты</v>
      </c>
      <c r="AM33" s="11" t="str">
        <f>IF(OR(AH33=Категории!$B$30,AH33=Категории!$B$31),1,"")</f>
        <v/>
      </c>
      <c r="AN33" s="11" t="str">
        <f>IF(AH33=Категории!$B$14,1,"")</f>
        <v/>
      </c>
      <c r="AO33" s="64"/>
      <c r="AP33" s="11" t="s">
        <v>121</v>
      </c>
      <c r="AQ33" s="11" t="e">
        <f>IF(VALUE(#REF!)&gt;1,IF(VALUE(AD33)&lt;#REF!,1,0),0)</f>
        <v>#REF!</v>
      </c>
    </row>
    <row r="34" spans="1:43" s="11" customFormat="1" ht="52.5" x14ac:dyDescent="0.25">
      <c r="A34" s="44" t="str">
        <f t="shared" si="0"/>
        <v>23</v>
      </c>
      <c r="B34" s="39" t="str">
        <f t="shared" si="1"/>
        <v>Хомуты кабельные нейлоновые, 160мм</v>
      </c>
      <c r="C34" s="12" t="str">
        <f t="shared" si="2"/>
        <v/>
      </c>
      <c r="D34" s="12" t="str">
        <f t="shared" si="3"/>
        <v/>
      </c>
      <c r="E34" s="12" t="str">
        <f t="shared" si="4"/>
        <v>1422.0054</v>
      </c>
      <c r="F34" s="12" t="str">
        <f t="shared" si="5"/>
        <v>шт.</v>
      </c>
      <c r="G34" s="12" t="str">
        <f t="shared" si="6"/>
        <v>100</v>
      </c>
      <c r="H34" s="12">
        <f t="shared" si="7"/>
        <v>0</v>
      </c>
      <c r="I34" s="38"/>
      <c r="J34" s="12" t="str">
        <f t="shared" si="8"/>
        <v/>
      </c>
      <c r="K34" s="12" t="str">
        <f t="shared" si="9"/>
        <v>100</v>
      </c>
      <c r="L34" s="12">
        <f t="shared" si="10"/>
        <v>0</v>
      </c>
      <c r="M34" s="12">
        <f t="shared" si="11"/>
        <v>0</v>
      </c>
      <c r="N34" s="38"/>
      <c r="O34" s="38"/>
      <c r="P34" s="11" t="s">
        <v>9</v>
      </c>
      <c r="Q34" s="46"/>
      <c r="R34" s="47" t="s">
        <v>125</v>
      </c>
      <c r="S34" s="48" t="s">
        <v>223</v>
      </c>
      <c r="T34" s="49" t="s">
        <v>224</v>
      </c>
      <c r="U34" s="50"/>
      <c r="V34" s="51"/>
      <c r="W34" s="52"/>
      <c r="X34" s="53" t="s">
        <v>225</v>
      </c>
      <c r="Y34" s="54"/>
      <c r="Z34" s="55"/>
      <c r="AA34" s="56"/>
      <c r="AB34" s="57" t="s">
        <v>131</v>
      </c>
      <c r="AC34" s="58"/>
      <c r="AD34" s="59" t="s">
        <v>226</v>
      </c>
      <c r="AE34" s="60"/>
      <c r="AF34" s="61" t="s">
        <v>124</v>
      </c>
      <c r="AG34" s="62" t="s">
        <v>227</v>
      </c>
      <c r="AH34" s="63" t="s">
        <v>79</v>
      </c>
      <c r="AI34" s="11">
        <f>IFERROR(VLOOKUP(AJ34,Категории!$B$11:$E$51,4,FALSE),0)</f>
        <v>0</v>
      </c>
      <c r="AJ34" s="11" t="str">
        <f t="shared" si="12"/>
        <v>Без влияния на трудозатраты</v>
      </c>
      <c r="AK34" s="11" t="str">
        <f>IF(AH34=Категории!$B$39,Категории!$B$43,IF(AH34=Категории!$B$40,Категории!$B$43,IF(AH34=Категории!$B$41,Категории!$B$44,AH34)))</f>
        <v>Без влияния на трудозатраты</v>
      </c>
      <c r="AL34" s="11" t="str">
        <f>IF(AH34=Категории!$B$32,Категории!$B$35,IF(AH34=Категории!$B$33,Категории!$B$36,IF(AH34=Категории!$B$39,Категории!$B$43,IF(AH34=Категории!$B$40,Категории!$B$43,IF(AH34=Категории!$B$41,Категории!$B$44,AH34)))))</f>
        <v>Без влияния на трудозатраты</v>
      </c>
      <c r="AM34" s="11" t="str">
        <f>IF(OR(AH34=Категории!$B$30,AH34=Категории!$B$31),1,"")</f>
        <v/>
      </c>
      <c r="AN34" s="11" t="str">
        <f>IF(AH34=Категории!$B$14,1,"")</f>
        <v/>
      </c>
      <c r="AO34" s="64"/>
      <c r="AP34" s="11" t="s">
        <v>121</v>
      </c>
      <c r="AQ34" s="11" t="e">
        <f>IF(VALUE(#REF!)&gt;1,IF(VALUE(AD34)&lt;#REF!,1,0),0)</f>
        <v>#REF!</v>
      </c>
    </row>
    <row r="35" spans="1:43" s="11" customFormat="1" ht="52.5" x14ac:dyDescent="0.25">
      <c r="A35" s="44" t="str">
        <f t="shared" si="0"/>
        <v>24</v>
      </c>
      <c r="B35" s="39" t="str">
        <f t="shared" si="1"/>
        <v>Провод монтажный 4 кв.мм, белый</v>
      </c>
      <c r="C35" s="12" t="str">
        <f t="shared" si="2"/>
        <v>ПуГВ 1х4 б</v>
      </c>
      <c r="D35" s="12" t="str">
        <f t="shared" si="3"/>
        <v/>
      </c>
      <c r="E35" s="12" t="str">
        <f t="shared" si="4"/>
        <v>1414.1124</v>
      </c>
      <c r="F35" s="12" t="str">
        <f t="shared" si="5"/>
        <v>м</v>
      </c>
      <c r="G35" s="12" t="str">
        <f t="shared" si="6"/>
        <v>3</v>
      </c>
      <c r="H35" s="12">
        <f t="shared" si="7"/>
        <v>0</v>
      </c>
      <c r="I35" s="38"/>
      <c r="J35" s="12" t="str">
        <f t="shared" si="8"/>
        <v>ПуГВ 1х4 б</v>
      </c>
      <c r="K35" s="12" t="str">
        <f t="shared" si="9"/>
        <v>3</v>
      </c>
      <c r="L35" s="12">
        <f t="shared" si="10"/>
        <v>0</v>
      </c>
      <c r="M35" s="12">
        <f t="shared" si="11"/>
        <v>0</v>
      </c>
      <c r="N35" s="38"/>
      <c r="O35" s="38"/>
      <c r="P35" s="11" t="s">
        <v>9</v>
      </c>
      <c r="Q35" s="46"/>
      <c r="R35" s="47" t="s">
        <v>125</v>
      </c>
      <c r="S35" s="48" t="s">
        <v>228</v>
      </c>
      <c r="T35" s="49" t="s">
        <v>229</v>
      </c>
      <c r="U35" s="50"/>
      <c r="V35" s="51" t="s">
        <v>230</v>
      </c>
      <c r="W35" s="52"/>
      <c r="X35" s="53" t="s">
        <v>231</v>
      </c>
      <c r="Y35" s="54"/>
      <c r="Z35" s="55"/>
      <c r="AA35" s="56"/>
      <c r="AB35" s="57" t="s">
        <v>137</v>
      </c>
      <c r="AC35" s="58"/>
      <c r="AD35" s="59" t="s">
        <v>124</v>
      </c>
      <c r="AE35" s="60"/>
      <c r="AF35" s="61" t="s">
        <v>124</v>
      </c>
      <c r="AG35" s="62" t="s">
        <v>159</v>
      </c>
      <c r="AH35" s="63" t="s">
        <v>79</v>
      </c>
      <c r="AI35" s="11">
        <f>IFERROR(VLOOKUP(AJ35,Категории!$B$11:$E$51,4,FALSE),0)</f>
        <v>0</v>
      </c>
      <c r="AJ35" s="11" t="str">
        <f t="shared" si="12"/>
        <v>Без влияния на трудозатраты</v>
      </c>
      <c r="AK35" s="11" t="str">
        <f>IF(AH35=Категории!$B$39,Категории!$B$43,IF(AH35=Категории!$B$40,Категории!$B$43,IF(AH35=Категории!$B$41,Категории!$B$44,AH35)))</f>
        <v>Без влияния на трудозатраты</v>
      </c>
      <c r="AL35" s="11" t="str">
        <f>IF(AH35=Категории!$B$32,Категории!$B$35,IF(AH35=Категории!$B$33,Категории!$B$36,IF(AH35=Категории!$B$39,Категории!$B$43,IF(AH35=Категории!$B$40,Категории!$B$43,IF(AH35=Категории!$B$41,Категории!$B$44,AH35)))))</f>
        <v>Без влияния на трудозатраты</v>
      </c>
      <c r="AM35" s="11" t="str">
        <f>IF(OR(AH35=Категории!$B$30,AH35=Категории!$B$31),1,"")</f>
        <v/>
      </c>
      <c r="AN35" s="11" t="str">
        <f>IF(AH35=Категории!$B$14,1,"")</f>
        <v/>
      </c>
      <c r="AO35" s="64"/>
      <c r="AP35" s="11" t="s">
        <v>121</v>
      </c>
      <c r="AQ35" s="11" t="e">
        <f>IF(VALUE(#REF!)&gt;1,IF(VALUE(AD35)&lt;#REF!,1,0),0)</f>
        <v>#REF!</v>
      </c>
    </row>
    <row r="36" spans="1:43" s="11" customFormat="1" ht="52.5" x14ac:dyDescent="0.25">
      <c r="A36" s="44" t="str">
        <f t="shared" si="0"/>
        <v>25</v>
      </c>
      <c r="B36" s="39" t="str">
        <f t="shared" si="1"/>
        <v>Провод монтажный 4 кв.мм, голубой</v>
      </c>
      <c r="C36" s="12" t="str">
        <f t="shared" si="2"/>
        <v>ПуГВ 1х4 г</v>
      </c>
      <c r="D36" s="12" t="str">
        <f t="shared" si="3"/>
        <v/>
      </c>
      <c r="E36" s="12" t="str">
        <f t="shared" si="4"/>
        <v>1414.1300</v>
      </c>
      <c r="F36" s="12" t="str">
        <f t="shared" si="5"/>
        <v>м</v>
      </c>
      <c r="G36" s="12" t="str">
        <f t="shared" si="6"/>
        <v>1</v>
      </c>
      <c r="H36" s="12">
        <f t="shared" si="7"/>
        <v>0</v>
      </c>
      <c r="I36" s="38"/>
      <c r="J36" s="12" t="str">
        <f t="shared" si="8"/>
        <v>ПуГВ 1х4 г</v>
      </c>
      <c r="K36" s="12" t="str">
        <f t="shared" si="9"/>
        <v>1</v>
      </c>
      <c r="L36" s="12">
        <f t="shared" si="10"/>
        <v>0</v>
      </c>
      <c r="M36" s="12">
        <f t="shared" si="11"/>
        <v>0</v>
      </c>
      <c r="N36" s="38"/>
      <c r="O36" s="38"/>
      <c r="P36" s="11" t="s">
        <v>9</v>
      </c>
      <c r="Q36" s="46"/>
      <c r="R36" s="47" t="s">
        <v>125</v>
      </c>
      <c r="S36" s="48" t="s">
        <v>232</v>
      </c>
      <c r="T36" s="49" t="s">
        <v>233</v>
      </c>
      <c r="U36" s="50"/>
      <c r="V36" s="51" t="s">
        <v>234</v>
      </c>
      <c r="W36" s="52"/>
      <c r="X36" s="53" t="s">
        <v>235</v>
      </c>
      <c r="Y36" s="54"/>
      <c r="Z36" s="55"/>
      <c r="AA36" s="56"/>
      <c r="AB36" s="57" t="s">
        <v>137</v>
      </c>
      <c r="AC36" s="58"/>
      <c r="AD36" s="59" t="s">
        <v>126</v>
      </c>
      <c r="AE36" s="60"/>
      <c r="AF36" s="61" t="s">
        <v>124</v>
      </c>
      <c r="AG36" s="62" t="s">
        <v>159</v>
      </c>
      <c r="AH36" s="63" t="s">
        <v>79</v>
      </c>
      <c r="AI36" s="11">
        <f>IFERROR(VLOOKUP(AJ36,Категории!$B$11:$E$51,4,FALSE),0)</f>
        <v>0</v>
      </c>
      <c r="AJ36" s="11" t="str">
        <f t="shared" si="12"/>
        <v>Без влияния на трудозатраты</v>
      </c>
      <c r="AK36" s="11" t="str">
        <f>IF(AH36=Категории!$B$39,Категории!$B$43,IF(AH36=Категории!$B$40,Категории!$B$43,IF(AH36=Категории!$B$41,Категории!$B$44,AH36)))</f>
        <v>Без влияния на трудозатраты</v>
      </c>
      <c r="AL36" s="11" t="str">
        <f>IF(AH36=Категории!$B$32,Категории!$B$35,IF(AH36=Категории!$B$33,Категории!$B$36,IF(AH36=Категории!$B$39,Категории!$B$43,IF(AH36=Категории!$B$40,Категории!$B$43,IF(AH36=Категории!$B$41,Категории!$B$44,AH36)))))</f>
        <v>Без влияния на трудозатраты</v>
      </c>
      <c r="AM36" s="11" t="str">
        <f>IF(OR(AH36=Категории!$B$30,AH36=Категории!$B$31),1,"")</f>
        <v/>
      </c>
      <c r="AN36" s="11" t="str">
        <f>IF(AH36=Категории!$B$14,1,"")</f>
        <v/>
      </c>
      <c r="AO36" s="64"/>
      <c r="AP36" s="11" t="s">
        <v>121</v>
      </c>
      <c r="AQ36" s="11" t="e">
        <f>IF(VALUE(#REF!)&gt;1,IF(VALUE(AD36)&lt;#REF!,1,0),0)</f>
        <v>#REF!</v>
      </c>
    </row>
    <row r="37" spans="1:43" s="11" customFormat="1" ht="31.5" x14ac:dyDescent="0.25">
      <c r="A37" s="44" t="str">
        <f t="shared" si="0"/>
        <v>26</v>
      </c>
      <c r="B37" s="39" t="str">
        <f t="shared" si="1"/>
        <v>Шины на DIN-рейку в корпусе (кросс-модуль) L+PEN 2х15</v>
      </c>
      <c r="C37" s="12" t="str">
        <f t="shared" si="2"/>
        <v>YND10-2-15-125</v>
      </c>
      <c r="D37" s="12" t="str">
        <f t="shared" si="3"/>
        <v>ИЭК</v>
      </c>
      <c r="E37" s="12" t="str">
        <f t="shared" si="4"/>
        <v>1423.1197</v>
      </c>
      <c r="F37" s="12" t="str">
        <f t="shared" si="5"/>
        <v>шт.</v>
      </c>
      <c r="G37" s="12" t="str">
        <f t="shared" si="6"/>
        <v>1</v>
      </c>
      <c r="H37" s="12">
        <f t="shared" si="7"/>
        <v>0</v>
      </c>
      <c r="I37" s="38"/>
      <c r="J37" s="12" t="str">
        <f t="shared" si="8"/>
        <v>YND10-2-15-125</v>
      </c>
      <c r="K37" s="12" t="str">
        <f t="shared" si="9"/>
        <v>1</v>
      </c>
      <c r="L37" s="12">
        <f t="shared" si="10"/>
        <v>1</v>
      </c>
      <c r="M37" s="12">
        <f t="shared" si="11"/>
        <v>1</v>
      </c>
      <c r="N37" s="38"/>
      <c r="O37" s="38"/>
      <c r="P37" s="11" t="s">
        <v>9</v>
      </c>
      <c r="Q37" s="46"/>
      <c r="R37" s="47" t="s">
        <v>125</v>
      </c>
      <c r="S37" s="48" t="s">
        <v>236</v>
      </c>
      <c r="T37" s="49" t="s">
        <v>237</v>
      </c>
      <c r="U37" s="50"/>
      <c r="V37" s="51" t="s">
        <v>238</v>
      </c>
      <c r="W37" s="52"/>
      <c r="X37" s="53" t="s">
        <v>239</v>
      </c>
      <c r="Y37" s="54"/>
      <c r="Z37" s="55" t="s">
        <v>240</v>
      </c>
      <c r="AA37" s="56"/>
      <c r="AB37" s="57" t="s">
        <v>131</v>
      </c>
      <c r="AC37" s="58"/>
      <c r="AD37" s="59" t="s">
        <v>126</v>
      </c>
      <c r="AE37" s="60"/>
      <c r="AF37" s="61" t="s">
        <v>124</v>
      </c>
      <c r="AG37" s="62" t="s">
        <v>241</v>
      </c>
      <c r="AH37" s="63" t="s">
        <v>40</v>
      </c>
      <c r="AI37" s="11">
        <f>IFERROR(VLOOKUP(AJ37,Категории!$B$11:$E$51,4,FALSE),0)</f>
        <v>1</v>
      </c>
      <c r="AJ37" s="11" t="str">
        <f t="shared" si="12"/>
        <v>Компл. с монтажом на рейку</v>
      </c>
      <c r="AK37" s="11" t="str">
        <f>IF(AH37=Категории!$B$39,Категории!$B$43,IF(AH37=Категории!$B$40,Категории!$B$43,IF(AH37=Категории!$B$41,Категории!$B$44,AH37)))</f>
        <v>Компл. с монтажом на рейку</v>
      </c>
      <c r="AL37" s="11" t="str">
        <f>IF(AH37=Категории!$B$32,Категории!$B$35,IF(AH37=Категории!$B$33,Категории!$B$36,IF(AH37=Категории!$B$39,Категории!$B$43,IF(AH37=Категории!$B$40,Категории!$B$43,IF(AH37=Категории!$B$41,Категории!$B$44,AH37)))))</f>
        <v>Компл. с монтажом на рейку</v>
      </c>
      <c r="AM37" s="11" t="str">
        <f>IF(OR(AH37=Категории!$B$30,AH37=Категории!$B$31),1,"")</f>
        <v/>
      </c>
      <c r="AN37" s="11" t="str">
        <f>IF(AH37=Категории!$B$14,1,"")</f>
        <v/>
      </c>
      <c r="AO37" s="64"/>
      <c r="AP37" s="11" t="s">
        <v>121</v>
      </c>
      <c r="AQ37" s="11" t="e">
        <f>IF(VALUE(#REF!)&gt;1,IF(VALUE(AD37)&lt;#REF!,1,0),0)</f>
        <v>#REF!</v>
      </c>
    </row>
    <row r="38" spans="1:43" s="11" customFormat="1" ht="31.5" x14ac:dyDescent="0.25">
      <c r="A38" s="44" t="str">
        <f t="shared" si="0"/>
        <v>27</v>
      </c>
      <c r="B38" s="39" t="str">
        <f t="shared" si="1"/>
        <v>Выключатель автоматический NXB-63, 3 полюса, 20А, ток к.з. 6kA, хар-ка С</v>
      </c>
      <c r="C38" s="12" t="str">
        <f t="shared" si="2"/>
        <v>814171</v>
      </c>
      <c r="D38" s="12" t="str">
        <f t="shared" si="3"/>
        <v>CHINT</v>
      </c>
      <c r="E38" s="12" t="str">
        <f t="shared" si="4"/>
        <v>1403.41938</v>
      </c>
      <c r="F38" s="12" t="str">
        <f t="shared" si="5"/>
        <v>шт.</v>
      </c>
      <c r="G38" s="12" t="str">
        <f t="shared" si="6"/>
        <v>1</v>
      </c>
      <c r="H38" s="12">
        <f t="shared" si="7"/>
        <v>0</v>
      </c>
      <c r="I38" s="38"/>
      <c r="J38" s="12" t="str">
        <f t="shared" si="8"/>
        <v>814171</v>
      </c>
      <c r="K38" s="12" t="str">
        <f t="shared" si="9"/>
        <v>1</v>
      </c>
      <c r="L38" s="12">
        <f t="shared" si="10"/>
        <v>1</v>
      </c>
      <c r="M38" s="12">
        <f t="shared" si="11"/>
        <v>1</v>
      </c>
      <c r="N38" s="38"/>
      <c r="O38" s="38"/>
      <c r="P38" s="11" t="s">
        <v>9</v>
      </c>
      <c r="Q38" s="46"/>
      <c r="R38" s="47" t="s">
        <v>125</v>
      </c>
      <c r="S38" s="48" t="s">
        <v>242</v>
      </c>
      <c r="T38" s="49" t="s">
        <v>243</v>
      </c>
      <c r="U38" s="50"/>
      <c r="V38" s="51" t="s">
        <v>244</v>
      </c>
      <c r="W38" s="52"/>
      <c r="X38" s="53" t="s">
        <v>245</v>
      </c>
      <c r="Y38" s="54"/>
      <c r="Z38" s="55" t="s">
        <v>246</v>
      </c>
      <c r="AA38" s="56"/>
      <c r="AB38" s="57" t="s">
        <v>131</v>
      </c>
      <c r="AC38" s="58"/>
      <c r="AD38" s="59" t="s">
        <v>126</v>
      </c>
      <c r="AE38" s="60"/>
      <c r="AF38" s="61" t="s">
        <v>124</v>
      </c>
      <c r="AG38" s="62" t="s">
        <v>227</v>
      </c>
      <c r="AH38" s="63" t="s">
        <v>40</v>
      </c>
      <c r="AI38" s="11">
        <f>IFERROR(VLOOKUP(AJ38,Категории!$B$11:$E$51,4,FALSE),0)</f>
        <v>1</v>
      </c>
      <c r="AJ38" s="11" t="str">
        <f t="shared" si="12"/>
        <v>Компл. с монтажом на рейку</v>
      </c>
      <c r="AK38" s="11" t="str">
        <f>IF(AH38=Категории!$B$39,Категории!$B$43,IF(AH38=Категории!$B$40,Категории!$B$43,IF(AH38=Категории!$B$41,Категории!$B$44,AH38)))</f>
        <v>Компл. с монтажом на рейку</v>
      </c>
      <c r="AL38" s="11" t="str">
        <f>IF(AH38=Категории!$B$32,Категории!$B$35,IF(AH38=Категории!$B$33,Категории!$B$36,IF(AH38=Категории!$B$39,Категории!$B$43,IF(AH38=Категории!$B$40,Категории!$B$43,IF(AH38=Категории!$B$41,Категории!$B$44,AH38)))))</f>
        <v>Компл. с монтажом на рейку</v>
      </c>
      <c r="AM38" s="11" t="str">
        <f>IF(OR(AH38=Категории!$B$30,AH38=Категории!$B$31),1,"")</f>
        <v/>
      </c>
      <c r="AN38" s="11" t="str">
        <f>IF(AH38=Категории!$B$14,1,"")</f>
        <v/>
      </c>
      <c r="AO38" s="64"/>
      <c r="AP38" s="11" t="s">
        <v>121</v>
      </c>
      <c r="AQ38" s="11" t="e">
        <f>IF(VALUE(#REF!)&gt;1,IF(VALUE(AD38)&lt;#REF!,1,0),0)</f>
        <v>#REF!</v>
      </c>
    </row>
    <row r="39" spans="1:43" s="11" customFormat="1" ht="31.5" x14ac:dyDescent="0.25">
      <c r="A39" s="44" t="str">
        <f t="shared" si="0"/>
        <v>28</v>
      </c>
      <c r="B39" s="39" t="str">
        <f t="shared" si="1"/>
        <v>Автомат дифференциальный NB1L, 1 полюс + нейтр., 16 A, ток к.з. 10kA, 30mA</v>
      </c>
      <c r="C39" s="12" t="str">
        <f t="shared" si="2"/>
        <v>203107</v>
      </c>
      <c r="D39" s="12" t="str">
        <f t="shared" si="3"/>
        <v>CHINT</v>
      </c>
      <c r="E39" s="12" t="str">
        <f t="shared" si="4"/>
        <v>1403.39746</v>
      </c>
      <c r="F39" s="12" t="str">
        <f t="shared" si="5"/>
        <v>шт.</v>
      </c>
      <c r="G39" s="12" t="str">
        <f t="shared" si="6"/>
        <v>3</v>
      </c>
      <c r="H39" s="12">
        <f t="shared" si="7"/>
        <v>0</v>
      </c>
      <c r="I39" s="38"/>
      <c r="J39" s="12" t="str">
        <f t="shared" si="8"/>
        <v>203107</v>
      </c>
      <c r="K39" s="12" t="str">
        <f t="shared" si="9"/>
        <v>3</v>
      </c>
      <c r="L39" s="12">
        <f t="shared" si="10"/>
        <v>1</v>
      </c>
      <c r="M39" s="12">
        <f t="shared" si="11"/>
        <v>3</v>
      </c>
      <c r="N39" s="38"/>
      <c r="O39" s="38"/>
      <c r="P39" s="11" t="s">
        <v>9</v>
      </c>
      <c r="Q39" s="46"/>
      <c r="R39" s="47" t="s">
        <v>125</v>
      </c>
      <c r="S39" s="48" t="s">
        <v>247</v>
      </c>
      <c r="T39" s="49" t="s">
        <v>248</v>
      </c>
      <c r="U39" s="50"/>
      <c r="V39" s="51" t="s">
        <v>249</v>
      </c>
      <c r="W39" s="52"/>
      <c r="X39" s="53" t="s">
        <v>250</v>
      </c>
      <c r="Y39" s="54"/>
      <c r="Z39" s="55" t="s">
        <v>246</v>
      </c>
      <c r="AA39" s="56"/>
      <c r="AB39" s="57" t="s">
        <v>131</v>
      </c>
      <c r="AC39" s="58"/>
      <c r="AD39" s="59" t="s">
        <v>124</v>
      </c>
      <c r="AE39" s="60"/>
      <c r="AF39" s="61" t="s">
        <v>124</v>
      </c>
      <c r="AG39" s="62" t="s">
        <v>227</v>
      </c>
      <c r="AH39" s="63" t="s">
        <v>40</v>
      </c>
      <c r="AI39" s="11">
        <f>IFERROR(VLOOKUP(AJ39,Категории!$B$11:$E$51,4,FALSE),0)</f>
        <v>1</v>
      </c>
      <c r="AJ39" s="11" t="str">
        <f t="shared" si="12"/>
        <v>Компл. с монтажом на рейку</v>
      </c>
      <c r="AK39" s="11" t="str">
        <f>IF(AH39=Категории!$B$39,Категории!$B$43,IF(AH39=Категории!$B$40,Категории!$B$43,IF(AH39=Категории!$B$41,Категории!$B$44,AH39)))</f>
        <v>Компл. с монтажом на рейку</v>
      </c>
      <c r="AL39" s="11" t="str">
        <f>IF(AH39=Категории!$B$32,Категории!$B$35,IF(AH39=Категории!$B$33,Категории!$B$36,IF(AH39=Категории!$B$39,Категории!$B$43,IF(AH39=Категории!$B$40,Категории!$B$43,IF(AH39=Категории!$B$41,Категории!$B$44,AH39)))))</f>
        <v>Компл. с монтажом на рейку</v>
      </c>
      <c r="AM39" s="11" t="str">
        <f>IF(OR(AH39=Категории!$B$30,AH39=Категории!$B$31),1,"")</f>
        <v/>
      </c>
      <c r="AN39" s="11" t="str">
        <f>IF(AH39=Категории!$B$14,1,"")</f>
        <v/>
      </c>
      <c r="AO39" s="64"/>
      <c r="AP39" s="11" t="s">
        <v>121</v>
      </c>
      <c r="AQ39" s="11" t="e">
        <f>IF(VALUE(#REF!)&gt;1,IF(VALUE(AD39)&lt;#REF!,1,0),0)</f>
        <v>#REF!</v>
      </c>
    </row>
    <row r="40" spans="1:43" s="11" customFormat="1" ht="31.5" x14ac:dyDescent="0.25">
      <c r="A40" s="44" t="str">
        <f t="shared" si="0"/>
        <v>29</v>
      </c>
      <c r="B40" s="39" t="str">
        <f t="shared" si="1"/>
        <v>Автомат дифференциальный NB1L 1P+N С6 30мА тип АC 10кА</v>
      </c>
      <c r="C40" s="12" t="str">
        <f t="shared" si="2"/>
        <v>203104</v>
      </c>
      <c r="D40" s="12" t="str">
        <f t="shared" si="3"/>
        <v>CHINT</v>
      </c>
      <c r="E40" s="12" t="str">
        <f t="shared" si="4"/>
        <v>1403.43037</v>
      </c>
      <c r="F40" s="12" t="str">
        <f t="shared" si="5"/>
        <v>шт.</v>
      </c>
      <c r="G40" s="12" t="str">
        <f t="shared" si="6"/>
        <v>1</v>
      </c>
      <c r="H40" s="12">
        <f t="shared" si="7"/>
        <v>0</v>
      </c>
      <c r="I40" s="38"/>
      <c r="J40" s="12" t="str">
        <f t="shared" si="8"/>
        <v>203104</v>
      </c>
      <c r="K40" s="12" t="str">
        <f t="shared" si="9"/>
        <v>1</v>
      </c>
      <c r="L40" s="12">
        <f t="shared" si="10"/>
        <v>1</v>
      </c>
      <c r="M40" s="12">
        <f t="shared" si="11"/>
        <v>1</v>
      </c>
      <c r="N40" s="38"/>
      <c r="O40" s="38"/>
      <c r="P40" s="11" t="s">
        <v>9</v>
      </c>
      <c r="Q40" s="46"/>
      <c r="R40" s="47" t="s">
        <v>125</v>
      </c>
      <c r="S40" s="48" t="s">
        <v>251</v>
      </c>
      <c r="T40" s="49" t="s">
        <v>252</v>
      </c>
      <c r="U40" s="50"/>
      <c r="V40" s="51" t="s">
        <v>253</v>
      </c>
      <c r="W40" s="52"/>
      <c r="X40" s="53" t="s">
        <v>254</v>
      </c>
      <c r="Y40" s="54"/>
      <c r="Z40" s="55" t="s">
        <v>246</v>
      </c>
      <c r="AA40" s="56"/>
      <c r="AB40" s="57" t="s">
        <v>131</v>
      </c>
      <c r="AC40" s="58"/>
      <c r="AD40" s="59" t="s">
        <v>126</v>
      </c>
      <c r="AE40" s="60"/>
      <c r="AF40" s="61" t="s">
        <v>124</v>
      </c>
      <c r="AG40" s="62" t="s">
        <v>227</v>
      </c>
      <c r="AH40" s="63" t="s">
        <v>40</v>
      </c>
      <c r="AI40" s="11">
        <f>IFERROR(VLOOKUP(AJ40,Категории!$B$11:$E$51,4,FALSE),0)</f>
        <v>1</v>
      </c>
      <c r="AJ40" s="11" t="str">
        <f t="shared" si="12"/>
        <v>Компл. с монтажом на рейку</v>
      </c>
      <c r="AK40" s="11" t="str">
        <f>IF(AH40=Категории!$B$39,Категории!$B$43,IF(AH40=Категории!$B$40,Категории!$B$43,IF(AH40=Категории!$B$41,Категории!$B$44,AH40)))</f>
        <v>Компл. с монтажом на рейку</v>
      </c>
      <c r="AL40" s="11" t="str">
        <f>IF(AH40=Категории!$B$32,Категории!$B$35,IF(AH40=Категории!$B$33,Категории!$B$36,IF(AH40=Категории!$B$39,Категории!$B$43,IF(AH40=Категории!$B$40,Категории!$B$43,IF(AH40=Категории!$B$41,Категории!$B$44,AH40)))))</f>
        <v>Компл. с монтажом на рейку</v>
      </c>
      <c r="AM40" s="11" t="str">
        <f>IF(OR(AH40=Категории!$B$30,AH40=Категории!$B$31),1,"")</f>
        <v/>
      </c>
      <c r="AN40" s="11" t="str">
        <f>IF(AH40=Категории!$B$14,1,"")</f>
        <v/>
      </c>
      <c r="AO40" s="64"/>
      <c r="AP40" s="11" t="s">
        <v>121</v>
      </c>
      <c r="AQ40" s="11" t="e">
        <f>IF(VALUE(#REF!)&gt;1,IF(VALUE(AD40)&lt;#REF!,1,0),0)</f>
        <v>#REF!</v>
      </c>
    </row>
    <row r="41" spans="1:43" s="11" customFormat="1" ht="31.5" x14ac:dyDescent="0.25">
      <c r="A41" s="44" t="str">
        <f t="shared" si="0"/>
        <v>30</v>
      </c>
      <c r="B41" s="39" t="str">
        <f t="shared" si="1"/>
        <v>Выключатель автоматический NXB-63, 1 полюс, 6А, ток к.з. 6kA, хар-ка С</v>
      </c>
      <c r="C41" s="12" t="str">
        <f t="shared" si="2"/>
        <v>814012</v>
      </c>
      <c r="D41" s="12" t="str">
        <f t="shared" si="3"/>
        <v>CHINT</v>
      </c>
      <c r="E41" s="12" t="str">
        <f t="shared" si="4"/>
        <v>1403.39745</v>
      </c>
      <c r="F41" s="12" t="str">
        <f t="shared" si="5"/>
        <v>шт.</v>
      </c>
      <c r="G41" s="12" t="str">
        <f t="shared" si="6"/>
        <v>3</v>
      </c>
      <c r="H41" s="12">
        <f t="shared" si="7"/>
        <v>0</v>
      </c>
      <c r="I41" s="38"/>
      <c r="J41" s="12" t="str">
        <f t="shared" si="8"/>
        <v>814012</v>
      </c>
      <c r="K41" s="12" t="str">
        <f t="shared" si="9"/>
        <v>3</v>
      </c>
      <c r="L41" s="12">
        <f t="shared" si="10"/>
        <v>1</v>
      </c>
      <c r="M41" s="12">
        <f t="shared" si="11"/>
        <v>3</v>
      </c>
      <c r="N41" s="38"/>
      <c r="O41" s="38"/>
      <c r="P41" s="11" t="s">
        <v>9</v>
      </c>
      <c r="Q41" s="46"/>
      <c r="R41" s="47" t="s">
        <v>125</v>
      </c>
      <c r="S41" s="48" t="s">
        <v>255</v>
      </c>
      <c r="T41" s="49" t="s">
        <v>256</v>
      </c>
      <c r="U41" s="50"/>
      <c r="V41" s="51" t="s">
        <v>257</v>
      </c>
      <c r="W41" s="52"/>
      <c r="X41" s="53" t="s">
        <v>258</v>
      </c>
      <c r="Y41" s="54"/>
      <c r="Z41" s="55" t="s">
        <v>246</v>
      </c>
      <c r="AA41" s="56"/>
      <c r="AB41" s="57" t="s">
        <v>131</v>
      </c>
      <c r="AC41" s="58"/>
      <c r="AD41" s="59" t="s">
        <v>124</v>
      </c>
      <c r="AE41" s="60"/>
      <c r="AF41" s="61" t="s">
        <v>124</v>
      </c>
      <c r="AG41" s="62" t="s">
        <v>227</v>
      </c>
      <c r="AH41" s="63" t="s">
        <v>40</v>
      </c>
      <c r="AI41" s="11">
        <f>IFERROR(VLOOKUP(AJ41,Категории!$B$11:$E$51,4,FALSE),0)</f>
        <v>1</v>
      </c>
      <c r="AJ41" s="11" t="str">
        <f t="shared" si="12"/>
        <v>Компл. с монтажом на рейку</v>
      </c>
      <c r="AK41" s="11" t="str">
        <f>IF(AH41=Категории!$B$39,Категории!$B$43,IF(AH41=Категории!$B$40,Категории!$B$43,IF(AH41=Категории!$B$41,Категории!$B$44,AH41)))</f>
        <v>Компл. с монтажом на рейку</v>
      </c>
      <c r="AL41" s="11" t="str">
        <f>IF(AH41=Категории!$B$32,Категории!$B$35,IF(AH41=Категории!$B$33,Категории!$B$36,IF(AH41=Категории!$B$39,Категории!$B$43,IF(AH41=Категории!$B$40,Категории!$B$43,IF(AH41=Категории!$B$41,Категории!$B$44,AH41)))))</f>
        <v>Компл. с монтажом на рейку</v>
      </c>
      <c r="AM41" s="11" t="str">
        <f>IF(OR(AH41=Категории!$B$30,AH41=Категории!$B$31),1,"")</f>
        <v/>
      </c>
      <c r="AN41" s="11" t="str">
        <f>IF(AH41=Категории!$B$14,1,"")</f>
        <v/>
      </c>
      <c r="AO41" s="64"/>
      <c r="AP41" s="11" t="s">
        <v>121</v>
      </c>
      <c r="AQ41" s="11" t="e">
        <f>IF(VALUE(#REF!)&gt;1,IF(VALUE(AD41)&lt;#REF!,1,0),0)</f>
        <v>#REF!</v>
      </c>
    </row>
    <row r="42" spans="1:43" s="11" customFormat="1" ht="42" x14ac:dyDescent="0.25">
      <c r="A42" s="44" t="str">
        <f t="shared" si="0"/>
        <v>31</v>
      </c>
      <c r="B42" s="39" t="str">
        <f t="shared" si="1"/>
        <v>Рубильник перекидной NH40-100/3CS, 100А</v>
      </c>
      <c r="C42" s="12" t="str">
        <f t="shared" si="2"/>
        <v>393545</v>
      </c>
      <c r="D42" s="12" t="str">
        <f t="shared" si="3"/>
        <v>CHINT</v>
      </c>
      <c r="E42" s="12" t="str">
        <f t="shared" si="4"/>
        <v>1417.46524</v>
      </c>
      <c r="F42" s="12" t="str">
        <f t="shared" si="5"/>
        <v>шт.</v>
      </c>
      <c r="G42" s="12" t="str">
        <f t="shared" si="6"/>
        <v>1</v>
      </c>
      <c r="H42" s="12">
        <f t="shared" si="7"/>
        <v>0</v>
      </c>
      <c r="I42" s="38"/>
      <c r="J42" s="12" t="str">
        <f t="shared" si="8"/>
        <v>393545</v>
      </c>
      <c r="K42" s="12" t="str">
        <f t="shared" si="9"/>
        <v>1</v>
      </c>
      <c r="L42" s="12">
        <f t="shared" si="10"/>
        <v>20</v>
      </c>
      <c r="M42" s="12">
        <f t="shared" si="11"/>
        <v>20</v>
      </c>
      <c r="N42" s="38"/>
      <c r="O42" s="38"/>
      <c r="P42" s="11" t="s">
        <v>9</v>
      </c>
      <c r="Q42" s="46"/>
      <c r="R42" s="47" t="s">
        <v>125</v>
      </c>
      <c r="S42" s="48" t="s">
        <v>259</v>
      </c>
      <c r="T42" s="49" t="s">
        <v>260</v>
      </c>
      <c r="U42" s="50"/>
      <c r="V42" s="51" t="s">
        <v>261</v>
      </c>
      <c r="W42" s="52"/>
      <c r="X42" s="53" t="s">
        <v>262</v>
      </c>
      <c r="Y42" s="54"/>
      <c r="Z42" s="55" t="s">
        <v>246</v>
      </c>
      <c r="AA42" s="56"/>
      <c r="AB42" s="57" t="s">
        <v>131</v>
      </c>
      <c r="AC42" s="58"/>
      <c r="AD42" s="59" t="s">
        <v>126</v>
      </c>
      <c r="AE42" s="60"/>
      <c r="AF42" s="61" t="s">
        <v>124</v>
      </c>
      <c r="AG42" s="62" t="s">
        <v>159</v>
      </c>
      <c r="AH42" s="63" t="s">
        <v>43</v>
      </c>
      <c r="AI42" s="11">
        <f>IFERROR(VLOOKUP(AJ42,Категории!$B$11:$E$51,4,FALSE),0)</f>
        <v>20</v>
      </c>
      <c r="AJ42" s="11" t="str">
        <f t="shared" si="12"/>
        <v>Компл. панельного испол. (1 исп.)</v>
      </c>
      <c r="AK42" s="11" t="str">
        <f>IF(AH42=Категории!$B$39,Категории!$B$43,IF(AH42=Категории!$B$40,Категории!$B$43,IF(AH42=Категории!$B$41,Категории!$B$44,AH42)))</f>
        <v>Компл. панельного испол. (1 исп.)</v>
      </c>
      <c r="AL42" s="11" t="str">
        <f>IF(AH42=Категории!$B$32,Категории!$B$35,IF(AH42=Категории!$B$33,Категории!$B$36,IF(AH42=Категории!$B$39,Категории!$B$43,IF(AH42=Категории!$B$40,Категории!$B$43,IF(AH42=Категории!$B$41,Категории!$B$44,AH42)))))</f>
        <v>Компл. панельного испол. (1 исп.)</v>
      </c>
      <c r="AM42" s="11" t="str">
        <f>IF(OR(AH42=Категории!$B$30,AH42=Категории!$B$31),1,"")</f>
        <v/>
      </c>
      <c r="AN42" s="11" t="str">
        <f>IF(AH42=Категории!$B$14,1,"")</f>
        <v/>
      </c>
      <c r="AO42" s="64"/>
      <c r="AP42" s="11" t="s">
        <v>121</v>
      </c>
      <c r="AQ42" s="11" t="e">
        <f>IF(VALUE(#REF!)&gt;1,IF(VALUE(AD42)&lt;#REF!,1,0),0)</f>
        <v>#REF!</v>
      </c>
    </row>
    <row r="43" spans="1:43" s="11" customFormat="1" ht="31.5" x14ac:dyDescent="0.25">
      <c r="A43" s="44" t="str">
        <f t="shared" si="0"/>
        <v>32</v>
      </c>
      <c r="B43" s="39" t="str">
        <f t="shared" si="1"/>
        <v>Стопор концевой EB 35/3</v>
      </c>
      <c r="C43" s="12" t="str">
        <f t="shared" si="2"/>
        <v>on1060014</v>
      </c>
      <c r="D43" s="12" t="str">
        <f t="shared" si="3"/>
        <v>Onka</v>
      </c>
      <c r="E43" s="12" t="str">
        <f t="shared" si="4"/>
        <v>1409.46432</v>
      </c>
      <c r="F43" s="12" t="str">
        <f t="shared" si="5"/>
        <v>шт.</v>
      </c>
      <c r="G43" s="12" t="str">
        <f t="shared" si="6"/>
        <v>2</v>
      </c>
      <c r="H43" s="12">
        <f t="shared" si="7"/>
        <v>0</v>
      </c>
      <c r="I43" s="38"/>
      <c r="J43" s="12" t="str">
        <f t="shared" si="8"/>
        <v>on1060014</v>
      </c>
      <c r="K43" s="12" t="str">
        <f t="shared" si="9"/>
        <v>2</v>
      </c>
      <c r="L43" s="12">
        <f t="shared" si="10"/>
        <v>1</v>
      </c>
      <c r="M43" s="12">
        <f t="shared" si="11"/>
        <v>2</v>
      </c>
      <c r="N43" s="38"/>
      <c r="O43" s="38"/>
      <c r="P43" s="11" t="s">
        <v>9</v>
      </c>
      <c r="Q43" s="46"/>
      <c r="R43" s="47" t="s">
        <v>125</v>
      </c>
      <c r="S43" s="48" t="s">
        <v>263</v>
      </c>
      <c r="T43" s="49" t="s">
        <v>264</v>
      </c>
      <c r="U43" s="50"/>
      <c r="V43" s="51" t="s">
        <v>265</v>
      </c>
      <c r="W43" s="52"/>
      <c r="X43" s="53" t="s">
        <v>266</v>
      </c>
      <c r="Y43" s="54"/>
      <c r="Z43" s="55" t="s">
        <v>267</v>
      </c>
      <c r="AA43" s="56"/>
      <c r="AB43" s="57" t="s">
        <v>131</v>
      </c>
      <c r="AC43" s="58"/>
      <c r="AD43" s="59" t="s">
        <v>133</v>
      </c>
      <c r="AE43" s="60"/>
      <c r="AF43" s="61" t="s">
        <v>124</v>
      </c>
      <c r="AG43" s="62" t="s">
        <v>227</v>
      </c>
      <c r="AH43" s="63" t="s">
        <v>40</v>
      </c>
      <c r="AI43" s="11">
        <f>IFERROR(VLOOKUP(AJ43,Категории!$B$11:$E$51,4,FALSE),0)</f>
        <v>1</v>
      </c>
      <c r="AJ43" s="11" t="str">
        <f t="shared" si="12"/>
        <v>Компл. с монтажом на рейку</v>
      </c>
      <c r="AK43" s="11" t="str">
        <f>IF(AH43=Категории!$B$39,Категории!$B$43,IF(AH43=Категории!$B$40,Категории!$B$43,IF(AH43=Категории!$B$41,Категории!$B$44,AH43)))</f>
        <v>Компл. с монтажом на рейку</v>
      </c>
      <c r="AL43" s="11" t="str">
        <f>IF(AH43=Категории!$B$32,Категории!$B$35,IF(AH43=Категории!$B$33,Категории!$B$36,IF(AH43=Категории!$B$39,Категории!$B$43,IF(AH43=Категории!$B$40,Категории!$B$43,IF(AH43=Категории!$B$41,Категории!$B$44,AH43)))))</f>
        <v>Компл. с монтажом на рейку</v>
      </c>
      <c r="AM43" s="11" t="str">
        <f>IF(OR(AH43=Категории!$B$30,AH43=Категории!$B$31),1,"")</f>
        <v/>
      </c>
      <c r="AN43" s="11" t="str">
        <f>IF(AH43=Категории!$B$14,1,"")</f>
        <v/>
      </c>
      <c r="AO43" s="64"/>
      <c r="AP43" s="11" t="s">
        <v>121</v>
      </c>
      <c r="AQ43" s="11" t="e">
        <f>IF(VALUE(#REF!)&gt;1,IF(VALUE(AD43)&lt;#REF!,1,0),0)</f>
        <v>#REF!</v>
      </c>
    </row>
    <row r="44" spans="1:43" s="11" customFormat="1" ht="31.5" x14ac:dyDescent="0.25">
      <c r="A44" s="44" t="str">
        <f t="shared" si="0"/>
        <v>33</v>
      </c>
      <c r="B44" s="39" t="str">
        <f t="shared" si="1"/>
        <v>Клеммник пружинный быстрозажимной (Push in), 2.5 мм.кв, серая</v>
      </c>
      <c r="C44" s="12" t="str">
        <f t="shared" si="2"/>
        <v>on1020013</v>
      </c>
      <c r="D44" s="12" t="str">
        <f t="shared" si="3"/>
        <v>Onka</v>
      </c>
      <c r="E44" s="12" t="str">
        <f t="shared" si="4"/>
        <v>1409.46428</v>
      </c>
      <c r="F44" s="12" t="str">
        <f t="shared" si="5"/>
        <v>шт.</v>
      </c>
      <c r="G44" s="12" t="str">
        <f t="shared" si="6"/>
        <v>2</v>
      </c>
      <c r="H44" s="12">
        <f t="shared" si="7"/>
        <v>0</v>
      </c>
      <c r="I44" s="38"/>
      <c r="J44" s="12" t="str">
        <f t="shared" si="8"/>
        <v>on1020013</v>
      </c>
      <c r="K44" s="12" t="str">
        <f t="shared" si="9"/>
        <v>2</v>
      </c>
      <c r="L44" s="12">
        <f t="shared" si="10"/>
        <v>1</v>
      </c>
      <c r="M44" s="12">
        <f t="shared" si="11"/>
        <v>2</v>
      </c>
      <c r="N44" s="38"/>
      <c r="O44" s="38"/>
      <c r="P44" s="11" t="s">
        <v>9</v>
      </c>
      <c r="Q44" s="46"/>
      <c r="R44" s="47" t="s">
        <v>125</v>
      </c>
      <c r="S44" s="48" t="s">
        <v>268</v>
      </c>
      <c r="T44" s="49" t="s">
        <v>269</v>
      </c>
      <c r="U44" s="50"/>
      <c r="V44" s="51" t="s">
        <v>270</v>
      </c>
      <c r="W44" s="52"/>
      <c r="X44" s="53" t="s">
        <v>271</v>
      </c>
      <c r="Y44" s="54"/>
      <c r="Z44" s="55" t="s">
        <v>267</v>
      </c>
      <c r="AA44" s="56"/>
      <c r="AB44" s="57" t="s">
        <v>131</v>
      </c>
      <c r="AC44" s="58"/>
      <c r="AD44" s="59" t="s">
        <v>133</v>
      </c>
      <c r="AE44" s="60"/>
      <c r="AF44" s="61" t="s">
        <v>124</v>
      </c>
      <c r="AG44" s="62" t="s">
        <v>227</v>
      </c>
      <c r="AH44" s="63" t="s">
        <v>40</v>
      </c>
      <c r="AI44" s="11">
        <f>IFERROR(VLOOKUP(AJ44,Категории!$B$11:$E$51,4,FALSE),0)</f>
        <v>1</v>
      </c>
      <c r="AJ44" s="11" t="str">
        <f t="shared" si="12"/>
        <v>Компл. с монтажом на рейку</v>
      </c>
      <c r="AK44" s="11" t="str">
        <f>IF(AH44=Категории!$B$39,Категории!$B$43,IF(AH44=Категории!$B$40,Категории!$B$43,IF(AH44=Категории!$B$41,Категории!$B$44,AH44)))</f>
        <v>Компл. с монтажом на рейку</v>
      </c>
      <c r="AL44" s="11" t="str">
        <f>IF(AH44=Категории!$B$32,Категории!$B$35,IF(AH44=Категории!$B$33,Категории!$B$36,IF(AH44=Категории!$B$39,Категории!$B$43,IF(AH44=Категории!$B$40,Категории!$B$43,IF(AH44=Категории!$B$41,Категории!$B$44,AH44)))))</f>
        <v>Компл. с монтажом на рейку</v>
      </c>
      <c r="AM44" s="11" t="str">
        <f>IF(OR(AH44=Категории!$B$30,AH44=Категории!$B$31),1,"")</f>
        <v/>
      </c>
      <c r="AN44" s="11" t="str">
        <f>IF(AH44=Категории!$B$14,1,"")</f>
        <v/>
      </c>
      <c r="AO44" s="64"/>
      <c r="AP44" s="11" t="s">
        <v>121</v>
      </c>
      <c r="AQ44" s="11" t="e">
        <f>IF(VALUE(#REF!)&gt;1,IF(VALUE(AD44)&lt;#REF!,1,0),0)</f>
        <v>#REF!</v>
      </c>
    </row>
    <row r="45" spans="1:43" ht="37.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43" ht="37.5" customHeigh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43" ht="37.5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spans="1:43" ht="37.5" hidden="1" customHeight="1" x14ac:dyDescent="0.25"/>
  </sheetData>
  <dataValidations disablePrompts="1" count="1">
    <dataValidation type="list" allowBlank="1" showInputMessage="1" showErrorMessage="1" sqref="AI1:AI11 AI45:AI1048576">
      <formula1>#REF!</formula1>
    </dataValidation>
  </dataValidations>
  <pageMargins left="0.23622047244094491" right="0.43307086614173229" top="0.27559055118110237" bottom="0.23622047244094491" header="0.31496062992125984" footer="0.23622047244094491"/>
  <pageSetup paperSize="9"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Категории!$D$2:$D$4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O51"/>
  <sheetViews>
    <sheetView zoomScale="85" zoomScaleNormal="85" workbookViewId="0">
      <pane xSplit="6" ySplit="10" topLeftCell="G11" activePane="bottomRight" state="frozen"/>
      <selection pane="topRight" activeCell="H1" sqref="H1"/>
      <selection pane="bottomLeft" activeCell="A7" sqref="A7"/>
      <selection pane="bottomRight" activeCell="B24" sqref="B24"/>
    </sheetView>
  </sheetViews>
  <sheetFormatPr defaultColWidth="9.140625" defaultRowHeight="15" x14ac:dyDescent="0.25"/>
  <cols>
    <col min="1" max="1" width="8.5703125" style="5" customWidth="1"/>
    <col min="2" max="2" width="41.85546875" style="5" customWidth="1"/>
    <col min="3" max="3" width="21.5703125" style="5" hidden="1" customWidth="1"/>
    <col min="4" max="4" width="33.42578125" style="3" customWidth="1"/>
    <col min="5" max="5" width="19" style="5" customWidth="1"/>
    <col min="6" max="6" width="35" style="3" customWidth="1"/>
    <col min="7" max="7" width="25.28515625" style="5" customWidth="1"/>
    <col min="8" max="10" width="9.140625" style="5" customWidth="1"/>
    <col min="11" max="16384" width="9.140625" style="5"/>
  </cols>
  <sheetData>
    <row r="1" spans="1:15" hidden="1" x14ac:dyDescent="0.25"/>
    <row r="2" spans="1:15" hidden="1" x14ac:dyDescent="0.25">
      <c r="E2" s="5" t="s">
        <v>98</v>
      </c>
      <c r="F2" s="3">
        <v>1</v>
      </c>
      <c r="H2" s="3"/>
    </row>
    <row r="3" spans="1:15" hidden="1" x14ac:dyDescent="0.25">
      <c r="E3" s="5" t="s">
        <v>101</v>
      </c>
      <c r="F3" s="3">
        <v>2</v>
      </c>
      <c r="H3" s="3"/>
    </row>
    <row r="4" spans="1:15" hidden="1" x14ac:dyDescent="0.25">
      <c r="E4" s="5" t="s">
        <v>102</v>
      </c>
      <c r="F4" s="3">
        <v>3</v>
      </c>
      <c r="H4" s="3"/>
    </row>
    <row r="5" spans="1:15" hidden="1" x14ac:dyDescent="0.25">
      <c r="H5" s="3"/>
    </row>
    <row r="6" spans="1:15" hidden="1" x14ac:dyDescent="0.25">
      <c r="H6" s="3"/>
    </row>
    <row r="7" spans="1:15" hidden="1" x14ac:dyDescent="0.25">
      <c r="D7" s="3" t="s">
        <v>13</v>
      </c>
      <c r="H7" s="3"/>
    </row>
    <row r="8" spans="1:15" hidden="1" x14ac:dyDescent="0.25">
      <c r="D8" s="3" t="s">
        <v>13</v>
      </c>
    </row>
    <row r="9" spans="1:15" hidden="1" x14ac:dyDescent="0.25">
      <c r="B9" s="5" t="s">
        <v>106</v>
      </c>
      <c r="D9" s="3">
        <v>5</v>
      </c>
    </row>
    <row r="10" spans="1:15" x14ac:dyDescent="0.25">
      <c r="A10" s="2" t="s">
        <v>16</v>
      </c>
      <c r="B10" s="2" t="s">
        <v>17</v>
      </c>
      <c r="C10" s="2" t="s">
        <v>18</v>
      </c>
      <c r="D10" s="7" t="s">
        <v>19</v>
      </c>
      <c r="E10" s="2" t="s">
        <v>20</v>
      </c>
      <c r="F10" s="7" t="s">
        <v>21</v>
      </c>
      <c r="G10" s="7" t="s">
        <v>107</v>
      </c>
      <c r="H10" s="3"/>
      <c r="I10" s="3"/>
      <c r="J10" s="3"/>
      <c r="K10" s="3"/>
      <c r="L10" s="3"/>
      <c r="M10" s="3"/>
      <c r="N10" s="3"/>
      <c r="O10" s="3"/>
    </row>
    <row r="11" spans="1:15" ht="30" x14ac:dyDescent="0.25">
      <c r="A11" s="2">
        <v>1</v>
      </c>
      <c r="B11" s="2" t="s">
        <v>22</v>
      </c>
      <c r="C11" s="2" t="s">
        <v>23</v>
      </c>
      <c r="D11" s="7" t="s">
        <v>24</v>
      </c>
      <c r="E11" s="2">
        <v>180</v>
      </c>
      <c r="F11" s="7"/>
      <c r="G11" s="2">
        <f>E11*$D$9</f>
        <v>900</v>
      </c>
    </row>
    <row r="12" spans="1:15" ht="45" x14ac:dyDescent="0.25">
      <c r="A12" s="2">
        <v>2</v>
      </c>
      <c r="B12" s="2" t="s">
        <v>25</v>
      </c>
      <c r="C12" s="2" t="s">
        <v>23</v>
      </c>
      <c r="D12" s="7" t="s">
        <v>26</v>
      </c>
      <c r="E12" s="2">
        <v>60</v>
      </c>
      <c r="F12" s="7"/>
      <c r="G12" s="2">
        <f>E12*$D$9</f>
        <v>300</v>
      </c>
    </row>
    <row r="13" spans="1:15" ht="30" x14ac:dyDescent="0.25">
      <c r="A13" s="2">
        <v>3</v>
      </c>
      <c r="B13" s="2" t="s">
        <v>27</v>
      </c>
      <c r="C13" s="2" t="s">
        <v>23</v>
      </c>
      <c r="D13" s="7" t="s">
        <v>28</v>
      </c>
      <c r="E13" s="2">
        <v>30</v>
      </c>
      <c r="F13" s="7"/>
      <c r="G13" s="2">
        <f t="shared" ref="G13:G51" si="0">E13*$D$9</f>
        <v>150</v>
      </c>
    </row>
    <row r="14" spans="1:15" ht="30" x14ac:dyDescent="0.25">
      <c r="A14" s="2">
        <v>4</v>
      </c>
      <c r="B14" s="2" t="s">
        <v>29</v>
      </c>
      <c r="C14" s="2" t="s">
        <v>23</v>
      </c>
      <c r="D14" s="7" t="s">
        <v>30</v>
      </c>
      <c r="E14" s="2">
        <v>120</v>
      </c>
      <c r="F14" s="7" t="s">
        <v>31</v>
      </c>
      <c r="G14" s="2">
        <f t="shared" si="0"/>
        <v>600</v>
      </c>
    </row>
    <row r="15" spans="1:15" ht="30" x14ac:dyDescent="0.25">
      <c r="A15" s="2">
        <v>5</v>
      </c>
      <c r="B15" s="2" t="s">
        <v>32</v>
      </c>
      <c r="C15" s="2" t="s">
        <v>23</v>
      </c>
      <c r="D15" s="7" t="s">
        <v>108</v>
      </c>
      <c r="E15" s="2">
        <v>35</v>
      </c>
      <c r="F15" s="7" t="s">
        <v>33</v>
      </c>
      <c r="G15" s="2">
        <f t="shared" si="0"/>
        <v>175</v>
      </c>
    </row>
    <row r="16" spans="1:15" ht="45" x14ac:dyDescent="0.25">
      <c r="A16" s="2">
        <v>6</v>
      </c>
      <c r="B16" s="2" t="s">
        <v>34</v>
      </c>
      <c r="C16" s="2" t="s">
        <v>23</v>
      </c>
      <c r="D16" s="7" t="s">
        <v>108</v>
      </c>
      <c r="E16" s="2">
        <v>15</v>
      </c>
      <c r="F16" s="7" t="s">
        <v>35</v>
      </c>
      <c r="G16" s="2">
        <f t="shared" si="0"/>
        <v>75</v>
      </c>
    </row>
    <row r="17" spans="1:9" x14ac:dyDescent="0.25">
      <c r="A17" s="2">
        <v>7</v>
      </c>
      <c r="B17" s="9" t="s">
        <v>85</v>
      </c>
      <c r="C17" s="2" t="s">
        <v>14</v>
      </c>
      <c r="D17" s="10" t="s">
        <v>86</v>
      </c>
      <c r="E17" s="2">
        <v>5</v>
      </c>
      <c r="F17" s="7" t="s">
        <v>109</v>
      </c>
      <c r="G17" s="2">
        <f t="shared" si="0"/>
        <v>25</v>
      </c>
    </row>
    <row r="18" spans="1:9" ht="45" x14ac:dyDescent="0.25">
      <c r="A18" s="2">
        <v>8</v>
      </c>
      <c r="B18" s="2" t="s">
        <v>36</v>
      </c>
      <c r="C18" s="2" t="s">
        <v>23</v>
      </c>
      <c r="D18" s="7" t="s">
        <v>37</v>
      </c>
      <c r="E18" s="2">
        <v>15</v>
      </c>
      <c r="F18" s="7" t="s">
        <v>110</v>
      </c>
      <c r="G18" s="2">
        <f t="shared" si="0"/>
        <v>75</v>
      </c>
      <c r="I18" s="3"/>
    </row>
    <row r="19" spans="1:9" ht="45" x14ac:dyDescent="0.25">
      <c r="A19" s="2">
        <v>9</v>
      </c>
      <c r="B19" s="2" t="s">
        <v>38</v>
      </c>
      <c r="C19" s="2" t="s">
        <v>23</v>
      </c>
      <c r="D19" s="7" t="s">
        <v>39</v>
      </c>
      <c r="E19" s="2">
        <v>15</v>
      </c>
      <c r="F19" s="7" t="s">
        <v>111</v>
      </c>
      <c r="G19" s="2">
        <f t="shared" si="0"/>
        <v>75</v>
      </c>
      <c r="I19" s="3"/>
    </row>
    <row r="20" spans="1:9" ht="30" x14ac:dyDescent="0.25">
      <c r="A20" s="2">
        <v>10</v>
      </c>
      <c r="B20" s="2" t="s">
        <v>40</v>
      </c>
      <c r="C20" s="2" t="s">
        <v>14</v>
      </c>
      <c r="D20" s="7" t="s">
        <v>41</v>
      </c>
      <c r="E20" s="2">
        <v>1</v>
      </c>
      <c r="F20" s="7" t="s">
        <v>112</v>
      </c>
      <c r="G20" s="2">
        <f t="shared" si="0"/>
        <v>5</v>
      </c>
    </row>
    <row r="21" spans="1:9" ht="30" x14ac:dyDescent="0.25">
      <c r="A21" s="2">
        <v>11</v>
      </c>
      <c r="B21" s="2" t="s">
        <v>72</v>
      </c>
      <c r="C21" s="2" t="s">
        <v>14</v>
      </c>
      <c r="D21" s="7" t="s">
        <v>42</v>
      </c>
      <c r="E21" s="2">
        <v>1</v>
      </c>
      <c r="F21" s="7" t="s">
        <v>113</v>
      </c>
      <c r="G21" s="2">
        <f t="shared" si="0"/>
        <v>5</v>
      </c>
    </row>
    <row r="22" spans="1:9" ht="60" x14ac:dyDescent="0.25">
      <c r="A22" s="2">
        <v>12</v>
      </c>
      <c r="B22" s="2" t="s">
        <v>43</v>
      </c>
      <c r="C22" s="2" t="s">
        <v>14</v>
      </c>
      <c r="D22" s="7" t="s">
        <v>44</v>
      </c>
      <c r="E22" s="2">
        <v>20</v>
      </c>
      <c r="F22" s="7" t="s">
        <v>114</v>
      </c>
      <c r="G22" s="2">
        <f t="shared" si="0"/>
        <v>100</v>
      </c>
    </row>
    <row r="23" spans="1:9" ht="60" x14ac:dyDescent="0.25">
      <c r="A23" s="2">
        <v>13</v>
      </c>
      <c r="B23" s="2" t="s">
        <v>45</v>
      </c>
      <c r="C23" s="2" t="s">
        <v>14</v>
      </c>
      <c r="D23" s="7" t="s">
        <v>44</v>
      </c>
      <c r="E23" s="2">
        <v>40</v>
      </c>
      <c r="F23" s="7" t="s">
        <v>115</v>
      </c>
      <c r="G23" s="2">
        <f t="shared" si="0"/>
        <v>200</v>
      </c>
    </row>
    <row r="24" spans="1:9" ht="105" x14ac:dyDescent="0.25">
      <c r="A24" s="2">
        <v>14</v>
      </c>
      <c r="B24" s="2" t="s">
        <v>46</v>
      </c>
      <c r="C24" s="2" t="s">
        <v>14</v>
      </c>
      <c r="D24" s="7" t="s">
        <v>47</v>
      </c>
      <c r="E24" s="2">
        <v>300</v>
      </c>
      <c r="F24" s="7" t="s">
        <v>116</v>
      </c>
      <c r="G24" s="2">
        <f t="shared" si="0"/>
        <v>1500</v>
      </c>
    </row>
    <row r="25" spans="1:9" ht="30" x14ac:dyDescent="0.25">
      <c r="A25" s="2">
        <v>15</v>
      </c>
      <c r="B25" s="2" t="s">
        <v>76</v>
      </c>
      <c r="C25" s="2" t="s">
        <v>14</v>
      </c>
      <c r="D25" s="7" t="s">
        <v>48</v>
      </c>
      <c r="E25" s="2">
        <v>10</v>
      </c>
      <c r="F25" s="7" t="s">
        <v>49</v>
      </c>
      <c r="G25" s="2">
        <f t="shared" si="0"/>
        <v>50</v>
      </c>
    </row>
    <row r="26" spans="1:9" ht="45" x14ac:dyDescent="0.25">
      <c r="A26" s="2">
        <v>16</v>
      </c>
      <c r="B26" s="2" t="s">
        <v>50</v>
      </c>
      <c r="C26" s="2" t="s">
        <v>14</v>
      </c>
      <c r="D26" s="7" t="s">
        <v>51</v>
      </c>
      <c r="E26" s="2">
        <v>25</v>
      </c>
      <c r="F26" s="7" t="s">
        <v>52</v>
      </c>
      <c r="G26" s="2">
        <f t="shared" si="0"/>
        <v>125</v>
      </c>
    </row>
    <row r="27" spans="1:9" ht="30" x14ac:dyDescent="0.25">
      <c r="A27" s="2">
        <v>17</v>
      </c>
      <c r="B27" s="2" t="s">
        <v>53</v>
      </c>
      <c r="C27" s="2" t="s">
        <v>14</v>
      </c>
      <c r="D27" s="7" t="s">
        <v>54</v>
      </c>
      <c r="E27" s="2">
        <v>10</v>
      </c>
      <c r="F27" s="7" t="s">
        <v>55</v>
      </c>
      <c r="G27" s="2">
        <f t="shared" si="0"/>
        <v>50</v>
      </c>
    </row>
    <row r="28" spans="1:9" ht="45" x14ac:dyDescent="0.25">
      <c r="A28" s="2">
        <v>18</v>
      </c>
      <c r="B28" s="2" t="s">
        <v>56</v>
      </c>
      <c r="C28" s="2" t="s">
        <v>14</v>
      </c>
      <c r="D28" s="7" t="s">
        <v>57</v>
      </c>
      <c r="E28" s="2">
        <v>20</v>
      </c>
      <c r="F28" s="7"/>
      <c r="G28" s="2">
        <f t="shared" si="0"/>
        <v>100</v>
      </c>
    </row>
    <row r="29" spans="1:9" ht="30" x14ac:dyDescent="0.25">
      <c r="A29" s="2">
        <v>19</v>
      </c>
      <c r="B29" s="2" t="s">
        <v>58</v>
      </c>
      <c r="C29" s="2" t="s">
        <v>15</v>
      </c>
      <c r="D29" s="7" t="s">
        <v>59</v>
      </c>
      <c r="E29" s="2">
        <v>10</v>
      </c>
      <c r="F29" s="7"/>
      <c r="G29" s="2">
        <f t="shared" si="0"/>
        <v>50</v>
      </c>
    </row>
    <row r="30" spans="1:9" ht="30" x14ac:dyDescent="0.25">
      <c r="A30" s="2">
        <v>20</v>
      </c>
      <c r="B30" s="2" t="s">
        <v>60</v>
      </c>
      <c r="C30" s="2" t="s">
        <v>15</v>
      </c>
      <c r="D30" s="7" t="s">
        <v>118</v>
      </c>
      <c r="E30" s="2">
        <v>20</v>
      </c>
      <c r="F30" s="7"/>
      <c r="G30" s="2">
        <f t="shared" si="0"/>
        <v>100</v>
      </c>
    </row>
    <row r="31" spans="1:9" ht="30" x14ac:dyDescent="0.25">
      <c r="A31" s="2">
        <v>21</v>
      </c>
      <c r="B31" s="2" t="s">
        <v>61</v>
      </c>
      <c r="C31" s="2" t="s">
        <v>15</v>
      </c>
      <c r="D31" s="7" t="s">
        <v>117</v>
      </c>
      <c r="E31" s="2">
        <v>60</v>
      </c>
      <c r="F31" s="7"/>
      <c r="G31" s="2">
        <f t="shared" si="0"/>
        <v>300</v>
      </c>
    </row>
    <row r="32" spans="1:9" x14ac:dyDescent="0.25">
      <c r="A32" s="2">
        <v>22</v>
      </c>
      <c r="B32" s="2" t="s">
        <v>62</v>
      </c>
      <c r="C32" s="2" t="s">
        <v>15</v>
      </c>
      <c r="D32" s="10" t="s">
        <v>87</v>
      </c>
      <c r="E32" s="2">
        <v>25</v>
      </c>
      <c r="F32" s="7"/>
      <c r="G32" s="2">
        <f t="shared" si="0"/>
        <v>125</v>
      </c>
    </row>
    <row r="33" spans="1:7" x14ac:dyDescent="0.25">
      <c r="A33" s="2">
        <v>23</v>
      </c>
      <c r="B33" s="2" t="s">
        <v>63</v>
      </c>
      <c r="C33" s="2" t="s">
        <v>15</v>
      </c>
      <c r="D33" s="10" t="s">
        <v>87</v>
      </c>
      <c r="E33" s="2">
        <v>30</v>
      </c>
      <c r="F33" s="7"/>
      <c r="G33" s="2">
        <f t="shared" si="0"/>
        <v>150</v>
      </c>
    </row>
    <row r="34" spans="1:7" ht="30" x14ac:dyDescent="0.25">
      <c r="A34" s="2">
        <v>24</v>
      </c>
      <c r="B34" s="2" t="s">
        <v>64</v>
      </c>
      <c r="C34" s="2" t="s">
        <v>15</v>
      </c>
      <c r="D34" s="10" t="s">
        <v>88</v>
      </c>
      <c r="E34" s="2">
        <v>80</v>
      </c>
      <c r="F34" s="7"/>
      <c r="G34" s="2">
        <f t="shared" si="0"/>
        <v>400</v>
      </c>
    </row>
    <row r="35" spans="1:7" ht="30" x14ac:dyDescent="0.25">
      <c r="A35" s="2">
        <v>25</v>
      </c>
      <c r="B35" s="9" t="s">
        <v>89</v>
      </c>
      <c r="C35" s="2" t="s">
        <v>15</v>
      </c>
      <c r="D35" s="10" t="s">
        <v>88</v>
      </c>
      <c r="E35" s="2">
        <v>60</v>
      </c>
      <c r="F35" s="7"/>
      <c r="G35" s="2">
        <f t="shared" si="0"/>
        <v>300</v>
      </c>
    </row>
    <row r="36" spans="1:7" ht="30" x14ac:dyDescent="0.25">
      <c r="A36" s="2">
        <v>26</v>
      </c>
      <c r="B36" s="9" t="s">
        <v>90</v>
      </c>
      <c r="C36" s="2" t="s">
        <v>15</v>
      </c>
      <c r="D36" s="10" t="s">
        <v>88</v>
      </c>
      <c r="E36" s="2">
        <v>70</v>
      </c>
      <c r="F36" s="7"/>
      <c r="G36" s="2">
        <f t="shared" si="0"/>
        <v>350</v>
      </c>
    </row>
    <row r="37" spans="1:7" x14ac:dyDescent="0.25">
      <c r="A37" s="2">
        <v>27</v>
      </c>
      <c r="B37" s="2" t="s">
        <v>65</v>
      </c>
      <c r="C37" s="2" t="s">
        <v>15</v>
      </c>
      <c r="D37" s="7" t="s">
        <v>66</v>
      </c>
      <c r="E37" s="2">
        <v>60</v>
      </c>
      <c r="F37" s="7" t="s">
        <v>67</v>
      </c>
      <c r="G37" s="2">
        <f t="shared" si="0"/>
        <v>300</v>
      </c>
    </row>
    <row r="38" spans="1:7" ht="30" x14ac:dyDescent="0.25">
      <c r="A38" s="2">
        <v>28</v>
      </c>
      <c r="B38" s="2" t="s">
        <v>68</v>
      </c>
      <c r="C38" s="2" t="s">
        <v>15</v>
      </c>
      <c r="D38" s="7" t="s">
        <v>69</v>
      </c>
      <c r="E38" s="2">
        <v>30</v>
      </c>
      <c r="F38" s="7" t="s">
        <v>70</v>
      </c>
      <c r="G38" s="2">
        <f t="shared" si="0"/>
        <v>150</v>
      </c>
    </row>
    <row r="39" spans="1:7" ht="45" x14ac:dyDescent="0.25">
      <c r="A39" s="2">
        <v>29</v>
      </c>
      <c r="B39" s="2" t="s">
        <v>73</v>
      </c>
      <c r="C39" s="2" t="s">
        <v>71</v>
      </c>
      <c r="D39" s="7" t="s">
        <v>84</v>
      </c>
      <c r="E39" s="4">
        <v>1.75</v>
      </c>
      <c r="F39" s="7"/>
      <c r="G39" s="2">
        <f t="shared" si="0"/>
        <v>8.75</v>
      </c>
    </row>
    <row r="40" spans="1:7" ht="45" x14ac:dyDescent="0.25">
      <c r="A40" s="2">
        <v>30</v>
      </c>
      <c r="B40" s="2" t="s">
        <v>95</v>
      </c>
      <c r="C40" s="2"/>
      <c r="D40" s="7" t="s">
        <v>84</v>
      </c>
      <c r="E40" s="4">
        <f>E39*2</f>
        <v>3.5</v>
      </c>
      <c r="F40" s="7"/>
      <c r="G40" s="2">
        <f t="shared" si="0"/>
        <v>17.5</v>
      </c>
    </row>
    <row r="41" spans="1:7" ht="45" x14ac:dyDescent="0.25">
      <c r="A41" s="2">
        <v>31</v>
      </c>
      <c r="B41" s="2" t="s">
        <v>74</v>
      </c>
      <c r="C41" s="2" t="s">
        <v>71</v>
      </c>
      <c r="D41" s="7" t="s">
        <v>84</v>
      </c>
      <c r="E41" s="4">
        <v>5</v>
      </c>
      <c r="F41" s="7"/>
      <c r="G41" s="2">
        <f t="shared" si="0"/>
        <v>25</v>
      </c>
    </row>
    <row r="42" spans="1:7" ht="45" x14ac:dyDescent="0.25">
      <c r="A42" s="2">
        <v>32</v>
      </c>
      <c r="B42" s="2" t="s">
        <v>75</v>
      </c>
      <c r="C42" s="2" t="s">
        <v>71</v>
      </c>
      <c r="D42" s="7" t="s">
        <v>84</v>
      </c>
      <c r="E42" s="4">
        <v>15</v>
      </c>
      <c r="F42" s="7"/>
      <c r="G42" s="2">
        <f t="shared" si="0"/>
        <v>75</v>
      </c>
    </row>
    <row r="43" spans="1:7" ht="60" x14ac:dyDescent="0.25">
      <c r="A43" s="2">
        <v>33</v>
      </c>
      <c r="B43" s="9" t="s">
        <v>91</v>
      </c>
      <c r="C43" s="2" t="s">
        <v>71</v>
      </c>
      <c r="D43" s="10" t="s">
        <v>92</v>
      </c>
      <c r="E43" s="4">
        <v>3.5</v>
      </c>
      <c r="F43" s="7"/>
      <c r="G43" s="2">
        <f t="shared" si="0"/>
        <v>17.5</v>
      </c>
    </row>
    <row r="44" spans="1:7" ht="60" x14ac:dyDescent="0.25">
      <c r="A44" s="2">
        <v>34</v>
      </c>
      <c r="B44" s="9" t="s">
        <v>93</v>
      </c>
      <c r="C44" s="2" t="s">
        <v>71</v>
      </c>
      <c r="D44" s="10" t="s">
        <v>92</v>
      </c>
      <c r="E44" s="4">
        <v>10</v>
      </c>
      <c r="F44" s="7"/>
      <c r="G44" s="2">
        <f t="shared" si="0"/>
        <v>50</v>
      </c>
    </row>
    <row r="45" spans="1:7" ht="45" x14ac:dyDescent="0.25">
      <c r="A45" s="2">
        <v>35</v>
      </c>
      <c r="B45" s="6" t="s">
        <v>79</v>
      </c>
      <c r="C45" s="6"/>
      <c r="D45" s="8" t="s">
        <v>80</v>
      </c>
      <c r="E45" s="6">
        <v>0</v>
      </c>
      <c r="F45" s="8" t="s">
        <v>81</v>
      </c>
      <c r="G45" s="2">
        <f t="shared" si="0"/>
        <v>0</v>
      </c>
    </row>
    <row r="46" spans="1:7" x14ac:dyDescent="0.25">
      <c r="A46" s="2">
        <v>36</v>
      </c>
      <c r="B46" s="2" t="s">
        <v>82</v>
      </c>
      <c r="C46" s="2" t="s">
        <v>15</v>
      </c>
      <c r="D46" s="7" t="s">
        <v>83</v>
      </c>
      <c r="E46" s="2">
        <v>40</v>
      </c>
      <c r="F46" s="7"/>
      <c r="G46" s="2">
        <f t="shared" si="0"/>
        <v>200</v>
      </c>
    </row>
    <row r="47" spans="1:7" x14ac:dyDescent="0.25">
      <c r="A47" s="2">
        <v>37</v>
      </c>
      <c r="B47" s="6" t="s">
        <v>94</v>
      </c>
      <c r="C47" s="2" t="s">
        <v>14</v>
      </c>
      <c r="D47" s="6" t="s">
        <v>119</v>
      </c>
      <c r="E47" s="6">
        <v>60</v>
      </c>
      <c r="F47" s="6"/>
      <c r="G47" s="2">
        <f t="shared" si="0"/>
        <v>300</v>
      </c>
    </row>
    <row r="48" spans="1:7" x14ac:dyDescent="0.25">
      <c r="A48" s="2">
        <v>38</v>
      </c>
      <c r="B48" s="2" t="s">
        <v>120</v>
      </c>
      <c r="C48" s="2"/>
      <c r="D48" s="7"/>
      <c r="E48" s="2">
        <v>60</v>
      </c>
      <c r="F48" s="7"/>
      <c r="G48" s="2">
        <v>300</v>
      </c>
    </row>
    <row r="49" spans="1:7" x14ac:dyDescent="0.25">
      <c r="A49" s="2">
        <v>39</v>
      </c>
      <c r="B49" s="2"/>
      <c r="C49" s="2"/>
      <c r="D49" s="7"/>
      <c r="E49" s="2"/>
      <c r="F49" s="7"/>
      <c r="G49" s="2">
        <f t="shared" si="0"/>
        <v>0</v>
      </c>
    </row>
    <row r="50" spans="1:7" x14ac:dyDescent="0.25">
      <c r="A50" s="2">
        <v>40</v>
      </c>
      <c r="B50" s="2"/>
      <c r="C50" s="2"/>
      <c r="D50" s="7"/>
      <c r="E50" s="2"/>
      <c r="F50" s="7"/>
      <c r="G50" s="2">
        <f t="shared" si="0"/>
        <v>0</v>
      </c>
    </row>
    <row r="51" spans="1:7" x14ac:dyDescent="0.25">
      <c r="A51" s="2">
        <v>41</v>
      </c>
      <c r="B51" s="2"/>
      <c r="C51" s="2"/>
      <c r="D51" s="7"/>
      <c r="E51" s="2"/>
      <c r="F51" s="7"/>
      <c r="G51" s="2">
        <f t="shared" si="0"/>
        <v>0</v>
      </c>
    </row>
  </sheetData>
  <pageMargins left="0.25" right="0.25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ЛЗК с копмлектацией</vt:lpstr>
      <vt:lpstr>Категории</vt:lpstr>
      <vt:lpstr>'ЛЗК с копмлектацией'!Заголовки_для_печати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2023-12-20T11:20:00Z</dcterms:modified>
</cp:coreProperties>
</file>