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ep_\OneDrive\Masaüstü\"/>
    </mc:Choice>
  </mc:AlternateContent>
  <xr:revisionPtr revIDLastSave="0" documentId="13_ncr:1_{6F3E4566-029A-47D6-9DE8-DEB84A815AF1}" xr6:coauthVersionLast="47" xr6:coauthVersionMax="47" xr10:uidLastSave="{00000000-0000-0000-0000-000000000000}"/>
  <bookViews>
    <workbookView xWindow="2595" yWindow="2595" windowWidth="15375" windowHeight="7875" xr2:uid="{00000000-000D-0000-FFFF-FFFF00000000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0" i="1" l="1"/>
  <c r="D98" i="1"/>
  <c r="D96" i="1"/>
  <c r="D95" i="1"/>
  <c r="D94" i="1"/>
  <c r="D93" i="1"/>
  <c r="D92" i="1"/>
  <c r="D91" i="1"/>
  <c r="D90" i="1"/>
  <c r="D89" i="1"/>
  <c r="D87" i="1"/>
  <c r="D86" i="1"/>
  <c r="D85" i="1"/>
  <c r="D76" i="1"/>
  <c r="D77" i="1" s="1"/>
  <c r="D57" i="1" l="1"/>
  <c r="D55" i="1"/>
  <c r="D51" i="1"/>
  <c r="D53" i="1"/>
  <c r="D30" i="1"/>
  <c r="D46" i="1" s="1"/>
  <c r="D23" i="1"/>
  <c r="D47" i="1" s="1"/>
  <c r="D5" i="1"/>
  <c r="D16" i="1"/>
  <c r="D17" i="1" s="1"/>
  <c r="D13" i="1"/>
  <c r="D11" i="1"/>
  <c r="D48" i="1" l="1"/>
  <c r="D49" i="1" s="1"/>
  <c r="D31" i="1"/>
  <c r="D34" i="1" s="1"/>
  <c r="D18" i="1"/>
  <c r="D20" i="1"/>
  <c r="D35" i="1" l="1"/>
  <c r="D36" i="1"/>
  <c r="D33" i="1"/>
  <c r="D37" i="1" l="1"/>
  <c r="D43" i="1" s="1"/>
  <c r="D38" i="1"/>
  <c r="D44" i="1" s="1"/>
  <c r="D39" i="1"/>
  <c r="D45" i="1" s="1"/>
  <c r="D15" i="1" l="1"/>
  <c r="D19" i="1" s="1"/>
  <c r="D73" i="1"/>
  <c r="D75" i="1" s="1"/>
  <c r="D78" i="1" s="1"/>
  <c r="D81" i="1" s="1"/>
  <c r="D82" i="1" s="1"/>
  <c r="D21" i="1"/>
  <c r="D22" i="1" s="1"/>
  <c r="D62" i="1" l="1"/>
  <c r="D63" i="1"/>
  <c r="D64" i="1" s="1"/>
  <c r="D65" i="1" s="1"/>
  <c r="D24" i="1"/>
  <c r="D25" i="1" s="1"/>
  <c r="D26" i="1" s="1"/>
  <c r="D59" i="1"/>
  <c r="D28" i="1" l="1"/>
  <c r="D70" i="1" s="1"/>
  <c r="D58" i="1"/>
  <c r="D60" i="1" s="1"/>
  <c r="D29" i="1" l="1"/>
  <c r="D66" i="1"/>
  <c r="D67" i="1" s="1"/>
  <c r="D68" i="1" s="1"/>
  <c r="D71" i="1" s="1"/>
  <c r="D69" i="1"/>
  <c r="D84" i="1" s="1"/>
</calcChain>
</file>

<file path=xl/sharedStrings.xml><?xml version="1.0" encoding="utf-8"?>
<sst xmlns="http://schemas.openxmlformats.org/spreadsheetml/2006/main" count="261" uniqueCount="174">
  <si>
    <t>Parameter</t>
  </si>
  <si>
    <t>Unit</t>
  </si>
  <si>
    <t>Value</t>
  </si>
  <si>
    <t>Rated Power</t>
  </si>
  <si>
    <t>Rated Speed</t>
  </si>
  <si>
    <t>rpm</t>
  </si>
  <si>
    <t>V</t>
  </si>
  <si>
    <t>Rated Voltage (line-to-line)</t>
  </si>
  <si>
    <t>VA</t>
  </si>
  <si>
    <t>Input Parameters</t>
  </si>
  <si>
    <t>Lagging</t>
  </si>
  <si>
    <t>-</t>
  </si>
  <si>
    <t>Frequency</t>
  </si>
  <si>
    <t>Hz</t>
  </si>
  <si>
    <t>#Phase</t>
  </si>
  <si>
    <t>#</t>
  </si>
  <si>
    <t>T</t>
  </si>
  <si>
    <t>Magnetic Loading (peak)</t>
  </si>
  <si>
    <t>Magnetic Loading (avg)</t>
  </si>
  <si>
    <t>Electric Loading (peak)</t>
  </si>
  <si>
    <t>Notes</t>
  </si>
  <si>
    <t>From Table, between 0,85-1,05</t>
  </si>
  <si>
    <t>From Table, between 35000-65000</t>
  </si>
  <si>
    <t>Electric Loading (rms)</t>
  </si>
  <si>
    <t>A/m</t>
  </si>
  <si>
    <t>From Table, between 4-6,5</t>
  </si>
  <si>
    <t>Current Density (rms)</t>
  </si>
  <si>
    <r>
      <t>A/mm</t>
    </r>
    <r>
      <rPr>
        <vertAlign val="superscript"/>
        <sz val="12"/>
        <color theme="1"/>
        <rFont val="Calibri"/>
        <family val="2"/>
        <scheme val="minor"/>
      </rPr>
      <t>2</t>
    </r>
  </si>
  <si>
    <t>Specific Machine Constant</t>
  </si>
  <si>
    <r>
      <t>kVAs/m</t>
    </r>
    <r>
      <rPr>
        <vertAlign val="superscript"/>
        <sz val="12"/>
        <color theme="1"/>
        <rFont val="Calibri"/>
        <family val="2"/>
        <charset val="162"/>
        <scheme val="minor"/>
      </rPr>
      <t>3</t>
    </r>
  </si>
  <si>
    <t>#Poles</t>
  </si>
  <si>
    <t>Pole Pair</t>
  </si>
  <si>
    <t>Mech. Frequency</t>
  </si>
  <si>
    <r>
      <t>D</t>
    </r>
    <r>
      <rPr>
        <vertAlign val="subscript"/>
        <sz val="12"/>
        <color theme="1"/>
        <rFont val="Calibri"/>
        <family val="2"/>
        <scheme val="minor"/>
      </rP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L' </t>
    </r>
  </si>
  <si>
    <r>
      <t>m</t>
    </r>
    <r>
      <rPr>
        <vertAlign val="superscript"/>
        <sz val="12"/>
        <color theme="1"/>
        <rFont val="Calibri"/>
        <family val="2"/>
        <charset val="162"/>
        <scheme val="minor"/>
      </rPr>
      <t>3</t>
    </r>
  </si>
  <si>
    <t>Aspect Ratio</t>
  </si>
  <si>
    <t>Axial Length</t>
  </si>
  <si>
    <t>m</t>
  </si>
  <si>
    <r>
      <t>equal to L'/D</t>
    </r>
    <r>
      <rPr>
        <vertAlign val="subscript"/>
        <sz val="12"/>
        <color theme="1"/>
        <rFont val="Calibri"/>
        <family val="2"/>
        <charset val="162"/>
        <scheme val="minor"/>
      </rPr>
      <t>i</t>
    </r>
  </si>
  <si>
    <r>
      <t>D</t>
    </r>
    <r>
      <rPr>
        <vertAlign val="subscript"/>
        <sz val="12"/>
        <color theme="1"/>
        <rFont val="Calibri"/>
        <family val="2"/>
        <charset val="162"/>
        <scheme val="minor"/>
      </rPr>
      <t>i</t>
    </r>
  </si>
  <si>
    <t>Active Power</t>
  </si>
  <si>
    <t>Phase Voltage</t>
  </si>
  <si>
    <t>Area of Poles</t>
  </si>
  <si>
    <r>
      <t>m</t>
    </r>
    <r>
      <rPr>
        <vertAlign val="superscript"/>
        <sz val="12"/>
        <color theme="1"/>
        <rFont val="Calibri"/>
        <family val="2"/>
        <charset val="162"/>
        <scheme val="minor"/>
      </rPr>
      <t>2</t>
    </r>
  </si>
  <si>
    <t>Flux per Pole</t>
  </si>
  <si>
    <t>Wb</t>
  </si>
  <si>
    <t>#Turns per Phase</t>
  </si>
  <si>
    <t>General assumption</t>
  </si>
  <si>
    <t>General assumption due to grid conditions</t>
  </si>
  <si>
    <t>Choosen Turns per Phase</t>
  </si>
  <si>
    <t>Choosen depends on #Turns per Phase</t>
  </si>
  <si>
    <t>Recalculated using Choosen Turns per Phase</t>
  </si>
  <si>
    <t>#Turns</t>
  </si>
  <si>
    <t>Calculated depends on Choosen Turns per Phase</t>
  </si>
  <si>
    <t>#Layer</t>
  </si>
  <si>
    <t>Slot/Phase/Pole</t>
  </si>
  <si>
    <t>#Slots</t>
  </si>
  <si>
    <t>Coil Pitch</t>
  </si>
  <si>
    <t>Slot Angle</t>
  </si>
  <si>
    <t>degree</t>
  </si>
  <si>
    <t>k_w1</t>
  </si>
  <si>
    <t>k_w3</t>
  </si>
  <si>
    <t>k_w5</t>
  </si>
  <si>
    <t>k_d1</t>
  </si>
  <si>
    <t>k_d3</t>
  </si>
  <si>
    <t>k_d5</t>
  </si>
  <si>
    <t>k_p1</t>
  </si>
  <si>
    <t>k_p3</t>
  </si>
  <si>
    <t>k_p5</t>
  </si>
  <si>
    <t>Since we have choosen full-pitch</t>
  </si>
  <si>
    <t>#Conductors</t>
  </si>
  <si>
    <t>Phase Current (rms)</t>
  </si>
  <si>
    <t>A</t>
  </si>
  <si>
    <t>Area of Conductors</t>
  </si>
  <si>
    <r>
      <t>mm</t>
    </r>
    <r>
      <rPr>
        <vertAlign val="superscript"/>
        <sz val="12"/>
        <color theme="1"/>
        <rFont val="Calibri"/>
        <family val="2"/>
        <charset val="162"/>
        <scheme val="minor"/>
      </rPr>
      <t>2</t>
    </r>
  </si>
  <si>
    <t>Conductor Area per Slot</t>
  </si>
  <si>
    <t>Tooth Flux Density (peak)</t>
  </si>
  <si>
    <t>Tooth Flux Density (avg)</t>
  </si>
  <si>
    <t>From Table, between 1,6-2,0</t>
  </si>
  <si>
    <t>From Table, between 1,0-1,5</t>
  </si>
  <si>
    <t>Stator Yoke Flux Density (peak)</t>
  </si>
  <si>
    <t>Rotor Yoke Flux Density (peak)</t>
  </si>
  <si>
    <t>Rotor Yoke Flux Density (avg)</t>
  </si>
  <si>
    <t>Pole Core Flux Density (peak)</t>
  </si>
  <si>
    <t>Pole Core Flux Density (avg)</t>
  </si>
  <si>
    <t>From Table, between 1,3-1,8</t>
  </si>
  <si>
    <t>Tooth Width</t>
  </si>
  <si>
    <t xml:space="preserve">mm </t>
  </si>
  <si>
    <t>Slot Pitch</t>
  </si>
  <si>
    <t>mm</t>
  </si>
  <si>
    <t>Slot Width</t>
  </si>
  <si>
    <r>
      <t>D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/D</t>
    </r>
    <r>
      <rPr>
        <vertAlign val="subscript"/>
        <sz val="12"/>
        <color theme="1"/>
        <rFont val="Calibri"/>
        <family val="2"/>
        <scheme val="minor"/>
      </rPr>
      <t>o</t>
    </r>
  </si>
  <si>
    <t>Pole Pitch</t>
  </si>
  <si>
    <t>General Assumption</t>
  </si>
  <si>
    <t>Airgap</t>
  </si>
  <si>
    <t>Equation is taken from Lecture Book</t>
  </si>
  <si>
    <r>
      <t>D</t>
    </r>
    <r>
      <rPr>
        <vertAlign val="subscript"/>
        <sz val="12"/>
        <color theme="1"/>
        <rFont val="Calibri"/>
        <family val="2"/>
        <scheme val="minor"/>
      </rPr>
      <t>o</t>
    </r>
  </si>
  <si>
    <t>First calculated as k_w is equal to 1, after corrected</t>
  </si>
  <si>
    <t>Stator Yoke Flux Density (avg)</t>
  </si>
  <si>
    <t>Stator Yoke Thickness</t>
  </si>
  <si>
    <t>Rotor Yoke Thickness</t>
  </si>
  <si>
    <t>Slot Height</t>
  </si>
  <si>
    <r>
      <t>mm</t>
    </r>
    <r>
      <rPr>
        <vertAlign val="superscript"/>
        <sz val="12"/>
        <color theme="1"/>
        <rFont val="Calibri"/>
        <family val="2"/>
        <scheme val="minor"/>
      </rPr>
      <t>2</t>
    </r>
  </si>
  <si>
    <t>Slot Area</t>
  </si>
  <si>
    <t>Pole Width</t>
  </si>
  <si>
    <t>Fill Factor</t>
  </si>
  <si>
    <t>Permeability of Air</t>
  </si>
  <si>
    <t>H/m</t>
  </si>
  <si>
    <t>Stator MMF per Pole</t>
  </si>
  <si>
    <t>A x turns</t>
  </si>
  <si>
    <t>SCR</t>
  </si>
  <si>
    <t>No-Load Field MMF per Pole</t>
  </si>
  <si>
    <t>Full-Load Field MMF per Pole</t>
  </si>
  <si>
    <r>
      <t>cos(</t>
    </r>
    <r>
      <rPr>
        <sz val="12"/>
        <color theme="1"/>
        <rFont val="Calibri"/>
        <family val="2"/>
      </rPr>
      <t>φ</t>
    </r>
    <r>
      <rPr>
        <sz val="10.8"/>
        <color theme="1"/>
        <rFont val="Calibri"/>
        <family val="2"/>
      </rPr>
      <t>)</t>
    </r>
  </si>
  <si>
    <t>sin(φ)</t>
  </si>
  <si>
    <t>Current Density for Rotor Winding</t>
  </si>
  <si>
    <t>From Table, between 2-3.5</t>
  </si>
  <si>
    <t>Between 1-1.5 for hydrogenerators</t>
  </si>
  <si>
    <t>Fill Factor for Rotor Winding</t>
  </si>
  <si>
    <t>Area of Rotor Winding</t>
  </si>
  <si>
    <t>Area of Empty Space Between Two Poles</t>
  </si>
  <si>
    <r>
      <t>d</t>
    </r>
    <r>
      <rPr>
        <vertAlign val="subscript"/>
        <sz val="12"/>
        <color theme="1"/>
        <rFont val="Calibri"/>
        <family val="2"/>
        <scheme val="minor"/>
      </rPr>
      <t>i</t>
    </r>
  </si>
  <si>
    <t>It has been choosen considering the shaft and spider connections</t>
  </si>
  <si>
    <t>S</t>
  </si>
  <si>
    <t>PF</t>
  </si>
  <si>
    <t>P</t>
  </si>
  <si>
    <t>n</t>
  </si>
  <si>
    <t>V_l</t>
  </si>
  <si>
    <t>f</t>
  </si>
  <si>
    <t>B_g,peak</t>
  </si>
  <si>
    <t>B_g,avg</t>
  </si>
  <si>
    <t>A_peak</t>
  </si>
  <si>
    <t>A_rms</t>
  </si>
  <si>
    <t>J</t>
  </si>
  <si>
    <t>C</t>
  </si>
  <si>
    <t>p</t>
  </si>
  <si>
    <t>f_mech</t>
  </si>
  <si>
    <t>X</t>
  </si>
  <si>
    <t>L'</t>
  </si>
  <si>
    <t>D_i</t>
  </si>
  <si>
    <t>V_ph</t>
  </si>
  <si>
    <t>Area_poles</t>
  </si>
  <si>
    <t>fi_per pole</t>
  </si>
  <si>
    <t>N_per phase</t>
  </si>
  <si>
    <t>N</t>
  </si>
  <si>
    <t>Q</t>
  </si>
  <si>
    <t>q</t>
  </si>
  <si>
    <t>alpha</t>
  </si>
  <si>
    <t>lamda</t>
  </si>
  <si>
    <t>I_phase</t>
  </si>
  <si>
    <t>Area_cond</t>
  </si>
  <si>
    <t>Area_cond per slot</t>
  </si>
  <si>
    <t>B</t>
  </si>
  <si>
    <t>g</t>
  </si>
  <si>
    <t>d_o</t>
  </si>
  <si>
    <t>Rotor Outer Dia,</t>
  </si>
  <si>
    <t>mu_0</t>
  </si>
  <si>
    <t>J_sth</t>
  </si>
  <si>
    <t>Width of Empty Part Next to Pole</t>
  </si>
  <si>
    <t>Total Pole Height</t>
  </si>
  <si>
    <t>Pole Core Height</t>
  </si>
  <si>
    <t>Pole Tip Height</t>
  </si>
  <si>
    <t>X_d</t>
  </si>
  <si>
    <t>Length of Air in q-Direct</t>
  </si>
  <si>
    <t>Area in q-Direct</t>
  </si>
  <si>
    <t>R_q</t>
  </si>
  <si>
    <t>L_d</t>
  </si>
  <si>
    <t>L_q</t>
  </si>
  <si>
    <t>rad/s</t>
  </si>
  <si>
    <t>Rated Speed (Electrical)</t>
  </si>
  <si>
    <t>X_q</t>
  </si>
  <si>
    <t>H</t>
  </si>
  <si>
    <t>Induced Voltage</t>
  </si>
  <si>
    <t>Mean Length per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</si>
</sst>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charset val="16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0.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8" fillId="0" borderId="0" xfId="0" applyFont="1"/>
    <xf numFmtId="11" fontId="2" fillId="2" borderId="0" xfId="0" applyNumberFormat="1" applyFont="1" applyFill="1"/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topLeftCell="A79" zoomScale="90" zoomScaleNormal="90" workbookViewId="0">
      <selection activeCell="C95" sqref="C95"/>
    </sheetView>
  </sheetViews>
  <sheetFormatPr defaultRowHeight="15.75" x14ac:dyDescent="0.25"/>
  <cols>
    <col min="1" max="1" width="39.7109375" style="1" bestFit="1" customWidth="1"/>
    <col min="2" max="2" width="12.28515625" style="1" customWidth="1"/>
    <col min="3" max="3" width="18.7109375" style="1" bestFit="1" customWidth="1"/>
    <col min="4" max="4" width="14.7109375" style="1" customWidth="1"/>
    <col min="5" max="5" width="63.5703125" style="1" bestFit="1" customWidth="1"/>
    <col min="6" max="16384" width="9.140625" style="1"/>
  </cols>
  <sheetData>
    <row r="1" spans="1:5" x14ac:dyDescent="0.25">
      <c r="A1" s="7" t="s">
        <v>9</v>
      </c>
      <c r="B1" s="7"/>
      <c r="C1" s="7"/>
      <c r="D1" s="7"/>
    </row>
    <row r="2" spans="1:5" x14ac:dyDescent="0.25">
      <c r="A2" s="2" t="s">
        <v>0</v>
      </c>
      <c r="B2" s="2" t="s">
        <v>1</v>
      </c>
      <c r="C2" s="2"/>
      <c r="D2" s="2" t="s">
        <v>2</v>
      </c>
      <c r="E2" s="2" t="s">
        <v>20</v>
      </c>
    </row>
    <row r="3" spans="1:5" x14ac:dyDescent="0.25">
      <c r="A3" s="3" t="s">
        <v>3</v>
      </c>
      <c r="B3" s="3" t="s">
        <v>8</v>
      </c>
      <c r="C3" s="3" t="s">
        <v>123</v>
      </c>
      <c r="D3" s="3">
        <v>44000000</v>
      </c>
      <c r="E3" s="3"/>
    </row>
    <row r="4" spans="1:5" x14ac:dyDescent="0.25">
      <c r="A4" s="3" t="s">
        <v>10</v>
      </c>
      <c r="B4" s="3" t="s">
        <v>11</v>
      </c>
      <c r="C4" s="3" t="s">
        <v>124</v>
      </c>
      <c r="D4" s="3">
        <v>0.9</v>
      </c>
      <c r="E4" s="3"/>
    </row>
    <row r="5" spans="1:5" x14ac:dyDescent="0.25">
      <c r="A5" s="4" t="s">
        <v>40</v>
      </c>
      <c r="B5" s="4" t="s">
        <v>8</v>
      </c>
      <c r="C5" s="4" t="s">
        <v>125</v>
      </c>
      <c r="D5" s="4">
        <f>D3*D4</f>
        <v>39600000</v>
      </c>
      <c r="E5" s="4"/>
    </row>
    <row r="6" spans="1:5" x14ac:dyDescent="0.25">
      <c r="A6" s="3" t="s">
        <v>4</v>
      </c>
      <c r="B6" s="3" t="s">
        <v>5</v>
      </c>
      <c r="C6" s="3" t="s">
        <v>126</v>
      </c>
      <c r="D6" s="3">
        <v>187.5</v>
      </c>
      <c r="E6" s="3"/>
    </row>
    <row r="7" spans="1:5" x14ac:dyDescent="0.25">
      <c r="A7" s="3" t="s">
        <v>7</v>
      </c>
      <c r="B7" s="3" t="s">
        <v>6</v>
      </c>
      <c r="C7" s="3" t="s">
        <v>127</v>
      </c>
      <c r="D7" s="3">
        <v>13800</v>
      </c>
      <c r="E7" s="3"/>
    </row>
    <row r="8" spans="1:5" x14ac:dyDescent="0.25">
      <c r="A8" s="3" t="s">
        <v>12</v>
      </c>
      <c r="B8" s="3" t="s">
        <v>13</v>
      </c>
      <c r="C8" s="3" t="s">
        <v>128</v>
      </c>
      <c r="D8" s="3">
        <v>50</v>
      </c>
      <c r="E8" s="3" t="s">
        <v>48</v>
      </c>
    </row>
    <row r="9" spans="1:5" x14ac:dyDescent="0.25">
      <c r="A9" s="3" t="s">
        <v>14</v>
      </c>
      <c r="B9" s="3" t="s">
        <v>15</v>
      </c>
      <c r="C9" s="3" t="s">
        <v>37</v>
      </c>
      <c r="D9" s="3">
        <v>3</v>
      </c>
      <c r="E9" s="3" t="s">
        <v>47</v>
      </c>
    </row>
    <row r="10" spans="1:5" x14ac:dyDescent="0.25">
      <c r="A10" s="3" t="s">
        <v>17</v>
      </c>
      <c r="B10" s="3" t="s">
        <v>16</v>
      </c>
      <c r="C10" s="3" t="s">
        <v>129</v>
      </c>
      <c r="D10" s="3">
        <v>1</v>
      </c>
      <c r="E10" s="3" t="s">
        <v>21</v>
      </c>
    </row>
    <row r="11" spans="1:5" x14ac:dyDescent="0.25">
      <c r="A11" s="1" t="s">
        <v>18</v>
      </c>
      <c r="B11" s="1" t="s">
        <v>16</v>
      </c>
      <c r="C11" s="1" t="s">
        <v>130</v>
      </c>
      <c r="D11" s="1">
        <f>D10/(PI()/2)</f>
        <v>0.63661977236758138</v>
      </c>
    </row>
    <row r="12" spans="1:5" x14ac:dyDescent="0.25">
      <c r="A12" s="3" t="s">
        <v>23</v>
      </c>
      <c r="B12" s="3" t="s">
        <v>24</v>
      </c>
      <c r="C12" s="3" t="s">
        <v>132</v>
      </c>
      <c r="D12" s="3">
        <v>60000</v>
      </c>
      <c r="E12" s="3" t="s">
        <v>22</v>
      </c>
    </row>
    <row r="13" spans="1:5" x14ac:dyDescent="0.25">
      <c r="A13" s="1" t="s">
        <v>19</v>
      </c>
      <c r="B13" s="1" t="s">
        <v>24</v>
      </c>
      <c r="C13" s="1" t="s">
        <v>131</v>
      </c>
      <c r="D13" s="1">
        <f>D12*2^0.5</f>
        <v>84852.813742385712</v>
      </c>
    </row>
    <row r="14" spans="1:5" ht="18" x14ac:dyDescent="0.25">
      <c r="A14" s="3" t="s">
        <v>26</v>
      </c>
      <c r="B14" s="3" t="s">
        <v>27</v>
      </c>
      <c r="C14" s="3" t="s">
        <v>133</v>
      </c>
      <c r="D14" s="3">
        <v>4.5</v>
      </c>
      <c r="E14" s="3" t="s">
        <v>25</v>
      </c>
    </row>
    <row r="15" spans="1:5" ht="18" x14ac:dyDescent="0.25">
      <c r="A15" s="1" t="s">
        <v>28</v>
      </c>
      <c r="B15" s="1" t="s">
        <v>29</v>
      </c>
      <c r="C15" s="1" t="s">
        <v>134</v>
      </c>
      <c r="D15" s="5">
        <f>PI()^2*D13*0.001*D10*D43/2</f>
        <v>401.89677158748202</v>
      </c>
      <c r="E15" s="1" t="s">
        <v>97</v>
      </c>
    </row>
    <row r="16" spans="1:5" x14ac:dyDescent="0.25">
      <c r="A16" s="1" t="s">
        <v>30</v>
      </c>
      <c r="B16" s="1" t="s">
        <v>15</v>
      </c>
      <c r="D16" s="1">
        <f>120*D8/D6</f>
        <v>32</v>
      </c>
    </row>
    <row r="17" spans="1:5" x14ac:dyDescent="0.25">
      <c r="A17" s="1" t="s">
        <v>31</v>
      </c>
      <c r="B17" s="1" t="s">
        <v>15</v>
      </c>
      <c r="C17" s="1" t="s">
        <v>135</v>
      </c>
      <c r="D17" s="1">
        <f>D16/2</f>
        <v>16</v>
      </c>
    </row>
    <row r="18" spans="1:5" x14ac:dyDescent="0.25">
      <c r="A18" s="1" t="s">
        <v>32</v>
      </c>
      <c r="B18" s="1" t="s">
        <v>13</v>
      </c>
      <c r="C18" s="1" t="s">
        <v>136</v>
      </c>
      <c r="D18" s="1">
        <f>D8/D17</f>
        <v>3.125</v>
      </c>
    </row>
    <row r="19" spans="1:5" ht="19.5" x14ac:dyDescent="0.35">
      <c r="A19" s="1" t="s">
        <v>33</v>
      </c>
      <c r="B19" s="1" t="s">
        <v>34</v>
      </c>
      <c r="D19" s="1">
        <f>D3/1000/D15/D18</f>
        <v>35.033871868102743</v>
      </c>
    </row>
    <row r="20" spans="1:5" ht="18.75" x14ac:dyDescent="0.35">
      <c r="A20" s="1" t="s">
        <v>35</v>
      </c>
      <c r="B20" s="1" t="s">
        <v>11</v>
      </c>
      <c r="C20" s="1" t="s">
        <v>137</v>
      </c>
      <c r="D20" s="1">
        <f>PI()/4/D17*D17^0.5</f>
        <v>0.19634954084936207</v>
      </c>
      <c r="E20" s="1" t="s">
        <v>38</v>
      </c>
    </row>
    <row r="21" spans="1:5" x14ac:dyDescent="0.25">
      <c r="A21" s="1" t="s">
        <v>36</v>
      </c>
      <c r="B21" s="1" t="s">
        <v>37</v>
      </c>
      <c r="C21" s="1" t="s">
        <v>138</v>
      </c>
      <c r="D21" s="1">
        <f>(D20^2*D19)^(1/3)</f>
        <v>1.105391122617047</v>
      </c>
    </row>
    <row r="22" spans="1:5" ht="18.75" x14ac:dyDescent="0.35">
      <c r="A22" s="1" t="s">
        <v>39</v>
      </c>
      <c r="B22" s="1" t="s">
        <v>37</v>
      </c>
      <c r="C22" s="1" t="s">
        <v>139</v>
      </c>
      <c r="D22" s="1">
        <f>D21/D20</f>
        <v>5.6297107588608775</v>
      </c>
    </row>
    <row r="23" spans="1:5" x14ac:dyDescent="0.25">
      <c r="A23" s="1" t="s">
        <v>41</v>
      </c>
      <c r="B23" s="1" t="s">
        <v>6</v>
      </c>
      <c r="C23" s="1" t="s">
        <v>140</v>
      </c>
      <c r="D23" s="1">
        <f>D7/3^0.5</f>
        <v>7967.4337148168361</v>
      </c>
    </row>
    <row r="24" spans="1:5" ht="18" x14ac:dyDescent="0.25">
      <c r="A24" s="1" t="s">
        <v>42</v>
      </c>
      <c r="B24" s="1" t="s">
        <v>43</v>
      </c>
      <c r="C24" s="1" t="s">
        <v>141</v>
      </c>
      <c r="D24" s="1">
        <f>PI()*D22*D21/D16</f>
        <v>0.61094476698028766</v>
      </c>
    </row>
    <row r="25" spans="1:5" x14ac:dyDescent="0.25">
      <c r="A25" s="1" t="s">
        <v>44</v>
      </c>
      <c r="B25" s="1" t="s">
        <v>45</v>
      </c>
      <c r="C25" s="1" t="s">
        <v>142</v>
      </c>
      <c r="D25" s="1">
        <f>D11*D24</f>
        <v>0.38893951848415576</v>
      </c>
    </row>
    <row r="26" spans="1:5" x14ac:dyDescent="0.25">
      <c r="A26" s="1" t="s">
        <v>46</v>
      </c>
      <c r="B26" s="1" t="s">
        <v>15</v>
      </c>
      <c r="C26" s="1" t="s">
        <v>143</v>
      </c>
      <c r="D26" s="5">
        <f>D23/4.44/D8/D43/D25</f>
        <v>96.140171561346364</v>
      </c>
      <c r="E26" s="1" t="s">
        <v>97</v>
      </c>
    </row>
    <row r="27" spans="1:5" x14ac:dyDescent="0.25">
      <c r="A27" s="3" t="s">
        <v>49</v>
      </c>
      <c r="B27" s="3" t="s">
        <v>15</v>
      </c>
      <c r="C27" s="3"/>
      <c r="D27" s="3">
        <v>96</v>
      </c>
      <c r="E27" s="3" t="s">
        <v>50</v>
      </c>
    </row>
    <row r="28" spans="1:5" x14ac:dyDescent="0.25">
      <c r="A28" s="1" t="s">
        <v>44</v>
      </c>
      <c r="B28" s="1" t="s">
        <v>45</v>
      </c>
      <c r="C28" s="1" t="s">
        <v>142</v>
      </c>
      <c r="D28" s="1">
        <f>D25*D26/D27</f>
        <v>0.38950741702139768</v>
      </c>
      <c r="E28" s="1" t="s">
        <v>51</v>
      </c>
    </row>
    <row r="29" spans="1:5" x14ac:dyDescent="0.25">
      <c r="A29" s="1" t="s">
        <v>18</v>
      </c>
      <c r="B29" s="1" t="s">
        <v>16</v>
      </c>
      <c r="C29" s="1" t="s">
        <v>130</v>
      </c>
      <c r="D29" s="1">
        <f>D28/D24</f>
        <v>0.63754931390379721</v>
      </c>
      <c r="E29" s="1" t="s">
        <v>51</v>
      </c>
    </row>
    <row r="30" spans="1:5" x14ac:dyDescent="0.25">
      <c r="A30" s="1" t="s">
        <v>52</v>
      </c>
      <c r="B30" s="1" t="s">
        <v>15</v>
      </c>
      <c r="C30" s="1" t="s">
        <v>144</v>
      </c>
      <c r="D30" s="1">
        <f>D27*D9</f>
        <v>288</v>
      </c>
      <c r="E30" s="4" t="s">
        <v>53</v>
      </c>
    </row>
    <row r="31" spans="1:5" x14ac:dyDescent="0.25">
      <c r="A31" s="1" t="s">
        <v>56</v>
      </c>
      <c r="B31" s="1" t="s">
        <v>15</v>
      </c>
      <c r="C31" s="1" t="s">
        <v>145</v>
      </c>
      <c r="D31" s="1">
        <f>D30</f>
        <v>288</v>
      </c>
      <c r="E31" s="4"/>
    </row>
    <row r="32" spans="1:5" x14ac:dyDescent="0.25">
      <c r="A32" s="3" t="s">
        <v>54</v>
      </c>
      <c r="B32" s="3" t="s">
        <v>15</v>
      </c>
      <c r="C32" s="3"/>
      <c r="D32" s="3">
        <v>2</v>
      </c>
      <c r="E32" s="3" t="s">
        <v>47</v>
      </c>
    </row>
    <row r="33" spans="1:5" x14ac:dyDescent="0.25">
      <c r="A33" s="1" t="s">
        <v>55</v>
      </c>
      <c r="B33" s="1" t="s">
        <v>15</v>
      </c>
      <c r="C33" s="1" t="s">
        <v>146</v>
      </c>
      <c r="D33" s="1">
        <f>D31/D9/D16</f>
        <v>3</v>
      </c>
    </row>
    <row r="34" spans="1:5" x14ac:dyDescent="0.25">
      <c r="A34" s="1" t="s">
        <v>57</v>
      </c>
      <c r="B34" s="1" t="s">
        <v>11</v>
      </c>
      <c r="D34" s="1">
        <f>D31/D16</f>
        <v>9</v>
      </c>
    </row>
    <row r="35" spans="1:5" x14ac:dyDescent="0.25">
      <c r="A35" s="1" t="s">
        <v>58</v>
      </c>
      <c r="B35" s="1" t="s">
        <v>59</v>
      </c>
      <c r="C35" s="1" t="s">
        <v>147</v>
      </c>
      <c r="D35" s="1">
        <f>360*D17/D31</f>
        <v>20</v>
      </c>
    </row>
    <row r="36" spans="1:5" x14ac:dyDescent="0.25">
      <c r="A36" s="1" t="s">
        <v>57</v>
      </c>
      <c r="B36" s="1" t="s">
        <v>59</v>
      </c>
      <c r="C36" s="1" t="s">
        <v>148</v>
      </c>
      <c r="D36" s="1">
        <f>360*D34*D17/D31</f>
        <v>180</v>
      </c>
    </row>
    <row r="37" spans="1:5" x14ac:dyDescent="0.25">
      <c r="A37" s="1" t="s">
        <v>63</v>
      </c>
      <c r="B37" s="1" t="s">
        <v>11</v>
      </c>
      <c r="D37" s="1">
        <f>SIN(D33*1*D35/2*PI()/180)/(D33*SIN(1*D35/2*PI()/180))</f>
        <v>0.95979508052393891</v>
      </c>
    </row>
    <row r="38" spans="1:5" x14ac:dyDescent="0.25">
      <c r="A38" s="1" t="s">
        <v>64</v>
      </c>
      <c r="B38" s="1" t="s">
        <v>11</v>
      </c>
      <c r="D38" s="1">
        <f>SIN(D33*3*D35/2*PI()/180)/(D33*SIN(3*D35/2*PI()/180))</f>
        <v>0.66666666666666674</v>
      </c>
    </row>
    <row r="39" spans="1:5" x14ac:dyDescent="0.25">
      <c r="A39" s="1" t="s">
        <v>65</v>
      </c>
      <c r="B39" s="1" t="s">
        <v>11</v>
      </c>
      <c r="D39" s="1">
        <f>SIN(D33*5*D35/2*PI()/180)/(D33*SIN(5*D35/2*PI()/180))</f>
        <v>0.21756788155537973</v>
      </c>
    </row>
    <row r="40" spans="1:5" x14ac:dyDescent="0.25">
      <c r="A40" s="3" t="s">
        <v>66</v>
      </c>
      <c r="B40" s="3" t="s">
        <v>11</v>
      </c>
      <c r="C40" s="3"/>
      <c r="D40" s="3">
        <v>1</v>
      </c>
      <c r="E40" s="3" t="s">
        <v>69</v>
      </c>
    </row>
    <row r="41" spans="1:5" x14ac:dyDescent="0.25">
      <c r="A41" s="3" t="s">
        <v>67</v>
      </c>
      <c r="B41" s="3" t="s">
        <v>11</v>
      </c>
      <c r="C41" s="3"/>
      <c r="D41" s="3">
        <v>-1</v>
      </c>
      <c r="E41" s="3" t="s">
        <v>69</v>
      </c>
    </row>
    <row r="42" spans="1:5" x14ac:dyDescent="0.25">
      <c r="A42" s="3" t="s">
        <v>68</v>
      </c>
      <c r="B42" s="3" t="s">
        <v>11</v>
      </c>
      <c r="C42" s="3"/>
      <c r="D42" s="3">
        <v>1</v>
      </c>
      <c r="E42" s="3" t="s">
        <v>69</v>
      </c>
    </row>
    <row r="43" spans="1:5" x14ac:dyDescent="0.25">
      <c r="A43" s="1" t="s">
        <v>60</v>
      </c>
      <c r="B43" s="1" t="s">
        <v>11</v>
      </c>
      <c r="D43" s="1">
        <f>D37*D40</f>
        <v>0.95979508052393891</v>
      </c>
    </row>
    <row r="44" spans="1:5" x14ac:dyDescent="0.25">
      <c r="A44" s="1" t="s">
        <v>61</v>
      </c>
      <c r="B44" s="1" t="s">
        <v>11</v>
      </c>
      <c r="D44" s="1">
        <f t="shared" ref="D44:D45" si="0">D38*D41</f>
        <v>-0.66666666666666674</v>
      </c>
    </row>
    <row r="45" spans="1:5" x14ac:dyDescent="0.25">
      <c r="A45" s="1" t="s">
        <v>62</v>
      </c>
      <c r="B45" s="1" t="s">
        <v>11</v>
      </c>
      <c r="D45" s="1">
        <f t="shared" si="0"/>
        <v>0.21756788155537973</v>
      </c>
    </row>
    <row r="46" spans="1:5" x14ac:dyDescent="0.25">
      <c r="A46" s="1" t="s">
        <v>70</v>
      </c>
      <c r="B46" s="1" t="s">
        <v>15</v>
      </c>
      <c r="D46" s="1">
        <f>D30*D32</f>
        <v>576</v>
      </c>
    </row>
    <row r="47" spans="1:5" x14ac:dyDescent="0.25">
      <c r="A47" s="1" t="s">
        <v>71</v>
      </c>
      <c r="B47" s="1" t="s">
        <v>72</v>
      </c>
      <c r="C47" s="1" t="s">
        <v>149</v>
      </c>
      <c r="D47" s="1">
        <f>D3/3/D23</f>
        <v>1840.8269452422849</v>
      </c>
    </row>
    <row r="48" spans="1:5" ht="18" x14ac:dyDescent="0.25">
      <c r="A48" s="1" t="s">
        <v>73</v>
      </c>
      <c r="B48" s="1" t="s">
        <v>74</v>
      </c>
      <c r="C48" s="1" t="s">
        <v>150</v>
      </c>
      <c r="D48" s="1">
        <f>D47/D14</f>
        <v>409.07265449828554</v>
      </c>
    </row>
    <row r="49" spans="1:5" ht="18" x14ac:dyDescent="0.25">
      <c r="A49" s="1" t="s">
        <v>75</v>
      </c>
      <c r="B49" s="1" t="s">
        <v>74</v>
      </c>
      <c r="C49" s="1" t="s">
        <v>151</v>
      </c>
      <c r="D49" s="1">
        <f>D48*D32</f>
        <v>818.14530899657109</v>
      </c>
    </row>
    <row r="50" spans="1:5" x14ac:dyDescent="0.25">
      <c r="A50" s="3" t="s">
        <v>80</v>
      </c>
      <c r="B50" s="3" t="s">
        <v>16</v>
      </c>
      <c r="C50" s="3" t="s">
        <v>152</v>
      </c>
      <c r="D50" s="3">
        <v>1.5</v>
      </c>
      <c r="E50" s="3" t="s">
        <v>79</v>
      </c>
    </row>
    <row r="51" spans="1:5" x14ac:dyDescent="0.25">
      <c r="A51" s="1" t="s">
        <v>98</v>
      </c>
      <c r="B51" s="1" t="s">
        <v>16</v>
      </c>
      <c r="C51" s="1" t="s">
        <v>152</v>
      </c>
      <c r="D51" s="1">
        <f>D50*2/PI()</f>
        <v>0.95492965855137202</v>
      </c>
    </row>
    <row r="52" spans="1:5" x14ac:dyDescent="0.25">
      <c r="A52" s="3" t="s">
        <v>76</v>
      </c>
      <c r="B52" s="3" t="s">
        <v>16</v>
      </c>
      <c r="C52" s="3" t="s">
        <v>152</v>
      </c>
      <c r="D52" s="3">
        <v>1.9</v>
      </c>
      <c r="E52" s="3" t="s">
        <v>78</v>
      </c>
    </row>
    <row r="53" spans="1:5" x14ac:dyDescent="0.25">
      <c r="A53" s="1" t="s">
        <v>77</v>
      </c>
      <c r="B53" s="1" t="s">
        <v>16</v>
      </c>
      <c r="C53" s="1" t="s">
        <v>152</v>
      </c>
      <c r="D53" s="1">
        <f>D52*2/PI()</f>
        <v>1.2095775674984046</v>
      </c>
    </row>
    <row r="54" spans="1:5" x14ac:dyDescent="0.25">
      <c r="A54" s="3" t="s">
        <v>81</v>
      </c>
      <c r="B54" s="3" t="s">
        <v>16</v>
      </c>
      <c r="C54" s="3" t="s">
        <v>152</v>
      </c>
      <c r="D54" s="3">
        <v>1.3</v>
      </c>
      <c r="E54" s="3" t="s">
        <v>79</v>
      </c>
    </row>
    <row r="55" spans="1:5" x14ac:dyDescent="0.25">
      <c r="A55" s="1" t="s">
        <v>82</v>
      </c>
      <c r="B55" s="1" t="s">
        <v>16</v>
      </c>
      <c r="C55" s="1" t="s">
        <v>152</v>
      </c>
      <c r="D55" s="1">
        <f>D54*2/PI()</f>
        <v>0.82760570407785583</v>
      </c>
    </row>
    <row r="56" spans="1:5" x14ac:dyDescent="0.25">
      <c r="A56" s="3" t="s">
        <v>83</v>
      </c>
      <c r="B56" s="3" t="s">
        <v>16</v>
      </c>
      <c r="C56" s="3" t="s">
        <v>152</v>
      </c>
      <c r="D56" s="3">
        <v>1.75</v>
      </c>
      <c r="E56" s="3" t="s">
        <v>85</v>
      </c>
    </row>
    <row r="57" spans="1:5" x14ac:dyDescent="0.25">
      <c r="A57" s="1" t="s">
        <v>84</v>
      </c>
      <c r="B57" s="1" t="s">
        <v>16</v>
      </c>
      <c r="C57" s="1" t="s">
        <v>152</v>
      </c>
      <c r="D57" s="1">
        <f>D56*2/PI()</f>
        <v>1.1140846016432675</v>
      </c>
    </row>
    <row r="58" spans="1:5" x14ac:dyDescent="0.25">
      <c r="A58" s="1" t="s">
        <v>86</v>
      </c>
      <c r="B58" s="1" t="s">
        <v>87</v>
      </c>
      <c r="D58" s="1">
        <f>D28/D34/D53/D21*1000</f>
        <v>32.368570958452764</v>
      </c>
    </row>
    <row r="59" spans="1:5" x14ac:dyDescent="0.25">
      <c r="A59" s="1" t="s">
        <v>88</v>
      </c>
      <c r="B59" s="1" t="s">
        <v>89</v>
      </c>
      <c r="D59" s="1">
        <f>PI()*D22/D31*1000</f>
        <v>61.410617923169276</v>
      </c>
    </row>
    <row r="60" spans="1:5" x14ac:dyDescent="0.25">
      <c r="A60" s="1" t="s">
        <v>90</v>
      </c>
      <c r="B60" s="1" t="s">
        <v>89</v>
      </c>
      <c r="D60" s="1">
        <f>D59-D58</f>
        <v>29.042046964716512</v>
      </c>
    </row>
    <row r="61" spans="1:5" ht="18.75" x14ac:dyDescent="0.35">
      <c r="A61" s="3" t="s">
        <v>91</v>
      </c>
      <c r="B61" s="3" t="s">
        <v>11</v>
      </c>
      <c r="C61" s="3"/>
      <c r="D61" s="3">
        <v>0.9</v>
      </c>
      <c r="E61" s="3" t="s">
        <v>93</v>
      </c>
    </row>
    <row r="62" spans="1:5" ht="18.75" x14ac:dyDescent="0.35">
      <c r="A62" s="1" t="s">
        <v>96</v>
      </c>
      <c r="B62" s="1" t="s">
        <v>89</v>
      </c>
      <c r="D62" s="1">
        <f>D22/D61*1000</f>
        <v>6255.2341765120855</v>
      </c>
    </row>
    <row r="63" spans="1:5" x14ac:dyDescent="0.25">
      <c r="A63" s="1" t="s">
        <v>92</v>
      </c>
      <c r="B63" s="1" t="s">
        <v>89</v>
      </c>
      <c r="D63" s="1">
        <f>D22*1000*PI()/D16</f>
        <v>552.69556130852357</v>
      </c>
    </row>
    <row r="64" spans="1:5" x14ac:dyDescent="0.25">
      <c r="A64" s="1" t="s">
        <v>94</v>
      </c>
      <c r="B64" s="1" t="s">
        <v>89</v>
      </c>
      <c r="C64" s="1" t="s">
        <v>153</v>
      </c>
      <c r="D64" s="1">
        <f>(0.0000004*D63*D12/D10)*1.5</f>
        <v>19.897040207106848</v>
      </c>
      <c r="E64" s="1" t="s">
        <v>95</v>
      </c>
    </row>
    <row r="65" spans="1:5" ht="18.75" customHeight="1" x14ac:dyDescent="0.25">
      <c r="A65" s="1" t="s">
        <v>155</v>
      </c>
      <c r="B65" s="1" t="s">
        <v>89</v>
      </c>
      <c r="C65" s="1" t="s">
        <v>154</v>
      </c>
      <c r="D65" s="1">
        <f>D22*1000-2*D64</f>
        <v>5589.9166784466643</v>
      </c>
    </row>
    <row r="66" spans="1:5" x14ac:dyDescent="0.25">
      <c r="A66" s="1" t="s">
        <v>99</v>
      </c>
      <c r="B66" s="1" t="s">
        <v>89</v>
      </c>
      <c r="D66" s="1">
        <f>(D28/2/D51)*D21*1000</f>
        <v>225.43966307534393</v>
      </c>
    </row>
    <row r="67" spans="1:5" x14ac:dyDescent="0.25">
      <c r="A67" s="1" t="s">
        <v>101</v>
      </c>
      <c r="B67" s="1" t="s">
        <v>89</v>
      </c>
      <c r="D67" s="1">
        <f>(D62-D22*1000)/2-D66</f>
        <v>87.322045750259889</v>
      </c>
    </row>
    <row r="68" spans="1:5" ht="18" x14ac:dyDescent="0.25">
      <c r="A68" s="1" t="s">
        <v>103</v>
      </c>
      <c r="B68" s="1" t="s">
        <v>102</v>
      </c>
      <c r="D68" s="1">
        <f>D67*D60</f>
        <v>2536.0109537341718</v>
      </c>
    </row>
    <row r="69" spans="1:5" x14ac:dyDescent="0.25">
      <c r="A69" s="1" t="s">
        <v>100</v>
      </c>
      <c r="B69" s="1" t="s">
        <v>89</v>
      </c>
      <c r="D69" s="1">
        <f>(D28/2/D55)*D21*1000</f>
        <v>260.12268816385836</v>
      </c>
    </row>
    <row r="70" spans="1:5" x14ac:dyDescent="0.25">
      <c r="A70" s="1" t="s">
        <v>104</v>
      </c>
      <c r="B70" s="1" t="s">
        <v>89</v>
      </c>
      <c r="D70" s="1">
        <f>D28/D57/D21*1000</f>
        <v>316.28717907973845</v>
      </c>
    </row>
    <row r="71" spans="1:5" x14ac:dyDescent="0.25">
      <c r="A71" s="1" t="s">
        <v>105</v>
      </c>
      <c r="B71" s="1" t="s">
        <v>11</v>
      </c>
      <c r="D71" s="1">
        <f>D49/D68</f>
        <v>0.32261111009472798</v>
      </c>
    </row>
    <row r="72" spans="1:5" x14ac:dyDescent="0.25">
      <c r="A72" s="3" t="s">
        <v>106</v>
      </c>
      <c r="B72" s="3" t="s">
        <v>107</v>
      </c>
      <c r="C72" s="3" t="s">
        <v>156</v>
      </c>
      <c r="D72" s="6">
        <v>1.2566E-6</v>
      </c>
      <c r="E72" s="3"/>
    </row>
    <row r="73" spans="1:5" x14ac:dyDescent="0.25">
      <c r="A73" s="1" t="s">
        <v>108</v>
      </c>
      <c r="B73" s="1" t="s">
        <v>109</v>
      </c>
      <c r="D73" s="1">
        <f>2.7*D47*D27*D43/D16</f>
        <v>14311.214833729588</v>
      </c>
    </row>
    <row r="74" spans="1:5" x14ac:dyDescent="0.25">
      <c r="A74" s="3" t="s">
        <v>110</v>
      </c>
      <c r="B74" s="3" t="s">
        <v>11</v>
      </c>
      <c r="C74" s="3"/>
      <c r="D74" s="3">
        <v>1.4</v>
      </c>
      <c r="E74" s="3" t="s">
        <v>117</v>
      </c>
    </row>
    <row r="75" spans="1:5" x14ac:dyDescent="0.25">
      <c r="A75" s="1" t="s">
        <v>111</v>
      </c>
      <c r="B75" s="1" t="s">
        <v>109</v>
      </c>
      <c r="D75" s="1">
        <f>D73*D74</f>
        <v>20035.70076722142</v>
      </c>
    </row>
    <row r="76" spans="1:5" x14ac:dyDescent="0.25">
      <c r="A76" s="1" t="s">
        <v>113</v>
      </c>
      <c r="B76" s="1" t="s">
        <v>11</v>
      </c>
      <c r="D76" s="1">
        <f>D4</f>
        <v>0.9</v>
      </c>
    </row>
    <row r="77" spans="1:5" x14ac:dyDescent="0.25">
      <c r="A77" s="1" t="s">
        <v>114</v>
      </c>
      <c r="B77" s="1" t="s">
        <v>11</v>
      </c>
      <c r="D77" s="1">
        <f>(1-D76^2)^0.5</f>
        <v>0.43588989435406728</v>
      </c>
    </row>
    <row r="78" spans="1:5" x14ac:dyDescent="0.25">
      <c r="A78" s="1" t="s">
        <v>112</v>
      </c>
      <c r="B78" s="1" t="s">
        <v>109</v>
      </c>
      <c r="D78" s="1">
        <f>((D75+D73*D77)^2+(D73*D76)^2)^0.5</f>
        <v>29261.068726807734</v>
      </c>
    </row>
    <row r="79" spans="1:5" ht="18" x14ac:dyDescent="0.25">
      <c r="A79" s="3" t="s">
        <v>115</v>
      </c>
      <c r="B79" s="3" t="s">
        <v>27</v>
      </c>
      <c r="C79" s="3" t="s">
        <v>157</v>
      </c>
      <c r="D79" s="3">
        <v>3.5</v>
      </c>
      <c r="E79" s="3" t="s">
        <v>116</v>
      </c>
    </row>
    <row r="80" spans="1:5" x14ac:dyDescent="0.25">
      <c r="A80" s="3" t="s">
        <v>118</v>
      </c>
      <c r="B80" s="3"/>
      <c r="C80" s="3"/>
      <c r="D80" s="3">
        <v>0.5</v>
      </c>
      <c r="E80" s="3" t="s">
        <v>93</v>
      </c>
    </row>
    <row r="81" spans="1:5" x14ac:dyDescent="0.25">
      <c r="A81" s="1" t="s">
        <v>119</v>
      </c>
      <c r="B81" s="1" t="s">
        <v>89</v>
      </c>
      <c r="D81" s="1">
        <f>D78/D79*2</f>
        <v>16720.610701032991</v>
      </c>
    </row>
    <row r="82" spans="1:5" x14ac:dyDescent="0.25">
      <c r="A82" s="1" t="s">
        <v>120</v>
      </c>
      <c r="B82" s="1" t="s">
        <v>89</v>
      </c>
      <c r="D82" s="1">
        <f>D81/D80</f>
        <v>33441.221402065981</v>
      </c>
    </row>
    <row r="83" spans="1:5" ht="18.75" x14ac:dyDescent="0.35">
      <c r="A83" s="3" t="s">
        <v>121</v>
      </c>
      <c r="B83" s="3" t="s">
        <v>89</v>
      </c>
      <c r="C83" s="3"/>
      <c r="D83" s="3">
        <v>4500</v>
      </c>
      <c r="E83" s="3" t="s">
        <v>122</v>
      </c>
    </row>
    <row r="84" spans="1:5" x14ac:dyDescent="0.25">
      <c r="A84" s="1" t="s">
        <v>158</v>
      </c>
      <c r="B84" s="1" t="s">
        <v>89</v>
      </c>
      <c r="D84" s="1">
        <f>(PI()*(D83+2*D69)-D16*D70)/D16</f>
        <v>176.57425821680164</v>
      </c>
    </row>
    <row r="85" spans="1:5" x14ac:dyDescent="0.25">
      <c r="A85" s="1" t="s">
        <v>159</v>
      </c>
      <c r="B85" s="1" t="s">
        <v>89</v>
      </c>
      <c r="D85" s="1">
        <f>D65/2-D83/2-D69</f>
        <v>284.83565105947378</v>
      </c>
    </row>
    <row r="86" spans="1:5" x14ac:dyDescent="0.25">
      <c r="A86" s="1" t="s">
        <v>160</v>
      </c>
      <c r="B86" s="1" t="s">
        <v>89</v>
      </c>
      <c r="D86" s="1">
        <f>D81/D80/D84</f>
        <v>189.38899554093629</v>
      </c>
    </row>
    <row r="87" spans="1:5" x14ac:dyDescent="0.25">
      <c r="A87" s="1" t="s">
        <v>161</v>
      </c>
      <c r="B87" s="1" t="s">
        <v>89</v>
      </c>
      <c r="D87" s="1">
        <f>D85-D86</f>
        <v>95.446655518537483</v>
      </c>
    </row>
    <row r="89" spans="1:5" x14ac:dyDescent="0.25">
      <c r="A89" s="1" t="s">
        <v>162</v>
      </c>
      <c r="D89" s="1">
        <f>1/D74</f>
        <v>0.7142857142857143</v>
      </c>
    </row>
    <row r="90" spans="1:5" x14ac:dyDescent="0.25">
      <c r="A90" s="1" t="s">
        <v>163</v>
      </c>
      <c r="B90" s="1" t="s">
        <v>37</v>
      </c>
      <c r="D90" s="1">
        <f>(D85+D64)/1000</f>
        <v>0.30473269126658059</v>
      </c>
    </row>
    <row r="91" spans="1:5" ht="18" x14ac:dyDescent="0.25">
      <c r="A91" s="1" t="s">
        <v>164</v>
      </c>
      <c r="B91" s="1" t="s">
        <v>74</v>
      </c>
      <c r="D91" s="1">
        <f>D84/1000*D21</f>
        <v>0.1951836175155427</v>
      </c>
    </row>
    <row r="92" spans="1:5" x14ac:dyDescent="0.25">
      <c r="A92" s="1" t="s">
        <v>165</v>
      </c>
      <c r="D92" s="8">
        <f>D90/D72/D91</f>
        <v>1242449.1659889736</v>
      </c>
    </row>
    <row r="93" spans="1:5" x14ac:dyDescent="0.25">
      <c r="A93" s="1" t="s">
        <v>167</v>
      </c>
      <c r="B93" s="1" t="s">
        <v>171</v>
      </c>
      <c r="D93" s="8">
        <f>D27^2/D92</f>
        <v>7.4176072971679149E-3</v>
      </c>
    </row>
    <row r="94" spans="1:5" x14ac:dyDescent="0.25">
      <c r="A94" s="1" t="s">
        <v>169</v>
      </c>
      <c r="B94" s="1" t="s">
        <v>168</v>
      </c>
      <c r="D94" s="1">
        <f>D6*2*PI()/60*D17</f>
        <v>314.15926535897933</v>
      </c>
    </row>
    <row r="95" spans="1:5" x14ac:dyDescent="0.25">
      <c r="A95" s="1" t="s">
        <v>170</v>
      </c>
      <c r="D95" s="1">
        <f>D93*D94</f>
        <v>2.3303100591996766</v>
      </c>
    </row>
    <row r="96" spans="1:5" x14ac:dyDescent="0.25">
      <c r="A96" s="1" t="s">
        <v>166</v>
      </c>
      <c r="B96" s="1" t="s">
        <v>171</v>
      </c>
      <c r="D96" s="1">
        <f>D89/D94</f>
        <v>2.2736420441699335E-3</v>
      </c>
    </row>
    <row r="98" spans="1:4" x14ac:dyDescent="0.25">
      <c r="A98" s="1" t="s">
        <v>172</v>
      </c>
      <c r="B98" s="1" t="s">
        <v>6</v>
      </c>
      <c r="D98" s="1">
        <f>4.44*D8*D43*D28*D27</f>
        <v>7967.4337148168352</v>
      </c>
    </row>
    <row r="100" spans="1:4" x14ac:dyDescent="0.25">
      <c r="A100" s="1" t="s">
        <v>173</v>
      </c>
      <c r="B100" s="1" t="s">
        <v>89</v>
      </c>
      <c r="D100" s="1">
        <f>2*PI()*D34/D34*D23/D16+2*D21*1000</f>
        <v>3775.1841968861067</v>
      </c>
    </row>
  </sheetData>
  <mergeCells count="1">
    <mergeCell ref="A1:D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yılmaz</dc:creator>
  <cp:lastModifiedBy>deniz yılmaz</cp:lastModifiedBy>
  <dcterms:created xsi:type="dcterms:W3CDTF">2015-06-05T18:17:20Z</dcterms:created>
  <dcterms:modified xsi:type="dcterms:W3CDTF">2022-07-05T20:52:46Z</dcterms:modified>
</cp:coreProperties>
</file>