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<sst xmlns="http://schemas.openxmlformats.org/spreadsheetml/2006/main" count="1059" uniqueCount="395">
  <si>
    <t>TEAM OF INTEREST:</t>
  </si>
  <si>
    <t>U13</t>
  </si>
  <si>
    <t>POSITION OF INTEREST:</t>
  </si>
  <si>
    <t>Forward</t>
  </si>
  <si>
    <t>Dylan Cole</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</si>
  <si>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</si>
  <si>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</si>
  <si>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</si>
  <si>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</si>
  <si>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</si>
  <si>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</si>
  <si>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</si>
  <si>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</si>
  <si>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</si>
  <si>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</si>
  <si>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</si>
  <si>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</si>
  <si>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</si>
  <si>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</si>
  <si>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</si>
  <si>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</si>
  <si>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</si>
  <si>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</si>
  <si>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</si>
  <si>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</si>
  <si>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</si>
  <si>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</si>
  <si>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</si>
  <si>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</si>
  <si>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</si>
  <si>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</si>
  <si>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</si>
  <si>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</si>
  <si>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</si>
  <si>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</si>
  <si>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</si>
  <si>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</si>
  <si>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</si>
  <si>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</si>
  <si>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</si>
  <si>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</si>
  <si>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</si>
  <si>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</si>
  <si>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</si>
  <si>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</si>
  <si>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</si>
  <si>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</si>
  <si>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</si>
  <si>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</si>
  <si>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</si>
  <si>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</si>
  <si>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</si>
  <si>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</si>
  <si>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U13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</si>
  <si>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</si>
  <si>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</si>
  <si>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</si>
  <si>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</si>
  <si>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</si>
  <si>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</si>
  <si>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</si>
  <si>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</si>
  <si>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</si>
  <si>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</si>
  <si>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</si>
  <si>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</si>
  <si>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</si>
  <si>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</si>
  <si>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</si>
  <si>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</si>
  <si>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</si>
  <si>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</si>
  <si>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</si>
  <si>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</si>
  <si>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</si>
  <si>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</si>
  <si>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</si>
  <si>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</si>
  <si>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</si>
  <si>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</si>
  <si>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</si>
  <si>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</si>
  <si>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</si>
  <si>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</si>
  <si>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</si>
  <si>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</si>
  <si>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</si>
  <si>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</si>
  <si>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</si>
  <si>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</si>
  <si>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</si>
  <si>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</si>
  <si>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</si>
  <si>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</si>
  <si>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</si>
  <si>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</si>
  <si>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</si>
  <si>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</si>
  <si>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</si>
  <si>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</si>
  <si>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</si>
  <si>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</si>
  <si>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</si>
  <si>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</si>
  <si>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</si>
  <si>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</si>
  <si>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</si>
  <si>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</si>
  <si>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</si>
  <si>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</si>
  <si>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</si>
  <si>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</si>
  <si>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</si>
  <si>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</si>
  <si>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</si>
  <si>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</si>
  <si>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</si>
  <si>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</si>
  <si>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</si>
  <si>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</si>
  <si>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</si>
  <si>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</si>
  <si>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</si>
  <si>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</si>
  <si>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</si>
  <si>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</si>
  <si>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</si>
  <si>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</si>
  <si>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</si>
  <si>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</si>
  <si>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</si>
  <si>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</si>
  <si>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</si>
  <si>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</si>
  <si>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</si>
  <si>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</si>
  <si>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</si>
  <si>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</si>
  <si>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</si>
  <si>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</si>
  <si>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</si>
  <si>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</si>
  <si>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</si>
  <si>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</si>
  <si>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</si>
  <si>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</si>
  <si>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</si>
  <si>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</si>
  <si>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</si>
  <si>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</si>
  <si>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</si>
  <si>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</si>
  <si>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</si>
  <si>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</si>
  <si>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</si>
  <si>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</si>
  <si>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</si>
  <si>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</si>
  <si>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</si>
  <si>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</si>
  <si>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</si>
  <si>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</si>
  <si>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</si>
  <si>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</si>
  <si>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</si>
  <si>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</si>
  <si>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</si>
  <si>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</si>
  <si>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</si>
  <si>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</si>
  <si>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</si>
  <si>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</si>
  <si>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</si>
  <si>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</si>
  <si>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</si>
  <si>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Ben Santos</t>
  </si>
  <si>
    <t>Full</t>
  </si>
  <si>
    <t>Summer</t>
  </si>
  <si>
    <t>Speed-Strength</t>
  </si>
  <si>
    <t>Elias Eslava</t>
  </si>
  <si>
    <t>Antonio Blanco</t>
  </si>
  <si>
    <t>Alexander Collins</t>
  </si>
  <si>
    <t>Hudson Kelly</t>
  </si>
  <si>
    <t>Jack McElliott</t>
  </si>
  <si>
    <t>Brecken Tibbs</t>
  </si>
  <si>
    <t>Myles Monteiro</t>
  </si>
  <si>
    <t>Finn Norton</t>
  </si>
  <si>
    <t>Nathan Small</t>
  </si>
  <si>
    <t>Nichollas Teixeira</t>
  </si>
  <si>
    <t>Caua Viana</t>
  </si>
  <si>
    <t>Patrick Walshe</t>
  </si>
  <si>
    <t>Alex Kessleheim</t>
  </si>
  <si>
    <t>Silas Wessler</t>
  </si>
  <si>
    <t>Xaiver Winters</t>
  </si>
  <si>
    <t>Joao Lucca Alves</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</si>
  <si>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</si>
  <si>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</si>
  <si>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</si>
  <si>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</si>
  <si>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</si>
  <si>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</si>
  <si>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</si>
  <si>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</si>
  <si>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</si>
  <si>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</si>
  <si>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</si>
  <si>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</si>
  <si>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</si>
  <si>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</si>
  <si>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</si>
  <si>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</si>
  <si>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</si>
  <si>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</si>
  <si>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</si>
  <si>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</si>
  <si>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</si>
  <si>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</si>
  <si>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</si>
  <si>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</si>
  <si>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</si>
  <si>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</si>
  <si>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</si>
  <si>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</si>
  <si>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</si>
  <si>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</si>
  <si>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</si>
  <si>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</si>
  <si>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</si>
  <si>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</si>
  <si>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</si>
  <si>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</si>
  <si>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</si>
  <si>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</si>
  <si>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</si>
  <si>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</si>
  <si>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</si>
  <si>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</si>
  <si>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</si>
  <si>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</si>
  <si>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</si>
  <si>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</si>
  <si>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</si>
  <si>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</si>
  <si>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</si>
  <si>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</si>
  <si>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</si>
  <si>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</si>
  <si>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</si>
  <si>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</si>
  <si>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</si>
  <si>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</si>
  <si>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</si>
  <si>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</si>
  <si>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</si>
  <si>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</si>
  <si>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</si>
  <si>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</si>
  <si>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</si>
  <si>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</si>
  <si>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</si>
  <si>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</si>
  <si>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</si>
  <si>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</si>
  <si>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</si>
  <si>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</si>
  <si>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</si>
  <si>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</si>
  <si>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</si>
  <si>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</si>
  <si>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</si>
  <si>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</si>
  <si>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</si>
  <si>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</si>
  <si>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</si>
  <si>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</si>
  <si>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</si>
  <si>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</si>
  <si>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</si>
  <si>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</si>
  <si>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</si>
  <si>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</si>
  <si>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</si>
  <si>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</si>
  <si>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</si>
  <si>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</si>
  <si>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</si>
  <si>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</si>
  <si>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</si>
  <si>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</si>
  <si>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</si>
  <si>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</si>
  <si>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</si>
  <si>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</si>
  <si>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</si>
  <si>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</si>
  <si>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</si>
  <si>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</si>
  <si>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</si>
  <si>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</si>
  <si>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</si>
  <si>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</si>
  <si>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</si>
  <si>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</si>
  <si>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</si>
  <si>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</si>
  <si>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</si>
  <si>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</si>
  <si>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</si>
  <si>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</si>
  <si>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</si>
  <si>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</si>
  <si>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</si>
  <si>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</si>
  <si>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</si>
  <si>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</si>
  <si>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</si>
  <si>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</si>
  <si>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</si>
  <si>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</si>
  <si>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</si>
  <si>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</si>
  <si>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</si>
  <si>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</si>
  <si>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</si>
  <si>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</si>
  <si>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</si>
  <si>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</si>
  <si>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</si>
  <si>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</si>
  <si>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</si>
  <si>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</si>
  <si>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</si>
  <si>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</si>
  <si>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</si>
  <si>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</si>
  <si>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</si>
  <si>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</si>
  <si>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</si>
  <si>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</si>
  <si>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</si>
  <si>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</si>
  <si>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</si>
  <si>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</si>
  <si>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</si>
  <si>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</si>
  <si>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</si>
  <si>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</si>
  <si>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</si>
  <si>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</si>
  <si>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</si>
  <si>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</si>
  <si>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</si>
  <si>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</si>
  <si>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</si>
  <si>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</si>
  <si>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</si>
  <si>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</si>
  <si>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</si>
  <si>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</si>
  <si>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Ben</t>
  </si>
  <si>
    <t>Santos</t>
  </si>
  <si>
    <t>Elias</t>
  </si>
  <si>
    <t>Eslava</t>
  </si>
  <si>
    <t>Antonio</t>
  </si>
  <si>
    <t>Blanco</t>
  </si>
  <si>
    <t>Dylan</t>
  </si>
  <si>
    <t>Cole</t>
  </si>
  <si>
    <t>Alexander</t>
  </si>
  <si>
    <t>Collins</t>
  </si>
  <si>
    <t>Hudson</t>
  </si>
  <si>
    <t>Kelly</t>
  </si>
  <si>
    <t>Jack</t>
  </si>
  <si>
    <t>McElliott</t>
  </si>
  <si>
    <t>Brecken</t>
  </si>
  <si>
    <t>Tibbs</t>
  </si>
  <si>
    <t>Myles</t>
  </si>
  <si>
    <t>Monteiro</t>
  </si>
  <si>
    <t>Finn</t>
  </si>
  <si>
    <t>Norton</t>
  </si>
  <si>
    <t>Nathan</t>
  </si>
  <si>
    <t>Small</t>
  </si>
  <si>
    <t>Nichollas</t>
  </si>
  <si>
    <t>Teixeira</t>
  </si>
  <si>
    <t>Caua</t>
  </si>
  <si>
    <t>Viana</t>
  </si>
  <si>
    <t>Patrick</t>
  </si>
  <si>
    <t>Walshe</t>
  </si>
  <si>
    <t>Alex</t>
  </si>
  <si>
    <t>Kessleheim</t>
  </si>
  <si>
    <t>Silas</t>
  </si>
  <si>
    <t>Wessler</t>
  </si>
  <si>
    <t>Xaiver</t>
  </si>
  <si>
    <t>Winters</t>
  </si>
  <si>
    <t>Joao</t>
  </si>
  <si>
    <t>Lucca Alves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</si>
</sst>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3" fontId="2" numFmtId="164"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39" fillId="3" fontId="41" numFmtId="0" xfId="0" applyAlignment="1" applyBorder="1" applyFont="1">
      <alignment readingOrder="0" vertical="center"/>
    </xf>
    <xf borderId="0" fillId="6"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readingOrder="0"/>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3" fontId="2" numFmtId="0" xfId="0" applyAlignment="1" applyFont="1">
      <alignment horizontal="center"/>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680245604"/>
        <c:axId val="574863380"/>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680245604"/>
        <c:axId val="574863380"/>
      </c:areaChart>
      <c:catAx>
        <c:axId val="6802456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574863380"/>
      </c:catAx>
      <c:valAx>
        <c:axId val="574863380"/>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680245604"/>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2108913302"/>
        <c:axId val="1664892010"/>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2108913302"/>
        <c:axId val="1664892010"/>
      </c:areaChart>
      <c:catAx>
        <c:axId val="21089133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664892010"/>
      </c:catAx>
      <c:valAx>
        <c:axId val="1664892010"/>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108913302"/>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566623912"/>
        <c:axId val="2081846516"/>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566623912"/>
        <c:axId val="2081846516"/>
      </c:areaChart>
      <c:catAx>
        <c:axId val="5666239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2081846516"/>
      </c:catAx>
      <c:valAx>
        <c:axId val="2081846516"/>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566623912"/>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187549722"/>
        <c:axId val="493810846"/>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187549722"/>
        <c:axId val="493810846"/>
      </c:areaChart>
      <c:catAx>
        <c:axId val="1875497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493810846"/>
      </c:catAx>
      <c:valAx>
        <c:axId val="493810846"/>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87549722"/>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1692100889"/>
        <c:axId val="400714850"/>
      </c:barChart>
      <c:catAx>
        <c:axId val="169210088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400714850"/>
      </c:catAx>
      <c:valAx>
        <c:axId val="400714850"/>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1692100889"/>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1748445493"/>
        <c:axId val="1771030437"/>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1748445493"/>
        <c:axId val="1771030437"/>
      </c:areaChart>
      <c:catAx>
        <c:axId val="17484454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771030437"/>
      </c:catAx>
      <c:valAx>
        <c:axId val="1771030437"/>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74844549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267278468"/>
        <c:axId val="1855785975"/>
      </c:barChart>
      <c:areaChart>
        <c:ser>
          <c:idx val="1"/>
          <c:order val="1"/>
          <c:tx>
            <c:strRef>
              <c:f>ChartData!$AP$5</c:f>
            </c:strRef>
          </c:tx>
          <c:spPr>
            <a:solidFill>
              <a:srgbClr val="000000">
                <a:alpha val="30000"/>
              </a:srgbClr>
            </a:solidFill>
            <a:ln cmpd="sng" w="19050">
              <a:solidFill>
                <a:srgbClr val="000000">
                  <a:alpha val="100000"/>
                </a:srgbClr>
              </a:solidFill>
              <a:prstDash val="lgDash"/>
            </a:ln>
          </c:spPr>
          <c:cat>
            <c:strRef>
              <c:f>ChartData!$AN$6:$AN$200</c:f>
            </c:strRef>
          </c:cat>
          <c:val>
            <c:numRef>
              <c:f>ChartData!$AP$6:$AP$200</c:f>
              <c:numCache/>
            </c:numRef>
          </c:val>
        </c:ser>
        <c:axId val="1267278468"/>
        <c:axId val="1855785975"/>
      </c:areaChart>
      <c:catAx>
        <c:axId val="12672784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855785975"/>
      </c:catAx>
      <c:valAx>
        <c:axId val="1855785975"/>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267278468"/>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ser>
          <c:idx val="0"/>
          <c:order val="0"/>
          <c:tx>
            <c:strRef>
              <c:f>ChartData!$AW$5</c:f>
            </c:strRef>
          </c:tx>
          <c:spPr>
            <a:ln>
              <a:noFill/>
            </a:ln>
          </c:spPr>
          <c:marker>
            <c:symbol val="circle"/>
            <c:size val="7"/>
            <c:spPr>
              <a:solidFill>
                <a:srgbClr val="CCCCCC"/>
              </a:solidFill>
              <a:ln cmpd="sng">
                <a:solidFill>
                  <a:srgbClr val="CCCCCC"/>
                </a:solidFill>
              </a:ln>
            </c:spPr>
          </c:marker>
          <c:xVal>
            <c:numRef>
              <c:f>ChartData!$BB$6:$BB$200</c:f>
            </c:numRef>
          </c:xVal>
          <c:yVal>
            <c:numRef>
              <c:f>ChartData!$AW$6:$AW$200</c:f>
              <c:numCache/>
            </c:numRef>
          </c:yVal>
        </c:ser>
        <c:ser>
          <c:idx val="1"/>
          <c:order val="1"/>
          <c:tx>
            <c:strRef>
              <c:f>ChartData!$AY$5</c:f>
            </c:strRef>
          </c:tx>
          <c:spPr>
            <a:ln>
              <a:noFill/>
            </a:ln>
          </c:spPr>
          <c:marker>
            <c:symbol val="x"/>
            <c:size val="10"/>
            <c:spPr>
              <a:solidFill>
                <a:srgbClr val="005710"/>
              </a:solidFill>
              <a:ln cmpd="sng">
                <a:solidFill>
                  <a:srgbClr val="005710"/>
                </a:solidFill>
              </a:ln>
            </c:spPr>
          </c:marker>
          <c:xVal>
            <c:numRef>
              <c:f>ChartData!$BB$6:$BB$200</c:f>
            </c:numRef>
          </c:xVal>
          <c:yVal>
            <c:numRef>
              <c:f>ChartData!$AY$6:$AY$200</c:f>
              <c:numCache/>
            </c:numRef>
          </c:yVal>
        </c:ser>
        <c:ser>
          <c:idx val="2"/>
          <c:order val="2"/>
          <c:tx>
            <c:strRef>
              <c:f>ChartData!$BA$5</c:f>
            </c:strRef>
          </c:tx>
          <c:spPr>
            <a:ln>
              <a:noFill/>
            </a:ln>
          </c:spPr>
          <c:marker>
            <c:symbol val="circle"/>
            <c:size val="7"/>
            <c:spPr>
              <a:solidFill>
                <a:srgbClr val="A4C2F4"/>
              </a:solidFill>
              <a:ln cmpd="sng">
                <a:solidFill>
                  <a:srgbClr val="A4C2F4"/>
                </a:solidFill>
              </a:ln>
            </c:spPr>
          </c:marker>
          <c:xVal>
            <c:numRef>
              <c:f>ChartData!$BB$6:$BB$200</c:f>
            </c:numRef>
          </c:xVal>
          <c:yVal>
            <c:numRef>
              <c:f>ChartData!$BA$6:$BA$200</c:f>
              <c:numCache/>
            </c:numRef>
          </c:yVal>
        </c:ser>
        <c:dLbls>
          <c:showLegendKey val="0"/>
          <c:showVal val="0"/>
          <c:showCatName val="0"/>
          <c:showSerName val="0"/>
          <c:showPercent val="0"/>
          <c:showBubbleSize val="0"/>
        </c:dLbls>
        <c:axId val="158602673"/>
        <c:axId val="1241503205"/>
      </c:scatterChart>
      <c:valAx>
        <c:axId val="15860267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41503205"/>
      </c:valAx>
      <c:valAx>
        <c:axId val="1241503205"/>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5860267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684869993"/>
        <c:axId val="289950243"/>
      </c:scatterChart>
      <c:valAx>
        <c:axId val="68486999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89950243"/>
      </c:valAx>
      <c:valAx>
        <c:axId val="289950243"/>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68486999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2.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U13 REPORT FOR DYLAN COLE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Defender</v>
      </c>
      <c r="E7" s="2"/>
      <c r="F7" s="15" t="s">
        <v>13</v>
      </c>
      <c r="G7" s="16" t="s">
        <v>14</v>
      </c>
      <c r="H7" s="17"/>
      <c r="I7" s="18">
        <f t="array" ref="I7">IFERROR(AVERAGEIFS(INDEX(TestingData,,MATCH($G7,TestingHeaders,0)),TestingData!$A:$A,$A$5,TestingData!$I:$I,$F$5),"")</f>
        <v>186</v>
      </c>
      <c r="J7" s="19">
        <f t="shared" ref="J7:J15" si="1">IF(I7="","",CHOOSE(MATCH($J$6,$K$6:$M$6,0),I7-K7,I7-L7,I7-M7))</f>
        <v>-15.33333333</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U13</v>
      </c>
      <c r="E10" s="2"/>
      <c r="F10" s="15" t="s">
        <v>20</v>
      </c>
      <c r="G10" s="32" t="s">
        <v>21</v>
      </c>
      <c r="H10" s="33"/>
      <c r="I10" s="34">
        <f t="array" ref="I10">IFERROR(AVERAGEIFS(INDEX(TestingData,,MATCH($G10,TestingHeaders,0)),TestingData!$A:$A,$A$5,TestingData!$I:$I,$F$5),"")</f>
        <v>1.5</v>
      </c>
      <c r="J10" s="35">
        <f t="shared" si="1"/>
        <v>-0.1475</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f t="array" ref="I11">IFERROR(AVERAGEIFS(INDEX(TestingData,,MATCH($G11,TestingHeaders,0)),TestingData!$A:$A,$A$5,TestingData!$I:$I,$F$5),"")</f>
        <v>2.91</v>
      </c>
      <c r="J11" s="35">
        <f t="shared" si="1"/>
        <v>-0.07916666667</v>
      </c>
      <c r="K11" s="36">
        <f>ChartData!J11</f>
        <v>2.9</v>
      </c>
      <c r="L11" s="37">
        <f>ChartData!K11</f>
        <v>2.989166667</v>
      </c>
      <c r="M11" s="38">
        <f>ChartData!L11</f>
        <v>3.12</v>
      </c>
    </row>
    <row r="12" ht="18.75" customHeight="1">
      <c r="F12" s="24"/>
      <c r="G12" s="30" t="s">
        <v>23</v>
      </c>
      <c r="H12" s="31"/>
      <c r="I12" s="18">
        <f t="array" ref="I12">IFERROR(AVERAGEIFS(INDEX(TestingData,,MATCH($G12,TestingHeaders,0)),TestingData!$A:$A,$A$5,TestingData!$I:$I,$F$5),"")</f>
        <v>3</v>
      </c>
      <c r="J12" s="19">
        <f t="shared" si="1"/>
        <v>-6.125</v>
      </c>
      <c r="K12" s="27">
        <f>ChartData!J12</f>
        <v>3</v>
      </c>
      <c r="L12" s="28">
        <f>ChartData!K12</f>
        <v>9.125</v>
      </c>
      <c r="M12" s="29">
        <f>ChartData!L12</f>
        <v>21.2</v>
      </c>
    </row>
    <row r="13" ht="18.75" customHeight="1">
      <c r="A13" s="2"/>
      <c r="B13" s="2"/>
      <c r="C13" s="2"/>
      <c r="D13" s="2"/>
      <c r="E13" s="2"/>
      <c r="F13" s="15" t="s">
        <v>24</v>
      </c>
      <c r="G13" s="40" t="s">
        <v>25</v>
      </c>
      <c r="H13" s="41"/>
      <c r="I13" s="42">
        <f t="array" ref="I13">IFERROR(AVERAGEIFS(INDEX(TestingData,,MATCH($G13,TestingHeaders,0)),TestingData!$A:$A,$A$5,TestingData!$I:$I,$F$5),"")</f>
        <v>22</v>
      </c>
      <c r="J13" s="43">
        <f t="shared" si="1"/>
        <v>-139.3333333</v>
      </c>
      <c r="K13" s="20">
        <f>ChartData!J13</f>
        <v>230</v>
      </c>
      <c r="L13" s="21">
        <f>ChartData!K13</f>
        <v>161.3333333</v>
      </c>
      <c r="M13" s="22">
        <f>ChartData!L13</f>
        <v>12</v>
      </c>
    </row>
    <row r="14" ht="18.75" customHeight="1">
      <c r="A14" s="44" t="s">
        <v>26</v>
      </c>
      <c r="E14" s="2"/>
      <c r="F14" s="45"/>
      <c r="G14" s="30" t="s">
        <v>27</v>
      </c>
      <c r="H14" s="31"/>
      <c r="I14" s="42">
        <f t="array" ref="I14">IFERROR(AVERAGEIFS(INDEX(TestingData,,MATCH($G14,TestingHeaders,0)),TestingData!$A:$A,$A$5,TestingData!$I:$I,$F$5),"")</f>
        <v>2.096774194</v>
      </c>
      <c r="J14" s="43">
        <f t="shared" si="1"/>
        <v>0.5329072374</v>
      </c>
      <c r="K14" s="20">
        <f>ChartData!J14</f>
        <v>2.116402116</v>
      </c>
      <c r="L14" s="21">
        <f>ChartData!K14</f>
        <v>1.563866956</v>
      </c>
      <c r="M14" s="22">
        <f>ChartData!L14</f>
        <v>0.5376344086</v>
      </c>
    </row>
    <row r="15" ht="18.75" customHeight="1">
      <c r="A15" s="46" t="str">
        <f>A5</f>
        <v>Dylan Cole</v>
      </c>
      <c r="E15" s="2"/>
      <c r="F15" s="47" t="s">
        <v>28</v>
      </c>
      <c r="G15" s="30" t="s">
        <v>29</v>
      </c>
      <c r="H15" s="31"/>
      <c r="I15" s="18">
        <f t="array" ref="I15">IFERROR(AVERAGEIFS(INDEX(TestingData,,MATCH($G15,TestingHeaders,0)),TestingData!$A:$A,$A$5,TestingData!$I:$I,$F$5),"")</f>
        <v>105</v>
      </c>
      <c r="J15" s="19">
        <f t="shared" si="1"/>
        <v>3.777777778</v>
      </c>
      <c r="K15" s="27">
        <f>ChartData!J12</f>
        <v>3</v>
      </c>
      <c r="L15" s="28">
        <f>ChartData!K15</f>
        <v>101.2222222</v>
      </c>
      <c r="M15" s="29">
        <f>ChartData!L15</f>
        <v>66</v>
      </c>
    </row>
    <row r="16" ht="18.75" customHeight="1">
      <c r="A16" s="48">
        <f>ChartData!Y9</f>
        <v>74.54830625</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Dylan Cole</v>
      </c>
      <c r="H18" s="52" t="str">
        <f>K5&amp;" Best"</f>
        <v>Team Best</v>
      </c>
      <c r="J18" s="53" t="str">
        <f>K5&amp;" Average"</f>
        <v>Team Average</v>
      </c>
      <c r="L18" s="54" t="str">
        <f>K5&amp;" Worst"</f>
        <v>Team Worst</v>
      </c>
    </row>
    <row r="19" ht="18.75" customHeight="1">
      <c r="A19" s="55" t="str">
        <f>A5</f>
        <v>Dylan Cole</v>
      </c>
      <c r="C19" s="55" t="str">
        <f>IFERROR(ChartData!C7&amp;" Average","")</f>
        <v>Forward Average</v>
      </c>
      <c r="E19" s="2"/>
      <c r="F19" s="2"/>
      <c r="G19" s="2"/>
      <c r="H19" s="2"/>
      <c r="I19" s="3"/>
      <c r="J19" s="3"/>
      <c r="K19" s="3"/>
      <c r="L19" s="3"/>
      <c r="M19" s="3"/>
    </row>
    <row r="20" ht="18.75" customHeight="1">
      <c r="A20" s="56">
        <f>ChartData!Y16</f>
        <v>74.54830625</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AGILITY TEST</v>
      </c>
      <c r="F34" s="64" t="s">
        <v>36</v>
      </c>
      <c r="H34" s="65" t="str">
        <f>IFERROR(ChartData!W36,A5&amp;" has no major strengths; he is below the 50th percentile in every test.")</f>
        <v>Dylan Cole's biggest strength is AGILITY TEST. Dylan Cole is in the 100th percentile. Another strength for Dylan Cole is MED BALL THROW AVG; they are in the 94th percentile.</v>
      </c>
    </row>
    <row r="35" ht="18.75" customHeight="1">
      <c r="D35" s="63" t="str">
        <f>ChartData!V35</f>
        <v>MED BALL THROW AVG</v>
      </c>
    </row>
    <row r="36" ht="18.75" customHeight="1">
      <c r="A36" s="3"/>
      <c r="B36" s="2"/>
      <c r="C36" s="2"/>
      <c r="D36" s="66"/>
      <c r="E36" s="66"/>
      <c r="F36" s="2"/>
      <c r="G36" s="2"/>
      <c r="H36" s="2"/>
      <c r="I36" s="3"/>
      <c r="J36" s="3"/>
      <c r="K36" s="3"/>
      <c r="L36" s="3"/>
      <c r="M36" s="3"/>
    </row>
    <row r="37" ht="18.75" customHeight="1">
      <c r="A37" s="67"/>
      <c r="B37" s="68" t="s">
        <v>37</v>
      </c>
      <c r="D37" s="69" t="str">
        <f>ChartData!V38</f>
        <v>VO2MAX</v>
      </c>
      <c r="F37" s="70" t="s">
        <v>36</v>
      </c>
      <c r="H37" s="71" t="str">
        <f>IFERROR(ChartData!W40,A5&amp;" has no weaknesses; he is above the 50th percentile in every test.")</f>
        <v>Dylan Cole has no weaknesses; he is above the 50th percentile in every test.</v>
      </c>
    </row>
    <row r="38" ht="18.75" customHeight="1">
      <c r="D38" s="69" t="str">
        <f>ChartData!V39</f>
        <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IFERROR(__xludf.DUMMYFUNCTION("""COMPUTED_VALUE"""),74.54830624749161)</f>
        <v>74.54830625</v>
      </c>
      <c r="F59" s="94">
        <f>IFERROR(__xludf.DUMMYFUNCTION("""COMPUTED_VALUE"""),21.866666666666664)</f>
        <v>21.86666667</v>
      </c>
      <c r="G59" s="3">
        <f>IFERROR(__xludf.DUMMYFUNCTION("""COMPUTED_VALUE"""),105.0)</f>
        <v>105</v>
      </c>
      <c r="H59" s="95">
        <f>IFERROR(__xludf.DUMMYFUNCTION("""COMPUTED_VALUE"""),1.5)</f>
        <v>1.5</v>
      </c>
      <c r="I59" s="95">
        <f>IFERROR(__xludf.DUMMYFUNCTION("""COMPUTED_VALUE"""),2.91)</f>
        <v>2.91</v>
      </c>
      <c r="J59" s="3">
        <f>IFERROR(__xludf.DUMMYFUNCTION("""COMPUTED_VALUE"""),3.0)</f>
        <v>3</v>
      </c>
      <c r="K59" s="3" t="str">
        <f>IFERROR(__xludf.DUMMYFUNCTION("""COMPUTED_VALUE"""),"")</f>
        <v/>
      </c>
      <c r="L59" s="95">
        <f>IFERROR(__xludf.DUMMYFUNCTION("""COMPUTED_VALUE"""),2.096774193548387)</f>
        <v>2.096774194</v>
      </c>
      <c r="M59" s="95">
        <f>IFERROR(__xludf.DUMMYFUNCTION("""COMPUTED_VALUE"""),22.0)</f>
        <v>22</v>
      </c>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U13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SORTN(FILTER({J13:J298,INDEX(I13:W298,,MATCH(I4,I11:W11,0))},INDEX(I13:"&amp;"W298,,MATCH(I4,I11:W11,0))&lt;&gt;""""),5,FALSE,2,FALSE)),"""")"),"Brecken Tibbs")</f>
        <v>Brecken Tibbs</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IFERROR(__xludf.DUMMYFUNCTION("""COMPUTED_VALUE"""),"Xaiver Winters")</f>
        <v>Xaiver Winters</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IFERROR(__xludf.DUMMYFUNCTION("""COMPUTED_VALUE"""),"Dylan Cole")</f>
        <v>Dylan Cole</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IFERROR(__xludf.DUMMYFUNCTION("""COMPUTED_VALUE"""),"Jack McElliott")</f>
        <v>Jack McElliott</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IFERROR(__xludf.DUMMYFUNCTION("""COMPUTED_VALUE"""),"Alex Kessleheim")</f>
        <v>Alex Kessleheim</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),MATCH(C12,J11:W11,0),C14)"),"Nichollas Teixeira")</f>
        <v>Nichollas Teixeira</v>
      </c>
      <c r="L13" s="177" t="str">
        <f>IFERROR(__xludf.DUMMYFUNCTION("""COMPUTED_VALUE"""),"U13")</f>
        <v>U13</v>
      </c>
      <c r="M13" s="177" t="str">
        <f>IFERROR(__xludf.DUMMYFUNCTION("""COMPUTED_VALUE"""),"Midfielder")</f>
        <v>Midfielder</v>
      </c>
      <c r="N13" s="177" t="str">
        <f>IFERROR(__xludf.DUMMYFUNCTION("""COMPUTED_VALUE"""),"Full")</f>
        <v>Full</v>
      </c>
      <c r="O13" s="178">
        <f>IFERROR(__xludf.DUMMYFUNCTION("""COMPUTED_VALUE"""),86.51081081081081)</f>
        <v>86.51081081</v>
      </c>
      <c r="P13" s="179" t="str">
        <f>IFERROR(__xludf.DUMMYFUNCTION("""COMPUTED_VALUE"""),"")</f>
        <v/>
      </c>
      <c r="Q13" s="180">
        <f>IFERROR(__xludf.DUMMYFUNCTION("""COMPUTED_VALUE"""),210.0)</f>
        <v>210</v>
      </c>
      <c r="R13" s="176" t="str">
        <f>IFERROR(__xludf.DUMMYFUNCTION("""COMPUTED_VALUE"""),"")</f>
        <v/>
      </c>
      <c r="S13" s="181"/>
      <c r="T13" s="181"/>
      <c r="U13" s="176"/>
      <c r="V13" s="182"/>
      <c r="W13" s="181">
        <f>IFERROR(__xludf.DUMMYFUNCTION("""COMPUTED_VALUE"""),1.6904761904761905)</f>
        <v>1.69047619</v>
      </c>
    </row>
    <row r="14" ht="22.5" customHeight="1">
      <c r="A14" s="121" t="s">
        <v>69</v>
      </c>
      <c r="C14" s="141" t="b">
        <v>0</v>
      </c>
      <c r="G14" s="123"/>
      <c r="H14" s="171"/>
      <c r="I14" s="183" t="str">
        <f t="array" ref="I14">IFERROR(INDEX(Profiles!I:I,MATCH(J14,Profiles!A:A,0)),"")</f>
        <v/>
      </c>
      <c r="J14" s="184" t="str">
        <f>IFERROR(__xludf.DUMMYFUNCTION("""COMPUTED_VALUE"""),"Brecken Tibbs")</f>
        <v>Brecken Tibbs</v>
      </c>
      <c r="L14" s="184" t="str">
        <f>IFERROR(__xludf.DUMMYFUNCTION("""COMPUTED_VALUE"""),"U13")</f>
        <v>U13</v>
      </c>
      <c r="M14" s="184" t="str">
        <f>IFERROR(__xludf.DUMMYFUNCTION("""COMPUTED_VALUE"""),"Defender")</f>
        <v>Defender</v>
      </c>
      <c r="N14" s="184" t="str">
        <f>IFERROR(__xludf.DUMMYFUNCTION("""COMPUTED_VALUE"""),"Full")</f>
        <v>Full</v>
      </c>
      <c r="O14" s="185">
        <f>IFERROR(__xludf.DUMMYFUNCTION("""COMPUTED_VALUE"""),74.58334531649938)</f>
        <v>74.58334532</v>
      </c>
      <c r="P14" s="186">
        <f>IFERROR(__xludf.DUMMYFUNCTION("""COMPUTED_VALUE"""),72.72727272727272)</f>
        <v>72.72727273</v>
      </c>
      <c r="Q14" s="187">
        <f>IFERROR(__xludf.DUMMYFUNCTION("""COMPUTED_VALUE"""),204.0)</f>
        <v>204</v>
      </c>
      <c r="R14" s="183" t="str">
        <f>IFERROR(__xludf.DUMMYFUNCTION("""COMPUTED_VALUE"""),"")</f>
        <v/>
      </c>
      <c r="S14" s="188"/>
      <c r="T14" s="188">
        <f>IFERROR(__xludf.DUMMYFUNCTION("""COMPUTED_VALUE"""),1.41)</f>
        <v>1.41</v>
      </c>
      <c r="U14" s="183">
        <f>IFERROR(__xludf.DUMMYFUNCTION("""COMPUTED_VALUE"""),3.02)</f>
        <v>3.02</v>
      </c>
      <c r="V14" s="185">
        <f>IFERROR(__xludf.DUMMYFUNCTION("""COMPUTED_VALUE"""),225.0)</f>
        <v>225</v>
      </c>
      <c r="W14" s="188" t="str">
        <f>IFERROR(__xludf.DUMMYFUNCTION("""COMPUTED_VALUE"""),"")</f>
        <v/>
      </c>
    </row>
    <row r="15" ht="22.5" customHeight="1">
      <c r="A15" s="189"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IFERROR(__xludf.DUMMYFUNCTION("""COMPUTED_VALUE"""),"Xaiver Winters")</f>
        <v>Xaiver Winters</v>
      </c>
      <c r="L15" s="177" t="str">
        <f>IFERROR(__xludf.DUMMYFUNCTION("""COMPUTED_VALUE"""),"U13")</f>
        <v>U13</v>
      </c>
      <c r="M15" s="177" t="str">
        <f>IFERROR(__xludf.DUMMYFUNCTION("""COMPUTED_VALUE"""),"Forward")</f>
        <v>Forward</v>
      </c>
      <c r="N15" s="177" t="str">
        <f>IFERROR(__xludf.DUMMYFUNCTION("""COMPUTED_VALUE"""),"Full")</f>
        <v>Full</v>
      </c>
      <c r="O15" s="178">
        <f>IFERROR(__xludf.DUMMYFUNCTION("""COMPUTED_VALUE"""),74.58334531649938)</f>
        <v>74.58334532</v>
      </c>
      <c r="P15" s="179">
        <f>IFERROR(__xludf.DUMMYFUNCTION("""COMPUTED_VALUE"""),72.72727272727272)</f>
        <v>72.72727273</v>
      </c>
      <c r="Q15" s="180">
        <f>IFERROR(__xludf.DUMMYFUNCTION("""COMPUTED_VALUE"""),204.0)</f>
        <v>204</v>
      </c>
      <c r="R15" s="176" t="str">
        <f>IFERROR(__xludf.DUMMYFUNCTION("""COMPUTED_VALUE"""),"")</f>
        <v/>
      </c>
      <c r="S15" s="181"/>
      <c r="T15" s="181">
        <f>IFERROR(__xludf.DUMMYFUNCTION("""COMPUTED_VALUE"""),1.41)</f>
        <v>1.41</v>
      </c>
      <c r="U15" s="176">
        <f>IFERROR(__xludf.DUMMYFUNCTION("""COMPUTED_VALUE"""),3.02)</f>
        <v>3.02</v>
      </c>
      <c r="V15" s="178">
        <f>IFERROR(__xludf.DUMMYFUNCTION("""COMPUTED_VALUE"""),225.0)</f>
        <v>225</v>
      </c>
      <c r="W15" s="181" t="str">
        <f>IFERROR(__xludf.DUMMYFUNCTION("""COMPUTED_VALUE"""),"")</f>
        <v/>
      </c>
    </row>
    <row r="16" ht="22.5" customHeight="1">
      <c r="A16" s="163"/>
      <c r="H16" s="171"/>
      <c r="I16" s="183" t="str">
        <f t="array" ref="I16">IFERROR(INDEX(Profiles!I:I,MATCH(J16,Profiles!A:A,0)),"")</f>
        <v/>
      </c>
      <c r="J16" s="184" t="str">
        <f>IFERROR(__xludf.DUMMYFUNCTION("""COMPUTED_VALUE"""),"Dylan Cole")</f>
        <v>Dylan Cole</v>
      </c>
      <c r="L16" s="184" t="str">
        <f>IFERROR(__xludf.DUMMYFUNCTION("""COMPUTED_VALUE"""),"U13")</f>
        <v>U13</v>
      </c>
      <c r="M16" s="184" t="str">
        <f>IFERROR(__xludf.DUMMYFUNCTION("""COMPUTED_VALUE"""),"Defender")</f>
        <v>Defender</v>
      </c>
      <c r="N16" s="184" t="str">
        <f>IFERROR(__xludf.DUMMYFUNCTION("""COMPUTED_VALUE"""),"Full")</f>
        <v>Full</v>
      </c>
      <c r="O16" s="185">
        <f>IFERROR(__xludf.DUMMYFUNCTION("""COMPUTED_VALUE"""),74.54830624749161)</f>
        <v>74.54830625</v>
      </c>
      <c r="P16" s="186">
        <f>IFERROR(__xludf.DUMMYFUNCTION("""COMPUTED_VALUE"""),92.23484848484844)</f>
        <v>92.23484848</v>
      </c>
      <c r="Q16" s="187">
        <f>IFERROR(__xludf.DUMMYFUNCTION("""COMPUTED_VALUE"""),186.0)</f>
        <v>186</v>
      </c>
      <c r="R16" s="183" t="str">
        <f>IFERROR(__xludf.DUMMYFUNCTION("""COMPUTED_VALUE"""),"")</f>
        <v/>
      </c>
      <c r="S16" s="188">
        <f>IFERROR(__xludf.DUMMYFUNCTION("""COMPUTED_VALUE"""),3.0)</f>
        <v>3</v>
      </c>
      <c r="T16" s="188">
        <f>IFERROR(__xludf.DUMMYFUNCTION("""COMPUTED_VALUE"""),1.5)</f>
        <v>1.5</v>
      </c>
      <c r="U16" s="183">
        <f>IFERROR(__xludf.DUMMYFUNCTION("""COMPUTED_VALUE"""),2.91)</f>
        <v>2.91</v>
      </c>
      <c r="V16" s="190">
        <f>IFERROR(__xludf.DUMMYFUNCTION("""COMPUTED_VALUE"""),22.0)</f>
        <v>22</v>
      </c>
      <c r="W16" s="188">
        <f>IFERROR(__xludf.DUMMYFUNCTION("""COMPUTED_VALUE"""),2.096774193548387)</f>
        <v>2.096774194</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IFERROR(__xludf.DUMMYFUNCTION("""COMPUTED_VALUE"""),"Hudson Kelly")</f>
        <v>Hudson Kelly</v>
      </c>
      <c r="L17" s="177" t="str">
        <f>IFERROR(__xludf.DUMMYFUNCTION("""COMPUTED_VALUE"""),"U13")</f>
        <v>U13</v>
      </c>
      <c r="M17" s="177" t="str">
        <f>IFERROR(__xludf.DUMMYFUNCTION("""COMPUTED_VALUE"""),"Defender")</f>
        <v>Defender</v>
      </c>
      <c r="N17" s="177" t="str">
        <f>IFERROR(__xludf.DUMMYFUNCTION("""COMPUTED_VALUE"""),"Full")</f>
        <v>Full</v>
      </c>
      <c r="O17" s="178">
        <f>IFERROR(__xludf.DUMMYFUNCTION("""COMPUTED_VALUE"""),72.9483466983467)</f>
        <v>72.9483467</v>
      </c>
      <c r="P17" s="179">
        <f>IFERROR(__xludf.DUMMYFUNCTION("""COMPUTED_VALUE"""),72.52747252747253)</f>
        <v>72.52747253</v>
      </c>
      <c r="Q17" s="180">
        <f>IFERROR(__xludf.DUMMYFUNCTION("""COMPUTED_VALUE"""),192.0)</f>
        <v>192</v>
      </c>
      <c r="R17" s="176" t="str">
        <f>IFERROR(__xludf.DUMMYFUNCTION("""COMPUTED_VALUE"""),"")</f>
        <v/>
      </c>
      <c r="S17" s="181">
        <f>IFERROR(__xludf.DUMMYFUNCTION("""COMPUTED_VALUE"""),8.0)</f>
        <v>8</v>
      </c>
      <c r="T17" s="181"/>
      <c r="U17" s="176"/>
      <c r="V17" s="182"/>
      <c r="W17" s="181">
        <f>IFERROR(__xludf.DUMMYFUNCTION("""COMPUTED_VALUE"""),1.4583333333333333)</f>
        <v>1.458333333</v>
      </c>
    </row>
    <row r="18" ht="22.5" customHeight="1">
      <c r="A18" s="191" t="s">
        <v>71</v>
      </c>
      <c r="C18" s="192" t="s">
        <v>72</v>
      </c>
      <c r="E18" s="193" t="s">
        <v>73</v>
      </c>
      <c r="G18" s="194" t="s">
        <v>74</v>
      </c>
      <c r="H18" s="171"/>
      <c r="I18" s="183" t="str">
        <f t="array" ref="I18">IFERROR(INDEX(Profiles!I:I,MATCH(J18,Profiles!A:A,0)),"")</f>
        <v/>
      </c>
      <c r="J18" s="184" t="str">
        <f>IFERROR(__xludf.DUMMYFUNCTION("""COMPUTED_VALUE"""),"Ben Santos")</f>
        <v>Ben Santos</v>
      </c>
      <c r="L18" s="184" t="str">
        <f>IFERROR(__xludf.DUMMYFUNCTION("""COMPUTED_VALUE"""),"U13")</f>
        <v>U13</v>
      </c>
      <c r="M18" s="184" t="str">
        <f>IFERROR(__xludf.DUMMYFUNCTION("""COMPUTED_VALUE"""),"Goalkeeper")</f>
        <v>Goalkeeper</v>
      </c>
      <c r="N18" s="184" t="str">
        <f>IFERROR(__xludf.DUMMYFUNCTION("""COMPUTED_VALUE"""),"Full")</f>
        <v>Full</v>
      </c>
      <c r="O18" s="185">
        <f>IFERROR(__xludf.DUMMYFUNCTION("""COMPUTED_VALUE"""),72.6839133089133)</f>
        <v>72.68391331</v>
      </c>
      <c r="P18" s="186">
        <f>IFERROR(__xludf.DUMMYFUNCTION("""COMPUTED_VALUE"""),62.03449328449327)</f>
        <v>62.03449328</v>
      </c>
      <c r="Q18" s="187">
        <f>IFERROR(__xludf.DUMMYFUNCTION("""COMPUTED_VALUE"""),189.0)</f>
        <v>189</v>
      </c>
      <c r="R18" s="183" t="str">
        <f>IFERROR(__xludf.DUMMYFUNCTION("""COMPUTED_VALUE"""),"")</f>
        <v/>
      </c>
      <c r="S18" s="188">
        <f>IFERROR(__xludf.DUMMYFUNCTION("""COMPUTED_VALUE"""),9.7)</f>
        <v>9.7</v>
      </c>
      <c r="T18" s="188">
        <f>IFERROR(__xludf.DUMMYFUNCTION("""COMPUTED_VALUE"""),1.78)</f>
        <v>1.78</v>
      </c>
      <c r="U18" s="183">
        <f>IFERROR(__xludf.DUMMYFUNCTION("""COMPUTED_VALUE"""),2.9)</f>
        <v>2.9</v>
      </c>
      <c r="V18" s="185">
        <f>IFERROR(__xludf.DUMMYFUNCTION("""COMPUTED_VALUE"""),230.0)</f>
        <v>230</v>
      </c>
      <c r="W18" s="188">
        <f>IFERROR(__xludf.DUMMYFUNCTION("""COMPUTED_VALUE"""),2.1164021164021163)</f>
        <v>2.116402116</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IFERROR(__xludf.DUMMYFUNCTION("""COMPUTED_VALUE"""),"Alexander Collins")</f>
        <v>Alexander Collins</v>
      </c>
      <c r="L19" s="177" t="str">
        <f>IFERROR(__xludf.DUMMYFUNCTION("""COMPUTED_VALUE"""),"U13")</f>
        <v>U13</v>
      </c>
      <c r="M19" s="177" t="str">
        <f>IFERROR(__xludf.DUMMYFUNCTION("""COMPUTED_VALUE"""),"Defender")</f>
        <v>Defender</v>
      </c>
      <c r="N19" s="177" t="str">
        <f>IFERROR(__xludf.DUMMYFUNCTION("""COMPUTED_VALUE"""),"Full")</f>
        <v>Full</v>
      </c>
      <c r="O19" s="178">
        <f>IFERROR(__xludf.DUMMYFUNCTION("""COMPUTED_VALUE"""),72.6839133089133)</f>
        <v>72.68391331</v>
      </c>
      <c r="P19" s="179">
        <f>IFERROR(__xludf.DUMMYFUNCTION("""COMPUTED_VALUE"""),62.03449328449327)</f>
        <v>62.03449328</v>
      </c>
      <c r="Q19" s="180">
        <f>IFERROR(__xludf.DUMMYFUNCTION("""COMPUTED_VALUE"""),189.0)</f>
        <v>189</v>
      </c>
      <c r="R19" s="176" t="str">
        <f>IFERROR(__xludf.DUMMYFUNCTION("""COMPUTED_VALUE"""),"")</f>
        <v/>
      </c>
      <c r="S19" s="181">
        <f>IFERROR(__xludf.DUMMYFUNCTION("""COMPUTED_VALUE"""),9.7)</f>
        <v>9.7</v>
      </c>
      <c r="T19" s="181">
        <f>IFERROR(__xludf.DUMMYFUNCTION("""COMPUTED_VALUE"""),1.78)</f>
        <v>1.78</v>
      </c>
      <c r="U19" s="176">
        <f>IFERROR(__xludf.DUMMYFUNCTION("""COMPUTED_VALUE"""),2.9)</f>
        <v>2.9</v>
      </c>
      <c r="V19" s="178">
        <f>IFERROR(__xludf.DUMMYFUNCTION("""COMPUTED_VALUE"""),230.0)</f>
        <v>230</v>
      </c>
      <c r="W19" s="181">
        <f>IFERROR(__xludf.DUMMYFUNCTION("""COMPUTED_VALUE"""),2.1164021164021163)</f>
        <v>2.116402116</v>
      </c>
    </row>
    <row r="20" ht="22.5" customHeight="1">
      <c r="A20" s="197" t="str">
        <f t="array" ref="A20:A28">TRANSPOSE(O11:W11)</f>
        <v>OVERALL SCORE</v>
      </c>
      <c r="C20" s="198">
        <v>1.0</v>
      </c>
      <c r="D20" s="198">
        <v>45.0</v>
      </c>
      <c r="E20" s="199">
        <v>50.0</v>
      </c>
      <c r="F20" s="199">
        <v>100.0</v>
      </c>
      <c r="G20" s="200" t="b">
        <v>1</v>
      </c>
      <c r="H20" s="171"/>
      <c r="I20" s="183" t="str">
        <f t="array" ref="I20">IFERROR(INDEX(Profiles!I:I,MATCH(J20,Profiles!A:A,0)),"")</f>
        <v/>
      </c>
      <c r="J20" s="184" t="str">
        <f>IFERROR(__xludf.DUMMYFUNCTION("""COMPUTED_VALUE"""),"Myles Monteiro")</f>
        <v>Myles Monteiro</v>
      </c>
      <c r="L20" s="184" t="str">
        <f>IFERROR(__xludf.DUMMYFUNCTION("""COMPUTED_VALUE"""),"U13")</f>
        <v>U13</v>
      </c>
      <c r="M20" s="184" t="str">
        <f>IFERROR(__xludf.DUMMYFUNCTION("""COMPUTED_VALUE"""),"Defender")</f>
        <v>Defender</v>
      </c>
      <c r="N20" s="184" t="str">
        <f>IFERROR(__xludf.DUMMYFUNCTION("""COMPUTED_VALUE"""),"Full")</f>
        <v>Full</v>
      </c>
      <c r="O20" s="185">
        <f>IFERROR(__xludf.DUMMYFUNCTION("""COMPUTED_VALUE"""),72.57176577157242)</f>
        <v>72.57176577</v>
      </c>
      <c r="P20" s="186" t="str">
        <f>IFERROR(__xludf.DUMMYFUNCTION("""COMPUTED_VALUE"""),"")</f>
        <v/>
      </c>
      <c r="Q20" s="187">
        <f>IFERROR(__xludf.DUMMYFUNCTION("""COMPUTED_VALUE"""),214.0)</f>
        <v>214</v>
      </c>
      <c r="R20" s="183" t="str">
        <f>IFERROR(__xludf.DUMMYFUNCTION("""COMPUTED_VALUE"""),"")</f>
        <v/>
      </c>
      <c r="S20" s="188"/>
      <c r="T20" s="188"/>
      <c r="U20" s="183"/>
      <c r="V20" s="190"/>
      <c r="W20" s="188">
        <f>IFERROR(__xludf.DUMMYFUNCTION("""COMPUTED_VALUE"""),1.4953271028037383)</f>
        <v>1.495327103</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IFERROR(__xludf.DUMMYFUNCTION("""COMPUTED_VALUE"""),"Antonio Blanco")</f>
        <v>Antonio Blanco</v>
      </c>
      <c r="L21" s="177" t="str">
        <f>IFERROR(__xludf.DUMMYFUNCTION("""COMPUTED_VALUE"""),"U13")</f>
        <v>U13</v>
      </c>
      <c r="M21" s="177" t="str">
        <f>IFERROR(__xludf.DUMMYFUNCTION("""COMPUTED_VALUE"""),"Goalkeeper")</f>
        <v>Goalkeeper</v>
      </c>
      <c r="N21" s="177" t="str">
        <f>IFERROR(__xludf.DUMMYFUNCTION("""COMPUTED_VALUE"""),"Full")</f>
        <v>Full</v>
      </c>
      <c r="O21" s="178">
        <f>IFERROR(__xludf.DUMMYFUNCTION("""COMPUTED_VALUE"""),70.67296692230424)</f>
        <v>70.67296692</v>
      </c>
      <c r="P21" s="179">
        <f>IFERROR(__xludf.DUMMYFUNCTION("""COMPUTED_VALUE"""),53.77955377955374)</f>
        <v>53.77955378</v>
      </c>
      <c r="Q21" s="180">
        <f>IFERROR(__xludf.DUMMYFUNCTION("""COMPUTED_VALUE"""),206.0)</f>
        <v>206</v>
      </c>
      <c r="R21" s="176" t="str">
        <f>IFERROR(__xludf.DUMMYFUNCTION("""COMPUTED_VALUE"""),"")</f>
        <v/>
      </c>
      <c r="S21" s="181">
        <f>IFERROR(__xludf.DUMMYFUNCTION("""COMPUTED_VALUE"""),5.9)</f>
        <v>5.9</v>
      </c>
      <c r="T21" s="181">
        <f>IFERROR(__xludf.DUMMYFUNCTION("""COMPUTED_VALUE"""),1.89)</f>
        <v>1.89</v>
      </c>
      <c r="U21" s="176">
        <f>IFERROR(__xludf.DUMMYFUNCTION("""COMPUTED_VALUE"""),2.95)</f>
        <v>2.95</v>
      </c>
      <c r="V21" s="178">
        <f>IFERROR(__xludf.DUMMYFUNCTION("""COMPUTED_VALUE"""),205.0)</f>
        <v>205</v>
      </c>
      <c r="W21" s="181">
        <f>IFERROR(__xludf.DUMMYFUNCTION("""COMPUTED_VALUE"""),1.8446601941747574)</f>
        <v>1.844660194</v>
      </c>
    </row>
    <row r="22" ht="22.5" customHeight="1">
      <c r="A22" s="201" t="s">
        <v>14</v>
      </c>
      <c r="C22" s="198">
        <v>1.0</v>
      </c>
      <c r="D22" s="198">
        <v>100.0</v>
      </c>
      <c r="E22" s="199">
        <v>120.0</v>
      </c>
      <c r="F22" s="199">
        <v>7.0</v>
      </c>
      <c r="G22" s="200" t="b">
        <v>0</v>
      </c>
      <c r="H22" s="171"/>
      <c r="I22" s="183" t="str">
        <f t="array" ref="I22">IFERROR(INDEX(Profiles!I:I,MATCH(J22,Profiles!A:A,0)),"")</f>
        <v/>
      </c>
      <c r="J22" s="184" t="str">
        <f>IFERROR(__xludf.DUMMYFUNCTION("""COMPUTED_VALUE"""),"Alex Kessleheim")</f>
        <v>Alex Kessleheim</v>
      </c>
      <c r="L22" s="184" t="str">
        <f>IFERROR(__xludf.DUMMYFUNCTION("""COMPUTED_VALUE"""),"U13")</f>
        <v>U13</v>
      </c>
      <c r="M22" s="184" t="str">
        <f>IFERROR(__xludf.DUMMYFUNCTION("""COMPUTED_VALUE"""),"Forward")</f>
        <v>Forward</v>
      </c>
      <c r="N22" s="184" t="str">
        <f>IFERROR(__xludf.DUMMYFUNCTION("""COMPUTED_VALUE"""),"Full")</f>
        <v>Full</v>
      </c>
      <c r="O22" s="185">
        <f>IFERROR(__xludf.DUMMYFUNCTION("""COMPUTED_VALUE"""),65.55443371237877)</f>
        <v>65.55443371</v>
      </c>
      <c r="P22" s="186">
        <f>IFERROR(__xludf.DUMMYFUNCTION("""COMPUTED_VALUE"""),48.14421689421692)</f>
        <v>48.14421689</v>
      </c>
      <c r="Q22" s="187">
        <f>IFERROR(__xludf.DUMMYFUNCTION("""COMPUTED_VALUE"""),210.0)</f>
        <v>210</v>
      </c>
      <c r="R22" s="183">
        <f>IFERROR(__xludf.DUMMYFUNCTION("""COMPUTED_VALUE"""),59.25)</f>
        <v>59.25</v>
      </c>
      <c r="S22" s="188">
        <f>IFERROR(__xludf.DUMMYFUNCTION("""COMPUTED_VALUE"""),11.7)</f>
        <v>11.7</v>
      </c>
      <c r="T22" s="188">
        <f>IFERROR(__xludf.DUMMYFUNCTION("""COMPUTED_VALUE"""),1.6)</f>
        <v>1.6</v>
      </c>
      <c r="U22" s="183">
        <f>IFERROR(__xludf.DUMMYFUNCTION("""COMPUTED_VALUE"""),3.05)</f>
        <v>3.05</v>
      </c>
      <c r="V22" s="185">
        <f>IFERROR(__xludf.DUMMYFUNCTION("""COMPUTED_VALUE"""),185.0)</f>
        <v>185</v>
      </c>
      <c r="W22" s="188">
        <f>IFERROR(__xludf.DUMMYFUNCTION("""COMPUTED_VALUE"""),1.6904761904761905)</f>
        <v>1.69047619</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IFERROR(__xludf.DUMMYFUNCTION("""COMPUTED_VALUE"""),"Finn Norton")</f>
        <v>Finn Norton</v>
      </c>
      <c r="L23" s="177" t="str">
        <f>IFERROR(__xludf.DUMMYFUNCTION("""COMPUTED_VALUE"""),"U13")</f>
        <v>U13</v>
      </c>
      <c r="M23" s="177" t="str">
        <f>IFERROR(__xludf.DUMMYFUNCTION("""COMPUTED_VALUE"""),"Midfielder")</f>
        <v>Midfielder</v>
      </c>
      <c r="N23" s="177" t="str">
        <f>IFERROR(__xludf.DUMMYFUNCTION("""COMPUTED_VALUE"""),"Full")</f>
        <v>Full</v>
      </c>
      <c r="O23" s="178">
        <f>IFERROR(__xludf.DUMMYFUNCTION("""COMPUTED_VALUE"""),65.136676795613)</f>
        <v>65.1366768</v>
      </c>
      <c r="P23" s="179">
        <f>IFERROR(__xludf.DUMMYFUNCTION("""COMPUTED_VALUE"""),53.77955377955374)</f>
        <v>53.77955378</v>
      </c>
      <c r="Q23" s="180">
        <f>IFERROR(__xludf.DUMMYFUNCTION("""COMPUTED_VALUE"""),206.0)</f>
        <v>206</v>
      </c>
      <c r="R23" s="176">
        <f>IFERROR(__xludf.DUMMYFUNCTION("""COMPUTED_VALUE"""),48.5)</f>
        <v>48.5</v>
      </c>
      <c r="S23" s="181">
        <f>IFERROR(__xludf.DUMMYFUNCTION("""COMPUTED_VALUE"""),5.9)</f>
        <v>5.9</v>
      </c>
      <c r="T23" s="181">
        <f>IFERROR(__xludf.DUMMYFUNCTION("""COMPUTED_VALUE"""),1.89)</f>
        <v>1.89</v>
      </c>
      <c r="U23" s="176">
        <f>IFERROR(__xludf.DUMMYFUNCTION("""COMPUTED_VALUE"""),2.95)</f>
        <v>2.95</v>
      </c>
      <c r="V23" s="178">
        <f>IFERROR(__xludf.DUMMYFUNCTION("""COMPUTED_VALUE"""),205.0)</f>
        <v>205</v>
      </c>
      <c r="W23" s="181">
        <f>IFERROR(__xludf.DUMMYFUNCTION("""COMPUTED_VALUE"""),1.8446601941747574)</f>
        <v>1.844660194</v>
      </c>
    </row>
    <row r="24" ht="22.5" customHeight="1">
      <c r="A24" s="197" t="s">
        <v>23</v>
      </c>
      <c r="C24" s="198">
        <v>5.0</v>
      </c>
      <c r="D24" s="198">
        <v>100.0</v>
      </c>
      <c r="E24" s="199">
        <v>0.1</v>
      </c>
      <c r="F24" s="199">
        <v>3.9</v>
      </c>
      <c r="G24" s="200" t="b">
        <v>1</v>
      </c>
      <c r="H24" s="171"/>
      <c r="I24" s="183" t="str">
        <f t="array" ref="I24">IFERROR(INDEX(Profiles!I:I,MATCH(J24,Profiles!A:A,0)),"")</f>
        <v/>
      </c>
      <c r="J24" s="184" t="str">
        <f>IFERROR(__xludf.DUMMYFUNCTION("""COMPUTED_VALUE"""),"Caua Viana")</f>
        <v>Caua Viana</v>
      </c>
      <c r="L24" s="184" t="str">
        <f>IFERROR(__xludf.DUMMYFUNCTION("""COMPUTED_VALUE"""),"U13")</f>
        <v>U13</v>
      </c>
      <c r="M24" s="184" t="str">
        <f>IFERROR(__xludf.DUMMYFUNCTION("""COMPUTED_VALUE"""),"Midfielder")</f>
        <v>Midfielder</v>
      </c>
      <c r="N24" s="184" t="str">
        <f>IFERROR(__xludf.DUMMYFUNCTION("""COMPUTED_VALUE"""),"Full")</f>
        <v>Full</v>
      </c>
      <c r="O24" s="185">
        <f>IFERROR(__xludf.DUMMYFUNCTION("""COMPUTED_VALUE"""),59.81350599777522)</f>
        <v>59.813506</v>
      </c>
      <c r="P24" s="186">
        <f>IFERROR(__xludf.DUMMYFUNCTION("""COMPUTED_VALUE"""),48.14421689421692)</f>
        <v>48.14421689</v>
      </c>
      <c r="Q24" s="187">
        <f>IFERROR(__xludf.DUMMYFUNCTION("""COMPUTED_VALUE"""),210.0)</f>
        <v>210</v>
      </c>
      <c r="R24" s="183" t="str">
        <f>IFERROR(__xludf.DUMMYFUNCTION("""COMPUTED_VALUE"""),"")</f>
        <v/>
      </c>
      <c r="S24" s="188">
        <f>IFERROR(__xludf.DUMMYFUNCTION("""COMPUTED_VALUE"""),11.7)</f>
        <v>11.7</v>
      </c>
      <c r="T24" s="188">
        <f>IFERROR(__xludf.DUMMYFUNCTION("""COMPUTED_VALUE"""),1.6)</f>
        <v>1.6</v>
      </c>
      <c r="U24" s="183">
        <f>IFERROR(__xludf.DUMMYFUNCTION("""COMPUTED_VALUE"""),3.05)</f>
        <v>3.05</v>
      </c>
      <c r="V24" s="185">
        <f>IFERROR(__xludf.DUMMYFUNCTION("""COMPUTED_VALUE"""),185.0)</f>
        <v>185</v>
      </c>
      <c r="W24" s="188">
        <f>IFERROR(__xludf.DUMMYFUNCTION("""COMPUTED_VALUE"""),1.6904761904761905)</f>
        <v>1.69047619</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IFERROR(__xludf.DUMMYFUNCTION("""COMPUTED_VALUE"""),"Joao Lucca Alves")</f>
        <v>Joao Lucca Alves</v>
      </c>
      <c r="L25" s="177" t="str">
        <f>IFERROR(__xludf.DUMMYFUNCTION("""COMPUTED_VALUE"""),"U13")</f>
        <v>U13</v>
      </c>
      <c r="M25" s="177" t="str">
        <f>IFERROR(__xludf.DUMMYFUNCTION("""COMPUTED_VALUE"""),"Forward")</f>
        <v>Forward</v>
      </c>
      <c r="N25" s="177" t="str">
        <f>IFERROR(__xludf.DUMMYFUNCTION("""COMPUTED_VALUE"""),"Full")</f>
        <v>Full</v>
      </c>
      <c r="O25" s="178">
        <f>IFERROR(__xludf.DUMMYFUNCTION("""COMPUTED_VALUE"""),58.30306867355407)</f>
        <v>58.30306867</v>
      </c>
      <c r="P25" s="179" t="str">
        <f>IFERROR(__xludf.DUMMYFUNCTION("""COMPUTED_VALUE"""),"")</f>
        <v/>
      </c>
      <c r="Q25" s="180">
        <f>IFERROR(__xludf.DUMMYFUNCTION("""COMPUTED_VALUE"""),214.0)</f>
        <v>214</v>
      </c>
      <c r="R25" s="176">
        <f>IFERROR(__xludf.DUMMYFUNCTION("""COMPUTED_VALUE"""),48.16)</f>
        <v>48.16</v>
      </c>
      <c r="S25" s="181"/>
      <c r="T25" s="181"/>
      <c r="U25" s="176"/>
      <c r="V25" s="182"/>
      <c r="W25" s="181">
        <f>IFERROR(__xludf.DUMMYFUNCTION("""COMPUTED_VALUE"""),1.4953271028037383)</f>
        <v>1.495327103</v>
      </c>
    </row>
    <row r="26" ht="22.5" customHeight="1">
      <c r="A26" s="197" t="s">
        <v>22</v>
      </c>
      <c r="C26" s="198">
        <v>10.0</v>
      </c>
      <c r="D26" s="198">
        <v>200.0</v>
      </c>
      <c r="E26" s="199">
        <v>0.1</v>
      </c>
      <c r="F26" s="199">
        <v>8.0</v>
      </c>
      <c r="G26" s="200" t="b">
        <v>1</v>
      </c>
      <c r="H26" s="171"/>
      <c r="I26" s="183" t="str">
        <f t="array" ref="I26">IFERROR(INDEX(Profiles!I:I,MATCH(J26,Profiles!A:A,0)),"")</f>
        <v/>
      </c>
      <c r="J26" s="184" t="str">
        <f>IFERROR(__xludf.DUMMYFUNCTION("""COMPUTED_VALUE"""),"Patrick Walshe")</f>
        <v>Patrick Walshe</v>
      </c>
      <c r="L26" s="184" t="str">
        <f>IFERROR(__xludf.DUMMYFUNCTION("""COMPUTED_VALUE"""),"U13")</f>
        <v>U13</v>
      </c>
      <c r="M26" s="184" t="str">
        <f>IFERROR(__xludf.DUMMYFUNCTION("""COMPUTED_VALUE"""),"Forward")</f>
        <v>Forward</v>
      </c>
      <c r="N26" s="184" t="str">
        <f>IFERROR(__xludf.DUMMYFUNCTION("""COMPUTED_VALUE"""),"Full")</f>
        <v>Full</v>
      </c>
      <c r="O26" s="185">
        <f>IFERROR(__xludf.DUMMYFUNCTION("""COMPUTED_VALUE"""),52.77503272977412)</f>
        <v>52.77503273</v>
      </c>
      <c r="P26" s="186">
        <f>IFERROR(__xludf.DUMMYFUNCTION("""COMPUTED_VALUE"""),78.57142857142857)</f>
        <v>78.57142857</v>
      </c>
      <c r="Q26" s="187">
        <f>IFERROR(__xludf.DUMMYFUNCTION("""COMPUTED_VALUE"""),192.0)</f>
        <v>192</v>
      </c>
      <c r="R26" s="183" t="str">
        <f>IFERROR(__xludf.DUMMYFUNCTION("""COMPUTED_VALUE"""),"")</f>
        <v/>
      </c>
      <c r="S26" s="188">
        <f>IFERROR(__xludf.DUMMYFUNCTION("""COMPUTED_VALUE"""),6.9)</f>
        <v>6.9</v>
      </c>
      <c r="T26" s="188"/>
      <c r="U26" s="183"/>
      <c r="V26" s="190"/>
      <c r="W26" s="188">
        <f>IFERROR(__xludf.DUMMYFUNCTION("""COMPUTED_VALUE"""),1.1979166666666667)</f>
        <v>1.197916667</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IFERROR(__xludf.DUMMYFUNCTION("""COMPUTED_VALUE"""),"Jack McElliott")</f>
        <v>Jack McElliott</v>
      </c>
      <c r="L27" s="177" t="str">
        <f>IFERROR(__xludf.DUMMYFUNCTION("""COMPUTED_VALUE"""),"U13")</f>
        <v>U13</v>
      </c>
      <c r="M27" s="177" t="str">
        <f>IFERROR(__xludf.DUMMYFUNCTION("""COMPUTED_VALUE"""),"Defender")</f>
        <v>Defender</v>
      </c>
      <c r="N27" s="177" t="str">
        <f>IFERROR(__xludf.DUMMYFUNCTION("""COMPUTED_VALUE"""),"Full")</f>
        <v>Full</v>
      </c>
      <c r="O27" s="178">
        <f>IFERROR(__xludf.DUMMYFUNCTION("""COMPUTED_VALUE"""),52.685916385101756)</f>
        <v>52.68591639</v>
      </c>
      <c r="P27" s="179">
        <f>IFERROR(__xludf.DUMMYFUNCTION("""COMPUTED_VALUE"""),81.42898767898764)</f>
        <v>81.42898768</v>
      </c>
      <c r="Q27" s="180">
        <f>IFERROR(__xludf.DUMMYFUNCTION("""COMPUTED_VALUE"""),186.0)</f>
        <v>186</v>
      </c>
      <c r="R27" s="176" t="str">
        <f>IFERROR(__xludf.DUMMYFUNCTION("""COMPUTED_VALUE"""),"")</f>
        <v/>
      </c>
      <c r="S27" s="181">
        <f>IFERROR(__xludf.DUMMYFUNCTION("""COMPUTED_VALUE"""),8.9)</f>
        <v>8.9</v>
      </c>
      <c r="T27" s="181">
        <f>IFERROR(__xludf.DUMMYFUNCTION("""COMPUTED_VALUE"""),1.5)</f>
        <v>1.5</v>
      </c>
      <c r="U27" s="176">
        <f>IFERROR(__xludf.DUMMYFUNCTION("""COMPUTED_VALUE"""),2.91)</f>
        <v>2.91</v>
      </c>
      <c r="V27" s="182">
        <f>IFERROR(__xludf.DUMMYFUNCTION("""COMPUTED_VALUE"""),22.0)</f>
        <v>22</v>
      </c>
      <c r="W27" s="181">
        <f>IFERROR(__xludf.DUMMYFUNCTION("""COMPUTED_VALUE"""),0.5376344086021505)</f>
        <v>0.5376344086</v>
      </c>
    </row>
    <row r="28" ht="22.5" customHeight="1">
      <c r="A28" s="202" t="s">
        <v>27</v>
      </c>
      <c r="B28" s="152"/>
      <c r="C28" s="203">
        <v>0.1</v>
      </c>
      <c r="D28" s="203">
        <v>1.3</v>
      </c>
      <c r="E28" s="204">
        <v>2.0</v>
      </c>
      <c r="F28" s="204">
        <v>1000.0</v>
      </c>
      <c r="G28" s="205" t="b">
        <v>1</v>
      </c>
      <c r="H28" s="171"/>
      <c r="I28" s="183" t="str">
        <f t="array" ref="I28">IFERROR(INDEX(Profiles!I:I,MATCH(J28,Profiles!A:A,0)),"")</f>
        <v/>
      </c>
      <c r="J28" s="184" t="str">
        <f>IFERROR(__xludf.DUMMYFUNCTION("""COMPUTED_VALUE"""),"Silas Wessler")</f>
        <v>Silas Wessler</v>
      </c>
      <c r="L28" s="184" t="str">
        <f>IFERROR(__xludf.DUMMYFUNCTION("""COMPUTED_VALUE"""),"U13")</f>
        <v>U13</v>
      </c>
      <c r="M28" s="184" t="str">
        <f>IFERROR(__xludf.DUMMYFUNCTION("""COMPUTED_VALUE"""),"Forward")</f>
        <v>Forward</v>
      </c>
      <c r="N28" s="184" t="str">
        <f>IFERROR(__xludf.DUMMYFUNCTION("""COMPUTED_VALUE"""),"Full")</f>
        <v>Full</v>
      </c>
      <c r="O28" s="185">
        <f>IFERROR(__xludf.DUMMYFUNCTION("""COMPUTED_VALUE"""),46.418591163134025)</f>
        <v>46.41859116</v>
      </c>
      <c r="P28" s="186">
        <f>IFERROR(__xludf.DUMMYFUNCTION("""COMPUTED_VALUE"""),16.66666666666665)</f>
        <v>16.66666667</v>
      </c>
      <c r="Q28" s="187">
        <f>IFERROR(__xludf.DUMMYFUNCTION("""COMPUTED_VALUE"""),217.0)</f>
        <v>217</v>
      </c>
      <c r="R28" s="183" t="str">
        <f>IFERROR(__xludf.DUMMYFUNCTION("""COMPUTED_VALUE"""),"")</f>
        <v/>
      </c>
      <c r="S28" s="188"/>
      <c r="T28" s="188">
        <f>IFERROR(__xludf.DUMMYFUNCTION("""COMPUTED_VALUE"""),1.73)</f>
        <v>1.73</v>
      </c>
      <c r="U28" s="183">
        <f>IFERROR(__xludf.DUMMYFUNCTION("""COMPUTED_VALUE"""),3.12)</f>
        <v>3.12</v>
      </c>
      <c r="V28" s="185">
        <f>IFERROR(__xludf.DUMMYFUNCTION("""COMPUTED_VALUE"""),190.0)</f>
        <v>190</v>
      </c>
      <c r="W28" s="188" t="str">
        <f>IFERROR(__xludf.DUMMYFUNCTION("""COMPUTED_VALUE"""),"")</f>
        <v/>
      </c>
    </row>
    <row r="29" ht="22.5" customHeight="1">
      <c r="A29" s="176"/>
      <c r="B29" s="176"/>
      <c r="C29" s="176"/>
      <c r="D29" s="176"/>
      <c r="E29" s="176"/>
      <c r="F29" s="176"/>
      <c r="G29" s="176"/>
      <c r="H29" s="171"/>
      <c r="I29" s="176" t="str">
        <f t="array" ref="I29">IFERROR(INDEX(Profiles!I:I,MATCH(J29,Profiles!A:A,0)),"")</f>
        <v/>
      </c>
      <c r="J29" s="177" t="str">
        <f>IFERROR(__xludf.DUMMYFUNCTION("""COMPUTED_VALUE"""),"Elias Eslava")</f>
        <v>Elias Eslava</v>
      </c>
      <c r="L29" s="177" t="str">
        <f>IFERROR(__xludf.DUMMYFUNCTION("""COMPUTED_VALUE"""),"U13")</f>
        <v>U13</v>
      </c>
      <c r="M29" s="177" t="str">
        <f>IFERROR(__xludf.DUMMYFUNCTION("""COMPUTED_VALUE"""),"Goalkeeper")</f>
        <v>Goalkeeper</v>
      </c>
      <c r="N29" s="177" t="str">
        <f>IFERROR(__xludf.DUMMYFUNCTION("""COMPUTED_VALUE"""),"Full")</f>
        <v>Full</v>
      </c>
      <c r="O29" s="178">
        <f>IFERROR(__xludf.DUMMYFUNCTION("""COMPUTED_VALUE"""),39.58127454733059)</f>
        <v>39.58127455</v>
      </c>
      <c r="P29" s="179">
        <f>IFERROR(__xludf.DUMMYFUNCTION("""COMPUTED_VALUE"""),78.57142857142857)</f>
        <v>78.57142857</v>
      </c>
      <c r="Q29" s="180">
        <f>IFERROR(__xludf.DUMMYFUNCTION("""COMPUTED_VALUE"""),192.0)</f>
        <v>192</v>
      </c>
      <c r="R29" s="176">
        <f>IFERROR(__xludf.DUMMYFUNCTION("""COMPUTED_VALUE"""),43.46)</f>
        <v>43.46</v>
      </c>
      <c r="S29" s="181">
        <f>IFERROR(__xludf.DUMMYFUNCTION("""COMPUTED_VALUE"""),6.9)</f>
        <v>6.9</v>
      </c>
      <c r="T29" s="181"/>
      <c r="U29" s="176"/>
      <c r="V29" s="182"/>
      <c r="W29" s="181">
        <f>IFERROR(__xludf.DUMMYFUNCTION("""COMPUTED_VALUE"""),1.1979166666666667)</f>
        <v>1.197916667</v>
      </c>
    </row>
    <row r="30" ht="22.5" customHeight="1">
      <c r="A30" s="176"/>
      <c r="B30" s="176"/>
      <c r="C30" s="206"/>
      <c r="D30" s="206"/>
      <c r="E30" s="206"/>
      <c r="F30" s="206"/>
      <c r="G30" s="176"/>
      <c r="H30" s="171"/>
      <c r="I30" s="183" t="str">
        <f t="array" ref="I30">IFERROR(INDEX(Profiles!I:I,MATCH(J30,Profiles!A:A,0)),"")</f>
        <v/>
      </c>
      <c r="J30" s="184" t="str">
        <f>IFERROR(__xludf.DUMMYFUNCTION("""COMPUTED_VALUE"""),"Nathan Small")</f>
        <v>Nathan Small</v>
      </c>
      <c r="L30" s="184" t="str">
        <f>IFERROR(__xludf.DUMMYFUNCTION("""COMPUTED_VALUE"""),"U13")</f>
        <v>U13</v>
      </c>
      <c r="M30" s="184" t="str">
        <f>IFERROR(__xludf.DUMMYFUNCTION("""COMPUTED_VALUE"""),"Midfielder")</f>
        <v>Midfielder</v>
      </c>
      <c r="N30" s="184" t="str">
        <f>IFERROR(__xludf.DUMMYFUNCTION("""COMPUTED_VALUE"""),"Full")</f>
        <v>Full</v>
      </c>
      <c r="O30" s="185">
        <f>IFERROR(__xludf.DUMMYFUNCTION("""COMPUTED_VALUE"""),18.599808664463854)</f>
        <v>18.59980866</v>
      </c>
      <c r="P30" s="186">
        <f>IFERROR(__xludf.DUMMYFUNCTION("""COMPUTED_VALUE"""),19.128787878787914)</f>
        <v>19.12878788</v>
      </c>
      <c r="Q30" s="187">
        <f>IFERROR(__xludf.DUMMYFUNCTION("""COMPUTED_VALUE"""),203.0)</f>
        <v>203</v>
      </c>
      <c r="R30" s="183" t="str">
        <f>IFERROR(__xludf.DUMMYFUNCTION("""COMPUTED_VALUE"""),"")</f>
        <v/>
      </c>
      <c r="S30" s="188">
        <f>IFERROR(__xludf.DUMMYFUNCTION("""COMPUTED_VALUE"""),21.2)</f>
        <v>21.2</v>
      </c>
      <c r="T30" s="188">
        <f>IFERROR(__xludf.DUMMYFUNCTION("""COMPUTED_VALUE"""),1.68)</f>
        <v>1.68</v>
      </c>
      <c r="U30" s="183">
        <f>IFERROR(__xludf.DUMMYFUNCTION("""COMPUTED_VALUE"""),3.09)</f>
        <v>3.09</v>
      </c>
      <c r="V30" s="190">
        <f>IFERROR(__xludf.DUMMYFUNCTION("""COMPUTED_VALUE"""),12.0)</f>
        <v>12</v>
      </c>
      <c r="W30" s="188">
        <f>IFERROR(__xludf.DUMMYFUNCTION("""COMPUTED_VALUE"""),0.9852216748768473)</f>
        <v>0.9852216749</v>
      </c>
    </row>
    <row r="31" ht="22.5" customHeight="1">
      <c r="A31" s="176"/>
      <c r="B31" s="176"/>
      <c r="C31" s="176"/>
      <c r="D31" s="176"/>
      <c r="E31" s="176"/>
      <c r="F31" s="176"/>
      <c r="G31" s="176"/>
      <c r="H31" s="171"/>
      <c r="I31" s="176" t="str">
        <f t="array" ref="I31">IFERROR(INDEX(Profiles!I:I,MATCH(J31,Profiles!A:A,0)),"")</f>
        <v/>
      </c>
      <c r="J31" s="177"/>
      <c r="L31" s="177"/>
      <c r="M31" s="177"/>
      <c r="N31" s="177"/>
      <c r="O31" s="176"/>
      <c r="P31" s="179"/>
      <c r="Q31" s="180"/>
      <c r="R31" s="176"/>
      <c r="S31" s="181"/>
      <c r="T31" s="181"/>
      <c r="U31" s="176"/>
      <c r="V31" s="176"/>
      <c r="W31" s="176"/>
    </row>
    <row r="32" ht="22.5" customHeight="1">
      <c r="A32" s="176"/>
      <c r="B32" s="176"/>
      <c r="C32" s="176"/>
      <c r="D32" s="176"/>
      <c r="E32" s="176"/>
      <c r="F32" s="176"/>
      <c r="G32" s="176"/>
      <c r="H32" s="171"/>
      <c r="I32" s="183" t="str">
        <f t="array" ref="I32">IFERROR(INDEX(Profiles!I:I,MATCH(J32,Profiles!A:A,0)),"")</f>
        <v/>
      </c>
      <c r="J32" s="184"/>
      <c r="L32" s="184"/>
      <c r="M32" s="184"/>
      <c r="N32" s="184"/>
      <c r="O32" s="183"/>
      <c r="P32" s="186"/>
      <c r="Q32" s="187"/>
      <c r="R32" s="183"/>
      <c r="S32" s="188"/>
      <c r="T32" s="188"/>
      <c r="U32" s="183"/>
      <c r="V32" s="183"/>
      <c r="W32" s="183"/>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3" t="str">
        <f t="array" ref="I34">IFERROR(INDEX(Profiles!I:I,MATCH(J34,Profiles!A:A,0)),"")</f>
        <v/>
      </c>
      <c r="J34" s="184"/>
      <c r="L34" s="184"/>
      <c r="M34" s="184"/>
      <c r="N34" s="184"/>
      <c r="O34" s="183"/>
      <c r="P34" s="186"/>
      <c r="Q34" s="187"/>
      <c r="R34" s="183"/>
      <c r="S34" s="188"/>
      <c r="T34" s="188"/>
      <c r="U34" s="183"/>
      <c r="V34" s="183"/>
      <c r="W34" s="183"/>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3" t="str">
        <f t="array" ref="I36">IFERROR(INDEX(Profiles!I:I,MATCH(J36,Profiles!A:A,0)),"")</f>
        <v/>
      </c>
      <c r="J36" s="184"/>
      <c r="L36" s="184"/>
      <c r="M36" s="184"/>
      <c r="N36" s="184"/>
      <c r="O36" s="183"/>
      <c r="P36" s="186"/>
      <c r="Q36" s="187"/>
      <c r="R36" s="183"/>
      <c r="S36" s="188"/>
      <c r="T36" s="188"/>
      <c r="U36" s="183"/>
      <c r="V36" s="183"/>
      <c r="W36" s="183"/>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3" t="str">
        <f t="array" ref="I38">IFERROR(INDEX(Profiles!I:I,MATCH(J38,Profiles!A:A,0)),"")</f>
        <v/>
      </c>
      <c r="J38" s="184"/>
      <c r="L38" s="184"/>
      <c r="M38" s="184"/>
      <c r="N38" s="184"/>
      <c r="O38" s="183"/>
      <c r="P38" s="186"/>
      <c r="Q38" s="187"/>
      <c r="R38" s="183"/>
      <c r="S38" s="188"/>
      <c r="T38" s="188"/>
      <c r="U38" s="183"/>
      <c r="V38" s="183"/>
      <c r="W38" s="183"/>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3" t="str">
        <f t="array" ref="I40">IFERROR(INDEX(Profiles!I:I,MATCH(J40,Profiles!A:A,0)),"")</f>
        <v/>
      </c>
      <c r="J40" s="184"/>
      <c r="L40" s="184"/>
      <c r="M40" s="184"/>
      <c r="N40" s="184"/>
      <c r="O40" s="183"/>
      <c r="P40" s="186"/>
      <c r="Q40" s="187"/>
      <c r="R40" s="183"/>
      <c r="S40" s="188"/>
      <c r="T40" s="188"/>
      <c r="U40" s="183"/>
      <c r="V40" s="183"/>
      <c r="W40" s="183"/>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3" t="str">
        <f t="array" ref="I42">IFERROR(INDEX(Profiles!I:I,MATCH(J42,Profiles!A:A,0)),"")</f>
        <v/>
      </c>
      <c r="J42" s="184"/>
      <c r="L42" s="184"/>
      <c r="M42" s="184"/>
      <c r="N42" s="184"/>
      <c r="O42" s="183"/>
      <c r="P42" s="186"/>
      <c r="Q42" s="187"/>
      <c r="R42" s="183"/>
      <c r="S42" s="188"/>
      <c r="T42" s="188"/>
      <c r="U42" s="183"/>
      <c r="V42" s="183"/>
      <c r="W42" s="183"/>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3" t="str">
        <f t="array" ref="I44">IFERROR(INDEX(Profiles!I:I,MATCH(J44,Profiles!A:A,0)),"")</f>
        <v/>
      </c>
      <c r="J44" s="184"/>
      <c r="L44" s="184"/>
      <c r="M44" s="184"/>
      <c r="N44" s="184"/>
      <c r="O44" s="183"/>
      <c r="P44" s="186"/>
      <c r="Q44" s="187"/>
      <c r="R44" s="183"/>
      <c r="S44" s="188"/>
      <c r="T44" s="188"/>
      <c r="U44" s="183"/>
      <c r="V44" s="183"/>
      <c r="W44" s="183"/>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3" t="str">
        <f t="array" ref="I46">IFERROR(INDEX(Profiles!I:I,MATCH(J46,Profiles!A:A,0)),"")</f>
        <v/>
      </c>
      <c r="J46" s="184"/>
      <c r="L46" s="184"/>
      <c r="M46" s="184"/>
      <c r="N46" s="184"/>
      <c r="O46" s="183"/>
      <c r="P46" s="186"/>
      <c r="Q46" s="187"/>
      <c r="R46" s="183"/>
      <c r="S46" s="188"/>
      <c r="T46" s="188"/>
      <c r="U46" s="183"/>
      <c r="V46" s="183"/>
      <c r="W46" s="183"/>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3" t="str">
        <f t="array" ref="I48">IFERROR(INDEX(Profiles!I:I,MATCH(J48,Profiles!A:A,0)),"")</f>
        <v/>
      </c>
      <c r="J48" s="184"/>
      <c r="L48" s="184"/>
      <c r="M48" s="184"/>
      <c r="N48" s="184"/>
      <c r="O48" s="183"/>
      <c r="P48" s="186"/>
      <c r="Q48" s="187"/>
      <c r="R48" s="183"/>
      <c r="S48" s="188"/>
      <c r="T48" s="188"/>
      <c r="U48" s="183"/>
      <c r="V48" s="183"/>
      <c r="W48" s="183"/>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3" t="str">
        <f t="array" ref="I50">IFERROR(INDEX(Profiles!I:I,MATCH(J50,Profiles!A:A,0)),"")</f>
        <v/>
      </c>
      <c r="J50" s="184"/>
      <c r="L50" s="184"/>
      <c r="M50" s="184"/>
      <c r="N50" s="184"/>
      <c r="O50" s="183"/>
      <c r="P50" s="186"/>
      <c r="Q50" s="187"/>
      <c r="R50" s="183"/>
      <c r="S50" s="188"/>
      <c r="T50" s="188"/>
      <c r="U50" s="183"/>
      <c r="V50" s="183"/>
      <c r="W50" s="183"/>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3" t="str">
        <f t="array" ref="I52">IFERROR(INDEX(Profiles!I:I,MATCH(J52,Profiles!A:A,0)),"")</f>
        <v/>
      </c>
      <c r="J52" s="184"/>
      <c r="L52" s="184"/>
      <c r="M52" s="184"/>
      <c r="N52" s="184"/>
      <c r="O52" s="183"/>
      <c r="P52" s="186"/>
      <c r="Q52" s="187"/>
      <c r="R52" s="183"/>
      <c r="S52" s="188"/>
      <c r="T52" s="188"/>
      <c r="U52" s="183"/>
      <c r="V52" s="183"/>
      <c r="W52" s="183"/>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3" t="str">
        <f t="array" ref="I54">IFERROR(INDEX(Profiles!I:I,MATCH(J54,Profiles!A:A,0)),"")</f>
        <v/>
      </c>
      <c r="J54" s="184"/>
      <c r="L54" s="184"/>
      <c r="M54" s="184"/>
      <c r="N54" s="184"/>
      <c r="O54" s="183"/>
      <c r="P54" s="186"/>
      <c r="Q54" s="187"/>
      <c r="R54" s="183"/>
      <c r="S54" s="188"/>
      <c r="T54" s="188"/>
      <c r="U54" s="183"/>
      <c r="V54" s="183"/>
      <c r="W54" s="183"/>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3" t="str">
        <f t="array" ref="I56">IFERROR(INDEX(Profiles!I:I,MATCH(J56,Profiles!A:A,0)),"")</f>
        <v/>
      </c>
      <c r="J56" s="184"/>
      <c r="L56" s="184"/>
      <c r="M56" s="184"/>
      <c r="N56" s="184"/>
      <c r="O56" s="183"/>
      <c r="P56" s="186"/>
      <c r="Q56" s="187"/>
      <c r="R56" s="183"/>
      <c r="S56" s="188"/>
      <c r="T56" s="188"/>
      <c r="U56" s="183"/>
      <c r="V56" s="183"/>
      <c r="W56" s="183"/>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3" t="str">
        <f t="array" ref="I58">IFERROR(INDEX(Profiles!I:I,MATCH(J58,Profiles!A:A,0)),"")</f>
        <v/>
      </c>
      <c r="J58" s="184"/>
      <c r="L58" s="184"/>
      <c r="M58" s="184"/>
      <c r="N58" s="184"/>
      <c r="O58" s="183"/>
      <c r="P58" s="186"/>
      <c r="Q58" s="187"/>
      <c r="R58" s="183"/>
      <c r="S58" s="188"/>
      <c r="T58" s="188"/>
      <c r="U58" s="183"/>
      <c r="V58" s="183"/>
      <c r="W58" s="183"/>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3" t="str">
        <f t="array" ref="I60">IFERROR(INDEX(Profiles!I:I,MATCH(J60,Profiles!A:A,0)),"")</f>
        <v/>
      </c>
      <c r="J60" s="184"/>
      <c r="L60" s="184"/>
      <c r="M60" s="184"/>
      <c r="N60" s="184"/>
      <c r="O60" s="183"/>
      <c r="P60" s="186"/>
      <c r="Q60" s="187"/>
      <c r="R60" s="183"/>
      <c r="S60" s="188"/>
      <c r="T60" s="188"/>
      <c r="U60" s="183"/>
      <c r="V60" s="183"/>
      <c r="W60" s="183"/>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3" t="str">
        <f t="array" ref="I62">IFERROR(INDEX(Profiles!I:I,MATCH(J62,Profiles!A:A,0)),"")</f>
        <v/>
      </c>
      <c r="J62" s="184"/>
      <c r="L62" s="184"/>
      <c r="M62" s="184"/>
      <c r="N62" s="184"/>
      <c r="O62" s="183"/>
      <c r="P62" s="186"/>
      <c r="Q62" s="187"/>
      <c r="R62" s="183"/>
      <c r="S62" s="188"/>
      <c r="T62" s="188"/>
      <c r="U62" s="183"/>
      <c r="V62" s="183"/>
      <c r="W62" s="183"/>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3" t="str">
        <f t="array" ref="I64">IFERROR(INDEX(Profiles!I:I,MATCH(J64,Profiles!A:A,0)),"")</f>
        <v/>
      </c>
      <c r="J64" s="184"/>
      <c r="L64" s="184"/>
      <c r="M64" s="184"/>
      <c r="N64" s="184"/>
      <c r="O64" s="183"/>
      <c r="P64" s="186"/>
      <c r="Q64" s="187"/>
      <c r="R64" s="183"/>
      <c r="S64" s="188"/>
      <c r="T64" s="188"/>
      <c r="U64" s="183"/>
      <c r="V64" s="183"/>
      <c r="W64" s="183"/>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3" t="str">
        <f t="array" ref="I66">IFERROR(INDEX(Profiles!I:I,MATCH(J66,Profiles!A:A,0)),"")</f>
        <v/>
      </c>
      <c r="J66" s="184"/>
      <c r="L66" s="184"/>
      <c r="M66" s="184"/>
      <c r="N66" s="184"/>
      <c r="O66" s="183"/>
      <c r="P66" s="186"/>
      <c r="Q66" s="187"/>
      <c r="R66" s="183"/>
      <c r="S66" s="188"/>
      <c r="T66" s="188"/>
      <c r="U66" s="183"/>
      <c r="V66" s="183"/>
      <c r="W66" s="183"/>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3" t="str">
        <f t="array" ref="I68">IFERROR(INDEX(Profiles!I:I,MATCH(J68,Profiles!A:A,0)),"")</f>
        <v/>
      </c>
      <c r="J68" s="184"/>
      <c r="L68" s="184"/>
      <c r="M68" s="184"/>
      <c r="N68" s="184"/>
      <c r="O68" s="183"/>
      <c r="P68" s="186"/>
      <c r="Q68" s="187"/>
      <c r="R68" s="183"/>
      <c r="S68" s="188"/>
      <c r="T68" s="188"/>
      <c r="U68" s="183"/>
      <c r="V68" s="183"/>
      <c r="W68" s="183"/>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3" t="str">
        <f t="array" ref="I70">IFERROR(INDEX(Profiles!I:I,MATCH(J70,Profiles!A:A,0)),"")</f>
        <v/>
      </c>
      <c r="J70" s="184"/>
      <c r="L70" s="184"/>
      <c r="M70" s="184"/>
      <c r="N70" s="184"/>
      <c r="O70" s="183"/>
      <c r="P70" s="186"/>
      <c r="Q70" s="187"/>
      <c r="R70" s="183"/>
      <c r="S70" s="188"/>
      <c r="T70" s="188"/>
      <c r="U70" s="183"/>
      <c r="V70" s="183"/>
      <c r="W70" s="183"/>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3" t="str">
        <f t="array" ref="I72">IFERROR(INDEX(Profiles!I:I,MATCH(J72,Profiles!A:A,0)),"")</f>
        <v/>
      </c>
      <c r="J72" s="184"/>
      <c r="L72" s="184"/>
      <c r="M72" s="184"/>
      <c r="N72" s="184"/>
      <c r="O72" s="183"/>
      <c r="P72" s="186"/>
      <c r="Q72" s="187"/>
      <c r="R72" s="183"/>
      <c r="S72" s="188"/>
      <c r="T72" s="188"/>
      <c r="U72" s="183"/>
      <c r="V72" s="183"/>
      <c r="W72" s="183"/>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3" t="str">
        <f t="array" ref="I74">IFERROR(INDEX(Profiles!I:I,MATCH(J74,Profiles!A:A,0)),"")</f>
        <v/>
      </c>
      <c r="J74" s="184"/>
      <c r="L74" s="184"/>
      <c r="M74" s="184"/>
      <c r="N74" s="184"/>
      <c r="O74" s="183"/>
      <c r="P74" s="186"/>
      <c r="Q74" s="187"/>
      <c r="R74" s="183"/>
      <c r="S74" s="188"/>
      <c r="T74" s="188"/>
      <c r="U74" s="183"/>
      <c r="V74" s="183"/>
      <c r="W74" s="183"/>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3" t="str">
        <f t="array" ref="I76">IFERROR(INDEX(Profiles!I:I,MATCH(J76,Profiles!A:A,0)),"")</f>
        <v/>
      </c>
      <c r="J76" s="184"/>
      <c r="L76" s="184"/>
      <c r="M76" s="184"/>
      <c r="N76" s="184"/>
      <c r="O76" s="183"/>
      <c r="P76" s="186"/>
      <c r="Q76" s="187"/>
      <c r="R76" s="183"/>
      <c r="S76" s="188"/>
      <c r="T76" s="188"/>
      <c r="U76" s="183"/>
      <c r="V76" s="183"/>
      <c r="W76" s="183"/>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3" t="str">
        <f t="array" ref="I78">IFERROR(INDEX(Profiles!I:I,MATCH(J78,Profiles!A:A,0)),"")</f>
        <v/>
      </c>
      <c r="J78" s="184"/>
      <c r="L78" s="184"/>
      <c r="M78" s="184"/>
      <c r="N78" s="184"/>
      <c r="O78" s="183"/>
      <c r="P78" s="186"/>
      <c r="Q78" s="187"/>
      <c r="R78" s="183"/>
      <c r="S78" s="188"/>
      <c r="T78" s="188"/>
      <c r="U78" s="183"/>
      <c r="V78" s="183"/>
      <c r="W78" s="183"/>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3" t="str">
        <f t="array" ref="I80">IFERROR(INDEX(Profiles!I:I,MATCH(J80,Profiles!A:A,0)),"")</f>
        <v/>
      </c>
      <c r="J80" s="184"/>
      <c r="L80" s="184"/>
      <c r="M80" s="184"/>
      <c r="N80" s="184"/>
      <c r="O80" s="183"/>
      <c r="P80" s="186"/>
      <c r="Q80" s="187"/>
      <c r="R80" s="183"/>
      <c r="S80" s="188"/>
      <c r="T80" s="188"/>
      <c r="U80" s="183"/>
      <c r="V80" s="183"/>
      <c r="W80" s="183"/>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3" t="str">
        <f t="array" ref="I82">IFERROR(INDEX(Profiles!I:I,MATCH(J82,Profiles!A:A,0)),"")</f>
        <v/>
      </c>
      <c r="J82" s="184"/>
      <c r="L82" s="184"/>
      <c r="M82" s="184"/>
      <c r="N82" s="184"/>
      <c r="O82" s="183"/>
      <c r="P82" s="186"/>
      <c r="Q82" s="187"/>
      <c r="R82" s="183"/>
      <c r="S82" s="188"/>
      <c r="T82" s="188"/>
      <c r="U82" s="183"/>
      <c r="V82" s="183"/>
      <c r="W82" s="183"/>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3" t="str">
        <f t="array" ref="I84">IFERROR(INDEX(Profiles!I:I,MATCH(J84,Profiles!A:A,0)),"")</f>
        <v/>
      </c>
      <c r="J84" s="184"/>
      <c r="L84" s="184"/>
      <c r="M84" s="184"/>
      <c r="N84" s="184"/>
      <c r="O84" s="183"/>
      <c r="P84" s="186"/>
      <c r="Q84" s="187"/>
      <c r="R84" s="183"/>
      <c r="S84" s="188"/>
      <c r="T84" s="188"/>
      <c r="U84" s="183"/>
      <c r="V84" s="183"/>
      <c r="W84" s="183"/>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3" t="str">
        <f t="array" ref="I86">IFERROR(INDEX(Profiles!I:I,MATCH(J86,Profiles!A:A,0)),"")</f>
        <v/>
      </c>
      <c r="J86" s="184"/>
      <c r="L86" s="184"/>
      <c r="M86" s="184"/>
      <c r="N86" s="184"/>
      <c r="O86" s="183"/>
      <c r="P86" s="186"/>
      <c r="Q86" s="187"/>
      <c r="R86" s="183"/>
      <c r="S86" s="188"/>
      <c r="T86" s="188"/>
      <c r="U86" s="183"/>
      <c r="V86" s="183"/>
      <c r="W86" s="183"/>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3" t="str">
        <f t="array" ref="I88">IFERROR(INDEX(Profiles!I:I,MATCH(J88,Profiles!A:A,0)),"")</f>
        <v/>
      </c>
      <c r="J88" s="184"/>
      <c r="L88" s="184"/>
      <c r="M88" s="184"/>
      <c r="N88" s="184"/>
      <c r="O88" s="183"/>
      <c r="P88" s="186"/>
      <c r="Q88" s="187"/>
      <c r="R88" s="183"/>
      <c r="S88" s="188"/>
      <c r="T88" s="188"/>
      <c r="U88" s="183"/>
      <c r="V88" s="183"/>
      <c r="W88" s="183"/>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3" t="str">
        <f t="array" ref="I90">IFERROR(INDEX(Profiles!I:I,MATCH(J90,Profiles!A:A,0)),"")</f>
        <v/>
      </c>
      <c r="J90" s="184"/>
      <c r="L90" s="184"/>
      <c r="M90" s="184"/>
      <c r="N90" s="184"/>
      <c r="O90" s="183"/>
      <c r="P90" s="186"/>
      <c r="Q90" s="187"/>
      <c r="R90" s="183"/>
      <c r="S90" s="188"/>
      <c r="T90" s="188"/>
      <c r="U90" s="183"/>
      <c r="V90" s="183"/>
      <c r="W90" s="183"/>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3" t="str">
        <f t="array" ref="I92">IFERROR(INDEX(Profiles!I:I,MATCH(J92,Profiles!A:A,0)),"")</f>
        <v/>
      </c>
      <c r="J92" s="184"/>
      <c r="L92" s="184"/>
      <c r="M92" s="184"/>
      <c r="N92" s="184"/>
      <c r="O92" s="183"/>
      <c r="P92" s="186"/>
      <c r="Q92" s="187"/>
      <c r="R92" s="183"/>
      <c r="S92" s="188"/>
      <c r="T92" s="188"/>
      <c r="U92" s="183"/>
      <c r="V92" s="183"/>
      <c r="W92" s="183"/>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3" t="str">
        <f t="array" ref="I94">IFERROR(INDEX(Profiles!I:I,MATCH(J94,Profiles!A:A,0)),"")</f>
        <v/>
      </c>
      <c r="J94" s="184"/>
      <c r="L94" s="184"/>
      <c r="M94" s="184"/>
      <c r="N94" s="184"/>
      <c r="O94" s="183"/>
      <c r="P94" s="186"/>
      <c r="Q94" s="187"/>
      <c r="R94" s="183"/>
      <c r="S94" s="188"/>
      <c r="T94" s="188"/>
      <c r="U94" s="183"/>
      <c r="V94" s="183"/>
      <c r="W94" s="183"/>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3" t="str">
        <f t="array" ref="I96">IFERROR(INDEX(Profiles!I:I,MATCH(J96,Profiles!A:A,0)),"")</f>
        <v/>
      </c>
      <c r="J96" s="184"/>
      <c r="L96" s="184"/>
      <c r="M96" s="184"/>
      <c r="N96" s="184"/>
      <c r="O96" s="183"/>
      <c r="P96" s="186"/>
      <c r="Q96" s="187"/>
      <c r="R96" s="183"/>
      <c r="S96" s="188"/>
      <c r="T96" s="188"/>
      <c r="U96" s="183"/>
      <c r="V96" s="183"/>
      <c r="W96" s="183"/>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3" t="str">
        <f t="array" ref="I98">IFERROR(INDEX(Profiles!I:I,MATCH(J98,Profiles!A:A,0)),"")</f>
        <v/>
      </c>
      <c r="J98" s="184"/>
      <c r="L98" s="184"/>
      <c r="M98" s="184"/>
      <c r="N98" s="184"/>
      <c r="O98" s="183"/>
      <c r="P98" s="186"/>
      <c r="Q98" s="187"/>
      <c r="R98" s="183"/>
      <c r="S98" s="188"/>
      <c r="T98" s="188"/>
      <c r="U98" s="183"/>
      <c r="V98" s="183"/>
      <c r="W98" s="183"/>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3" t="str">
        <f t="array" ref="I100">IFERROR(INDEX(Profiles!I:I,MATCH(J100,Profiles!A:A,0)),"")</f>
        <v/>
      </c>
      <c r="J100" s="184"/>
      <c r="L100" s="184"/>
      <c r="M100" s="184"/>
      <c r="N100" s="184"/>
      <c r="O100" s="183"/>
      <c r="P100" s="186"/>
      <c r="Q100" s="187"/>
      <c r="R100" s="183"/>
      <c r="S100" s="188"/>
      <c r="T100" s="188"/>
      <c r="U100" s="183"/>
      <c r="V100" s="183"/>
      <c r="W100" s="183"/>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3" t="str">
        <f t="array" ref="I102">IFERROR(INDEX(Profiles!I:I,MATCH(J102,Profiles!A:A,0)),"")</f>
        <v/>
      </c>
      <c r="J102" s="184"/>
      <c r="L102" s="184"/>
      <c r="M102" s="184"/>
      <c r="N102" s="184"/>
      <c r="O102" s="183"/>
      <c r="P102" s="186"/>
      <c r="Q102" s="187"/>
      <c r="R102" s="183"/>
      <c r="S102" s="188"/>
      <c r="T102" s="188"/>
      <c r="U102" s="183"/>
      <c r="V102" s="183"/>
      <c r="W102" s="183"/>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3" t="str">
        <f t="array" ref="I104">IFERROR(INDEX(Profiles!I:I,MATCH(J104,Profiles!A:A,0)),"")</f>
        <v/>
      </c>
      <c r="J104" s="184"/>
      <c r="L104" s="184"/>
      <c r="M104" s="184"/>
      <c r="N104" s="184"/>
      <c r="O104" s="183"/>
      <c r="P104" s="186"/>
      <c r="Q104" s="187"/>
      <c r="R104" s="183"/>
      <c r="S104" s="188"/>
      <c r="T104" s="188"/>
      <c r="U104" s="183"/>
      <c r="V104" s="183"/>
      <c r="W104" s="183"/>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3" t="str">
        <f t="array" ref="I106">IFERROR(INDEX(Profiles!I:I,MATCH(J106,Profiles!A:A,0)),"")</f>
        <v/>
      </c>
      <c r="J106" s="184"/>
      <c r="L106" s="184"/>
      <c r="M106" s="184"/>
      <c r="N106" s="184"/>
      <c r="O106" s="183"/>
      <c r="P106" s="186"/>
      <c r="Q106" s="187"/>
      <c r="R106" s="183"/>
      <c r="S106" s="188"/>
      <c r="T106" s="188"/>
      <c r="U106" s="183"/>
      <c r="V106" s="183"/>
      <c r="W106" s="183"/>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3" t="str">
        <f t="array" ref="I108">IFERROR(INDEX(Profiles!I:I,MATCH(J108,Profiles!A:A,0)),"")</f>
        <v/>
      </c>
      <c r="J108" s="184"/>
      <c r="L108" s="184"/>
      <c r="M108" s="184"/>
      <c r="N108" s="184"/>
      <c r="O108" s="183"/>
      <c r="P108" s="186"/>
      <c r="Q108" s="187"/>
      <c r="R108" s="183"/>
      <c r="S108" s="188"/>
      <c r="T108" s="188"/>
      <c r="U108" s="183"/>
      <c r="V108" s="183"/>
      <c r="W108" s="183"/>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3" t="str">
        <f t="array" ref="I110">IFERROR(INDEX(Profiles!I:I,MATCH(J110,Profiles!A:A,0)),"")</f>
        <v/>
      </c>
      <c r="J110" s="184"/>
      <c r="L110" s="184"/>
      <c r="M110" s="184"/>
      <c r="N110" s="184"/>
      <c r="O110" s="183"/>
      <c r="P110" s="186"/>
      <c r="Q110" s="187"/>
      <c r="R110" s="183"/>
      <c r="S110" s="188"/>
      <c r="T110" s="188"/>
      <c r="U110" s="183"/>
      <c r="V110" s="183"/>
      <c r="W110" s="183"/>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3" t="str">
        <f t="array" ref="I112">IFERROR(INDEX(Profiles!I:I,MATCH(J112,Profiles!A:A,0)),"")</f>
        <v/>
      </c>
      <c r="J112" s="184"/>
      <c r="L112" s="184"/>
      <c r="M112" s="184"/>
      <c r="N112" s="184"/>
      <c r="O112" s="183"/>
      <c r="P112" s="186"/>
      <c r="Q112" s="187"/>
      <c r="R112" s="183"/>
      <c r="S112" s="188"/>
      <c r="T112" s="188"/>
      <c r="U112" s="183"/>
      <c r="V112" s="183"/>
      <c r="W112" s="183"/>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3" t="str">
        <f t="array" ref="I114">IFERROR(INDEX(Profiles!I:I,MATCH(J114,Profiles!A:A,0)),"")</f>
        <v/>
      </c>
      <c r="J114" s="184"/>
      <c r="L114" s="184"/>
      <c r="M114" s="184"/>
      <c r="N114" s="184"/>
      <c r="O114" s="183"/>
      <c r="P114" s="186"/>
      <c r="Q114" s="187"/>
      <c r="R114" s="183"/>
      <c r="S114" s="188"/>
      <c r="T114" s="188"/>
      <c r="U114" s="183"/>
      <c r="V114" s="183"/>
      <c r="W114" s="183"/>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3" t="str">
        <f t="array" ref="I116">IFERROR(INDEX(Profiles!I:I,MATCH(J116,Profiles!A:A,0)),"")</f>
        <v/>
      </c>
      <c r="J116" s="184"/>
      <c r="L116" s="184"/>
      <c r="M116" s="184"/>
      <c r="N116" s="184"/>
      <c r="O116" s="183"/>
      <c r="P116" s="186"/>
      <c r="Q116" s="187"/>
      <c r="R116" s="183"/>
      <c r="S116" s="188"/>
      <c r="T116" s="188"/>
      <c r="U116" s="183"/>
      <c r="V116" s="183"/>
      <c r="W116" s="183"/>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3" t="str">
        <f t="array" ref="I118">IFERROR(INDEX(Profiles!I:I,MATCH(J118,Profiles!A:A,0)),"")</f>
        <v/>
      </c>
      <c r="J118" s="184"/>
      <c r="L118" s="184"/>
      <c r="M118" s="184"/>
      <c r="N118" s="184"/>
      <c r="O118" s="183"/>
      <c r="P118" s="186"/>
      <c r="Q118" s="187"/>
      <c r="R118" s="183"/>
      <c r="S118" s="188"/>
      <c r="T118" s="188"/>
      <c r="U118" s="183"/>
      <c r="V118" s="183"/>
      <c r="W118" s="183"/>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3" t="str">
        <f t="array" ref="I120">IFERROR(INDEX(Profiles!I:I,MATCH(J120,Profiles!A:A,0)),"")</f>
        <v/>
      </c>
      <c r="J120" s="184"/>
      <c r="L120" s="184"/>
      <c r="M120" s="184"/>
      <c r="N120" s="184"/>
      <c r="O120" s="183"/>
      <c r="P120" s="186"/>
      <c r="Q120" s="187"/>
      <c r="R120" s="183"/>
      <c r="S120" s="188"/>
      <c r="T120" s="188"/>
      <c r="U120" s="183"/>
      <c r="V120" s="183"/>
      <c r="W120" s="183"/>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3" t="str">
        <f t="array" ref="I122">IFERROR(INDEX(Profiles!I:I,MATCH(J122,Profiles!A:A,0)),"")</f>
        <v/>
      </c>
      <c r="J122" s="184"/>
      <c r="L122" s="184"/>
      <c r="M122" s="184"/>
      <c r="N122" s="184"/>
      <c r="O122" s="183"/>
      <c r="P122" s="186"/>
      <c r="Q122" s="187"/>
      <c r="R122" s="183"/>
      <c r="S122" s="188"/>
      <c r="T122" s="188"/>
      <c r="U122" s="183"/>
      <c r="V122" s="183"/>
      <c r="W122" s="183"/>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3" t="str">
        <f t="array" ref="I124">IFERROR(INDEX(Profiles!I:I,MATCH(J124,Profiles!A:A,0)),"")</f>
        <v/>
      </c>
      <c r="J124" s="184"/>
      <c r="L124" s="184"/>
      <c r="M124" s="184"/>
      <c r="N124" s="184"/>
      <c r="O124" s="183"/>
      <c r="P124" s="186"/>
      <c r="Q124" s="187"/>
      <c r="R124" s="183"/>
      <c r="S124" s="188"/>
      <c r="T124" s="188"/>
      <c r="U124" s="183"/>
      <c r="V124" s="183"/>
      <c r="W124" s="183"/>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3" t="str">
        <f t="array" ref="I126">IFERROR(INDEX(Profiles!I:I,MATCH(J126,Profiles!A:A,0)),"")</f>
        <v/>
      </c>
      <c r="J126" s="184"/>
      <c r="L126" s="184"/>
      <c r="M126" s="184"/>
      <c r="N126" s="184"/>
      <c r="O126" s="183"/>
      <c r="P126" s="186"/>
      <c r="Q126" s="187"/>
      <c r="R126" s="183"/>
      <c r="S126" s="188"/>
      <c r="T126" s="188"/>
      <c r="U126" s="183"/>
      <c r="V126" s="183"/>
      <c r="W126" s="183"/>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3" t="str">
        <f t="array" ref="I128">IFERROR(INDEX(Profiles!I:I,MATCH(J128,Profiles!A:A,0)),"")</f>
        <v/>
      </c>
      <c r="J128" s="184"/>
      <c r="L128" s="184"/>
      <c r="M128" s="184"/>
      <c r="N128" s="184"/>
      <c r="O128" s="183"/>
      <c r="P128" s="186"/>
      <c r="Q128" s="187"/>
      <c r="R128" s="183"/>
      <c r="S128" s="188"/>
      <c r="T128" s="188"/>
      <c r="U128" s="183"/>
      <c r="V128" s="183"/>
      <c r="W128" s="183"/>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3" t="str">
        <f t="array" ref="I130">IFERROR(INDEX(Profiles!I:I,MATCH(J130,Profiles!A:A,0)),"")</f>
        <v/>
      </c>
      <c r="J130" s="184"/>
      <c r="L130" s="184"/>
      <c r="M130" s="184"/>
      <c r="N130" s="184"/>
      <c r="O130" s="183"/>
      <c r="P130" s="186"/>
      <c r="Q130" s="187"/>
      <c r="R130" s="183"/>
      <c r="S130" s="188"/>
      <c r="T130" s="188"/>
      <c r="U130" s="183"/>
      <c r="V130" s="183"/>
      <c r="W130" s="183"/>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3" t="str">
        <f t="array" ref="I132">IFERROR(INDEX(Profiles!I:I,MATCH(J132,Profiles!A:A,0)),"")</f>
        <v/>
      </c>
      <c r="J132" s="184"/>
      <c r="L132" s="184"/>
      <c r="M132" s="184"/>
      <c r="N132" s="184"/>
      <c r="O132" s="183"/>
      <c r="P132" s="186"/>
      <c r="Q132" s="187"/>
      <c r="R132" s="183"/>
      <c r="S132" s="188"/>
      <c r="T132" s="188"/>
      <c r="U132" s="183"/>
      <c r="V132" s="183"/>
      <c r="W132" s="183"/>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3" t="str">
        <f t="array" ref="I134">IFERROR(INDEX(Profiles!I:I,MATCH(J134,Profiles!A:A,0)),"")</f>
        <v/>
      </c>
      <c r="J134" s="184"/>
      <c r="L134" s="184"/>
      <c r="M134" s="184"/>
      <c r="N134" s="184"/>
      <c r="O134" s="183"/>
      <c r="P134" s="186"/>
      <c r="Q134" s="187"/>
      <c r="R134" s="183"/>
      <c r="S134" s="188"/>
      <c r="T134" s="188"/>
      <c r="U134" s="183"/>
      <c r="V134" s="183"/>
      <c r="W134" s="183"/>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3" t="str">
        <f t="array" ref="I136">IFERROR(INDEX(Profiles!I:I,MATCH(J136,Profiles!A:A,0)),"")</f>
        <v/>
      </c>
      <c r="J136" s="184"/>
      <c r="L136" s="184"/>
      <c r="M136" s="184"/>
      <c r="N136" s="184"/>
      <c r="O136" s="183"/>
      <c r="P136" s="186"/>
      <c r="Q136" s="187"/>
      <c r="R136" s="183"/>
      <c r="S136" s="188"/>
      <c r="T136" s="188"/>
      <c r="U136" s="183"/>
      <c r="V136" s="183"/>
      <c r="W136" s="183"/>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3" t="str">
        <f t="array" ref="I138">IFERROR(INDEX(Profiles!I:I,MATCH(J138,Profiles!A:A,0)),"")</f>
        <v/>
      </c>
      <c r="J138" s="184"/>
      <c r="L138" s="184"/>
      <c r="M138" s="184"/>
      <c r="N138" s="184"/>
      <c r="O138" s="183"/>
      <c r="P138" s="186"/>
      <c r="Q138" s="187"/>
      <c r="R138" s="183"/>
      <c r="S138" s="188"/>
      <c r="T138" s="188"/>
      <c r="U138" s="183"/>
      <c r="V138" s="183"/>
      <c r="W138" s="183"/>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3" t="str">
        <f t="array" ref="I140">IFERROR(INDEX(Profiles!I:I,MATCH(J140,Profiles!A:A,0)),"")</f>
        <v/>
      </c>
      <c r="J140" s="184"/>
      <c r="L140" s="184"/>
      <c r="M140" s="184"/>
      <c r="N140" s="184"/>
      <c r="O140" s="183"/>
      <c r="P140" s="186"/>
      <c r="Q140" s="187"/>
      <c r="R140" s="183"/>
      <c r="S140" s="188"/>
      <c r="T140" s="188"/>
      <c r="U140" s="183"/>
      <c r="V140" s="183"/>
      <c r="W140" s="183"/>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3" t="str">
        <f t="array" ref="I142">IFERROR(INDEX(Profiles!I:I,MATCH(J142,Profiles!A:A,0)),"")</f>
        <v/>
      </c>
      <c r="J142" s="184"/>
      <c r="L142" s="184"/>
      <c r="M142" s="184"/>
      <c r="N142" s="184"/>
      <c r="O142" s="183"/>
      <c r="P142" s="186"/>
      <c r="Q142" s="187"/>
      <c r="R142" s="183"/>
      <c r="S142" s="188"/>
      <c r="T142" s="188"/>
      <c r="U142" s="183"/>
      <c r="V142" s="183"/>
      <c r="W142" s="183"/>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3" t="str">
        <f t="array" ref="I144">IFERROR(INDEX(Profiles!I:I,MATCH(J144,Profiles!A:A,0)),"")</f>
        <v/>
      </c>
      <c r="J144" s="184"/>
      <c r="L144" s="184"/>
      <c r="M144" s="184"/>
      <c r="N144" s="184"/>
      <c r="O144" s="183"/>
      <c r="P144" s="186"/>
      <c r="Q144" s="187"/>
      <c r="R144" s="183"/>
      <c r="S144" s="188"/>
      <c r="T144" s="188"/>
      <c r="U144" s="183"/>
      <c r="V144" s="183"/>
      <c r="W144" s="183"/>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3" t="str">
        <f t="array" ref="I146">IFERROR(INDEX(Profiles!I:I,MATCH(J146,Profiles!A:A,0)),"")</f>
        <v/>
      </c>
      <c r="J146" s="184"/>
      <c r="L146" s="184"/>
      <c r="M146" s="184"/>
      <c r="N146" s="184"/>
      <c r="O146" s="183"/>
      <c r="P146" s="186"/>
      <c r="Q146" s="187"/>
      <c r="R146" s="183"/>
      <c r="S146" s="188"/>
      <c r="T146" s="188"/>
      <c r="U146" s="183"/>
      <c r="V146" s="183"/>
      <c r="W146" s="183"/>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3" t="str">
        <f t="array" ref="I148">IFERROR(INDEX(Profiles!I:I,MATCH(J148,Profiles!A:A,0)),"")</f>
        <v/>
      </c>
      <c r="J148" s="184"/>
      <c r="L148" s="184"/>
      <c r="M148" s="184"/>
      <c r="N148" s="184"/>
      <c r="O148" s="183"/>
      <c r="P148" s="186"/>
      <c r="Q148" s="187"/>
      <c r="R148" s="183"/>
      <c r="S148" s="188"/>
      <c r="T148" s="188"/>
      <c r="U148" s="183"/>
      <c r="V148" s="183"/>
      <c r="W148" s="183"/>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3" t="str">
        <f t="array" ref="I150">IFERROR(INDEX(Profiles!I:I,MATCH(J150,Profiles!A:A,0)),"")</f>
        <v/>
      </c>
      <c r="J150" s="184"/>
      <c r="L150" s="184"/>
      <c r="M150" s="184"/>
      <c r="N150" s="184"/>
      <c r="O150" s="183"/>
      <c r="P150" s="186"/>
      <c r="Q150" s="187"/>
      <c r="R150" s="183"/>
      <c r="S150" s="188"/>
      <c r="T150" s="188"/>
      <c r="U150" s="183"/>
      <c r="V150" s="183"/>
      <c r="W150" s="183"/>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3" t="str">
        <f t="array" ref="I152">IFERROR(INDEX(Profiles!I:I,MATCH(J152,Profiles!A:A,0)),"")</f>
        <v/>
      </c>
      <c r="J152" s="184"/>
      <c r="L152" s="184"/>
      <c r="M152" s="184"/>
      <c r="N152" s="184"/>
      <c r="O152" s="183"/>
      <c r="P152" s="186"/>
      <c r="Q152" s="187"/>
      <c r="R152" s="183"/>
      <c r="S152" s="188"/>
      <c r="T152" s="188"/>
      <c r="U152" s="183"/>
      <c r="V152" s="183"/>
      <c r="W152" s="183"/>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3" t="str">
        <f t="array" ref="I154">IFERROR(INDEX(Profiles!I:I,MATCH(J154,Profiles!A:A,0)),"")</f>
        <v/>
      </c>
      <c r="J154" s="184"/>
      <c r="L154" s="184"/>
      <c r="M154" s="184"/>
      <c r="N154" s="184"/>
      <c r="O154" s="183"/>
      <c r="P154" s="186"/>
      <c r="Q154" s="187"/>
      <c r="R154" s="183"/>
      <c r="S154" s="188"/>
      <c r="T154" s="188"/>
      <c r="U154" s="183"/>
      <c r="V154" s="183"/>
      <c r="W154" s="183"/>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3" t="str">
        <f t="array" ref="I156">IFERROR(INDEX(Profiles!I:I,MATCH(J156,Profiles!A:A,0)),"")</f>
        <v/>
      </c>
      <c r="J156" s="184"/>
      <c r="L156" s="184"/>
      <c r="M156" s="184"/>
      <c r="N156" s="184"/>
      <c r="O156" s="183"/>
      <c r="P156" s="186"/>
      <c r="Q156" s="187"/>
      <c r="R156" s="183"/>
      <c r="S156" s="188"/>
      <c r="T156" s="188"/>
      <c r="U156" s="183"/>
      <c r="V156" s="183"/>
      <c r="W156" s="183"/>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3"/>
      <c r="J158" s="184"/>
      <c r="K158" s="184"/>
      <c r="L158" s="184"/>
      <c r="M158" s="184"/>
      <c r="N158" s="184"/>
      <c r="O158" s="183"/>
      <c r="P158" s="186"/>
      <c r="Q158" s="187"/>
      <c r="R158" s="183"/>
      <c r="S158" s="188"/>
      <c r="T158" s="188"/>
      <c r="U158" s="183"/>
      <c r="V158" s="183"/>
      <c r="W158" s="183"/>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3"/>
      <c r="J160" s="184"/>
      <c r="K160" s="184"/>
      <c r="L160" s="184"/>
      <c r="M160" s="184"/>
      <c r="N160" s="184"/>
      <c r="O160" s="183"/>
      <c r="P160" s="186"/>
      <c r="Q160" s="187"/>
      <c r="R160" s="183"/>
      <c r="S160" s="188"/>
      <c r="T160" s="188"/>
      <c r="U160" s="183"/>
      <c r="V160" s="183"/>
      <c r="W160" s="183"/>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3"/>
      <c r="J162" s="184"/>
      <c r="K162" s="184"/>
      <c r="L162" s="184"/>
      <c r="M162" s="184"/>
      <c r="N162" s="184"/>
      <c r="O162" s="183"/>
      <c r="P162" s="186"/>
      <c r="Q162" s="187"/>
      <c r="R162" s="183"/>
      <c r="S162" s="188"/>
      <c r="T162" s="188"/>
      <c r="U162" s="183"/>
      <c r="V162" s="183"/>
      <c r="W162" s="183"/>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3"/>
      <c r="J164" s="184"/>
      <c r="K164" s="184"/>
      <c r="L164" s="184"/>
      <c r="M164" s="184"/>
      <c r="N164" s="184"/>
      <c r="O164" s="183"/>
      <c r="P164" s="186"/>
      <c r="Q164" s="187"/>
      <c r="R164" s="183"/>
      <c r="S164" s="188"/>
      <c r="T164" s="188"/>
      <c r="U164" s="183"/>
      <c r="V164" s="183"/>
      <c r="W164" s="183"/>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3"/>
      <c r="J166" s="184"/>
      <c r="K166" s="184"/>
      <c r="L166" s="184"/>
      <c r="M166" s="184"/>
      <c r="N166" s="184"/>
      <c r="O166" s="183"/>
      <c r="P166" s="186"/>
      <c r="Q166" s="187"/>
      <c r="R166" s="183"/>
      <c r="S166" s="188"/>
      <c r="T166" s="188"/>
      <c r="U166" s="183"/>
      <c r="V166" s="183"/>
      <c r="W166" s="183"/>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3"/>
      <c r="J168" s="184"/>
      <c r="K168" s="184"/>
      <c r="L168" s="184"/>
      <c r="M168" s="184"/>
      <c r="N168" s="184"/>
      <c r="O168" s="183"/>
      <c r="P168" s="186"/>
      <c r="Q168" s="187"/>
      <c r="R168" s="183"/>
      <c r="S168" s="188"/>
      <c r="T168" s="188"/>
      <c r="U168" s="183"/>
      <c r="V168" s="183"/>
      <c r="W168" s="183"/>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3"/>
      <c r="J170" s="184"/>
      <c r="K170" s="184"/>
      <c r="L170" s="184"/>
      <c r="M170" s="184"/>
      <c r="N170" s="184"/>
      <c r="O170" s="183"/>
      <c r="P170" s="186"/>
      <c r="Q170" s="187"/>
      <c r="R170" s="183"/>
      <c r="S170" s="188"/>
      <c r="T170" s="188"/>
      <c r="U170" s="183"/>
      <c r="V170" s="183"/>
      <c r="W170" s="183"/>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3"/>
      <c r="J172" s="184"/>
      <c r="K172" s="184"/>
      <c r="L172" s="184"/>
      <c r="M172" s="184"/>
      <c r="N172" s="184"/>
      <c r="O172" s="183"/>
      <c r="P172" s="186"/>
      <c r="Q172" s="187"/>
      <c r="R172" s="183"/>
      <c r="S172" s="188"/>
      <c r="T172" s="188"/>
      <c r="U172" s="183"/>
      <c r="V172" s="183"/>
      <c r="W172" s="183"/>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3"/>
      <c r="J174" s="184"/>
      <c r="K174" s="184"/>
      <c r="L174" s="184"/>
      <c r="M174" s="184"/>
      <c r="N174" s="184"/>
      <c r="O174" s="183"/>
      <c r="P174" s="186"/>
      <c r="Q174" s="187"/>
      <c r="R174" s="183"/>
      <c r="S174" s="188"/>
      <c r="T174" s="188"/>
      <c r="U174" s="183"/>
      <c r="V174" s="183"/>
      <c r="W174" s="183"/>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3"/>
      <c r="J176" s="184"/>
      <c r="K176" s="184"/>
      <c r="L176" s="184"/>
      <c r="M176" s="184"/>
      <c r="N176" s="184"/>
      <c r="O176" s="183"/>
      <c r="P176" s="186"/>
      <c r="Q176" s="187"/>
      <c r="R176" s="183"/>
      <c r="S176" s="188"/>
      <c r="T176" s="188"/>
      <c r="U176" s="183"/>
      <c r="V176" s="183"/>
      <c r="W176" s="183"/>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3"/>
      <c r="J178" s="184"/>
      <c r="K178" s="184"/>
      <c r="L178" s="184"/>
      <c r="M178" s="184"/>
      <c r="N178" s="184"/>
      <c r="O178" s="183"/>
      <c r="P178" s="186"/>
      <c r="Q178" s="187"/>
      <c r="R178" s="183"/>
      <c r="S178" s="188"/>
      <c r="T178" s="188"/>
      <c r="U178" s="183"/>
      <c r="V178" s="183"/>
      <c r="W178" s="183"/>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3"/>
      <c r="J180" s="184"/>
      <c r="K180" s="184"/>
      <c r="L180" s="184"/>
      <c r="M180" s="184"/>
      <c r="N180" s="184"/>
      <c r="O180" s="183"/>
      <c r="P180" s="186"/>
      <c r="Q180" s="187"/>
      <c r="R180" s="183"/>
      <c r="S180" s="188"/>
      <c r="T180" s="188"/>
      <c r="U180" s="183"/>
      <c r="V180" s="183"/>
      <c r="W180" s="183"/>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3"/>
      <c r="J182" s="184"/>
      <c r="K182" s="184"/>
      <c r="L182" s="184"/>
      <c r="M182" s="184"/>
      <c r="N182" s="184"/>
      <c r="O182" s="183"/>
      <c r="P182" s="186"/>
      <c r="Q182" s="187"/>
      <c r="R182" s="183"/>
      <c r="S182" s="188"/>
      <c r="T182" s="188"/>
      <c r="U182" s="183"/>
      <c r="V182" s="183"/>
      <c r="W182" s="183"/>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3"/>
      <c r="J184" s="184"/>
      <c r="K184" s="184"/>
      <c r="L184" s="184"/>
      <c r="M184" s="184"/>
      <c r="N184" s="184"/>
      <c r="O184" s="183"/>
      <c r="P184" s="186"/>
      <c r="Q184" s="187"/>
      <c r="R184" s="183"/>
      <c r="S184" s="188"/>
      <c r="T184" s="188"/>
      <c r="U184" s="183"/>
      <c r="V184" s="183"/>
      <c r="W184" s="183"/>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3"/>
      <c r="J186" s="184"/>
      <c r="K186" s="184"/>
      <c r="L186" s="184"/>
      <c r="M186" s="184"/>
      <c r="N186" s="184"/>
      <c r="O186" s="183"/>
      <c r="P186" s="186"/>
      <c r="Q186" s="187"/>
      <c r="R186" s="183"/>
      <c r="S186" s="188"/>
      <c r="T186" s="188"/>
      <c r="U186" s="183"/>
      <c r="V186" s="183"/>
      <c r="W186" s="183"/>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3"/>
      <c r="J188" s="184"/>
      <c r="K188" s="184"/>
      <c r="L188" s="184"/>
      <c r="M188" s="184"/>
      <c r="N188" s="184"/>
      <c r="O188" s="183"/>
      <c r="P188" s="186"/>
      <c r="Q188" s="187"/>
      <c r="R188" s="183"/>
      <c r="S188" s="188"/>
      <c r="T188" s="188"/>
      <c r="U188" s="183"/>
      <c r="V188" s="183"/>
      <c r="W188" s="183"/>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3"/>
      <c r="J190" s="184"/>
      <c r="K190" s="184"/>
      <c r="L190" s="184"/>
      <c r="M190" s="184"/>
      <c r="N190" s="184"/>
      <c r="O190" s="183"/>
      <c r="P190" s="186"/>
      <c r="Q190" s="187"/>
      <c r="R190" s="183"/>
      <c r="S190" s="188"/>
      <c r="T190" s="188"/>
      <c r="U190" s="183"/>
      <c r="V190" s="183"/>
      <c r="W190" s="183"/>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3"/>
      <c r="J192" s="184"/>
      <c r="K192" s="184"/>
      <c r="L192" s="184"/>
      <c r="M192" s="184"/>
      <c r="N192" s="184"/>
      <c r="O192" s="183"/>
      <c r="P192" s="186"/>
      <c r="Q192" s="187"/>
      <c r="R192" s="183"/>
      <c r="S192" s="188"/>
      <c r="T192" s="188"/>
      <c r="U192" s="183"/>
      <c r="V192" s="183"/>
      <c r="W192" s="183"/>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3"/>
      <c r="J194" s="184"/>
      <c r="K194" s="184"/>
      <c r="L194" s="184"/>
      <c r="M194" s="184"/>
      <c r="N194" s="184"/>
      <c r="O194" s="183"/>
      <c r="P194" s="186"/>
      <c r="Q194" s="187"/>
      <c r="R194" s="183"/>
      <c r="S194" s="188"/>
      <c r="T194" s="188"/>
      <c r="U194" s="183"/>
      <c r="V194" s="183"/>
      <c r="W194" s="183"/>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3"/>
      <c r="J196" s="184"/>
      <c r="K196" s="184"/>
      <c r="L196" s="184"/>
      <c r="M196" s="184"/>
      <c r="N196" s="184"/>
      <c r="O196" s="183"/>
      <c r="P196" s="186"/>
      <c r="Q196" s="187"/>
      <c r="R196" s="183"/>
      <c r="S196" s="188"/>
      <c r="T196" s="188"/>
      <c r="U196" s="183"/>
      <c r="V196" s="183"/>
      <c r="W196" s="183"/>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3"/>
      <c r="J198" s="184"/>
      <c r="K198" s="184"/>
      <c r="L198" s="184"/>
      <c r="M198" s="184"/>
      <c r="N198" s="184"/>
      <c r="O198" s="183"/>
      <c r="P198" s="186"/>
      <c r="Q198" s="187"/>
      <c r="R198" s="183"/>
      <c r="S198" s="188"/>
      <c r="T198" s="188"/>
      <c r="U198" s="183"/>
      <c r="V198" s="183"/>
      <c r="W198" s="183"/>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3"/>
      <c r="J200" s="184"/>
      <c r="K200" s="184"/>
      <c r="L200" s="184"/>
      <c r="M200" s="184"/>
      <c r="N200" s="184"/>
      <c r="O200" s="183"/>
      <c r="P200" s="186"/>
      <c r="Q200" s="187"/>
      <c r="R200" s="183"/>
      <c r="S200" s="188"/>
      <c r="T200" s="188"/>
      <c r="U200" s="183"/>
      <c r="V200" s="183"/>
      <c r="W200" s="183"/>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3"/>
      <c r="J202" s="184"/>
      <c r="K202" s="184"/>
      <c r="L202" s="184"/>
      <c r="M202" s="184"/>
      <c r="N202" s="184"/>
      <c r="O202" s="183"/>
      <c r="P202" s="186"/>
      <c r="Q202" s="187"/>
      <c r="R202" s="183"/>
      <c r="S202" s="188"/>
      <c r="T202" s="188"/>
      <c r="U202" s="183"/>
      <c r="V202" s="183"/>
      <c r="W202" s="183"/>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3"/>
      <c r="J204" s="184"/>
      <c r="K204" s="184"/>
      <c r="L204" s="184"/>
      <c r="M204" s="184"/>
      <c r="N204" s="184"/>
      <c r="O204" s="183"/>
      <c r="P204" s="186"/>
      <c r="Q204" s="187"/>
      <c r="R204" s="183"/>
      <c r="S204" s="188"/>
      <c r="T204" s="188"/>
      <c r="U204" s="183"/>
      <c r="V204" s="183"/>
      <c r="W204" s="183"/>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3"/>
      <c r="J206" s="184"/>
      <c r="K206" s="184"/>
      <c r="L206" s="184"/>
      <c r="M206" s="184"/>
      <c r="N206" s="184"/>
      <c r="O206" s="183"/>
      <c r="P206" s="186"/>
      <c r="Q206" s="187"/>
      <c r="R206" s="183"/>
      <c r="S206" s="188"/>
      <c r="T206" s="188"/>
      <c r="U206" s="183"/>
      <c r="V206" s="183"/>
      <c r="W206" s="183"/>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3"/>
      <c r="J208" s="184"/>
      <c r="K208" s="184"/>
      <c r="L208" s="184"/>
      <c r="M208" s="184"/>
      <c r="N208" s="184"/>
      <c r="O208" s="183"/>
      <c r="P208" s="186"/>
      <c r="Q208" s="187"/>
      <c r="R208" s="183"/>
      <c r="S208" s="188"/>
      <c r="T208" s="188"/>
      <c r="U208" s="183"/>
      <c r="V208" s="183"/>
      <c r="W208" s="183"/>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3"/>
      <c r="J210" s="184"/>
      <c r="K210" s="184"/>
      <c r="L210" s="184"/>
      <c r="M210" s="184"/>
      <c r="N210" s="184"/>
      <c r="O210" s="183"/>
      <c r="P210" s="186"/>
      <c r="Q210" s="187"/>
      <c r="R210" s="183"/>
      <c r="S210" s="188"/>
      <c r="T210" s="188"/>
      <c r="U210" s="183"/>
      <c r="V210" s="183"/>
      <c r="W210" s="183"/>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3"/>
      <c r="J212" s="184"/>
      <c r="K212" s="184"/>
      <c r="L212" s="184"/>
      <c r="M212" s="184"/>
      <c r="N212" s="184"/>
      <c r="O212" s="183"/>
      <c r="P212" s="186"/>
      <c r="Q212" s="187"/>
      <c r="R212" s="183"/>
      <c r="S212" s="188"/>
      <c r="T212" s="188"/>
      <c r="U212" s="183"/>
      <c r="V212" s="183"/>
      <c r="W212" s="183"/>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3"/>
      <c r="J214" s="184"/>
      <c r="K214" s="184"/>
      <c r="L214" s="184"/>
      <c r="M214" s="184"/>
      <c r="N214" s="184"/>
      <c r="O214" s="183"/>
      <c r="P214" s="186"/>
      <c r="Q214" s="187"/>
      <c r="R214" s="183"/>
      <c r="S214" s="188"/>
      <c r="T214" s="188"/>
      <c r="U214" s="183"/>
      <c r="V214" s="183"/>
      <c r="W214" s="183"/>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3"/>
      <c r="J216" s="184"/>
      <c r="K216" s="184"/>
      <c r="L216" s="184"/>
      <c r="M216" s="184"/>
      <c r="N216" s="184"/>
      <c r="O216" s="183"/>
      <c r="P216" s="186"/>
      <c r="Q216" s="187"/>
      <c r="R216" s="183"/>
      <c r="S216" s="188"/>
      <c r="T216" s="188"/>
      <c r="U216" s="183"/>
      <c r="V216" s="183"/>
      <c r="W216" s="183"/>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3"/>
      <c r="J218" s="184"/>
      <c r="K218" s="184"/>
      <c r="L218" s="184"/>
      <c r="M218" s="184"/>
      <c r="N218" s="184"/>
      <c r="O218" s="183"/>
      <c r="P218" s="186"/>
      <c r="Q218" s="187"/>
      <c r="R218" s="183"/>
      <c r="S218" s="188"/>
      <c r="T218" s="188"/>
      <c r="U218" s="183"/>
      <c r="V218" s="183"/>
      <c r="W218" s="183"/>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3"/>
      <c r="J220" s="184"/>
      <c r="K220" s="184"/>
      <c r="L220" s="184"/>
      <c r="M220" s="184"/>
      <c r="N220" s="184"/>
      <c r="O220" s="183"/>
      <c r="P220" s="186"/>
      <c r="Q220" s="187"/>
      <c r="R220" s="183"/>
      <c r="S220" s="188"/>
      <c r="T220" s="188"/>
      <c r="U220" s="183"/>
      <c r="V220" s="183"/>
      <c r="W220" s="183"/>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3"/>
      <c r="J222" s="184"/>
      <c r="K222" s="184"/>
      <c r="L222" s="184"/>
      <c r="M222" s="184"/>
      <c r="N222" s="184"/>
      <c r="O222" s="183"/>
      <c r="P222" s="186"/>
      <c r="Q222" s="187"/>
      <c r="R222" s="183"/>
      <c r="S222" s="188"/>
      <c r="T222" s="188"/>
      <c r="U222" s="183"/>
      <c r="V222" s="183"/>
      <c r="W222" s="183"/>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3"/>
      <c r="J224" s="184"/>
      <c r="K224" s="184"/>
      <c r="L224" s="184"/>
      <c r="M224" s="184"/>
      <c r="N224" s="184"/>
      <c r="O224" s="183"/>
      <c r="P224" s="186"/>
      <c r="Q224" s="187"/>
      <c r="R224" s="183"/>
      <c r="S224" s="188"/>
      <c r="T224" s="188"/>
      <c r="U224" s="183"/>
      <c r="V224" s="183"/>
      <c r="W224" s="183"/>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3"/>
      <c r="J226" s="184"/>
      <c r="K226" s="184"/>
      <c r="L226" s="184"/>
      <c r="M226" s="184"/>
      <c r="N226" s="184"/>
      <c r="O226" s="183"/>
      <c r="P226" s="186"/>
      <c r="Q226" s="187"/>
      <c r="R226" s="183"/>
      <c r="S226" s="188"/>
      <c r="T226" s="188"/>
      <c r="U226" s="183"/>
      <c r="V226" s="183"/>
      <c r="W226" s="183"/>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3"/>
      <c r="J228" s="184"/>
      <c r="K228" s="184"/>
      <c r="L228" s="184"/>
      <c r="M228" s="184"/>
      <c r="N228" s="184"/>
      <c r="O228" s="183"/>
      <c r="P228" s="186"/>
      <c r="Q228" s="187"/>
      <c r="R228" s="183"/>
      <c r="S228" s="188"/>
      <c r="T228" s="188"/>
      <c r="U228" s="183"/>
      <c r="V228" s="183"/>
      <c r="W228" s="183"/>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3"/>
      <c r="J230" s="184"/>
      <c r="K230" s="184"/>
      <c r="L230" s="184"/>
      <c r="M230" s="184"/>
      <c r="N230" s="184"/>
      <c r="O230" s="183"/>
      <c r="P230" s="186"/>
      <c r="Q230" s="187"/>
      <c r="R230" s="183"/>
      <c r="S230" s="188"/>
      <c r="T230" s="188"/>
      <c r="U230" s="183"/>
      <c r="V230" s="183"/>
      <c r="W230" s="183"/>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3"/>
      <c r="J232" s="184"/>
      <c r="K232" s="184"/>
      <c r="L232" s="184"/>
      <c r="M232" s="184"/>
      <c r="N232" s="184"/>
      <c r="O232" s="183"/>
      <c r="P232" s="186"/>
      <c r="Q232" s="187"/>
      <c r="R232" s="183"/>
      <c r="S232" s="188"/>
      <c r="T232" s="188"/>
      <c r="U232" s="183"/>
      <c r="V232" s="183"/>
      <c r="W232" s="183"/>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3"/>
      <c r="J234" s="184"/>
      <c r="K234" s="184"/>
      <c r="L234" s="184"/>
      <c r="M234" s="184"/>
      <c r="N234" s="184"/>
      <c r="O234" s="183"/>
      <c r="P234" s="186"/>
      <c r="Q234" s="187"/>
      <c r="R234" s="183"/>
      <c r="S234" s="188"/>
      <c r="T234" s="188"/>
      <c r="U234" s="183"/>
      <c r="V234" s="183"/>
      <c r="W234" s="183"/>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3"/>
      <c r="J236" s="184"/>
      <c r="K236" s="184"/>
      <c r="L236" s="184"/>
      <c r="M236" s="184"/>
      <c r="N236" s="184"/>
      <c r="O236" s="183"/>
      <c r="P236" s="186"/>
      <c r="Q236" s="187"/>
      <c r="R236" s="183"/>
      <c r="S236" s="188"/>
      <c r="T236" s="188"/>
      <c r="U236" s="183"/>
      <c r="V236" s="183"/>
      <c r="W236" s="183"/>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3"/>
      <c r="J238" s="184"/>
      <c r="K238" s="184"/>
      <c r="L238" s="184"/>
      <c r="M238" s="184"/>
      <c r="N238" s="184"/>
      <c r="O238" s="183"/>
      <c r="P238" s="186"/>
      <c r="Q238" s="187"/>
      <c r="R238" s="183"/>
      <c r="S238" s="188"/>
      <c r="T238" s="188"/>
      <c r="U238" s="183"/>
      <c r="V238" s="183"/>
      <c r="W238" s="183"/>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3"/>
      <c r="J240" s="184"/>
      <c r="K240" s="184"/>
      <c r="L240" s="184"/>
      <c r="M240" s="184"/>
      <c r="N240" s="184"/>
      <c r="O240" s="183"/>
      <c r="P240" s="186"/>
      <c r="Q240" s="187"/>
      <c r="R240" s="183"/>
      <c r="S240" s="188"/>
      <c r="T240" s="188"/>
      <c r="U240" s="183"/>
      <c r="V240" s="183"/>
      <c r="W240" s="183"/>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3"/>
      <c r="J242" s="184"/>
      <c r="K242" s="184"/>
      <c r="L242" s="184"/>
      <c r="M242" s="184"/>
      <c r="N242" s="184"/>
      <c r="O242" s="183"/>
      <c r="P242" s="186"/>
      <c r="Q242" s="187"/>
      <c r="R242" s="183"/>
      <c r="S242" s="188"/>
      <c r="T242" s="188"/>
      <c r="U242" s="183"/>
      <c r="V242" s="183"/>
      <c r="W242" s="183"/>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3"/>
      <c r="J244" s="184"/>
      <c r="K244" s="184"/>
      <c r="L244" s="184"/>
      <c r="M244" s="184"/>
      <c r="N244" s="184"/>
      <c r="O244" s="183"/>
      <c r="P244" s="186"/>
      <c r="Q244" s="187"/>
      <c r="R244" s="183"/>
      <c r="S244" s="188"/>
      <c r="T244" s="188"/>
      <c r="U244" s="183"/>
      <c r="V244" s="183"/>
      <c r="W244" s="183"/>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3"/>
      <c r="J246" s="184"/>
      <c r="K246" s="184"/>
      <c r="L246" s="184"/>
      <c r="M246" s="184"/>
      <c r="N246" s="184"/>
      <c r="O246" s="183"/>
      <c r="P246" s="186"/>
      <c r="Q246" s="187"/>
      <c r="R246" s="183"/>
      <c r="S246" s="188"/>
      <c r="T246" s="188"/>
      <c r="U246" s="183"/>
      <c r="V246" s="183"/>
      <c r="W246" s="183"/>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3"/>
      <c r="J248" s="184"/>
      <c r="K248" s="184"/>
      <c r="L248" s="184"/>
      <c r="M248" s="184"/>
      <c r="N248" s="184"/>
      <c r="O248" s="183"/>
      <c r="P248" s="186"/>
      <c r="Q248" s="187"/>
      <c r="R248" s="183"/>
      <c r="S248" s="188"/>
      <c r="T248" s="188"/>
      <c r="U248" s="183"/>
      <c r="V248" s="183"/>
      <c r="W248" s="183"/>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3"/>
      <c r="J250" s="184"/>
      <c r="K250" s="184"/>
      <c r="L250" s="184"/>
      <c r="M250" s="184"/>
      <c r="N250" s="184"/>
      <c r="O250" s="183"/>
      <c r="P250" s="186"/>
      <c r="Q250" s="187"/>
      <c r="R250" s="183"/>
      <c r="S250" s="188"/>
      <c r="T250" s="188"/>
      <c r="U250" s="183"/>
      <c r="V250" s="183"/>
      <c r="W250" s="183"/>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3"/>
      <c r="J252" s="184"/>
      <c r="K252" s="184"/>
      <c r="L252" s="184"/>
      <c r="M252" s="184"/>
      <c r="N252" s="184"/>
      <c r="O252" s="183"/>
      <c r="P252" s="186"/>
      <c r="Q252" s="187"/>
      <c r="R252" s="183"/>
      <c r="S252" s="188"/>
      <c r="T252" s="188"/>
      <c r="U252" s="183"/>
      <c r="V252" s="183"/>
      <c r="W252" s="183"/>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3"/>
      <c r="J254" s="184"/>
      <c r="K254" s="184"/>
      <c r="L254" s="184"/>
      <c r="M254" s="184"/>
      <c r="N254" s="184"/>
      <c r="O254" s="183"/>
      <c r="P254" s="186"/>
      <c r="Q254" s="187"/>
      <c r="R254" s="183"/>
      <c r="S254" s="188"/>
      <c r="T254" s="188"/>
      <c r="U254" s="183"/>
      <c r="V254" s="183"/>
      <c r="W254" s="183"/>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3"/>
      <c r="J256" s="184"/>
      <c r="K256" s="184"/>
      <c r="L256" s="184"/>
      <c r="M256" s="184"/>
      <c r="N256" s="184"/>
      <c r="O256" s="183"/>
      <c r="P256" s="186"/>
      <c r="Q256" s="187"/>
      <c r="R256" s="183"/>
      <c r="S256" s="188"/>
      <c r="T256" s="188"/>
      <c r="U256" s="183"/>
      <c r="V256" s="183"/>
      <c r="W256" s="183"/>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3"/>
      <c r="J258" s="184"/>
      <c r="K258" s="184"/>
      <c r="L258" s="184"/>
      <c r="M258" s="184"/>
      <c r="N258" s="184"/>
      <c r="O258" s="183"/>
      <c r="P258" s="186"/>
      <c r="Q258" s="187"/>
      <c r="R258" s="183"/>
      <c r="S258" s="188"/>
      <c r="T258" s="188"/>
      <c r="U258" s="183"/>
      <c r="V258" s="183"/>
      <c r="W258" s="183"/>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3"/>
      <c r="J260" s="184"/>
      <c r="K260" s="184"/>
      <c r="L260" s="184"/>
      <c r="M260" s="184"/>
      <c r="N260" s="184"/>
      <c r="O260" s="183"/>
      <c r="P260" s="186"/>
      <c r="Q260" s="187"/>
      <c r="R260" s="183"/>
      <c r="S260" s="188"/>
      <c r="T260" s="188"/>
      <c r="U260" s="183"/>
      <c r="V260" s="183"/>
      <c r="W260" s="183"/>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3"/>
      <c r="J262" s="184"/>
      <c r="K262" s="184"/>
      <c r="L262" s="184"/>
      <c r="M262" s="184"/>
      <c r="N262" s="184"/>
      <c r="O262" s="183"/>
      <c r="P262" s="186"/>
      <c r="Q262" s="187"/>
      <c r="R262" s="183"/>
      <c r="S262" s="188"/>
      <c r="T262" s="188"/>
      <c r="U262" s="183"/>
      <c r="V262" s="183"/>
      <c r="W262" s="183"/>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3"/>
      <c r="J264" s="184"/>
      <c r="K264" s="184"/>
      <c r="L264" s="184"/>
      <c r="M264" s="184"/>
      <c r="N264" s="184"/>
      <c r="O264" s="183"/>
      <c r="P264" s="186"/>
      <c r="Q264" s="187"/>
      <c r="R264" s="183"/>
      <c r="S264" s="188"/>
      <c r="T264" s="188"/>
      <c r="U264" s="183"/>
      <c r="V264" s="183"/>
      <c r="W264" s="183"/>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3"/>
      <c r="J266" s="184"/>
      <c r="K266" s="184"/>
      <c r="L266" s="184"/>
      <c r="M266" s="184"/>
      <c r="N266" s="184"/>
      <c r="O266" s="183"/>
      <c r="P266" s="186"/>
      <c r="Q266" s="187"/>
      <c r="R266" s="183"/>
      <c r="S266" s="188"/>
      <c r="T266" s="188"/>
      <c r="U266" s="183"/>
      <c r="V266" s="183"/>
      <c r="W266" s="183"/>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3"/>
      <c r="J268" s="184"/>
      <c r="K268" s="184"/>
      <c r="L268" s="184"/>
      <c r="M268" s="184"/>
      <c r="N268" s="184"/>
      <c r="O268" s="183"/>
      <c r="P268" s="186"/>
      <c r="Q268" s="187"/>
      <c r="R268" s="183"/>
      <c r="S268" s="188"/>
      <c r="T268" s="188"/>
      <c r="U268" s="183"/>
      <c r="V268" s="183"/>
      <c r="W268" s="183"/>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3"/>
      <c r="J270" s="184"/>
      <c r="K270" s="184"/>
      <c r="L270" s="184"/>
      <c r="M270" s="184"/>
      <c r="N270" s="184"/>
      <c r="O270" s="183"/>
      <c r="P270" s="186"/>
      <c r="Q270" s="187"/>
      <c r="R270" s="183"/>
      <c r="S270" s="188"/>
      <c r="T270" s="188"/>
      <c r="U270" s="183"/>
      <c r="V270" s="183"/>
      <c r="W270" s="183"/>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3"/>
      <c r="J272" s="184"/>
      <c r="K272" s="184"/>
      <c r="L272" s="184"/>
      <c r="M272" s="184"/>
      <c r="N272" s="184"/>
      <c r="O272" s="183"/>
      <c r="P272" s="186"/>
      <c r="Q272" s="187"/>
      <c r="R272" s="183"/>
      <c r="S272" s="188"/>
      <c r="T272" s="188"/>
      <c r="U272" s="183"/>
      <c r="V272" s="183"/>
      <c r="W272" s="183"/>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3"/>
      <c r="J274" s="184"/>
      <c r="K274" s="184"/>
      <c r="L274" s="184"/>
      <c r="M274" s="184"/>
      <c r="N274" s="184"/>
      <c r="O274" s="183"/>
      <c r="P274" s="186"/>
      <c r="Q274" s="187"/>
      <c r="R274" s="183"/>
      <c r="S274" s="188"/>
      <c r="T274" s="188"/>
      <c r="U274" s="183"/>
      <c r="V274" s="183"/>
      <c r="W274" s="183"/>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3"/>
      <c r="J276" s="184"/>
      <c r="K276" s="184"/>
      <c r="L276" s="184"/>
      <c r="M276" s="184"/>
      <c r="N276" s="184"/>
      <c r="O276" s="183"/>
      <c r="P276" s="186"/>
      <c r="Q276" s="187"/>
      <c r="R276" s="183"/>
      <c r="S276" s="188"/>
      <c r="T276" s="188"/>
      <c r="U276" s="183"/>
      <c r="V276" s="183"/>
      <c r="W276" s="183"/>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3"/>
      <c r="J278" s="184"/>
      <c r="K278" s="184"/>
      <c r="L278" s="184"/>
      <c r="M278" s="184"/>
      <c r="N278" s="184"/>
      <c r="O278" s="183"/>
      <c r="P278" s="186"/>
      <c r="Q278" s="187"/>
      <c r="R278" s="183"/>
      <c r="S278" s="188"/>
      <c r="T278" s="188"/>
      <c r="U278" s="183"/>
      <c r="V278" s="183"/>
      <c r="W278" s="183"/>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3"/>
      <c r="J280" s="184"/>
      <c r="K280" s="184"/>
      <c r="L280" s="184"/>
      <c r="M280" s="184"/>
      <c r="N280" s="184"/>
      <c r="O280" s="183"/>
      <c r="P280" s="186"/>
      <c r="Q280" s="187"/>
      <c r="R280" s="183"/>
      <c r="S280" s="188"/>
      <c r="T280" s="188"/>
      <c r="U280" s="183"/>
      <c r="V280" s="183"/>
      <c r="W280" s="183"/>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3"/>
      <c r="J282" s="184"/>
      <c r="K282" s="184"/>
      <c r="L282" s="184"/>
      <c r="M282" s="184"/>
      <c r="N282" s="184"/>
      <c r="O282" s="183"/>
      <c r="P282" s="186"/>
      <c r="Q282" s="187"/>
      <c r="R282" s="183"/>
      <c r="S282" s="188"/>
      <c r="T282" s="188"/>
      <c r="U282" s="183"/>
      <c r="V282" s="183"/>
      <c r="W282" s="183"/>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3"/>
      <c r="J284" s="184"/>
      <c r="K284" s="184"/>
      <c r="L284" s="184"/>
      <c r="M284" s="184"/>
      <c r="N284" s="184"/>
      <c r="O284" s="183"/>
      <c r="P284" s="186"/>
      <c r="Q284" s="187"/>
      <c r="R284" s="183"/>
      <c r="S284" s="188"/>
      <c r="T284" s="188"/>
      <c r="U284" s="183"/>
      <c r="V284" s="183"/>
      <c r="W284" s="183"/>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3"/>
      <c r="J286" s="184"/>
      <c r="K286" s="184"/>
      <c r="L286" s="184"/>
      <c r="M286" s="184"/>
      <c r="N286" s="184"/>
      <c r="O286" s="183"/>
      <c r="P286" s="186"/>
      <c r="Q286" s="187"/>
      <c r="R286" s="183"/>
      <c r="S286" s="188"/>
      <c r="T286" s="188"/>
      <c r="U286" s="183"/>
      <c r="V286" s="183"/>
      <c r="W286" s="183"/>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3"/>
      <c r="J288" s="184"/>
      <c r="K288" s="184"/>
      <c r="L288" s="184"/>
      <c r="M288" s="184"/>
      <c r="N288" s="184"/>
      <c r="O288" s="183"/>
      <c r="P288" s="186"/>
      <c r="Q288" s="187"/>
      <c r="R288" s="183"/>
      <c r="S288" s="188"/>
      <c r="T288" s="188"/>
      <c r="U288" s="183"/>
      <c r="V288" s="183"/>
      <c r="W288" s="183"/>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3"/>
      <c r="J290" s="184"/>
      <c r="K290" s="184"/>
      <c r="L290" s="184"/>
      <c r="M290" s="184"/>
      <c r="N290" s="184"/>
      <c r="O290" s="183"/>
      <c r="P290" s="186"/>
      <c r="Q290" s="187"/>
      <c r="R290" s="183"/>
      <c r="S290" s="188"/>
      <c r="T290" s="188"/>
      <c r="U290" s="183"/>
      <c r="V290" s="183"/>
      <c r="W290" s="183"/>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3"/>
      <c r="J292" s="184"/>
      <c r="K292" s="184"/>
      <c r="L292" s="184"/>
      <c r="M292" s="184"/>
      <c r="N292" s="184"/>
      <c r="O292" s="183"/>
      <c r="P292" s="186"/>
      <c r="Q292" s="187"/>
      <c r="R292" s="183"/>
      <c r="S292" s="188"/>
      <c r="T292" s="188"/>
      <c r="U292" s="183"/>
      <c r="V292" s="183"/>
      <c r="W292" s="183"/>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3"/>
      <c r="J294" s="184"/>
      <c r="K294" s="184"/>
      <c r="L294" s="184"/>
      <c r="M294" s="184"/>
      <c r="N294" s="184"/>
      <c r="O294" s="183"/>
      <c r="P294" s="186"/>
      <c r="Q294" s="187"/>
      <c r="R294" s="183"/>
      <c r="S294" s="188"/>
      <c r="T294" s="188"/>
      <c r="U294" s="183"/>
      <c r="V294" s="183"/>
      <c r="W294" s="183"/>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3"/>
      <c r="J296" s="184"/>
      <c r="K296" s="184"/>
      <c r="L296" s="184"/>
      <c r="M296" s="184"/>
      <c r="N296" s="184"/>
      <c r="O296" s="183"/>
      <c r="P296" s="186"/>
      <c r="Q296" s="187"/>
      <c r="R296" s="183"/>
      <c r="S296" s="188"/>
      <c r="T296" s="188"/>
      <c r="U296" s="183"/>
      <c r="V296" s="183"/>
      <c r="W296" s="183"/>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3"/>
      <c r="J298" s="184"/>
      <c r="K298" s="184"/>
      <c r="L298" s="184"/>
      <c r="M298" s="184"/>
      <c r="N298" s="184"/>
      <c r="O298" s="183"/>
      <c r="P298" s="186"/>
      <c r="Q298" s="187"/>
      <c r="R298" s="183"/>
      <c r="S298" s="188"/>
      <c r="T298" s="188"/>
      <c r="U298" s="183"/>
      <c r="V298" s="183"/>
      <c r="W298" s="183"/>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U13</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U13</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180</v>
      </c>
      <c r="B5" s="221">
        <v>45886.0</v>
      </c>
      <c r="C5" s="222" t="s">
        <v>176</v>
      </c>
      <c r="D5" s="49" t="str">
        <f t="array" ref="D5">IFERROR(INDEX(Profiles!$B:$B,MATCH($A5,Profiles!$A:$A,0)),"")</f>
        <v>Goalkeeper</v>
      </c>
      <c r="E5" s="49" t="str">
        <f t="array" ref="E5">IFERROR(INDEX(Profiles!$C:$C,MATCH($A5,Profiles!$A:$A,0)),"")</f>
        <v>U13</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4</v>
      </c>
      <c r="B6" s="229">
        <v>45886.0</v>
      </c>
      <c r="C6" s="230" t="s">
        <v>176</v>
      </c>
      <c r="D6" s="231" t="str">
        <f t="array" ref="D6">IFERROR(INDEX(Profiles!$B:$B,MATCH($A6,Profiles!$A:$A,0)),"")</f>
        <v>Defender</v>
      </c>
      <c r="E6" s="231" t="str">
        <f t="array" ref="E6">IFERROR(INDEX(Profiles!$C:$C,MATCH($A6,Profiles!$A:$A,0)),"")</f>
        <v>U13</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181</v>
      </c>
      <c r="B7" s="221">
        <v>45886.0</v>
      </c>
      <c r="C7" s="222" t="s">
        <v>176</v>
      </c>
      <c r="D7" s="49" t="str">
        <f t="array" ref="D7">IFERROR(INDEX(Profiles!$B:$B,MATCH($A7,Profiles!$A:$A,0)),"")</f>
        <v>Defender</v>
      </c>
      <c r="E7" s="49" t="str">
        <f t="array" ref="E7">IFERROR(INDEX(Profiles!$C:$C,MATCH($A7,Profiles!$A:$A,0)),"")</f>
        <v>U13</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182</v>
      </c>
      <c r="B8" s="229">
        <v>45886.0</v>
      </c>
      <c r="C8" s="230" t="s">
        <v>176</v>
      </c>
      <c r="D8" s="231" t="str">
        <f t="array" ref="D8">IFERROR(INDEX(Profiles!$B:$B,MATCH($A8,Profiles!$A:$A,0)),"")</f>
        <v>Defender</v>
      </c>
      <c r="E8" s="231" t="str">
        <f t="array" ref="E8">IFERROR(INDEX(Profiles!$C:$C,MATCH($A8,Profiles!$A:$A,0)),"")</f>
        <v>U13</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183</v>
      </c>
      <c r="B9" s="221">
        <v>45886.0</v>
      </c>
      <c r="C9" s="222" t="s">
        <v>176</v>
      </c>
      <c r="D9" s="49" t="str">
        <f t="array" ref="D9">IFERROR(INDEX(Profiles!$B:$B,MATCH($A9,Profiles!$A:$A,0)),"")</f>
        <v>Defender</v>
      </c>
      <c r="E9" s="49" t="str">
        <f t="array" ref="E9">IFERROR(INDEX(Profiles!$C:$C,MATCH($A9,Profiles!$A:$A,0)),"")</f>
        <v>U13</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184</v>
      </c>
      <c r="B10" s="229">
        <v>45886.0</v>
      </c>
      <c r="C10" s="230" t="s">
        <v>176</v>
      </c>
      <c r="D10" s="231" t="str">
        <f t="array" ref="D10">IFERROR(INDEX(Profiles!$B:$B,MATCH($A10,Profiles!$A:$A,0)),"")</f>
        <v>Defender</v>
      </c>
      <c r="E10" s="231" t="str">
        <f t="array" ref="E10">IFERROR(INDEX(Profiles!$C:$C,MATCH($A10,Profiles!$A:$A,0)),"")</f>
        <v>U13</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185</v>
      </c>
      <c r="B11" s="221">
        <v>45886.0</v>
      </c>
      <c r="C11" s="222" t="s">
        <v>176</v>
      </c>
      <c r="D11" s="49" t="str">
        <f t="array" ref="D11">IFERROR(INDEX(Profiles!$B:$B,MATCH($A11,Profiles!$A:$A,0)),"")</f>
        <v>Defender</v>
      </c>
      <c r="E11" s="49" t="str">
        <f t="array" ref="E11">IFERROR(INDEX(Profiles!$C:$C,MATCH($A11,Profiles!$A:$A,0)),"")</f>
        <v>U13</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186</v>
      </c>
      <c r="B12" s="229">
        <v>45886.0</v>
      </c>
      <c r="C12" s="230" t="s">
        <v>176</v>
      </c>
      <c r="D12" s="231" t="str">
        <f t="array" ref="D12">IFERROR(INDEX(Profiles!$B:$B,MATCH($A12,Profiles!$A:$A,0)),"")</f>
        <v>Midfielder</v>
      </c>
      <c r="E12" s="231" t="str">
        <f t="array" ref="E12">IFERROR(INDEX(Profiles!$C:$C,MATCH($A12,Profiles!$A:$A,0)),"")</f>
        <v>U13</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187</v>
      </c>
      <c r="B13" s="221">
        <v>45886.0</v>
      </c>
      <c r="C13" s="222" t="s">
        <v>176</v>
      </c>
      <c r="D13" s="49" t="str">
        <f t="array" ref="D13">IFERROR(INDEX(Profiles!$B:$B,MATCH($A13,Profiles!$A:$A,0)),"")</f>
        <v>Midfielder</v>
      </c>
      <c r="E13" s="49" t="str">
        <f t="array" ref="E13">IFERROR(INDEX(Profiles!$C:$C,MATCH($A13,Profiles!$A:$A,0)),"")</f>
        <v>U13</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188</v>
      </c>
      <c r="B14" s="229">
        <v>45886.0</v>
      </c>
      <c r="C14" s="230" t="s">
        <v>176</v>
      </c>
      <c r="D14" s="231" t="str">
        <f t="array" ref="D14">IFERROR(INDEX(Profiles!$B:$B,MATCH($A14,Profiles!$A:$A,0)),"")</f>
        <v>Midfielder</v>
      </c>
      <c r="E14" s="231" t="str">
        <f t="array" ref="E14">IFERROR(INDEX(Profiles!$C:$C,MATCH($A14,Profiles!$A:$A,0)),"")</f>
        <v>U13</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189</v>
      </c>
      <c r="B15" s="221">
        <v>45886.0</v>
      </c>
      <c r="C15" s="222" t="s">
        <v>176</v>
      </c>
      <c r="D15" s="49" t="str">
        <f t="array" ref="D15">IFERROR(INDEX(Profiles!$B:$B,MATCH($A15,Profiles!$A:$A,0)),"")</f>
        <v>Midfielder</v>
      </c>
      <c r="E15" s="49" t="str">
        <f t="array" ref="E15">IFERROR(INDEX(Profiles!$C:$C,MATCH($A15,Profiles!$A:$A,0)),"")</f>
        <v>U13</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190</v>
      </c>
      <c r="B16" s="229">
        <v>45886.0</v>
      </c>
      <c r="C16" s="230" t="s">
        <v>176</v>
      </c>
      <c r="D16" s="231" t="str">
        <f t="array" ref="D16">IFERROR(INDEX(Profiles!$B:$B,MATCH($A16,Profiles!$A:$A,0)),"")</f>
        <v>Forward</v>
      </c>
      <c r="E16" s="231" t="str">
        <f t="array" ref="E16">IFERROR(INDEX(Profiles!$C:$C,MATCH($A16,Profiles!$A:$A,0)),"")</f>
        <v>U13</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191</v>
      </c>
      <c r="B17" s="221">
        <v>45886.0</v>
      </c>
      <c r="C17" s="222" t="s">
        <v>176</v>
      </c>
      <c r="D17" s="49" t="str">
        <f t="array" ref="D17">IFERROR(INDEX(Profiles!$B:$B,MATCH($A17,Profiles!$A:$A,0)),"")</f>
        <v>Forward</v>
      </c>
      <c r="E17" s="49" t="str">
        <f t="array" ref="E17">IFERROR(INDEX(Profiles!$C:$C,MATCH($A17,Profiles!$A:$A,0)),"")</f>
        <v>U13</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192</v>
      </c>
      <c r="B18" s="229">
        <v>45886.0</v>
      </c>
      <c r="C18" s="230" t="s">
        <v>176</v>
      </c>
      <c r="D18" s="231" t="str">
        <f t="array" ref="D18">IFERROR(INDEX(Profiles!$B:$B,MATCH($A18,Profiles!$A:$A,0)),"")</f>
        <v>Forward</v>
      </c>
      <c r="E18" s="231" t="str">
        <f t="array" ref="E18">IFERROR(INDEX(Profiles!$C:$C,MATCH($A18,Profiles!$A:$A,0)),"")</f>
        <v>U13</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193</v>
      </c>
      <c r="B19" s="221">
        <v>45886.0</v>
      </c>
      <c r="C19" s="222" t="s">
        <v>176</v>
      </c>
      <c r="D19" s="49" t="str">
        <f t="array" ref="D19">IFERROR(INDEX(Profiles!$B:$B,MATCH($A19,Profiles!$A:$A,0)),"")</f>
        <v>Forward</v>
      </c>
      <c r="E19" s="49" t="str">
        <f t="array" ref="E19">IFERROR(INDEX(Profiles!$C:$C,MATCH($A19,Profiles!$A:$A,0)),"")</f>
        <v>U13</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U13</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0"/>
      <c r="B21" s="221"/>
      <c r="C21" s="222"/>
      <c r="D21" s="49" t="str">
        <f t="array" ref="D21">IFERROR(INDEX(Profiles!$B:$B,MATCH($A21,Profiles!$A:$A,0)),"")</f>
        <v/>
      </c>
      <c r="E21" s="49" t="str">
        <f t="array" ref="E21">IFERROR(INDEX(Profiles!$C:$C,MATCH($A21,Profiles!$A:$A,0)),"")</f>
        <v/>
      </c>
      <c r="F21" s="222"/>
      <c r="G21" s="222"/>
      <c r="H21" s="222"/>
      <c r="I21" s="49" t="str">
        <f>IF(A21="","",IF(Settings!$N$3="DATE",F21&amp;": "&amp;TEXT(B21,"M/DD/YY"),F21&amp;": "&amp;H21))</f>
        <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28"/>
      <c r="B22" s="229"/>
      <c r="C22" s="230"/>
      <c r="D22" s="231" t="str">
        <f t="array" ref="D22">IFERROR(INDEX(Profiles!$B:$B,MATCH($A22,Profiles!$A:$A,0)),"")</f>
        <v/>
      </c>
      <c r="E22" s="231" t="str">
        <f t="array" ref="E22">IFERROR(INDEX(Profiles!$C:$C,MATCH($A22,Profiles!$A:$A,0)),"")</f>
        <v/>
      </c>
      <c r="F22" s="230"/>
      <c r="G22" s="230"/>
      <c r="H22" s="230"/>
      <c r="I22" s="231" t="str">
        <f>IF(A22="","",IF(Settings!$N$3="DATE",F22&amp;": "&amp;TEXT(B22,"M/DD/YY"),F22&amp;": "&amp;H22))</f>
        <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1">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195</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0.88"/>
  </cols>
  <sheetData>
    <row r="1" ht="38.25" customHeight="1">
      <c r="A1" s="241" t="s">
        <v>196</v>
      </c>
      <c r="B1" s="242" t="s">
        <v>12</v>
      </c>
      <c r="C1" s="242" t="s">
        <v>19</v>
      </c>
      <c r="D1" s="242" t="s">
        <v>8</v>
      </c>
      <c r="E1" s="242" t="s">
        <v>197</v>
      </c>
      <c r="F1" s="243" t="s">
        <v>17</v>
      </c>
      <c r="G1" s="244" t="s">
        <v>15</v>
      </c>
      <c r="H1" s="242" t="s">
        <v>198</v>
      </c>
      <c r="I1" s="242" t="s">
        <v>199</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28" t="s">
        <v>58</v>
      </c>
      <c r="C3" s="228" t="s">
        <v>1</v>
      </c>
      <c r="D3" s="228"/>
      <c r="E3" s="250"/>
      <c r="F3" s="251"/>
      <c r="G3" s="252" t="str">
        <f t="shared" si="1"/>
        <v/>
      </c>
      <c r="H3" s="228" t="b">
        <v>1</v>
      </c>
      <c r="I3" s="253"/>
      <c r="J3" s="66"/>
      <c r="K3" s="66"/>
      <c r="L3" s="66"/>
      <c r="M3" s="66"/>
      <c r="N3" s="66"/>
      <c r="O3" s="66"/>
      <c r="P3" s="66"/>
      <c r="Q3" s="66"/>
      <c r="R3" s="66"/>
      <c r="S3" s="66"/>
      <c r="T3" s="66"/>
      <c r="U3" s="66"/>
      <c r="V3" s="66"/>
      <c r="W3" s="66"/>
    </row>
    <row r="4" ht="15.0" customHeight="1">
      <c r="A4" s="220" t="s">
        <v>180</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4</v>
      </c>
      <c r="B5" s="228" t="s">
        <v>60</v>
      </c>
      <c r="C5" s="228" t="s">
        <v>1</v>
      </c>
      <c r="D5" s="228"/>
      <c r="E5" s="250"/>
      <c r="F5" s="251"/>
      <c r="G5" s="252" t="str">
        <f t="shared" si="1"/>
        <v/>
      </c>
      <c r="H5" s="228" t="b">
        <v>1</v>
      </c>
      <c r="I5" s="253"/>
      <c r="J5" s="2"/>
      <c r="K5" s="2"/>
      <c r="L5" s="2"/>
      <c r="M5" s="2"/>
      <c r="N5" s="2"/>
      <c r="O5" s="2"/>
      <c r="P5" s="2"/>
      <c r="Q5" s="2"/>
      <c r="R5" s="2"/>
      <c r="S5" s="2"/>
      <c r="T5" s="2"/>
      <c r="U5" s="2"/>
      <c r="V5" s="2"/>
      <c r="W5" s="2"/>
    </row>
    <row r="6" ht="15.0" customHeight="1">
      <c r="A6" s="220" t="s">
        <v>181</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182</v>
      </c>
      <c r="B7" s="228" t="s">
        <v>60</v>
      </c>
      <c r="C7" s="228" t="s">
        <v>1</v>
      </c>
      <c r="D7" s="228"/>
      <c r="E7" s="250"/>
      <c r="F7" s="251"/>
      <c r="G7" s="252" t="str">
        <f t="shared" si="1"/>
        <v/>
      </c>
      <c r="H7" s="228" t="b">
        <v>1</v>
      </c>
      <c r="I7" s="253"/>
      <c r="J7" s="2"/>
      <c r="K7" s="2"/>
      <c r="L7" s="2"/>
      <c r="M7" s="2"/>
      <c r="N7" s="2"/>
      <c r="O7" s="2"/>
      <c r="P7" s="2"/>
      <c r="Q7" s="2"/>
      <c r="R7" s="2"/>
      <c r="S7" s="2"/>
      <c r="T7" s="2"/>
      <c r="U7" s="2"/>
      <c r="V7" s="2"/>
      <c r="W7" s="2"/>
    </row>
    <row r="8" ht="15.0" customHeight="1">
      <c r="A8" s="220" t="s">
        <v>183</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184</v>
      </c>
      <c r="B9" s="228" t="s">
        <v>60</v>
      </c>
      <c r="C9" s="228" t="s">
        <v>1</v>
      </c>
      <c r="D9" s="228"/>
      <c r="E9" s="255"/>
      <c r="F9" s="251"/>
      <c r="G9" s="252" t="str">
        <f t="shared" si="1"/>
        <v/>
      </c>
      <c r="H9" s="228" t="b">
        <v>1</v>
      </c>
      <c r="I9" s="253"/>
      <c r="J9" s="2"/>
      <c r="K9" s="2"/>
      <c r="L9" s="2"/>
      <c r="M9" s="2"/>
      <c r="N9" s="2"/>
      <c r="O9" s="2"/>
      <c r="P9" s="2"/>
      <c r="Q9" s="2"/>
      <c r="R9" s="2"/>
      <c r="S9" s="2"/>
      <c r="T9" s="2"/>
      <c r="U9" s="2"/>
      <c r="V9" s="2"/>
      <c r="W9" s="2"/>
    </row>
    <row r="10" ht="15.0" customHeight="1">
      <c r="A10" s="220" t="s">
        <v>185</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186</v>
      </c>
      <c r="B11" s="228" t="s">
        <v>61</v>
      </c>
      <c r="C11" s="228" t="s">
        <v>1</v>
      </c>
      <c r="D11" s="228"/>
      <c r="E11" s="250"/>
      <c r="F11" s="251"/>
      <c r="G11" s="252" t="str">
        <f t="shared" si="1"/>
        <v/>
      </c>
      <c r="H11" s="228" t="b">
        <v>1</v>
      </c>
      <c r="I11" s="253"/>
      <c r="J11" s="2"/>
      <c r="K11" s="2"/>
      <c r="L11" s="2"/>
      <c r="M11" s="2"/>
      <c r="N11" s="2"/>
      <c r="O11" s="2"/>
      <c r="P11" s="2"/>
      <c r="Q11" s="2"/>
      <c r="R11" s="2"/>
      <c r="S11" s="2"/>
      <c r="T11" s="2"/>
      <c r="U11" s="2"/>
      <c r="V11" s="2"/>
      <c r="W11" s="2"/>
    </row>
    <row r="12" ht="15.0" customHeight="1">
      <c r="A12" s="220" t="s">
        <v>187</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188</v>
      </c>
      <c r="B13" s="228" t="s">
        <v>61</v>
      </c>
      <c r="C13" s="228" t="s">
        <v>1</v>
      </c>
      <c r="D13" s="228"/>
      <c r="E13" s="250"/>
      <c r="F13" s="251"/>
      <c r="G13" s="252" t="str">
        <f t="shared" si="1"/>
        <v/>
      </c>
      <c r="H13" s="228" t="b">
        <v>1</v>
      </c>
      <c r="I13" s="253"/>
      <c r="J13" s="2"/>
      <c r="K13" s="2"/>
      <c r="L13" s="2"/>
      <c r="M13" s="2"/>
      <c r="N13" s="2"/>
      <c r="O13" s="2"/>
      <c r="P13" s="2"/>
      <c r="Q13" s="2"/>
      <c r="R13" s="2"/>
      <c r="S13" s="2"/>
      <c r="T13" s="2"/>
      <c r="U13" s="2"/>
      <c r="V13" s="2"/>
      <c r="W13" s="2"/>
    </row>
    <row r="14" ht="15.0" customHeight="1">
      <c r="A14" s="220" t="s">
        <v>189</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190</v>
      </c>
      <c r="B15" s="228" t="s">
        <v>3</v>
      </c>
      <c r="C15" s="228" t="s">
        <v>1</v>
      </c>
      <c r="D15" s="228"/>
      <c r="E15" s="250"/>
      <c r="F15" s="251"/>
      <c r="G15" s="252" t="str">
        <f t="shared" si="1"/>
        <v/>
      </c>
      <c r="H15" s="228" t="b">
        <v>1</v>
      </c>
      <c r="I15" s="253"/>
      <c r="J15" s="2"/>
      <c r="K15" s="2"/>
      <c r="L15" s="2"/>
      <c r="M15" s="2"/>
      <c r="N15" s="2"/>
      <c r="O15" s="2"/>
      <c r="P15" s="2"/>
      <c r="Q15" s="2"/>
      <c r="R15" s="2"/>
      <c r="S15" s="2"/>
      <c r="T15" s="2"/>
      <c r="U15" s="2"/>
      <c r="V15" s="2"/>
      <c r="W15" s="2"/>
    </row>
    <row r="16" ht="15.0" customHeight="1">
      <c r="A16" s="220" t="s">
        <v>191</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192</v>
      </c>
      <c r="B17" s="228" t="s">
        <v>3</v>
      </c>
      <c r="C17" s="228" t="s">
        <v>1</v>
      </c>
      <c r="D17" s="228"/>
      <c r="E17" s="250"/>
      <c r="F17" s="251"/>
      <c r="G17" s="252" t="str">
        <f t="shared" si="1"/>
        <v/>
      </c>
      <c r="H17" s="13" t="b">
        <v>1</v>
      </c>
      <c r="I17" s="253"/>
      <c r="J17" s="2"/>
      <c r="K17" s="2"/>
      <c r="L17" s="2"/>
      <c r="M17" s="2"/>
      <c r="N17" s="2"/>
      <c r="O17" s="2"/>
      <c r="P17" s="2"/>
      <c r="Q17" s="2"/>
      <c r="R17" s="2"/>
      <c r="S17" s="2"/>
      <c r="T17" s="2"/>
      <c r="U17" s="2"/>
      <c r="V17" s="2"/>
      <c r="W17" s="2"/>
    </row>
    <row r="18" ht="15.0" customHeight="1">
      <c r="A18" s="220" t="s">
        <v>193</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28" t="s">
        <v>3</v>
      </c>
      <c r="C19" s="228" t="s">
        <v>1</v>
      </c>
      <c r="D19" s="228"/>
      <c r="E19" s="250"/>
      <c r="F19" s="251"/>
      <c r="G19" s="252" t="str">
        <f t="shared" si="1"/>
        <v/>
      </c>
      <c r="H19" s="228" t="b">
        <v>1</v>
      </c>
      <c r="I19" s="253"/>
      <c r="J19" s="2"/>
      <c r="K19" s="2"/>
      <c r="L19" s="2"/>
      <c r="M19" s="2"/>
      <c r="N19" s="2"/>
      <c r="O19" s="2"/>
      <c r="P19" s="2"/>
      <c r="Q19" s="2"/>
      <c r="R19" s="2"/>
      <c r="S19" s="2"/>
      <c r="T19" s="2"/>
      <c r="U19" s="2"/>
      <c r="V19" s="2"/>
      <c r="W19" s="2"/>
    </row>
    <row r="20" ht="15.0" customHeight="1">
      <c r="A20" s="220"/>
      <c r="B20" s="220"/>
      <c r="C20" s="220"/>
      <c r="D20" s="49"/>
      <c r="E20" s="49"/>
      <c r="F20" s="256"/>
      <c r="G20" s="248" t="str">
        <f t="shared" si="1"/>
        <v/>
      </c>
      <c r="H20" s="222" t="b">
        <v>0</v>
      </c>
      <c r="I20" s="49"/>
      <c r="J20" s="2"/>
      <c r="K20" s="2"/>
      <c r="L20" s="2"/>
      <c r="M20" s="2"/>
      <c r="N20" s="2"/>
      <c r="O20" s="2"/>
      <c r="P20" s="2"/>
      <c r="Q20" s="2"/>
      <c r="R20" s="2"/>
      <c r="S20" s="2"/>
      <c r="T20" s="2"/>
      <c r="U20" s="2"/>
      <c r="V20" s="2"/>
      <c r="W20" s="2"/>
    </row>
    <row r="21" ht="15.0" customHeight="1">
      <c r="A21" s="228"/>
      <c r="B21" s="228"/>
      <c r="C21" s="228"/>
      <c r="D21" s="231"/>
      <c r="E21" s="231"/>
      <c r="F21" s="257"/>
      <c r="G21" s="252" t="str">
        <f t="shared" si="1"/>
        <v/>
      </c>
      <c r="H21" s="230" t="b">
        <v>0</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2"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2"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2"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2"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2"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2"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2"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2"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2"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2"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2"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2"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2"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2"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2"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2"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2"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2"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2"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2"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2"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2"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2"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2"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2"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2"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2"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2"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2"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2"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2"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2"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2"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2"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2"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2"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2"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2"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2"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2"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2"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2"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2"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2"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2"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2"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2"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2"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2"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2"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2"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2"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2"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2"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2"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2"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2"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2"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2"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2"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2"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2"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2"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2"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2"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2"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2"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2"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2"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2"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2"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2"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2"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2"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2"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2"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2"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2"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2"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2"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2"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2"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2"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2"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2"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2"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2"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2"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2"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2"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2"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2"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2"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2"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2"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2"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2"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2"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2"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2"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2"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2"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2"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2"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2"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2"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2"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2"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2"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2"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2"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2"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2"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2"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2"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2"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2"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2"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2"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2"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2"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2"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2"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2"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2"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2"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2"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2"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2"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2"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2"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2"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2"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2"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2"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2"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2"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2"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2"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2"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2"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2"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2"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2"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2"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2"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2"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2"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2"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2"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2"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2"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2"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2"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2"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2"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2"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2"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2"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2"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2"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2"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2"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2"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2"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2"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2"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2"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2"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2"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2"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2"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2"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2"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2"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2"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2"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2"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2"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2"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2"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2"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2"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2"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2"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2"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2"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2"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2"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2"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2"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2"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2"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2"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2"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2"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2"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2"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2"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2"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2"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2"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2"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2"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2"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2"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2"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2"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2"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2"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2"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2"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2"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2"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2"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2"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2"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2"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2"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2"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2"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2"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2"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2"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2"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2"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2"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2"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2"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2"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2"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2"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2"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2"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2"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2"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2"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2"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2"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2"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2"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2"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2"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2"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2"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2"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2"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2"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2"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2"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2"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2"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2"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2"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2"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2"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2"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2"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2"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2"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2"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2"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2"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2"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2"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2"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2"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2"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2"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2"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2"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2"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2"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2"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2"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2"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2"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2"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2"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2"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2"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2"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2"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2"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2"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2"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2"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2"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2"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2"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2"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2"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2"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2"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2"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2"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2"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2"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2"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2"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2"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2"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2"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2"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2"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2"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2"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2"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2"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2"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2"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2"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2"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2"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2"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2"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2"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2"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2"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2"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2"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2"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2"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2"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2"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2"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2"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2"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2"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2"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2"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2"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2"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2"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2"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2"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2"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2"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2"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2"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2"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2"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2"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2"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2"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2"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2"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2"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2"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2"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2"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2"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2"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2"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2"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2"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2"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2"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2"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2"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2"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2"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2"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2"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2"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2"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2"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2"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2"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2"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2"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2"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2"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2"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2"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2"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2"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2"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2"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2"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2"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2"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2"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2"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2"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2"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2"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2"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2"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2"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2"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2"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2"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2"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2"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2"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2"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2"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2"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2"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2"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2"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2"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2"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2"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2"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2"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2"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2"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2"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2"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2"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2"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2"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2"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2"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2"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2"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2"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2"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2"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2"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2"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2"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2"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2"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2"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2"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2"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2"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2"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2"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2"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2"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2"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2"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2"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2"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2"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2"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2"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2"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2"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2"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2"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2"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2"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2"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2"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2"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2"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2"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2"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2"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2"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2"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2"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2"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2"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2"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2"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2"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2"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2"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2"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2"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2"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2"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2"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2"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2"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2"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2"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200</v>
      </c>
      <c r="B1" s="2"/>
      <c r="C1" s="259" t="s">
        <v>201</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202</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203</v>
      </c>
      <c r="D3" s="71"/>
      <c r="E3" s="269" t="s">
        <v>204</v>
      </c>
      <c r="G3" s="71"/>
      <c r="H3" s="270" t="s">
        <v>205</v>
      </c>
      <c r="V3" s="71"/>
      <c r="W3" s="124"/>
      <c r="X3" s="124"/>
      <c r="Y3" s="124"/>
      <c r="Z3" s="124"/>
      <c r="AA3" s="124"/>
      <c r="AB3" s="71"/>
      <c r="AC3" s="71"/>
      <c r="AD3" s="71"/>
      <c r="AE3" s="268" t="s">
        <v>203</v>
      </c>
      <c r="AF3" s="71"/>
      <c r="AG3" s="270" t="s">
        <v>206</v>
      </c>
      <c r="AM3" s="71"/>
      <c r="AN3" s="270" t="s">
        <v>207</v>
      </c>
      <c r="AT3" s="267"/>
      <c r="AU3" s="270" t="s">
        <v>208</v>
      </c>
      <c r="BC3" s="267"/>
    </row>
    <row r="4" ht="18.75" customHeight="1">
      <c r="B4" s="267"/>
      <c r="C4" s="71" t="str">
        <f>AthleteDashboard!A5</f>
        <v>Dylan Cole</v>
      </c>
      <c r="D4" s="71"/>
      <c r="E4" s="271" t="s">
        <v>81</v>
      </c>
      <c r="F4" s="271" t="s">
        <v>87</v>
      </c>
      <c r="G4" s="71"/>
      <c r="H4" s="2"/>
      <c r="I4" s="2"/>
      <c r="J4" s="272" t="s">
        <v>209</v>
      </c>
      <c r="K4" s="272" t="s">
        <v>209</v>
      </c>
      <c r="L4" s="272" t="s">
        <v>209</v>
      </c>
      <c r="M4" s="273" t="s">
        <v>83</v>
      </c>
      <c r="N4" s="273" t="s">
        <v>7</v>
      </c>
      <c r="O4" s="273" t="s">
        <v>210</v>
      </c>
      <c r="P4" s="273" t="s">
        <v>83</v>
      </c>
      <c r="Q4" s="273" t="s">
        <v>7</v>
      </c>
      <c r="R4" s="273" t="s">
        <v>210</v>
      </c>
      <c r="S4" s="273" t="s">
        <v>83</v>
      </c>
      <c r="T4" s="273" t="s">
        <v>7</v>
      </c>
      <c r="U4" s="273" t="s">
        <v>210</v>
      </c>
      <c r="V4" s="71"/>
      <c r="W4" s="270" t="s">
        <v>211</v>
      </c>
      <c r="AB4" s="71"/>
      <c r="AC4" s="71"/>
      <c r="AD4" s="71"/>
      <c r="AE4" s="71" t="str">
        <f>AthleteDashboard!A5</f>
        <v>Dylan Cole</v>
      </c>
      <c r="AF4" s="71"/>
      <c r="AG4" s="274" t="s">
        <v>212</v>
      </c>
      <c r="AH4" s="275" t="s">
        <v>213</v>
      </c>
      <c r="AI4" s="273" t="s">
        <v>214</v>
      </c>
      <c r="AJ4" s="273" t="s">
        <v>215</v>
      </c>
      <c r="AK4" s="273" t="s">
        <v>216</v>
      </c>
      <c r="AL4" s="273" t="s">
        <v>217</v>
      </c>
      <c r="AM4" s="267"/>
      <c r="AN4" s="274" t="s">
        <v>212</v>
      </c>
      <c r="AO4" s="273" t="s">
        <v>218</v>
      </c>
      <c r="AP4" s="273" t="s">
        <v>214</v>
      </c>
      <c r="AQ4" s="273" t="s">
        <v>215</v>
      </c>
      <c r="AR4" s="273" t="s">
        <v>216</v>
      </c>
      <c r="AS4" s="273" t="s">
        <v>217</v>
      </c>
      <c r="AT4" s="267"/>
      <c r="AU4" s="273" t="s">
        <v>219</v>
      </c>
      <c r="AV4" s="275" t="s">
        <v>213</v>
      </c>
      <c r="AW4" s="273" t="s">
        <v>218</v>
      </c>
      <c r="AX4" s="273" t="s">
        <v>220</v>
      </c>
      <c r="AY4" s="273" t="s">
        <v>221</v>
      </c>
      <c r="AZ4" s="273" t="s">
        <v>222</v>
      </c>
      <c r="BA4" s="273" t="s">
        <v>223</v>
      </c>
      <c r="BB4" s="273" t="s">
        <v>224</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225</v>
      </c>
      <c r="I5" s="273" t="s">
        <v>226</v>
      </c>
      <c r="J5" s="272" t="s">
        <v>227</v>
      </c>
      <c r="K5" s="272" t="s">
        <v>228</v>
      </c>
      <c r="L5" s="272" t="s">
        <v>229</v>
      </c>
      <c r="M5" s="273" t="s">
        <v>227</v>
      </c>
      <c r="N5" s="273" t="s">
        <v>227</v>
      </c>
      <c r="O5" s="273" t="s">
        <v>227</v>
      </c>
      <c r="P5" s="273" t="s">
        <v>228</v>
      </c>
      <c r="Q5" s="273" t="s">
        <v>228</v>
      </c>
      <c r="R5" s="273" t="s">
        <v>228</v>
      </c>
      <c r="S5" s="273" t="s">
        <v>229</v>
      </c>
      <c r="T5" s="273" t="s">
        <v>229</v>
      </c>
      <c r="U5" s="273" t="s">
        <v>229</v>
      </c>
      <c r="V5" s="71"/>
      <c r="W5" s="71"/>
      <c r="X5" s="71"/>
      <c r="Y5" s="71"/>
      <c r="Z5" s="71"/>
      <c r="AA5" s="71"/>
      <c r="AB5" s="267"/>
      <c r="AC5" s="267"/>
      <c r="AD5" s="71"/>
      <c r="AE5" s="71"/>
      <c r="AF5" s="71"/>
      <c r="AG5" s="274" t="s">
        <v>230</v>
      </c>
      <c r="AH5" s="277" t="str">
        <f>AthleteDashboard!A45</f>
        <v>BROAD JUMP</v>
      </c>
      <c r="AI5" s="278" t="str">
        <f>$AE$22&amp;": "&amp;TEXT(AI6,"0.00")</f>
        <v>TEAM AVERAGE: 101.22</v>
      </c>
      <c r="AJ5" s="273" t="s">
        <v>42</v>
      </c>
      <c r="AK5" s="273" t="s">
        <v>231</v>
      </c>
      <c r="AL5" s="273" t="s">
        <v>232</v>
      </c>
      <c r="AM5" s="71"/>
      <c r="AN5" s="274" t="s">
        <v>230</v>
      </c>
      <c r="AO5" s="279" t="str">
        <f>AthleteDashboard!H45</f>
        <v>10M SPRINT</v>
      </c>
      <c r="AP5" s="278" t="str">
        <f>$AE$22&amp;": "&amp;TEXT(AP6,"0.00")</f>
        <v>TEAM AVERAGE: 1.65</v>
      </c>
      <c r="AQ5" s="273" t="s">
        <v>42</v>
      </c>
      <c r="AR5" s="273" t="s">
        <v>231</v>
      </c>
      <c r="AS5" s="273" t="s">
        <v>232</v>
      </c>
      <c r="AT5" s="71"/>
      <c r="AU5" s="267"/>
      <c r="AV5" s="267" t="str">
        <f>AthleteDashboard!A45</f>
        <v>BROAD JUMP</v>
      </c>
      <c r="AW5" s="267" t="str">
        <f>AthleteDashboard!H45</f>
        <v>10M SPRINT</v>
      </c>
      <c r="AX5" s="267" t="s">
        <v>233</v>
      </c>
      <c r="AY5" s="267" t="s">
        <v>233</v>
      </c>
      <c r="AZ5" s="267" t="s">
        <v>234</v>
      </c>
      <c r="BA5" s="267" t="s">
        <v>234</v>
      </c>
      <c r="BB5" s="267"/>
      <c r="BC5" s="71"/>
    </row>
    <row r="6" ht="18.75" customHeight="1">
      <c r="A6" s="280" t="s">
        <v>235</v>
      </c>
      <c r="B6" s="71"/>
      <c r="C6" s="268" t="s">
        <v>236</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236</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105</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105</v>
      </c>
      <c r="AM6" s="71"/>
      <c r="AN6" s="265">
        <f>IFERROR(__xludf.DUMMYFUNCTION("SORT(UNIQUE(FILTER(TestingData!$B:$B,TestingData!$B:$B&gt;=$AE$13,TestingData!$B:$B&lt;=$AE$14,TestingData!$A:$A=$AE$4,INDEX(TestingData,,MATCH($AH$5,TestingHeaders,0))&gt;0,(TestingData!$F:$F=$AE$17)+(TestingData!$F:$F=$AE$18)+(TestingData!$F:$F=$AE$19))))"),45886.0)</f>
        <v>45886</v>
      </c>
      <c r="AO6" s="282">
        <f t="array" ref="AO6">IF($AN6="","", AVERAGEIFS(INDEX(TestingData,,MATCH($AO$5,TestingHeaders,0)),TestingData!$A:$A,$AE$4,TestingData!$B:$B,$AN6))</f>
        <v>1.5</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f t="array" ref="AS6">IF($AN6="","", AVERAGEIFS(INDEX(TestingData,,MATCH($AO$5,TestingHeaders,0)),TestingData!$B:$B,"&gt;="&amp;$AE$13,TestingData!$B:$B,"&lt;="&amp;$AE$14,TestingData!$A:$A,$AE$4))</f>
        <v>1.5</v>
      </c>
      <c r="AT6" s="71"/>
      <c r="AU6" s="276">
        <f>IFERROR(__xludf.DUMMYFUNCTION("FILTER({TestingData!$B:$B,INDEX(TestingData,,MATCH(AV5,TestingHeaders,0)),INDEX(TestingData,,MATCH(AW5,TestingHeaders,0))},TestingData!$A:$A=AE4)"),45886.0)</f>
        <v>45886</v>
      </c>
      <c r="AV6" s="71">
        <f>IFERROR(__xludf.DUMMYFUNCTION("""COMPUTED_VALUE"""),105.0)</f>
        <v>105</v>
      </c>
      <c r="AW6" s="71">
        <f>IFERROR(__xludf.DUMMYFUNCTION("""COMPUTED_VALUE"""),1.5)</f>
        <v>1.5</v>
      </c>
      <c r="AX6" s="71">
        <f t="shared" ref="AX6:AY6" si="1">AVERAGE(AV:AV)</f>
        <v>105</v>
      </c>
      <c r="AY6" s="71">
        <f t="shared" si="1"/>
        <v>1.5</v>
      </c>
      <c r="AZ6" s="283">
        <f t="shared" ref="AZ6:AZ200" si="4">IF(AU6=MAXIFS(AU:AU,AV:AV,"&gt;0"),AV6,"")</f>
        <v>105</v>
      </c>
      <c r="BA6" s="283">
        <f t="shared" ref="BA6:BA200" si="5">IF(AU6=MAXIFS(AU:AU,AW:AW,"&gt;0"),AW6,"")</f>
        <v>1.5</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186</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186</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186</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186</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237</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238</v>
      </c>
      <c r="X8" s="285" t="s">
        <v>239</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237</v>
      </c>
      <c r="BC8" s="71"/>
    </row>
    <row r="9" ht="18.75" customHeight="1">
      <c r="B9" s="71"/>
      <c r="C9" s="268" t="s">
        <v>240</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241</v>
      </c>
      <c r="Y9" s="71">
        <f t="array" ref="Y9">AVERAGEIFS(INDEX(TestingData,,MATCH($X$6,TestingHeaders,0)),TestingData!$A:$A,$C$4,TestingData!$I:$I,$C$13)</f>
        <v>74.54830625</v>
      </c>
      <c r="Z9" s="71"/>
      <c r="AA9" s="71"/>
      <c r="AB9" s="71"/>
      <c r="AC9" s="71"/>
      <c r="AD9" s="71"/>
      <c r="AE9" s="268" t="s">
        <v>240</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237</v>
      </c>
      <c r="BC9" s="71"/>
    </row>
    <row r="10" ht="18.75" customHeight="1">
      <c r="A10" s="286" t="s">
        <v>242</v>
      </c>
      <c r="B10" s="71"/>
      <c r="C10" s="71" t="str">
        <f>AthleteDashboard!D3</f>
        <v>U13</v>
      </c>
      <c r="D10" s="71"/>
      <c r="E10" s="71"/>
      <c r="F10" s="71"/>
      <c r="G10" s="71"/>
      <c r="H10" s="71" t="str">
        <f>AthleteDashboard!G10</f>
        <v>10M SPRINT</v>
      </c>
      <c r="I10" s="71">
        <f t="array" ref="I10">IFERROR(AVERAGEIFS(INDEX(TestingData,,MATCH($H10,TestingHeaders,0)),TestingData!$A:$A,$C$4,TestingData!$I:$I,$C$13),"")</f>
        <v>1.5</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1.5</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f t="array" ref="R10">IFERROR(AVERAGEIFS(INDEX(TestingData,,MATCH($H10,TestingHeaders,0)),TestingData!$A:$A,$C$4),"")</f>
        <v>1.5</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1.5</v>
      </c>
      <c r="V10" s="71"/>
      <c r="X10" s="285" t="s">
        <v>243</v>
      </c>
      <c r="Y10" s="71">
        <f>IF(Y8&lt;Y9,Y9-Y8,Y8-Y9)</f>
        <v>11.96250456</v>
      </c>
      <c r="Z10" s="71"/>
      <c r="AA10" s="71"/>
      <c r="AB10" s="71"/>
      <c r="AC10" s="71"/>
      <c r="AD10" s="71"/>
      <c r="AE10" s="71" t="str">
        <f>AthleteDashboard!D3</f>
        <v>U13</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237</v>
      </c>
      <c r="BC10" s="71"/>
    </row>
    <row r="11" ht="18.75" customHeight="1">
      <c r="B11" s="71"/>
      <c r="C11" s="71"/>
      <c r="D11" s="71"/>
      <c r="E11" s="71"/>
      <c r="F11" s="71"/>
      <c r="G11" s="71"/>
      <c r="H11" s="71" t="str">
        <f>AthleteDashboard!G11</f>
        <v>40M SPRINT</v>
      </c>
      <c r="I11" s="71">
        <f t="array" ref="I11">IFERROR(AVERAGEIFS(INDEX(TestingData,,MATCH($H11,TestingHeaders,0)),TestingData!$A:$A,$C$4,TestingData!$I:$I,$C$13),"")</f>
        <v>2.91</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2.91</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f t="array" ref="R11">IFERROR(AVERAGEIFS(INDEX(TestingData,,MATCH($H11,TestingHeaders,0)),TestingData!$A:$A,$C$4),"")</f>
        <v>2.91</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2.91</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237</v>
      </c>
      <c r="BC11" s="71"/>
    </row>
    <row r="12" ht="18.75" customHeight="1">
      <c r="B12" s="71"/>
      <c r="C12" s="268" t="s">
        <v>244</v>
      </c>
      <c r="D12" s="71"/>
      <c r="E12" s="71"/>
      <c r="F12" s="71"/>
      <c r="G12" s="71"/>
      <c r="H12" s="71" t="str">
        <f>AthleteDashboard!G12</f>
        <v>AGILITY TEST</v>
      </c>
      <c r="I12" s="71">
        <f t="array" ref="I12">IFERROR(AVERAGEIFS(INDEX(TestingData,,MATCH($H12,TestingHeaders,0)),TestingData!$A:$A,$C$4,TestingData!$I:$I,$C$13),"")</f>
        <v>3</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3</v>
      </c>
      <c r="P12" s="71">
        <f t="array" ref="P12">IFERROR(AVERAGEIFS(INDEX(TestingData,,MATCH($H12,TestingHeaders,0)),TestingData!$D:$D,$C$7,TestingData!$E:$E,$C$10,TestingData!$I:$I,$C$13),"")</f>
        <v>9.3</v>
      </c>
      <c r="Q12" s="71">
        <f t="array" ref="Q12">IFERROR(AVERAGEIFS(INDEX(TestingData,,MATCH($H12,TestingHeaders,0)),TestingData!$E:$E,$C$10,TestingData!$I:$I,$C$13),"")</f>
        <v>9.125</v>
      </c>
      <c r="R12" s="71">
        <f t="array" ref="R12">IFERROR(AVERAGEIFS(INDEX(TestingData,,MATCH($H12,TestingHeaders,0)),TestingData!$A:$A,$C$4),"")</f>
        <v>3</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3</v>
      </c>
      <c r="V12" s="71"/>
      <c r="W12" s="284" t="s">
        <v>245</v>
      </c>
      <c r="X12" s="285" t="s">
        <v>239</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246</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237</v>
      </c>
      <c r="BC12" s="71"/>
    </row>
    <row r="13" ht="18.75" customHeight="1">
      <c r="B13" s="71"/>
      <c r="C13" s="71" t="str">
        <f>AthleteDashboard!F5</f>
        <v>Summer: 2025</v>
      </c>
      <c r="D13" s="71"/>
      <c r="E13" s="71"/>
      <c r="F13" s="71"/>
      <c r="G13" s="71"/>
      <c r="H13" s="71" t="str">
        <f>AthleteDashboard!G13</f>
        <v>PULL UPS</v>
      </c>
      <c r="I13" s="71">
        <f t="array" ref="I13">IFERROR(AVERAGEIFS(INDEX(TestingData,,MATCH($H13,TestingHeaders,0)),TestingData!$A:$A,$C$4,TestingData!$I:$I,$C$13),"")</f>
        <v>22</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22</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f t="array" ref="R13">IFERROR(AVERAGEIFS(INDEX(TestingData,,MATCH($H13,TestingHeaders,0)),TestingData!$A:$A,$C$4),"")</f>
        <v>22</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22</v>
      </c>
      <c r="V13" s="71"/>
      <c r="X13" s="285" t="s">
        <v>247</v>
      </c>
      <c r="Y13" s="71">
        <f t="array" ref="Y13">AVERAGEIFS(INDEX(TestingData,,MATCH($X$6,TestingHeaders,0)),TestingData!$D:$D,$C$7,TestingData!$E:$E,$C$10,TestingData!$I:$I,$C$13)</f>
        <v>59.52689432</v>
      </c>
      <c r="Z13" s="71"/>
      <c r="AA13" s="71"/>
      <c r="AB13" s="71"/>
      <c r="AC13" s="71"/>
      <c r="AD13" s="285" t="s">
        <v>248</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237</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2.096774194</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2.096774194</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f t="array" ref="R14">IFERROR(AVERAGEIFS(INDEX(TestingData,,MATCH($H14,TestingHeaders,0)),TestingData!$A:$A,$C$4),"")</f>
        <v>2.096774194</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2.096774194</v>
      </c>
      <c r="V14" s="71"/>
      <c r="X14" s="285" t="s">
        <v>243</v>
      </c>
      <c r="Y14" s="71">
        <f>IF(Y12&lt;Y13,Y13-Y12,Y12-Y13)</f>
        <v>15.056451</v>
      </c>
      <c r="Z14" s="71"/>
      <c r="AA14" s="71"/>
      <c r="AB14" s="71"/>
      <c r="AC14" s="71"/>
      <c r="AD14" s="285" t="s">
        <v>249</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237</v>
      </c>
      <c r="BC14" s="71"/>
    </row>
    <row r="15" ht="18.75" customHeight="1">
      <c r="A15" s="288"/>
      <c r="B15" s="71"/>
      <c r="C15" s="268" t="s">
        <v>250</v>
      </c>
      <c r="D15" s="71"/>
      <c r="E15" s="71"/>
      <c r="F15" s="71"/>
      <c r="G15" s="71"/>
      <c r="H15" s="71" t="str">
        <f>AthleteDashboard!G15</f>
        <v>BROAD JUMP</v>
      </c>
      <c r="I15" s="71">
        <f t="array" ref="I15">IFERROR(AVERAGEIFS(INDEX(TestingData,,MATCH($H15,TestingHeaders,0)),TestingData!$A:$A,$C$4,TestingData!$I:$I,$C$13),"")</f>
        <v>105</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105</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105</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105</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237</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251</v>
      </c>
      <c r="X16" s="285" t="s">
        <v>241</v>
      </c>
      <c r="Y16" s="71">
        <f t="array" ref="Y16">AVERAGEIFS(INDEX(TestingData,,MATCH($X$6,TestingHeaders,0)),TestingData!$A:$A,$C$4,TestingData!$I:$I,$C$13)</f>
        <v>74.54830625</v>
      </c>
      <c r="Z16" s="71"/>
      <c r="AA16" s="71"/>
      <c r="AB16" s="71"/>
      <c r="AC16" s="71"/>
      <c r="AD16" s="71"/>
      <c r="AE16" s="268" t="s">
        <v>252</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237</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239</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253</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237</v>
      </c>
      <c r="BC17" s="71"/>
    </row>
    <row r="18" ht="18.75" customHeight="1">
      <c r="A18" s="288"/>
      <c r="B18" s="71"/>
      <c r="C18" s="268" t="s">
        <v>254</v>
      </c>
      <c r="D18" s="71"/>
      <c r="E18" s="71"/>
      <c r="F18" s="71"/>
      <c r="G18" s="71"/>
      <c r="H18" s="270" t="s">
        <v>255</v>
      </c>
      <c r="V18" s="71"/>
      <c r="X18" s="285" t="s">
        <v>243</v>
      </c>
      <c r="Y18" s="71">
        <f>IF(Y16&lt;Y17,Y17-Y16,Y17-Y16)</f>
        <v>0.03503906901</v>
      </c>
      <c r="Z18" s="267"/>
      <c r="AA18" s="267"/>
      <c r="AB18" s="71"/>
      <c r="AC18" s="71"/>
      <c r="AD18" s="285" t="s">
        <v>256</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237</v>
      </c>
      <c r="BC18" s="71"/>
    </row>
    <row r="19" ht="18.75" customHeight="1">
      <c r="A19" s="288"/>
      <c r="B19" s="71"/>
      <c r="C19" s="71" t="str">
        <f t="array" ref="C19">INDEX(Profiles!$C:$C,MATCH(C4,Profiles!$A:$A,0))</f>
        <v>U13</v>
      </c>
      <c r="D19" s="71"/>
      <c r="E19" s="71"/>
      <c r="F19" s="71"/>
      <c r="G19" s="71"/>
      <c r="H19" s="2"/>
      <c r="I19" s="2"/>
      <c r="J19" s="272" t="s">
        <v>209</v>
      </c>
      <c r="K19" s="272" t="s">
        <v>209</v>
      </c>
      <c r="L19" s="272" t="s">
        <v>209</v>
      </c>
      <c r="M19" s="273" t="s">
        <v>83</v>
      </c>
      <c r="N19" s="273" t="s">
        <v>7</v>
      </c>
      <c r="O19" s="273" t="s">
        <v>210</v>
      </c>
      <c r="P19" s="273" t="s">
        <v>83</v>
      </c>
      <c r="Q19" s="273" t="s">
        <v>7</v>
      </c>
      <c r="R19" s="273" t="s">
        <v>210</v>
      </c>
      <c r="S19" s="273" t="s">
        <v>83</v>
      </c>
      <c r="T19" s="273" t="s">
        <v>7</v>
      </c>
      <c r="U19" s="273" t="s">
        <v>210</v>
      </c>
      <c r="V19" s="71"/>
      <c r="W19" s="71"/>
      <c r="X19" s="71"/>
      <c r="Y19" s="71"/>
      <c r="Z19" s="71"/>
      <c r="AA19" s="71"/>
      <c r="AB19" s="71"/>
      <c r="AC19" s="71"/>
      <c r="AD19" s="289" t="s">
        <v>257</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237</v>
      </c>
      <c r="BC19" s="71"/>
    </row>
    <row r="20" ht="18.75" customHeight="1">
      <c r="A20" s="288"/>
      <c r="B20" s="71"/>
      <c r="C20" s="71"/>
      <c r="D20" s="71"/>
      <c r="E20" s="71"/>
      <c r="F20" s="71"/>
      <c r="G20" s="71"/>
      <c r="H20" s="271" t="s">
        <v>225</v>
      </c>
      <c r="I20" s="271" t="s">
        <v>226</v>
      </c>
      <c r="J20" s="272" t="s">
        <v>227</v>
      </c>
      <c r="K20" s="272" t="s">
        <v>228</v>
      </c>
      <c r="L20" s="272" t="s">
        <v>229</v>
      </c>
      <c r="M20" s="273" t="s">
        <v>227</v>
      </c>
      <c r="N20" s="273" t="s">
        <v>227</v>
      </c>
      <c r="O20" s="273" t="s">
        <v>227</v>
      </c>
      <c r="P20" s="273" t="s">
        <v>228</v>
      </c>
      <c r="Q20" s="273" t="s">
        <v>228</v>
      </c>
      <c r="R20" s="273" t="s">
        <v>228</v>
      </c>
      <c r="S20" s="273" t="s">
        <v>229</v>
      </c>
      <c r="T20" s="273" t="s">
        <v>229</v>
      </c>
      <c r="U20" s="273" t="s">
        <v>229</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237</v>
      </c>
      <c r="BC20" s="71"/>
    </row>
    <row r="21" ht="18.75" customHeight="1">
      <c r="A21" s="288"/>
      <c r="B21" s="71"/>
      <c r="C21" s="268" t="s">
        <v>258</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250</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237</v>
      </c>
      <c r="BC21" s="71"/>
    </row>
    <row r="22" ht="18.75" customHeight="1">
      <c r="A22" s="288"/>
      <c r="B22" s="2"/>
      <c r="C22" s="2" t="str">
        <f t="array" ref="C22">INDEX(Profiles!$B:$B,MATCH(C4,Profiles!$A:$A,0))</f>
        <v>Defender</v>
      </c>
      <c r="D22" s="2"/>
      <c r="E22" s="2"/>
      <c r="F22" s="2"/>
      <c r="G22" s="71"/>
      <c r="H22" s="290" t="str">
        <f>AthleteDashboard!F29</f>
        <v>POWER SCORE</v>
      </c>
      <c r="I22" s="291">
        <f t="array" ref="I22">IFERROR(AVERAGEIFS(INDEX(TestingData,,MATCH($H22,TestingHeaders,0)),TestingData!$A:$A,$C$4,TestingData!$I:$I,$C$13),0)</f>
        <v>67.24137931</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67.24137931</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67.24137931</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67.24137931</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237</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237</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237</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237</v>
      </c>
      <c r="BC25" s="2"/>
    </row>
    <row r="26">
      <c r="A26" s="288"/>
      <c r="B26" s="2"/>
      <c r="C26" s="2"/>
      <c r="D26" s="2"/>
      <c r="E26" s="2"/>
      <c r="F26" s="2"/>
      <c r="G26" s="2"/>
      <c r="H26" s="292" t="str">
        <f>AthleteDashboard!J29</f>
        <v>SPEED SCORE</v>
      </c>
      <c r="I26" s="291">
        <f t="array" ref="I26">IFERROR(AVERAGEIFS(INDEX(TestingData,,MATCH($H26,TestingHeaders,0)),TestingData!$A:$A,$C$4,TestingData!$I:$I,$C$13),0)</f>
        <v>92.23484848</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92.23484848</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92.23484848</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92.23484848</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237</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237</v>
      </c>
      <c r="BC27" s="2"/>
    </row>
    <row r="28">
      <c r="A28" s="288"/>
      <c r="B28" s="2"/>
      <c r="C28" s="2"/>
      <c r="D28" s="2"/>
      <c r="E28" s="2"/>
      <c r="F28" s="2"/>
      <c r="G28" s="2"/>
      <c r="H28" s="292" t="str">
        <f>AthleteDashboard!L29</f>
        <v>STRENGTH SCORE</v>
      </c>
      <c r="I28" s="291">
        <f t="array" ref="I28">IFERROR(AVERAGEIFS(INDEX(TestingData,,MATCH($H28,TestingHeaders,0)),TestingData!$A:$A,$C$4,TestingData!$I:$I,$C$13),0)</f>
        <v>51.67195636</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51.67195636</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51.67195636</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51.67195636</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237</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237</v>
      </c>
      <c r="BC29" s="2"/>
    </row>
    <row r="30">
      <c r="A30" s="288"/>
      <c r="B30" s="2"/>
      <c r="C30" s="2"/>
      <c r="D30" s="2"/>
      <c r="E30" s="2"/>
      <c r="F30" s="2"/>
      <c r="G30" s="2"/>
      <c r="H30" s="297" t="s">
        <v>259</v>
      </c>
      <c r="O30" s="2"/>
      <c r="P30" s="298" t="s">
        <v>260</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237</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237</v>
      </c>
      <c r="BC31" s="2"/>
    </row>
    <row r="32">
      <c r="A32" s="288"/>
      <c r="B32" s="2"/>
      <c r="C32" s="2"/>
      <c r="D32" s="2"/>
      <c r="E32" s="2"/>
      <c r="F32" s="2"/>
      <c r="G32" s="2"/>
      <c r="H32" s="301" t="s">
        <v>7</v>
      </c>
      <c r="I32" s="57" t="str">
        <f t="array" ref="I32">INDEX(TestingData!$E:$E,MATCH(1,(TestingData!$A:$A=C4)*(TestingData!$I:$I=C13),0))</f>
        <v>U13</v>
      </c>
      <c r="J32" s="2"/>
      <c r="K32" s="2"/>
      <c r="L32" s="2"/>
      <c r="M32" s="2"/>
      <c r="N32" s="2"/>
      <c r="O32" s="2"/>
      <c r="P32" s="301" t="s">
        <v>261</v>
      </c>
      <c r="Q32" s="301" t="s">
        <v>262</v>
      </c>
      <c r="R32" s="301" t="s">
        <v>263</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237</v>
      </c>
      <c r="BC32" s="2"/>
    </row>
    <row r="33">
      <c r="A33" s="288"/>
      <c r="B33" s="2"/>
      <c r="C33" s="2"/>
      <c r="D33" s="2"/>
      <c r="E33" s="2"/>
      <c r="F33" s="2"/>
      <c r="G33" s="2"/>
      <c r="H33" s="301" t="s">
        <v>264</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21.86666667</v>
      </c>
      <c r="R33" s="57">
        <f t="array" ref="R33">IFERROR(IF(INDEX(Settings!$H:$H,MATCH($P33,Settings!$G:$G,0))=TRUE,1-PERCENTRANK(INDEX(TestingData,,MATCH(P33,TestingHeaders,0)),Q33),
PERCENTRANK(INDEX(TestingData,,MATCH(P33,TestingHeaders,0)),Q33)),"")</f>
        <v>0.941</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237</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105</v>
      </c>
      <c r="R34" s="57">
        <f t="array" ref="R34">IFERROR(IF(INDEX(Settings!$H:$H,MATCH($P34,Settings!$G:$G,0))=TRUE,1-PERCENTRANK(INDEX(TestingData,,MATCH(P34,TestingHeaders,0)),Q34),
PERCENTRANK(INDEX(TestingData,,MATCH(P34,TestingHeaders,0)),Q34)),"")</f>
        <v>0.588</v>
      </c>
      <c r="S34" s="2"/>
      <c r="T34" s="57" t="s">
        <v>265</v>
      </c>
      <c r="U34" s="2">
        <f>IFERROR(__xludf.DUMMYFUNCTION("IFERROR(LARGE(FILTER($R$33:$R200,$R$33:$R200&gt;0.5),1),"""")"),1.0)</f>
        <v>1</v>
      </c>
      <c r="V34" s="2" t="str">
        <f t="array" ref="V34">IFERROR(INDEX($P$33:$P200,MATCH($U34,$R$33:$R200,0)),"")</f>
        <v>AGILITY TEST</v>
      </c>
      <c r="W34" s="2" t="str">
        <f t="array" ref="W34">$C$4&amp;"'s biggest strength is "&amp;$V$34&amp;". "&amp;$C$4&amp;" is in the "&amp;TEXT(U34*100,"0")&amp;INDEX(Settings!$R:$R,MATCH(ROUND($U34,2),Settings!$Q:$Q,0))&amp;" percentile."</f>
        <v>Dylan Cole's biggest strength is AGILITY TEST. Dylan Cole is in the 100th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237</v>
      </c>
      <c r="BC34" s="2"/>
    </row>
    <row r="35">
      <c r="A35" s="288"/>
      <c r="B35" s="2"/>
      <c r="C35" s="2"/>
      <c r="D35" s="2"/>
      <c r="E35" s="2"/>
      <c r="F35" s="2"/>
      <c r="G35" s="2"/>
      <c r="H35" s="301" t="s">
        <v>266</v>
      </c>
      <c r="I35" s="2"/>
      <c r="J35" s="2"/>
      <c r="K35" s="301" t="s">
        <v>267</v>
      </c>
      <c r="L35" s="2"/>
      <c r="M35" s="301" t="s">
        <v>268</v>
      </c>
      <c r="N35" s="301" t="s">
        <v>269</v>
      </c>
      <c r="O35" s="2"/>
      <c r="P35" s="2" t="str">
        <f>IFERROR(__xludf.DUMMYFUNCTION("""COMPUTED_VALUE"""),"10M SPRINT")</f>
        <v>10M SPRINT</v>
      </c>
      <c r="Q35" s="2">
        <f t="array" ref="Q35">IFERROR(AVERAGEIFS(INDEX(TestingData,,MATCH($P35,TestingHeaders,0)),TestingData!$A:$A,$C$4,TestingData!$I:$I,$C$13),"")</f>
        <v>1.5</v>
      </c>
      <c r="R35" s="57">
        <f t="array" ref="R35">IFERROR(IF(INDEX(Settings!$H:$H,MATCH($P35,Settings!$G:$G,0))=TRUE,1-PERCENTRANK(INDEX(TestingData,,MATCH(P35,TestingHeaders,0)),Q35),
PERCENTRANK(INDEX(TestingData,,MATCH(P35,TestingHeaders,0)),Q35)),"")</f>
        <v>0.818</v>
      </c>
      <c r="S35" s="2"/>
      <c r="T35" s="57" t="s">
        <v>270</v>
      </c>
      <c r="U35" s="2">
        <f>IFERROR(__xludf.DUMMYFUNCTION("IFERROR(LARGE(FILTER($R$33:$R200,$R$33:$R200&gt;0.5),2),"""")"),0.941)</f>
        <v>0.941</v>
      </c>
      <c r="V35" s="2" t="str">
        <f>IFERROR(__xludf.DUMMYFUNCTION("IFERROR(INDEX(FILTER($P$33:$P200,$P$33:$P200&lt;&gt;V34),MATCH($U35,FILTER($R$33:$R200,$P$33:$P200&lt;&gt;V34,$R$33:$R200&lt;&gt;""""),0)),"""")"),"MED BALL THROW AVG")</f>
        <v>MED BALL THROW AVG</v>
      </c>
      <c r="W35" s="2" t="str">
        <f t="array" ref="W35">IFERROR(" Another strength for "&amp;$C$4&amp;" is "&amp;$V$35&amp;"; they are in the "&amp;TEXT(U35*100,"0")&amp;INDEX(Settings!$R:$R,MATCH(ROUND($U35,2),Settings!$Q:$Q,0))&amp;" percentile.",C4&amp;" has no other strengths for the event selected")</f>
        <v> Another strength for Dylan Cole is MED BALL THROW AVG; they are in the 94th percentile.</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237</v>
      </c>
      <c r="BC35" s="2"/>
    </row>
    <row r="36">
      <c r="A36" s="288"/>
      <c r="B36" s="2"/>
      <c r="C36" s="2"/>
      <c r="D36" s="2"/>
      <c r="E36" s="2"/>
      <c r="F36" s="2"/>
      <c r="G36" s="2"/>
      <c r="H36" s="2" t="str">
        <f>IFERROR(__xludf.DUMMYFUNCTION("UNIQUE(FILTER(TestingData!A3:A200,TestingData!E3:E200=I32,TestingData!I3:I200=C13))"),"Ben Santos")</f>
        <v>Ben Santos</v>
      </c>
      <c r="I36" s="2">
        <f t="array" ref="I36">IFERROR(AVERAGEIFS(INDEX(TestingData,,MATCH($I$33,TestingHeaders,0)),TestingData!$A:$A,$H36,TestingData!$I:$I,$C$13),"")</f>
        <v>72.68391331</v>
      </c>
      <c r="J36" s="2"/>
      <c r="K36" s="2" t="str">
        <f>IFERROR(__xludf.DUMMYFUNCTION("SORT(FILTER(H36:I200,H36:H200&lt;&gt;""""),2,FALSE)"),"Nichollas Teixeira")</f>
        <v>Nichollas Teixeira</v>
      </c>
      <c r="L36" s="302">
        <f>IFERROR(__xludf.DUMMYFUNCTION("""COMPUTED_VALUE"""),86.51081081081081)</f>
        <v>86.51081081</v>
      </c>
      <c r="M36" s="302">
        <f t="shared" ref="M36:M100" si="9">IFERROR(IF(K36=$C$4,"",L36),"")</f>
        <v>86.51081081</v>
      </c>
      <c r="N36" s="302" t="str">
        <f t="shared" ref="N36:N100" si="10">IFERROR(IF(K36=$C$4,L36,""),"")</f>
        <v/>
      </c>
      <c r="O36" s="2"/>
      <c r="P36" s="2" t="str">
        <f>IFERROR(__xludf.DUMMYFUNCTION("""COMPUTED_VALUE"""),"40M SPRINT")</f>
        <v>40M SPRINT</v>
      </c>
      <c r="Q36" s="2">
        <f t="array" ref="Q36">IFERROR(AVERAGEIFS(INDEX(TestingData,,MATCH($P36,TestingHeaders,0)),TestingData!$A:$A,$C$4,TestingData!$I:$I,$C$13),"")</f>
        <v>2.91</v>
      </c>
      <c r="R36" s="57">
        <f t="array" ref="R36">IFERROR(IF(INDEX(Settings!$H:$H,MATCH($P36,Settings!$G:$G,0))=TRUE,1-PERCENTRANK(INDEX(TestingData,,MATCH(P36,TestingHeaders,0)),Q36),
PERCENTRANK(INDEX(TestingData,,MATCH(P36,TestingHeaders,0)),Q36)),"")</f>
        <v>0.818</v>
      </c>
      <c r="S36" s="2"/>
      <c r="T36" s="2"/>
      <c r="U36" s="2"/>
      <c r="V36" s="2"/>
      <c r="W36" s="2" t="str">
        <f>CONCATENATE(W34,W35)</f>
        <v>Dylan Cole's biggest strength is AGILITY TEST. Dylan Cole is in the 100th percentile. Another strength for Dylan Cole is MED BALL THROW AVG; they are in the 94th percentile.</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237</v>
      </c>
      <c r="BC36" s="2"/>
    </row>
    <row r="37">
      <c r="A37" s="288"/>
      <c r="B37" s="2"/>
      <c r="C37" s="2"/>
      <c r="D37" s="2"/>
      <c r="E37" s="2"/>
      <c r="F37" s="2"/>
      <c r="G37" s="2"/>
      <c r="H37" s="2" t="str">
        <f>IFERROR(__xludf.DUMMYFUNCTION("""COMPUTED_VALUE"""),"Elias Eslava")</f>
        <v>Elias Eslava</v>
      </c>
      <c r="I37" s="2">
        <f t="array" ref="I37">IFERROR(AVERAGEIFS(INDEX(TestingData,,MATCH($I$33,TestingHeaders,0)),TestingData!$A:$A,$H37,TestingData!$I:$I,$C$13),"")</f>
        <v>39.58127455</v>
      </c>
      <c r="J37" s="2"/>
      <c r="K37" s="2" t="str">
        <f>IFERROR(__xludf.DUMMYFUNCTION("""COMPUTED_VALUE"""),"Brecken Tibbs")</f>
        <v>Brecken Tibbs</v>
      </c>
      <c r="L37" s="302">
        <f>IFERROR(__xludf.DUMMYFUNCTION("""COMPUTED_VALUE"""),74.58334531649938)</f>
        <v>74.58334532</v>
      </c>
      <c r="M37" s="302">
        <f t="shared" si="9"/>
        <v>74.58334532</v>
      </c>
      <c r="N37" s="302" t="str">
        <f t="shared" si="10"/>
        <v/>
      </c>
      <c r="O37" s="2"/>
      <c r="P37" s="2" t="str">
        <f>IFERROR(__xludf.DUMMYFUNCTION("""COMPUTED_VALUE"""),"AGILITY TEST")</f>
        <v>AGILITY TEST</v>
      </c>
      <c r="Q37" s="2">
        <f t="array" ref="Q37">IFERROR(AVERAGEIFS(INDEX(TestingData,,MATCH($P37,TestingHeaders,0)),TestingData!$A:$A,$C$4,TestingData!$I:$I,$C$13),"")</f>
        <v>3</v>
      </c>
      <c r="R37" s="57">
        <f t="array" ref="R37">IFERROR(IF(INDEX(Settings!$H:$H,MATCH($P37,Settings!$G:$G,0))=TRUE,1-PERCENTRANK(INDEX(TestingData,,MATCH(P37,TestingHeaders,0)),Q37),
PERCENTRANK(INDEX(TestingData,,MATCH(P37,TestingHeaders,0)),Q37)),"")</f>
        <v>1</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237</v>
      </c>
      <c r="BC37" s="2"/>
    </row>
    <row r="38">
      <c r="A38" s="288"/>
      <c r="B38" s="2"/>
      <c r="C38" s="2"/>
      <c r="D38" s="2"/>
      <c r="E38" s="2"/>
      <c r="F38" s="2"/>
      <c r="G38" s="2"/>
      <c r="H38" s="2" t="str">
        <f>IFERROR(__xludf.DUMMYFUNCTION("""COMPUTED_VALUE"""),"Antonio Blanco")</f>
        <v>Antonio Blanco</v>
      </c>
      <c r="I38" s="2">
        <f t="array" ref="I38">IFERROR(AVERAGEIFS(INDEX(TestingData,,MATCH($I$33,TestingHeaders,0)),TestingData!$A:$A,$H38,TestingData!$I:$I,$C$13),"")</f>
        <v>70.67296692</v>
      </c>
      <c r="J38" s="2"/>
      <c r="K38" s="2" t="str">
        <f>IFERROR(__xludf.DUMMYFUNCTION("""COMPUTED_VALUE"""),"Xaiver Winters")</f>
        <v>Xaiver Winters</v>
      </c>
      <c r="L38" s="302">
        <f>IFERROR(__xludf.DUMMYFUNCTION("""COMPUTED_VALUE"""),74.58334531649938)</f>
        <v>74.58334532</v>
      </c>
      <c r="M38" s="302">
        <f t="shared" si="9"/>
        <v>74.58334532</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271</v>
      </c>
      <c r="U38" s="2" t="str">
        <f>IFERROR(__xludf.DUMMYFUNCTION("IFERROR(SMALL(FILTER($R$33:$R200,$R$33:$R200&lt;=0.5),1),"""")"),"")</f>
        <v/>
      </c>
      <c r="V38" s="2" t="str">
        <f t="array" ref="V38">IFERROR(INDEX($P$33:$P200,MATCH($U38,$R$33:$R200,0)),"")</f>
        <v>VO2MAX</v>
      </c>
      <c r="W38" s="2" t="str">
        <f t="array" ref="W38">IF(U38=0,C$4&amp;"'s biggest weakness is "&amp;$V$38&amp;". "&amp;$C$4&amp;" has the worst "&amp;V38&amp;" on the team.",
 C$4&amp;"'s biggest weakness is "&amp;$V$38&amp;". "&amp;$C$4&amp;" is in the "&amp;TEXT(U38*100,"0")&amp;INDEX(Settings!$R:$R,MATCH(ROUND($U38,2),Settings!$Q:$Q,0))&amp;" percentile.")</f>
        <v>#N/A</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237</v>
      </c>
      <c r="BC38" s="2"/>
    </row>
    <row r="39">
      <c r="A39" s="288"/>
      <c r="B39" s="2"/>
      <c r="C39" s="2"/>
      <c r="D39" s="2"/>
      <c r="E39" s="2"/>
      <c r="F39" s="2"/>
      <c r="G39" s="2"/>
      <c r="H39" s="2" t="str">
        <f>IFERROR(__xludf.DUMMYFUNCTION("""COMPUTED_VALUE"""),"Dylan Cole")</f>
        <v>Dylan Cole</v>
      </c>
      <c r="I39" s="2">
        <f t="array" ref="I39">IFERROR(AVERAGEIFS(INDEX(TestingData,,MATCH($I$33,TestingHeaders,0)),TestingData!$A:$A,$H39,TestingData!$I:$I,$C$13),"")</f>
        <v>74.54830625</v>
      </c>
      <c r="J39" s="2"/>
      <c r="K39" s="2" t="str">
        <f>IFERROR(__xludf.DUMMYFUNCTION("""COMPUTED_VALUE"""),"Dylan Cole")</f>
        <v>Dylan Cole</v>
      </c>
      <c r="L39" s="302">
        <f>IFERROR(__xludf.DUMMYFUNCTION("""COMPUTED_VALUE"""),74.54830624749161)</f>
        <v>74.54830625</v>
      </c>
      <c r="M39" s="302" t="str">
        <f t="shared" si="9"/>
        <v/>
      </c>
      <c r="N39" s="302">
        <f t="shared" si="10"/>
        <v>74.54830625</v>
      </c>
      <c r="O39" s="2"/>
      <c r="P39" s="296" t="str">
        <f>IFERROR(__xludf.DUMMYFUNCTION("""COMPUTED_VALUE"""),"TBDL REL. STR")</f>
        <v>TBDL REL. STR</v>
      </c>
      <c r="Q39" s="2">
        <f t="array" ref="Q39">IFERROR(AVERAGEIFS(INDEX(TestingData,,MATCH($P39,TestingHeaders,0)),TestingData!$A:$A,$C$4,TestingData!$I:$I,$C$13),"")</f>
        <v>2.096774194</v>
      </c>
      <c r="R39" s="57">
        <f t="array" ref="R39">IFERROR(IF(INDEX(Settings!$H:$H,MATCH($P39,Settings!$G:$G,0))=TRUE,1-PERCENTRANK(INDEX(TestingData,,MATCH(P39,TestingHeaders,0)),Q39),
PERCENTRANK(INDEX(TestingData,,MATCH(P39,TestingHeaders,0)),Q39)),"")</f>
        <v>0.857</v>
      </c>
      <c r="S39" s="2"/>
      <c r="T39" s="57" t="s">
        <v>272</v>
      </c>
      <c r="U39" s="2" t="str">
        <f>IFERROR(__xludf.DUMMYFUNCTION("IFERROR(SMALL(FILTER($R$33:$R200,$R$33:$R200&lt;=0.5),2),"""")"),"")</f>
        <v/>
      </c>
      <c r="V39" s="2" t="str">
        <f>IFERROR(__xludf.DUMMYFUNCTION("IFERROR(INDEX(FILTER($P$33:$P200,$P$33:$P200&lt;&gt;V38),MATCH($U39,FILTER($R$33:$R200,$P$33:$P200&lt;&gt;V38,$R$33:$R200&lt;&gt;""""),0)),"""")"),"")</f>
        <v/>
      </c>
      <c r="W39" s="2" t="str">
        <f t="array" ref="W39">IFERROR(" Another weakness for "&amp;$C$4&amp;" is "&amp;$V$39&amp;"; they are in the "&amp;TEXT(U39*100,"0")&amp;INDEX(Settings!$R:$R,MATCH(ROUND($U39,2),Settings!$Q:$Q,0))&amp;" percentile."," "&amp;C4&amp;" has no other weaknesses for the event selected")</f>
        <v> Dylan Cole has no other weaknesses for the event selected</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237</v>
      </c>
      <c r="BC39" s="2"/>
    </row>
    <row r="40">
      <c r="A40" s="288"/>
      <c r="B40" s="2"/>
      <c r="C40" s="2"/>
      <c r="D40" s="2"/>
      <c r="E40" s="2"/>
      <c r="F40" s="2"/>
      <c r="G40" s="2"/>
      <c r="H40" s="2" t="str">
        <f>IFERROR(__xludf.DUMMYFUNCTION("""COMPUTED_VALUE"""),"Alexander Collins")</f>
        <v>Alexander Collins</v>
      </c>
      <c r="I40" s="2">
        <f t="array" ref="I40">IFERROR(AVERAGEIFS(INDEX(TestingData,,MATCH($I$33,TestingHeaders,0)),TestingData!$A:$A,$H40,TestingData!$I:$I,$C$13),"")</f>
        <v>72.68391331</v>
      </c>
      <c r="J40" s="2"/>
      <c r="K40" s="2" t="str">
        <f>IFERROR(__xludf.DUMMYFUNCTION("""COMPUTED_VALUE"""),"Hudson Kelly")</f>
        <v>Hudson Kelly</v>
      </c>
      <c r="L40" s="302">
        <f>IFERROR(__xludf.DUMMYFUNCTION("""COMPUTED_VALUE"""),72.9483466983467)</f>
        <v>72.9483467</v>
      </c>
      <c r="M40" s="302">
        <f t="shared" si="9"/>
        <v>72.9483467</v>
      </c>
      <c r="N40" s="302" t="str">
        <f t="shared" si="10"/>
        <v/>
      </c>
      <c r="O40" s="2"/>
      <c r="P40" s="296" t="str">
        <f>IFERROR(__xludf.DUMMYFUNCTION("""COMPUTED_VALUE"""),"BENCH REL. STR")</f>
        <v>BENCH REL. STR</v>
      </c>
      <c r="Q40" s="2" t="str">
        <f t="array" ref="Q40">IFERROR(AVERAGEIFS(INDEX(TestingData,,MATCH($P40,TestingHeaders,0)),TestingData!$A:$A,$C$4,TestingData!$I:$I,$C$13),"")</f>
        <v/>
      </c>
      <c r="R40" s="57" t="str">
        <f t="array" ref="R40">IFERROR(IF(INDEX(Settings!$H:$H,MATCH($P40,Settings!$G:$G,0))=TRUE,1-PERCENTRANK(INDEX(TestingData,,MATCH(P40,TestingHeaders,0)),Q40),
PERCENTRANK(INDEX(TestingData,,MATCH(P40,TestingHeaders,0)),Q40)),"")</f>
        <v/>
      </c>
      <c r="S40" s="2"/>
      <c r="T40" s="2"/>
      <c r="U40" s="2"/>
      <c r="V40" s="2"/>
      <c r="W40" s="2" t="str">
        <f>CONCATENATE(W38,W39)</f>
        <v>#N/A</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237</v>
      </c>
      <c r="BC40" s="2"/>
    </row>
    <row r="41">
      <c r="A41" s="288"/>
      <c r="B41" s="2"/>
      <c r="C41" s="2"/>
      <c r="D41" s="2"/>
      <c r="E41" s="2"/>
      <c r="F41" s="2"/>
      <c r="G41" s="2"/>
      <c r="H41" s="2" t="str">
        <f>IFERROR(__xludf.DUMMYFUNCTION("""COMPUTED_VALUE"""),"Hudson Kelly")</f>
        <v>Hudson Kelly</v>
      </c>
      <c r="I41" s="2">
        <f t="array" ref="I41">IFERROR(AVERAGEIFS(INDEX(TestingData,,MATCH($I$33,TestingHeaders,0)),TestingData!$A:$A,$H41,TestingData!$I:$I,$C$13),"")</f>
        <v>72.9483467</v>
      </c>
      <c r="J41" s="2"/>
      <c r="K41" s="2" t="str">
        <f>IFERROR(__xludf.DUMMYFUNCTION("""COMPUTED_VALUE"""),"Ben Santos")</f>
        <v>Ben Santos</v>
      </c>
      <c r="L41" s="302">
        <f>IFERROR(__xludf.DUMMYFUNCTION("""COMPUTED_VALUE"""),72.6839133089133)</f>
        <v>72.68391331</v>
      </c>
      <c r="M41" s="302">
        <f t="shared" si="9"/>
        <v>72.68391331</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237</v>
      </c>
      <c r="BC41" s="2"/>
    </row>
    <row r="42">
      <c r="A42" s="288"/>
      <c r="B42" s="2"/>
      <c r="C42" s="2"/>
      <c r="D42" s="2"/>
      <c r="E42" s="2"/>
      <c r="F42" s="2"/>
      <c r="G42" s="2"/>
      <c r="H42" s="2" t="str">
        <f>IFERROR(__xludf.DUMMYFUNCTION("""COMPUTED_VALUE"""),"Jack McElliott")</f>
        <v>Jack McElliott</v>
      </c>
      <c r="I42" s="2">
        <f t="array" ref="I42">IFERROR(AVERAGEIFS(INDEX(TestingData,,MATCH($I$33,TestingHeaders,0)),TestingData!$A:$A,$H42,TestingData!$I:$I,$C$13),"")</f>
        <v>52.68591639</v>
      </c>
      <c r="J42" s="2"/>
      <c r="K42" s="2" t="str">
        <f>IFERROR(__xludf.DUMMYFUNCTION("""COMPUTED_VALUE"""),"Alexander Collins")</f>
        <v>Alexander Collins</v>
      </c>
      <c r="L42" s="302">
        <f>IFERROR(__xludf.DUMMYFUNCTION("""COMPUTED_VALUE"""),72.6839133089133)</f>
        <v>72.68391331</v>
      </c>
      <c r="M42" s="302">
        <f t="shared" si="9"/>
        <v>72.68391331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237</v>
      </c>
      <c r="BC42" s="2"/>
    </row>
    <row r="43">
      <c r="A43" s="288"/>
      <c r="B43" s="2"/>
      <c r="C43" s="2"/>
      <c r="D43" s="2"/>
      <c r="E43" s="2"/>
      <c r="F43" s="2"/>
      <c r="G43" s="2"/>
      <c r="H43" s="2" t="str">
        <f>IFERROR(__xludf.DUMMYFUNCTION("""COMPUTED_VALUE"""),"Brecken Tibbs")</f>
        <v>Brecken Tibbs</v>
      </c>
      <c r="I43" s="2">
        <f t="array" ref="I43">IFERROR(AVERAGEIFS(INDEX(TestingData,,MATCH($I$33,TestingHeaders,0)),TestingData!$A:$A,$H43,TestingData!$I:$I,$C$13),"")</f>
        <v>74.58334532</v>
      </c>
      <c r="J43" s="2"/>
      <c r="K43" s="2" t="str">
        <f>IFERROR(__xludf.DUMMYFUNCTION("""COMPUTED_VALUE"""),"Myles Monteiro")</f>
        <v>Myles Monteiro</v>
      </c>
      <c r="L43" s="302">
        <f>IFERROR(__xludf.DUMMYFUNCTION("""COMPUTED_VALUE"""),72.57176577157242)</f>
        <v>72.57176577</v>
      </c>
      <c r="M43" s="302">
        <f t="shared" si="9"/>
        <v>72.57176577</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237</v>
      </c>
      <c r="BC43" s="2"/>
    </row>
    <row r="44">
      <c r="A44" s="288"/>
      <c r="B44" s="2"/>
      <c r="C44" s="2"/>
      <c r="D44" s="2"/>
      <c r="E44" s="2"/>
      <c r="F44" s="2"/>
      <c r="G44" s="2"/>
      <c r="H44" s="2" t="str">
        <f>IFERROR(__xludf.DUMMYFUNCTION("""COMPUTED_VALUE"""),"Myles Monteiro")</f>
        <v>Myles Monteiro</v>
      </c>
      <c r="I44" s="2">
        <f t="array" ref="I44">IFERROR(AVERAGEIFS(INDEX(TestingData,,MATCH($I$33,TestingHeaders,0)),TestingData!$A:$A,$H44,TestingData!$I:$I,$C$13),"")</f>
        <v>72.57176577</v>
      </c>
      <c r="J44" s="2"/>
      <c r="K44" s="2" t="str">
        <f>IFERROR(__xludf.DUMMYFUNCTION("""COMPUTED_VALUE"""),"Antonio Blanco")</f>
        <v>Antonio Blanco</v>
      </c>
      <c r="L44" s="302">
        <f>IFERROR(__xludf.DUMMYFUNCTION("""COMPUTED_VALUE"""),70.67296692230424)</f>
        <v>70.67296692</v>
      </c>
      <c r="M44" s="302">
        <f t="shared" si="9"/>
        <v>70.67296692</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237</v>
      </c>
      <c r="BC44" s="2"/>
    </row>
    <row r="45">
      <c r="A45" s="288"/>
      <c r="B45" s="2"/>
      <c r="C45" s="2"/>
      <c r="D45" s="2"/>
      <c r="E45" s="2"/>
      <c r="F45" s="2"/>
      <c r="G45" s="2"/>
      <c r="H45" s="2" t="str">
        <f>IFERROR(__xludf.DUMMYFUNCTION("""COMPUTED_VALUE"""),"Finn Norton")</f>
        <v>Finn Norton</v>
      </c>
      <c r="I45" s="2">
        <f t="array" ref="I45">IFERROR(AVERAGEIFS(INDEX(TestingData,,MATCH($I$33,TestingHeaders,0)),TestingData!$A:$A,$H45,TestingData!$I:$I,$C$13),"")</f>
        <v>65.1366768</v>
      </c>
      <c r="J45" s="2"/>
      <c r="K45" s="2" t="str">
        <f>IFERROR(__xludf.DUMMYFUNCTION("""COMPUTED_VALUE"""),"Alex Kessleheim")</f>
        <v>Alex Kessleheim</v>
      </c>
      <c r="L45" s="302">
        <f>IFERROR(__xludf.DUMMYFUNCTION("""COMPUTED_VALUE"""),65.55443371237877)</f>
        <v>65.55443371</v>
      </c>
      <c r="M45" s="302">
        <f t="shared" si="9"/>
        <v>65.55443371</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237</v>
      </c>
      <c r="BC45" s="2"/>
    </row>
    <row r="46">
      <c r="A46" s="288"/>
      <c r="B46" s="2"/>
      <c r="C46" s="2"/>
      <c r="D46" s="2"/>
      <c r="E46" s="2"/>
      <c r="F46" s="2"/>
      <c r="G46" s="2"/>
      <c r="H46" s="2" t="str">
        <f>IFERROR(__xludf.DUMMYFUNCTION("""COMPUTED_VALUE"""),"Nathan Small")</f>
        <v>Nathan Small</v>
      </c>
      <c r="I46" s="2">
        <f t="array" ref="I46">IFERROR(AVERAGEIFS(INDEX(TestingData,,MATCH($I$33,TestingHeaders,0)),TestingData!$A:$A,$H46,TestingData!$I:$I,$C$13),"")</f>
        <v>18.59980866</v>
      </c>
      <c r="J46" s="2"/>
      <c r="K46" s="2" t="str">
        <f>IFERROR(__xludf.DUMMYFUNCTION("""COMPUTED_VALUE"""),"Finn Norton")</f>
        <v>Finn Norton</v>
      </c>
      <c r="L46" s="302">
        <f>IFERROR(__xludf.DUMMYFUNCTION("""COMPUTED_VALUE"""),65.136676795613)</f>
        <v>65.1366768</v>
      </c>
      <c r="M46" s="302">
        <f t="shared" si="9"/>
        <v>65.1366768</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237</v>
      </c>
      <c r="BC46" s="2"/>
    </row>
    <row r="47">
      <c r="A47" s="288"/>
      <c r="B47" s="2"/>
      <c r="C47" s="2"/>
      <c r="D47" s="2"/>
      <c r="E47" s="2"/>
      <c r="F47" s="2"/>
      <c r="G47" s="2"/>
      <c r="H47" s="2" t="str">
        <f>IFERROR(__xludf.DUMMYFUNCTION("""COMPUTED_VALUE"""),"Nichollas Teixeira")</f>
        <v>Nichollas Teixeira</v>
      </c>
      <c r="I47" s="2">
        <f t="array" ref="I47">IFERROR(AVERAGEIFS(INDEX(TestingData,,MATCH($I$33,TestingHeaders,0)),TestingData!$A:$A,$H47,TestingData!$I:$I,$C$13),"")</f>
        <v>86.51081081</v>
      </c>
      <c r="J47" s="2"/>
      <c r="K47" s="2" t="str">
        <f>IFERROR(__xludf.DUMMYFUNCTION("""COMPUTED_VALUE"""),"Caua Viana")</f>
        <v>Caua Viana</v>
      </c>
      <c r="L47" s="302">
        <f>IFERROR(__xludf.DUMMYFUNCTION("""COMPUTED_VALUE"""),59.81350599777522)</f>
        <v>59.813506</v>
      </c>
      <c r="M47" s="302">
        <f t="shared" si="9"/>
        <v>59.813506</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237</v>
      </c>
      <c r="BC47" s="2"/>
    </row>
    <row r="48">
      <c r="A48" s="288"/>
      <c r="B48" s="2"/>
      <c r="C48" s="2"/>
      <c r="D48" s="2"/>
      <c r="E48" s="2"/>
      <c r="F48" s="2"/>
      <c r="G48" s="2"/>
      <c r="H48" s="2" t="str">
        <f>IFERROR(__xludf.DUMMYFUNCTION("""COMPUTED_VALUE"""),"Caua Viana")</f>
        <v>Caua Viana</v>
      </c>
      <c r="I48" s="2">
        <f t="array" ref="I48">IFERROR(AVERAGEIFS(INDEX(TestingData,,MATCH($I$33,TestingHeaders,0)),TestingData!$A:$A,$H48,TestingData!$I:$I,$C$13),"")</f>
        <v>59.813506</v>
      </c>
      <c r="J48" s="2"/>
      <c r="K48" s="2" t="str">
        <f>IFERROR(__xludf.DUMMYFUNCTION("""COMPUTED_VALUE"""),"Joao Lucca Alves")</f>
        <v>Joao Lucca Alves</v>
      </c>
      <c r="L48" s="302">
        <f>IFERROR(__xludf.DUMMYFUNCTION("""COMPUTED_VALUE"""),58.30306867355407)</f>
        <v>58.30306867</v>
      </c>
      <c r="M48" s="302">
        <f t="shared" si="9"/>
        <v>58.30306867</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237</v>
      </c>
      <c r="BC48" s="2"/>
    </row>
    <row r="49">
      <c r="A49" s="288"/>
      <c r="B49" s="2"/>
      <c r="C49" s="2"/>
      <c r="D49" s="2"/>
      <c r="E49" s="2"/>
      <c r="F49" s="2"/>
      <c r="G49" s="2"/>
      <c r="H49" s="2" t="str">
        <f>IFERROR(__xludf.DUMMYFUNCTION("""COMPUTED_VALUE"""),"Patrick Walshe")</f>
        <v>Patrick Walshe</v>
      </c>
      <c r="I49" s="2">
        <f t="array" ref="I49">IFERROR(AVERAGEIFS(INDEX(TestingData,,MATCH($I$33,TestingHeaders,0)),TestingData!$A:$A,$H49,TestingData!$I:$I,$C$13),"")</f>
        <v>52.77503273</v>
      </c>
      <c r="J49" s="2"/>
      <c r="K49" s="2" t="str">
        <f>IFERROR(__xludf.DUMMYFUNCTION("""COMPUTED_VALUE"""),"Patrick Walshe")</f>
        <v>Patrick Walshe</v>
      </c>
      <c r="L49" s="302">
        <f>IFERROR(__xludf.DUMMYFUNCTION("""COMPUTED_VALUE"""),52.77503272977412)</f>
        <v>52.77503273</v>
      </c>
      <c r="M49" s="302">
        <f t="shared" si="9"/>
        <v>52.77503273</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237</v>
      </c>
      <c r="BC49" s="2"/>
    </row>
    <row r="50">
      <c r="A50" s="288"/>
      <c r="B50" s="2"/>
      <c r="C50" s="2"/>
      <c r="D50" s="2"/>
      <c r="E50" s="2"/>
      <c r="F50" s="2"/>
      <c r="G50" s="2"/>
      <c r="H50" s="2" t="str">
        <f>IFERROR(__xludf.DUMMYFUNCTION("""COMPUTED_VALUE"""),"Alex Kessleheim")</f>
        <v>Alex Kessleheim</v>
      </c>
      <c r="I50" s="2">
        <f t="array" ref="I50">IFERROR(AVERAGEIFS(INDEX(TestingData,,MATCH($I$33,TestingHeaders,0)),TestingData!$A:$A,$H50,TestingData!$I:$I,$C$13),"")</f>
        <v>65.55443371</v>
      </c>
      <c r="J50" s="2"/>
      <c r="K50" s="2" t="str">
        <f>IFERROR(__xludf.DUMMYFUNCTION("""COMPUTED_VALUE"""),"Jack McElliott")</f>
        <v>Jack McElliott</v>
      </c>
      <c r="L50" s="302">
        <f>IFERROR(__xludf.DUMMYFUNCTION("""COMPUTED_VALUE"""),52.685916385101756)</f>
        <v>52.68591639</v>
      </c>
      <c r="M50" s="302">
        <f t="shared" si="9"/>
        <v>52.68591639</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237</v>
      </c>
      <c r="BC50" s="2"/>
    </row>
    <row r="51">
      <c r="A51" s="288"/>
      <c r="B51" s="2"/>
      <c r="C51" s="2"/>
      <c r="D51" s="2"/>
      <c r="E51" s="2"/>
      <c r="F51" s="2"/>
      <c r="G51" s="2"/>
      <c r="H51" s="2" t="str">
        <f>IFERROR(__xludf.DUMMYFUNCTION("""COMPUTED_VALUE"""),"Silas Wessler")</f>
        <v>Silas Wessler</v>
      </c>
      <c r="I51" s="2">
        <f t="array" ref="I51">IFERROR(AVERAGEIFS(INDEX(TestingData,,MATCH($I$33,TestingHeaders,0)),TestingData!$A:$A,$H51,TestingData!$I:$I,$C$13),"")</f>
        <v>46.41859116</v>
      </c>
      <c r="J51" s="2"/>
      <c r="K51" s="2" t="str">
        <f>IFERROR(__xludf.DUMMYFUNCTION("""COMPUTED_VALUE"""),"Silas Wessler")</f>
        <v>Silas Wessler</v>
      </c>
      <c r="L51" s="302">
        <f>IFERROR(__xludf.DUMMYFUNCTION("""COMPUTED_VALUE"""),46.418591163134025)</f>
        <v>46.41859116</v>
      </c>
      <c r="M51" s="302">
        <f t="shared" si="9"/>
        <v>46.41859116</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237</v>
      </c>
      <c r="BC51" s="2"/>
    </row>
    <row r="52">
      <c r="A52" s="288"/>
      <c r="B52" s="2"/>
      <c r="C52" s="2"/>
      <c r="D52" s="2"/>
      <c r="E52" s="2"/>
      <c r="F52" s="2"/>
      <c r="G52" s="2"/>
      <c r="H52" s="2" t="str">
        <f>IFERROR(__xludf.DUMMYFUNCTION("""COMPUTED_VALUE"""),"Xaiver Winters")</f>
        <v>Xaiver Winters</v>
      </c>
      <c r="I52" s="2">
        <f t="array" ref="I52">IFERROR(AVERAGEIFS(INDEX(TestingData,,MATCH($I$33,TestingHeaders,0)),TestingData!$A:$A,$H52,TestingData!$I:$I,$C$13),"")</f>
        <v>74.58334532</v>
      </c>
      <c r="J52" s="2"/>
      <c r="K52" s="2" t="str">
        <f>IFERROR(__xludf.DUMMYFUNCTION("""COMPUTED_VALUE"""),"Elias Eslava")</f>
        <v>Elias Eslava</v>
      </c>
      <c r="L52" s="302">
        <f>IFERROR(__xludf.DUMMYFUNCTION("""COMPUTED_VALUE"""),39.58127454733059)</f>
        <v>39.58127455</v>
      </c>
      <c r="M52" s="302">
        <f t="shared" si="9"/>
        <v>39.58127455</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237</v>
      </c>
      <c r="BC52" s="2"/>
    </row>
    <row r="53">
      <c r="A53" s="288"/>
      <c r="B53" s="2"/>
      <c r="C53" s="2"/>
      <c r="D53" s="2"/>
      <c r="E53" s="2"/>
      <c r="F53" s="2"/>
      <c r="G53" s="2"/>
      <c r="H53" s="2" t="str">
        <f>IFERROR(__xludf.DUMMYFUNCTION("""COMPUTED_VALUE"""),"Joao Lucca Alves")</f>
        <v>Joao Lucca Alves</v>
      </c>
      <c r="I53" s="2">
        <f t="array" ref="I53">IFERROR(AVERAGEIFS(INDEX(TestingData,,MATCH($I$33,TestingHeaders,0)),TestingData!$A:$A,$H53,TestingData!$I:$I,$C$13),"")</f>
        <v>58.30306867</v>
      </c>
      <c r="J53" s="2"/>
      <c r="K53" s="2" t="str">
        <f>IFERROR(__xludf.DUMMYFUNCTION("""COMPUTED_VALUE"""),"Nathan Small")</f>
        <v>Nathan Small</v>
      </c>
      <c r="L53" s="302">
        <f>IFERROR(__xludf.DUMMYFUNCTION("""COMPUTED_VALUE"""),18.599808664463854)</f>
        <v>18.59980866</v>
      </c>
      <c r="M53" s="302">
        <f t="shared" si="9"/>
        <v>18.59980866</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237</v>
      </c>
      <c r="BC53" s="2"/>
    </row>
    <row r="54">
      <c r="A54" s="288"/>
      <c r="B54" s="2"/>
      <c r="C54" s="2"/>
      <c r="D54" s="2"/>
      <c r="E54" s="2"/>
      <c r="F54" s="2"/>
      <c r="G54" s="2"/>
      <c r="H54" s="2"/>
      <c r="I54" s="2" t="str">
        <f t="array" ref="I54">IFERROR(AVERAGEIFS(INDEX(TestingData,,MATCH($I$33,TestingHeaders,0)),TestingData!$A:$A,$H54,TestingData!$I:$I,$C$13),"")</f>
        <v/>
      </c>
      <c r="J54" s="2"/>
      <c r="K54" s="2"/>
      <c r="L54" s="302"/>
      <c r="M54" s="302" t="str">
        <f t="shared" si="9"/>
        <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237</v>
      </c>
      <c r="BC54" s="2"/>
    </row>
    <row r="55">
      <c r="A55" s="288"/>
      <c r="B55" s="2"/>
      <c r="C55" s="2"/>
      <c r="D55" s="2"/>
      <c r="E55" s="2"/>
      <c r="F55" s="2"/>
      <c r="G55" s="2"/>
      <c r="H55" s="2"/>
      <c r="I55" s="2" t="str">
        <f t="array" ref="I55">IFERROR(AVERAGEIFS(INDEX(TestingData,,MATCH($I$33,TestingHeaders,0)),TestingData!$A:$A,$H55,TestingData!$I:$I,$C$13),"")</f>
        <v/>
      </c>
      <c r="J55" s="2"/>
      <c r="K55" s="2"/>
      <c r="L55" s="302"/>
      <c r="M55" s="302" t="str">
        <f t="shared" si="9"/>
        <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237</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237</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237</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237</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237</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237</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237</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237</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237</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237</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237</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237</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237</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237</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237</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237</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237</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237</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237</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237</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237</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237</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237</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237</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237</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237</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237</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237</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237</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237</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237</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237</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237</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237</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237</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237</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237</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237</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237</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237</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237</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237</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237</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237</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237</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237</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237</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237</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237</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237</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237</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237</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237</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237</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237</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237</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237</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237</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237</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237</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237</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237</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237</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237</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237</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237</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237</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237</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237</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237</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237</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237</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237</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237</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237</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237</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237</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237</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237</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237</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237</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237</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237</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237</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237</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237</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237</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237</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237</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237</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237</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237</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237</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237</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237</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237</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237</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237</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237</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237</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237</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237</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237</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237</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237</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237</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237</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237</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237</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237</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237</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237</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237</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237</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237</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237</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237</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237</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237</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237</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237</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237</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237</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237</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237</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237</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237</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237</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237</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237</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237</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237</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237</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237</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237</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237</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237</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237</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237</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237</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237</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237</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237</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237</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237</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237</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273</v>
      </c>
      <c r="B1" s="304"/>
      <c r="C1" s="305" t="s">
        <v>274</v>
      </c>
      <c r="D1" s="71"/>
      <c r="E1" s="305" t="s">
        <v>275</v>
      </c>
      <c r="F1" s="71"/>
      <c r="G1" s="306" t="s">
        <v>276</v>
      </c>
      <c r="J1" s="71"/>
      <c r="K1" s="307" t="s">
        <v>277</v>
      </c>
      <c r="M1" s="71"/>
      <c r="N1" s="308" t="s">
        <v>278</v>
      </c>
      <c r="P1" s="309"/>
      <c r="Q1" s="309" t="s">
        <v>279</v>
      </c>
      <c r="S1" s="310"/>
      <c r="T1" s="305" t="s">
        <v>280</v>
      </c>
      <c r="U1" s="71"/>
      <c r="V1" s="311" t="s">
        <v>281</v>
      </c>
      <c r="W1" s="311"/>
      <c r="X1" s="311"/>
      <c r="Y1" s="311"/>
    </row>
    <row r="2" ht="37.5" customHeight="1">
      <c r="B2" s="304"/>
      <c r="C2" s="312" t="s">
        <v>282</v>
      </c>
      <c r="D2" s="71"/>
      <c r="E2" s="312" t="s">
        <v>283</v>
      </c>
      <c r="F2" s="71"/>
      <c r="G2" s="312" t="s">
        <v>284</v>
      </c>
      <c r="H2" s="313" t="s">
        <v>285</v>
      </c>
      <c r="I2" s="313" t="s">
        <v>286</v>
      </c>
      <c r="J2" s="71"/>
      <c r="K2" s="313" t="s">
        <v>287</v>
      </c>
      <c r="L2" s="313" t="s">
        <v>288</v>
      </c>
      <c r="M2" s="71"/>
      <c r="N2" s="314" t="s">
        <v>289</v>
      </c>
      <c r="P2" s="315"/>
      <c r="Q2" s="312" t="s">
        <v>290</v>
      </c>
      <c r="R2" s="316" t="s">
        <v>291</v>
      </c>
      <c r="S2" s="310"/>
      <c r="T2" s="312" t="s">
        <v>292</v>
      </c>
      <c r="U2" s="71"/>
      <c r="V2" s="317" t="s">
        <v>293</v>
      </c>
      <c r="W2" s="304"/>
      <c r="X2" s="304"/>
      <c r="Y2" s="304"/>
    </row>
    <row r="3" ht="24.75" customHeight="1">
      <c r="A3" s="318" t="s">
        <v>294</v>
      </c>
      <c r="B3" s="71"/>
      <c r="C3" s="319" t="str">
        <f t="array" ref="C3:C22">SORT(UNIQUE(Profiles!$A:$A))</f>
        <v>Alex Kessleheim</v>
      </c>
      <c r="D3" s="71"/>
      <c r="E3" s="319" t="str">
        <f>IFERROR(__xludf.DUMMYFUNCTION("SORT(UNIQUE(FILTER(Profiles!$A:$A,Profiles!$H:$H=TRUE)))"),"Alex Kessleheim")</f>
        <v>Alex Kessleheim</v>
      </c>
      <c r="F3" s="71"/>
      <c r="G3" s="319" t="str">
        <f t="array" ref="G3:G145">TRANSPOSE(TestingData!2:2)</f>
        <v>Name</v>
      </c>
      <c r="H3" s="319" t="b">
        <v>0</v>
      </c>
      <c r="I3" s="319" t="b">
        <v>0</v>
      </c>
      <c r="J3" s="71"/>
      <c r="K3" s="320" t="s">
        <v>295</v>
      </c>
      <c r="L3" s="321"/>
      <c r="M3" s="71"/>
      <c r="N3" s="322" t="s">
        <v>49</v>
      </c>
      <c r="P3" s="285"/>
      <c r="Q3" s="320">
        <v>0.01</v>
      </c>
      <c r="R3" s="320" t="s">
        <v>296</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181</v>
      </c>
      <c r="D4" s="71"/>
      <c r="E4" s="319" t="str">
        <f>IFERROR(__xludf.DUMMYFUNCTION("""COMPUTED_VALUE"""),"Alexander Collins")</f>
        <v>Alexander Collins</v>
      </c>
      <c r="F4" s="71"/>
      <c r="G4" s="319" t="s">
        <v>81</v>
      </c>
      <c r="H4" s="319" t="b">
        <v>0</v>
      </c>
      <c r="I4" s="319" t="b">
        <v>0</v>
      </c>
      <c r="J4" s="71"/>
      <c r="K4" s="320" t="s">
        <v>297</v>
      </c>
      <c r="L4" s="321"/>
      <c r="M4" s="71"/>
      <c r="N4" s="323" t="s">
        <v>298</v>
      </c>
      <c r="P4" s="285"/>
      <c r="Q4" s="320">
        <v>0.02</v>
      </c>
      <c r="R4" s="320" t="s">
        <v>299</v>
      </c>
      <c r="S4" s="71"/>
      <c r="T4" s="319"/>
      <c r="U4" s="71"/>
      <c r="V4" s="319" t="str">
        <f>IFERROR(__xludf.DUMMYFUNCTION("""COMPUTED_VALUE"""),"Forward")</f>
        <v>Forward</v>
      </c>
      <c r="W4" s="71"/>
      <c r="X4" s="71"/>
      <c r="Y4" s="71"/>
    </row>
    <row r="5" ht="24.75" customHeight="1">
      <c r="B5" s="71"/>
      <c r="C5" s="319" t="s">
        <v>180</v>
      </c>
      <c r="D5" s="71"/>
      <c r="E5" s="319" t="str">
        <f>IFERROR(__xludf.DUMMYFUNCTION("""COMPUTED_VALUE"""),"Antonio Blanco")</f>
        <v>Antonio Blanco</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300</v>
      </c>
      <c r="S5" s="71"/>
      <c r="T5" s="319"/>
      <c r="U5" s="71"/>
      <c r="V5" s="319" t="str">
        <f>IFERROR(__xludf.DUMMYFUNCTION("""COMPUTED_VALUE"""),"Goalkeeper")</f>
        <v>Goalkeeper</v>
      </c>
      <c r="W5" s="71"/>
      <c r="X5" s="71"/>
      <c r="Y5" s="71"/>
    </row>
    <row r="6" ht="24.75" customHeight="1">
      <c r="A6" s="325" t="s">
        <v>301</v>
      </c>
      <c r="B6" s="71"/>
      <c r="C6" s="319" t="s">
        <v>175</v>
      </c>
      <c r="D6" s="71"/>
      <c r="E6" s="319" t="str">
        <f>IFERROR(__xludf.DUMMYFUNCTION("""COMPUTED_VALUE"""),"Ben Santos")</f>
        <v>Ben Santos</v>
      </c>
      <c r="F6" s="71"/>
      <c r="G6" s="319" t="s">
        <v>83</v>
      </c>
      <c r="H6" s="319" t="b">
        <v>0</v>
      </c>
      <c r="I6" s="319" t="b">
        <v>0</v>
      </c>
      <c r="J6" s="71"/>
      <c r="K6" s="320"/>
      <c r="L6" s="326"/>
      <c r="M6" s="71"/>
      <c r="P6" s="285"/>
      <c r="Q6" s="320">
        <v>0.04</v>
      </c>
      <c r="R6" s="320" t="s">
        <v>302</v>
      </c>
      <c r="S6" s="71"/>
      <c r="T6" s="319"/>
      <c r="U6" s="71"/>
      <c r="V6" s="319" t="str">
        <f>IFERROR(__xludf.DUMMYFUNCTION("""COMPUTED_VALUE"""),"Midfielder")</f>
        <v>Midfielder</v>
      </c>
      <c r="W6" s="71"/>
      <c r="X6" s="71"/>
      <c r="Y6" s="71"/>
    </row>
    <row r="7" ht="24.75" customHeight="1">
      <c r="B7" s="71"/>
      <c r="C7" s="319" t="s">
        <v>184</v>
      </c>
      <c r="D7" s="71"/>
      <c r="E7" s="319" t="str">
        <f>IFERROR(__xludf.DUMMYFUNCTION("""COMPUTED_VALUE"""),"Brecken Tibbs")</f>
        <v>Brecken Tibbs</v>
      </c>
      <c r="F7" s="71"/>
      <c r="G7" s="319" t="s">
        <v>7</v>
      </c>
      <c r="H7" s="319" t="b">
        <v>0</v>
      </c>
      <c r="I7" s="319" t="b">
        <v>0</v>
      </c>
      <c r="J7" s="71"/>
      <c r="K7" s="319"/>
      <c r="L7" s="321"/>
      <c r="M7" s="71"/>
      <c r="P7" s="285"/>
      <c r="Q7" s="320">
        <v>0.05</v>
      </c>
      <c r="R7" s="320" t="s">
        <v>302</v>
      </c>
      <c r="S7" s="71"/>
      <c r="T7" s="319"/>
      <c r="U7" s="71"/>
      <c r="V7" s="319"/>
      <c r="W7" s="71"/>
      <c r="X7" s="71"/>
      <c r="Y7" s="71"/>
    </row>
    <row r="8" ht="24.75" customHeight="1">
      <c r="B8" s="71"/>
      <c r="C8" s="319" t="s">
        <v>189</v>
      </c>
      <c r="D8" s="71"/>
      <c r="E8" s="319" t="str">
        <f>IFERROR(__xludf.DUMMYFUNCTION("""COMPUTED_VALUE"""),"Caua Viana")</f>
        <v>Caua Viana</v>
      </c>
      <c r="F8" s="71"/>
      <c r="G8" s="319" t="s">
        <v>84</v>
      </c>
      <c r="H8" s="319" t="b">
        <v>0</v>
      </c>
      <c r="I8" s="319" t="b">
        <v>0</v>
      </c>
      <c r="J8" s="71"/>
      <c r="K8" s="319"/>
      <c r="L8" s="321"/>
      <c r="M8" s="71"/>
      <c r="P8" s="285"/>
      <c r="Q8" s="320">
        <v>0.06</v>
      </c>
      <c r="R8" s="320" t="s">
        <v>302</v>
      </c>
      <c r="S8" s="71"/>
      <c r="T8" s="319"/>
      <c r="U8" s="71"/>
      <c r="V8" s="319"/>
      <c r="W8" s="71"/>
      <c r="X8" s="71"/>
      <c r="Y8" s="71"/>
    </row>
    <row r="9" ht="24.75" customHeight="1">
      <c r="A9" s="327"/>
      <c r="B9" s="71"/>
      <c r="C9" s="319" t="s">
        <v>4</v>
      </c>
      <c r="D9" s="71"/>
      <c r="E9" s="319" t="str">
        <f>IFERROR(__xludf.DUMMYFUNCTION("""COMPUTED_VALUE"""),"Dylan Cole")</f>
        <v>Dylan Cole</v>
      </c>
      <c r="F9" s="71"/>
      <c r="G9" s="319" t="s">
        <v>85</v>
      </c>
      <c r="H9" s="319" t="b">
        <v>0</v>
      </c>
      <c r="I9" s="319" t="b">
        <v>0</v>
      </c>
      <c r="J9" s="71"/>
      <c r="K9" s="319"/>
      <c r="L9" s="321"/>
      <c r="M9" s="71"/>
      <c r="P9" s="285"/>
      <c r="Q9" s="320">
        <v>0.07</v>
      </c>
      <c r="R9" s="320" t="s">
        <v>302</v>
      </c>
      <c r="S9" s="71"/>
      <c r="T9" s="319"/>
      <c r="U9" s="71"/>
      <c r="V9" s="319"/>
      <c r="W9" s="71"/>
      <c r="X9" s="71"/>
      <c r="Y9" s="71"/>
    </row>
    <row r="10" ht="24.75" customHeight="1">
      <c r="A10" s="327"/>
      <c r="B10" s="71"/>
      <c r="C10" s="319" t="s">
        <v>179</v>
      </c>
      <c r="D10" s="71"/>
      <c r="E10" s="319" t="str">
        <f>IFERROR(__xludf.DUMMYFUNCTION("""COMPUTED_VALUE"""),"Elias Eslava")</f>
        <v>Elias Eslava</v>
      </c>
      <c r="F10" s="71"/>
      <c r="G10" s="319" t="s">
        <v>86</v>
      </c>
      <c r="H10" s="319" t="b">
        <v>0</v>
      </c>
      <c r="I10" s="319" t="b">
        <v>0</v>
      </c>
      <c r="J10" s="71"/>
      <c r="K10" s="319"/>
      <c r="L10" s="321"/>
      <c r="M10" s="71"/>
      <c r="P10" s="285"/>
      <c r="Q10" s="320">
        <v>0.08</v>
      </c>
      <c r="R10" s="320" t="s">
        <v>302</v>
      </c>
      <c r="S10" s="71"/>
      <c r="T10" s="319"/>
      <c r="U10" s="71"/>
      <c r="V10" s="319"/>
      <c r="W10" s="71"/>
      <c r="X10" s="71"/>
      <c r="Y10" s="71"/>
    </row>
    <row r="11" ht="24.75" customHeight="1">
      <c r="A11" s="327"/>
      <c r="B11" s="71"/>
      <c r="C11" s="319" t="s">
        <v>186</v>
      </c>
      <c r="D11" s="71"/>
      <c r="E11" s="319" t="str">
        <f>IFERROR(__xludf.DUMMYFUNCTION("""COMPUTED_VALUE"""),"Finn Norton")</f>
        <v>Finn Norton</v>
      </c>
      <c r="F11" s="71"/>
      <c r="G11" s="319" t="s">
        <v>87</v>
      </c>
      <c r="H11" s="319" t="b">
        <v>0</v>
      </c>
      <c r="I11" s="319" t="b">
        <v>0</v>
      </c>
      <c r="J11" s="71"/>
      <c r="K11" s="319"/>
      <c r="L11" s="321"/>
      <c r="M11" s="71"/>
      <c r="N11" s="285"/>
      <c r="O11" s="285"/>
      <c r="P11" s="285"/>
      <c r="Q11" s="320">
        <v>0.09</v>
      </c>
      <c r="R11" s="320" t="s">
        <v>302</v>
      </c>
      <c r="S11" s="71"/>
      <c r="T11" s="319"/>
      <c r="U11" s="71"/>
      <c r="V11" s="319"/>
      <c r="W11" s="71"/>
      <c r="X11" s="71"/>
      <c r="Y11" s="71"/>
    </row>
    <row r="12" ht="24.75" customHeight="1">
      <c r="A12" s="327"/>
      <c r="B12" s="71"/>
      <c r="C12" s="319" t="s">
        <v>182</v>
      </c>
      <c r="D12" s="71"/>
      <c r="E12" s="319" t="str">
        <f>IFERROR(__xludf.DUMMYFUNCTION("""COMPUTED_VALUE"""),"Hudson Kelly")</f>
        <v>Hudson Kelly</v>
      </c>
      <c r="F12" s="71"/>
      <c r="G12" s="319" t="s">
        <v>88</v>
      </c>
      <c r="H12" s="319" t="b">
        <v>0</v>
      </c>
      <c r="I12" s="319" t="b">
        <v>0</v>
      </c>
      <c r="J12" s="71"/>
      <c r="K12" s="319"/>
      <c r="L12" s="321"/>
      <c r="M12" s="71"/>
      <c r="N12" s="285"/>
      <c r="O12" s="285"/>
      <c r="P12" s="285"/>
      <c r="Q12" s="320">
        <v>0.1</v>
      </c>
      <c r="R12" s="320" t="s">
        <v>302</v>
      </c>
      <c r="S12" s="71"/>
      <c r="T12" s="319"/>
      <c r="U12" s="71"/>
      <c r="V12" s="319"/>
      <c r="W12" s="71"/>
      <c r="X12" s="71"/>
      <c r="Y12" s="71"/>
    </row>
    <row r="13" ht="24.75" customHeight="1">
      <c r="A13" s="327"/>
      <c r="B13" s="71"/>
      <c r="C13" s="319" t="s">
        <v>183</v>
      </c>
      <c r="D13" s="71"/>
      <c r="E13" s="319" t="str">
        <f>IFERROR(__xludf.DUMMYFUNCTION("""COMPUTED_VALUE"""),"Jack McElliott")</f>
        <v>Jack McElliott</v>
      </c>
      <c r="F13" s="71"/>
      <c r="G13" s="319" t="s">
        <v>89</v>
      </c>
      <c r="H13" s="319" t="b">
        <v>0</v>
      </c>
      <c r="I13" s="319" t="b">
        <v>0</v>
      </c>
      <c r="J13" s="71"/>
      <c r="K13" s="319"/>
      <c r="L13" s="321"/>
      <c r="M13" s="71"/>
      <c r="N13" s="285"/>
      <c r="O13" s="285"/>
      <c r="P13" s="285"/>
      <c r="Q13" s="320">
        <v>0.11</v>
      </c>
      <c r="R13" s="320" t="s">
        <v>302</v>
      </c>
      <c r="S13" s="71"/>
      <c r="T13" s="319"/>
      <c r="U13" s="71"/>
      <c r="V13" s="319"/>
      <c r="W13" s="71"/>
      <c r="X13" s="71"/>
      <c r="Y13" s="71"/>
    </row>
    <row r="14" ht="24.75" customHeight="1">
      <c r="A14" s="327"/>
      <c r="B14" s="71"/>
      <c r="C14" s="319" t="s">
        <v>194</v>
      </c>
      <c r="D14" s="71"/>
      <c r="E14" s="319" t="str">
        <f>IFERROR(__xludf.DUMMYFUNCTION("""COMPUTED_VALUE"""),"Joao Lucca Alves")</f>
        <v>Joao Lucca Alves</v>
      </c>
      <c r="F14" s="71"/>
      <c r="G14" s="319" t="s">
        <v>90</v>
      </c>
      <c r="H14" s="320" t="b">
        <v>0</v>
      </c>
      <c r="I14" s="320" t="b">
        <v>0</v>
      </c>
      <c r="J14" s="71"/>
      <c r="K14" s="319"/>
      <c r="L14" s="321"/>
      <c r="M14" s="71"/>
      <c r="N14" s="285"/>
      <c r="O14" s="285"/>
      <c r="P14" s="285"/>
      <c r="Q14" s="320">
        <v>0.12</v>
      </c>
      <c r="R14" s="320" t="s">
        <v>302</v>
      </c>
      <c r="S14" s="71"/>
      <c r="T14" s="319"/>
      <c r="U14" s="71"/>
      <c r="V14" s="319"/>
      <c r="W14" s="71"/>
      <c r="X14" s="71"/>
      <c r="Y14" s="71"/>
    </row>
    <row r="15" ht="24.75" customHeight="1">
      <c r="A15" s="327"/>
      <c r="B15" s="71"/>
      <c r="C15" s="319" t="s">
        <v>185</v>
      </c>
      <c r="D15" s="71"/>
      <c r="E15" s="319" t="str">
        <f>IFERROR(__xludf.DUMMYFUNCTION("""COMPUTED_VALUE"""),"Myles Monteiro")</f>
        <v>Myles Monteiro</v>
      </c>
      <c r="F15" s="71"/>
      <c r="G15" s="319" t="s">
        <v>51</v>
      </c>
      <c r="H15" s="320" t="b">
        <v>0</v>
      </c>
      <c r="I15" s="320" t="b">
        <v>1</v>
      </c>
      <c r="J15" s="71"/>
      <c r="K15" s="319"/>
      <c r="L15" s="321"/>
      <c r="M15" s="71"/>
      <c r="N15" s="285"/>
      <c r="O15" s="285"/>
      <c r="P15" s="285"/>
      <c r="Q15" s="320">
        <v>0.13</v>
      </c>
      <c r="R15" s="320" t="s">
        <v>302</v>
      </c>
      <c r="S15" s="71"/>
      <c r="T15" s="319"/>
      <c r="U15" s="71"/>
      <c r="V15" s="319"/>
      <c r="W15" s="71"/>
      <c r="X15" s="71"/>
      <c r="Y15" s="71"/>
    </row>
    <row r="16" ht="24.75" customHeight="1">
      <c r="A16" s="327"/>
      <c r="B16" s="71"/>
      <c r="C16" s="319" t="s">
        <v>196</v>
      </c>
      <c r="D16" s="71"/>
      <c r="E16" s="319" t="str">
        <f>IFERROR(__xludf.DUMMYFUNCTION("""COMPUTED_VALUE"""),"Nathan Small")</f>
        <v>Nathan Small</v>
      </c>
      <c r="F16" s="71"/>
      <c r="G16" s="319" t="s">
        <v>29</v>
      </c>
      <c r="H16" s="320" t="b">
        <v>0</v>
      </c>
      <c r="I16" s="320" t="b">
        <v>1</v>
      </c>
      <c r="J16" s="71"/>
      <c r="K16" s="319"/>
      <c r="L16" s="321"/>
      <c r="M16" s="71"/>
      <c r="N16" s="285"/>
      <c r="O16" s="285"/>
      <c r="P16" s="285"/>
      <c r="Q16" s="320">
        <v>0.14</v>
      </c>
      <c r="R16" s="320" t="s">
        <v>302</v>
      </c>
      <c r="S16" s="71"/>
      <c r="T16" s="319"/>
      <c r="U16" s="71"/>
      <c r="V16" s="319"/>
      <c r="W16" s="71"/>
      <c r="X16" s="71"/>
      <c r="Y16" s="71"/>
    </row>
    <row r="17" ht="24.75" customHeight="1">
      <c r="A17" s="327"/>
      <c r="B17" s="71"/>
      <c r="C17" s="319" t="s">
        <v>187</v>
      </c>
      <c r="D17" s="71"/>
      <c r="E17" s="319" t="str">
        <f>IFERROR(__xludf.DUMMYFUNCTION("""COMPUTED_VALUE"""),"Nichollas Teixeira")</f>
        <v>Nichollas Teixeira</v>
      </c>
      <c r="F17" s="71"/>
      <c r="G17" s="319" t="s">
        <v>21</v>
      </c>
      <c r="H17" s="320" t="b">
        <v>1</v>
      </c>
      <c r="I17" s="320" t="b">
        <v>1</v>
      </c>
      <c r="J17" s="71"/>
      <c r="K17" s="319"/>
      <c r="L17" s="321"/>
      <c r="M17" s="71"/>
      <c r="N17" s="285"/>
      <c r="O17" s="285"/>
      <c r="P17" s="285"/>
      <c r="Q17" s="320">
        <v>0.15</v>
      </c>
      <c r="R17" s="320" t="s">
        <v>302</v>
      </c>
      <c r="S17" s="71"/>
      <c r="T17" s="319"/>
      <c r="U17" s="71"/>
      <c r="V17" s="319"/>
      <c r="W17" s="71"/>
      <c r="X17" s="71"/>
      <c r="Y17" s="71"/>
    </row>
    <row r="18" ht="24.75" customHeight="1">
      <c r="A18" s="327"/>
      <c r="B18" s="71"/>
      <c r="C18" s="319" t="s">
        <v>188</v>
      </c>
      <c r="D18" s="71"/>
      <c r="E18" s="319" t="str">
        <f>IFERROR(__xludf.DUMMYFUNCTION("""COMPUTED_VALUE"""),"Patrick Walshe")</f>
        <v>Patrick Walshe</v>
      </c>
      <c r="F18" s="71"/>
      <c r="G18" s="319" t="s">
        <v>22</v>
      </c>
      <c r="H18" s="320" t="b">
        <v>1</v>
      </c>
      <c r="I18" s="320" t="b">
        <v>1</v>
      </c>
      <c r="J18" s="71"/>
      <c r="K18" s="319"/>
      <c r="L18" s="321"/>
      <c r="M18" s="71"/>
      <c r="N18" s="285"/>
      <c r="O18" s="285"/>
      <c r="P18" s="285"/>
      <c r="Q18" s="320">
        <v>0.16</v>
      </c>
      <c r="R18" s="320" t="s">
        <v>302</v>
      </c>
      <c r="S18" s="71"/>
      <c r="T18" s="319"/>
      <c r="U18" s="71"/>
      <c r="V18" s="319"/>
      <c r="W18" s="71"/>
      <c r="X18" s="71"/>
      <c r="Y18" s="71"/>
    </row>
    <row r="19" ht="24.75" customHeight="1">
      <c r="A19" s="327"/>
      <c r="B19" s="71"/>
      <c r="C19" s="319" t="s">
        <v>190</v>
      </c>
      <c r="D19" s="71"/>
      <c r="E19" s="319" t="str">
        <f>IFERROR(__xludf.DUMMYFUNCTION("""COMPUTED_VALUE"""),"Silas Wessler")</f>
        <v>Silas Wessler</v>
      </c>
      <c r="F19" s="71"/>
      <c r="G19" s="319" t="s">
        <v>14</v>
      </c>
      <c r="H19" s="320" t="b">
        <v>0</v>
      </c>
      <c r="I19" s="320" t="b">
        <v>0</v>
      </c>
      <c r="J19" s="71"/>
      <c r="K19" s="319"/>
      <c r="L19" s="321"/>
      <c r="M19" s="71"/>
      <c r="N19" s="285"/>
      <c r="O19" s="285"/>
      <c r="P19" s="285"/>
      <c r="Q19" s="320">
        <v>0.17</v>
      </c>
      <c r="R19" s="320" t="s">
        <v>302</v>
      </c>
      <c r="S19" s="71"/>
      <c r="T19" s="319"/>
      <c r="U19" s="71"/>
      <c r="V19" s="319"/>
      <c r="W19" s="71"/>
      <c r="X19" s="71"/>
      <c r="Y19" s="71"/>
    </row>
    <row r="20" ht="24.75" customHeight="1">
      <c r="A20" s="327"/>
      <c r="B20" s="71"/>
      <c r="C20" s="319" t="s">
        <v>192</v>
      </c>
      <c r="D20" s="71"/>
      <c r="E20" s="319" t="str">
        <f>IFERROR(__xludf.DUMMYFUNCTION("""COMPUTED_VALUE"""),"Xaiver Winters")</f>
        <v>Xaiver Winters</v>
      </c>
      <c r="F20" s="71"/>
      <c r="G20" s="319" t="s">
        <v>23</v>
      </c>
      <c r="H20" s="320" t="b">
        <v>1</v>
      </c>
      <c r="I20" s="320" t="b">
        <v>1</v>
      </c>
      <c r="J20" s="71"/>
      <c r="K20" s="319"/>
      <c r="L20" s="321"/>
      <c r="M20" s="71"/>
      <c r="N20" s="285"/>
      <c r="O20" s="285"/>
      <c r="P20" s="285"/>
      <c r="Q20" s="320">
        <v>0.18</v>
      </c>
      <c r="R20" s="320" t="s">
        <v>302</v>
      </c>
      <c r="S20" s="71"/>
      <c r="T20" s="319"/>
      <c r="U20" s="71"/>
      <c r="V20" s="319"/>
      <c r="W20" s="71"/>
      <c r="X20" s="71"/>
      <c r="Y20" s="71"/>
    </row>
    <row r="21" ht="24.75" customHeight="1">
      <c r="A21" s="327"/>
      <c r="B21" s="71"/>
      <c r="C21" s="319" t="s">
        <v>193</v>
      </c>
      <c r="D21" s="71"/>
      <c r="E21" s="319"/>
      <c r="F21" s="71"/>
      <c r="G21" s="319" t="s">
        <v>16</v>
      </c>
      <c r="H21" s="319" t="b">
        <v>0</v>
      </c>
      <c r="I21" s="320" t="b">
        <v>1</v>
      </c>
      <c r="J21" s="71"/>
      <c r="K21" s="319"/>
      <c r="L21" s="321"/>
      <c r="M21" s="71"/>
      <c r="N21" s="285"/>
      <c r="O21" s="285"/>
      <c r="P21" s="285"/>
      <c r="Q21" s="320">
        <v>0.19</v>
      </c>
      <c r="R21" s="320" t="s">
        <v>302</v>
      </c>
      <c r="S21" s="71"/>
      <c r="T21" s="319"/>
      <c r="U21" s="71"/>
      <c r="V21" s="319"/>
      <c r="W21" s="71"/>
      <c r="X21" s="71"/>
      <c r="Y21" s="71"/>
    </row>
    <row r="22" ht="24.75" customHeight="1">
      <c r="A22" s="327"/>
      <c r="B22" s="71"/>
      <c r="C22" s="319"/>
      <c r="D22" s="71"/>
      <c r="E22" s="319"/>
      <c r="F22" s="71"/>
      <c r="G22" s="319" t="s">
        <v>91</v>
      </c>
      <c r="H22" s="319" t="b">
        <v>0</v>
      </c>
      <c r="I22" s="319" t="b">
        <v>0</v>
      </c>
      <c r="J22" s="71"/>
      <c r="K22" s="319"/>
      <c r="L22" s="321"/>
      <c r="M22" s="71"/>
      <c r="N22" s="285"/>
      <c r="O22" s="285"/>
      <c r="P22" s="285"/>
      <c r="Q22" s="320">
        <v>0.2</v>
      </c>
      <c r="R22" s="320" t="s">
        <v>302</v>
      </c>
      <c r="S22" s="71"/>
      <c r="T22" s="319"/>
      <c r="U22" s="71"/>
      <c r="V22" s="319"/>
      <c r="W22" s="71"/>
      <c r="X22" s="71"/>
      <c r="Y22" s="71"/>
    </row>
    <row r="23" ht="24.75" customHeight="1">
      <c r="A23" s="327"/>
      <c r="B23" s="71"/>
      <c r="C23" s="319"/>
      <c r="D23" s="71"/>
      <c r="E23" s="319"/>
      <c r="F23" s="71"/>
      <c r="G23" s="319" t="s">
        <v>92</v>
      </c>
      <c r="H23" s="319" t="b">
        <v>0</v>
      </c>
      <c r="I23" s="319" t="b">
        <v>0</v>
      </c>
      <c r="J23" s="71"/>
      <c r="K23" s="319"/>
      <c r="L23" s="321"/>
      <c r="M23" s="71"/>
      <c r="N23" s="285"/>
      <c r="O23" s="285"/>
      <c r="P23" s="285"/>
      <c r="Q23" s="320">
        <v>0.21</v>
      </c>
      <c r="R23" s="320" t="s">
        <v>296</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299</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300</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302</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302</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302</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302</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302</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302</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302</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296</v>
      </c>
      <c r="S33" s="71"/>
      <c r="T33" s="319"/>
      <c r="U33" s="71"/>
      <c r="V33" s="319"/>
      <c r="W33" s="71"/>
      <c r="X33" s="71"/>
      <c r="Y33" s="71"/>
    </row>
    <row r="34" ht="24.75" customHeight="1">
      <c r="A34" s="330" t="s">
        <v>303</v>
      </c>
      <c r="B34" s="71"/>
      <c r="C34" s="319"/>
      <c r="D34" s="71"/>
      <c r="E34" s="319"/>
      <c r="F34" s="71"/>
      <c r="G34" s="319" t="s">
        <v>99</v>
      </c>
      <c r="H34" s="319" t="b">
        <v>0</v>
      </c>
      <c r="I34" s="319" t="b">
        <v>0</v>
      </c>
      <c r="J34" s="71"/>
      <c r="K34" s="319"/>
      <c r="L34" s="321"/>
      <c r="M34" s="71"/>
      <c r="N34" s="285"/>
      <c r="O34" s="285"/>
      <c r="P34" s="285"/>
      <c r="Q34" s="320">
        <v>0.32</v>
      </c>
      <c r="R34" s="320" t="s">
        <v>299</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300</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302</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302</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302</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302</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302</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302</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302</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296</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299</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300</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302</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302</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302</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302</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302</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302</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302</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296</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299</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300</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302</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302</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302</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302</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302</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302</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302</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296</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299</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300</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302</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302</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302</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302</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302</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302</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302</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296</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299</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300</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302</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302</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302</v>
      </c>
      <c r="S78" s="71"/>
      <c r="T78" s="319"/>
      <c r="U78" s="71"/>
      <c r="V78" s="319"/>
      <c r="W78" s="71"/>
      <c r="X78" s="71"/>
      <c r="Y78" s="71"/>
    </row>
    <row r="79" ht="24.75" customHeight="1">
      <c r="A79" s="327"/>
      <c r="B79" s="71"/>
      <c r="C79" s="319"/>
      <c r="D79" s="71"/>
      <c r="E79" s="319"/>
      <c r="F79" s="71"/>
      <c r="G79" s="319" t="s">
        <v>304</v>
      </c>
      <c r="H79" s="319" t="b">
        <v>0</v>
      </c>
      <c r="I79" s="319" t="b">
        <v>0</v>
      </c>
      <c r="J79" s="71"/>
      <c r="K79" s="319"/>
      <c r="L79" s="321"/>
      <c r="M79" s="71"/>
      <c r="N79" s="285"/>
      <c r="O79" s="285"/>
      <c r="P79" s="285"/>
      <c r="Q79" s="320">
        <v>0.77</v>
      </c>
      <c r="R79" s="320" t="s">
        <v>302</v>
      </c>
      <c r="S79" s="71"/>
      <c r="T79" s="319"/>
      <c r="U79" s="71"/>
      <c r="V79" s="319"/>
      <c r="W79" s="71"/>
      <c r="X79" s="71"/>
      <c r="Y79" s="71"/>
    </row>
    <row r="80" ht="24.75" customHeight="1">
      <c r="A80" s="327"/>
      <c r="B80" s="71"/>
      <c r="C80" s="319"/>
      <c r="D80" s="71"/>
      <c r="E80" s="319"/>
      <c r="F80" s="71"/>
      <c r="G80" s="319" t="s">
        <v>305</v>
      </c>
      <c r="H80" s="319" t="b">
        <v>0</v>
      </c>
      <c r="I80" s="319" t="b">
        <v>0</v>
      </c>
      <c r="J80" s="71"/>
      <c r="K80" s="319"/>
      <c r="L80" s="321"/>
      <c r="M80" s="71"/>
      <c r="N80" s="285"/>
      <c r="O80" s="285"/>
      <c r="P80" s="285"/>
      <c r="Q80" s="320">
        <v>0.78</v>
      </c>
      <c r="R80" s="320" t="s">
        <v>302</v>
      </c>
      <c r="S80" s="71"/>
      <c r="T80" s="319"/>
      <c r="U80" s="71"/>
      <c r="V80" s="319"/>
      <c r="W80" s="71"/>
      <c r="X80" s="71"/>
      <c r="Y80" s="71"/>
    </row>
    <row r="81" ht="24.75" customHeight="1">
      <c r="A81" s="327"/>
      <c r="B81" s="71"/>
      <c r="C81" s="319"/>
      <c r="D81" s="71"/>
      <c r="E81" s="319"/>
      <c r="F81" s="71"/>
      <c r="G81" s="319" t="s">
        <v>306</v>
      </c>
      <c r="H81" s="319" t="b">
        <v>0</v>
      </c>
      <c r="I81" s="319" t="b">
        <v>0</v>
      </c>
      <c r="J81" s="71"/>
      <c r="K81" s="319"/>
      <c r="L81" s="321"/>
      <c r="M81" s="71"/>
      <c r="N81" s="285"/>
      <c r="O81" s="285"/>
      <c r="P81" s="285"/>
      <c r="Q81" s="320">
        <v>0.79</v>
      </c>
      <c r="R81" s="320" t="s">
        <v>302</v>
      </c>
      <c r="S81" s="71"/>
      <c r="T81" s="319"/>
      <c r="U81" s="71"/>
      <c r="V81" s="319"/>
      <c r="W81" s="71"/>
      <c r="X81" s="71"/>
      <c r="Y81" s="71"/>
    </row>
    <row r="82" ht="24.75" customHeight="1">
      <c r="A82" s="327"/>
      <c r="B82" s="71"/>
      <c r="C82" s="319"/>
      <c r="D82" s="71"/>
      <c r="E82" s="319"/>
      <c r="F82" s="71"/>
      <c r="G82" s="319" t="s">
        <v>307</v>
      </c>
      <c r="H82" s="319" t="b">
        <v>0</v>
      </c>
      <c r="I82" s="319" t="b">
        <v>0</v>
      </c>
      <c r="J82" s="71"/>
      <c r="K82" s="319"/>
      <c r="L82" s="321"/>
      <c r="M82" s="71"/>
      <c r="N82" s="285"/>
      <c r="O82" s="285"/>
      <c r="P82" s="285"/>
      <c r="Q82" s="320">
        <v>0.8</v>
      </c>
      <c r="R82" s="320" t="s">
        <v>302</v>
      </c>
      <c r="S82" s="71"/>
      <c r="T82" s="319"/>
      <c r="U82" s="71"/>
      <c r="V82" s="319"/>
      <c r="W82" s="71"/>
      <c r="X82" s="71"/>
      <c r="Y82" s="71"/>
    </row>
    <row r="83" ht="24.75" customHeight="1">
      <c r="A83" s="327"/>
      <c r="B83" s="71"/>
      <c r="C83" s="319"/>
      <c r="D83" s="71"/>
      <c r="E83" s="319"/>
      <c r="F83" s="71"/>
      <c r="G83" s="319" t="s">
        <v>308</v>
      </c>
      <c r="H83" s="319" t="b">
        <v>0</v>
      </c>
      <c r="I83" s="319" t="b">
        <v>0</v>
      </c>
      <c r="J83" s="71"/>
      <c r="K83" s="319"/>
      <c r="L83" s="321"/>
      <c r="M83" s="71"/>
      <c r="N83" s="285"/>
      <c r="O83" s="285"/>
      <c r="P83" s="285"/>
      <c r="Q83" s="320">
        <v>0.81</v>
      </c>
      <c r="R83" s="320" t="s">
        <v>296</v>
      </c>
      <c r="S83" s="71"/>
      <c r="T83" s="319"/>
      <c r="U83" s="71"/>
      <c r="V83" s="319"/>
      <c r="W83" s="71"/>
      <c r="X83" s="71"/>
      <c r="Y83" s="71"/>
    </row>
    <row r="84" ht="24.75" customHeight="1">
      <c r="A84" s="327"/>
      <c r="B84" s="71"/>
      <c r="C84" s="319"/>
      <c r="D84" s="71"/>
      <c r="E84" s="319"/>
      <c r="F84" s="71"/>
      <c r="G84" s="319" t="s">
        <v>309</v>
      </c>
      <c r="H84" s="319" t="b">
        <v>0</v>
      </c>
      <c r="I84" s="319" t="b">
        <v>0</v>
      </c>
      <c r="J84" s="71"/>
      <c r="K84" s="319"/>
      <c r="L84" s="321"/>
      <c r="M84" s="71"/>
      <c r="N84" s="285"/>
      <c r="O84" s="285"/>
      <c r="P84" s="285"/>
      <c r="Q84" s="320">
        <v>0.82</v>
      </c>
      <c r="R84" s="320" t="s">
        <v>299</v>
      </c>
      <c r="S84" s="71"/>
      <c r="T84" s="319"/>
      <c r="U84" s="71"/>
      <c r="V84" s="319"/>
      <c r="W84" s="71"/>
      <c r="X84" s="71"/>
      <c r="Y84" s="71"/>
    </row>
    <row r="85" ht="24.75" customHeight="1">
      <c r="A85" s="327"/>
      <c r="B85" s="71"/>
      <c r="C85" s="319"/>
      <c r="D85" s="71"/>
      <c r="E85" s="319"/>
      <c r="F85" s="71"/>
      <c r="G85" s="319" t="s">
        <v>310</v>
      </c>
      <c r="H85" s="319" t="b">
        <v>0</v>
      </c>
      <c r="I85" s="319" t="b">
        <v>0</v>
      </c>
      <c r="J85" s="71"/>
      <c r="K85" s="319"/>
      <c r="L85" s="321"/>
      <c r="M85" s="71"/>
      <c r="N85" s="285"/>
      <c r="O85" s="285"/>
      <c r="P85" s="285"/>
      <c r="Q85" s="320">
        <v>0.83</v>
      </c>
      <c r="R85" s="320" t="s">
        <v>300</v>
      </c>
      <c r="S85" s="71"/>
      <c r="T85" s="319"/>
      <c r="U85" s="71"/>
      <c r="V85" s="319"/>
      <c r="W85" s="71"/>
      <c r="X85" s="71"/>
      <c r="Y85" s="71"/>
    </row>
    <row r="86" ht="24.75" customHeight="1">
      <c r="A86" s="327"/>
      <c r="B86" s="71"/>
      <c r="C86" s="319"/>
      <c r="D86" s="71"/>
      <c r="E86" s="319"/>
      <c r="F86" s="71"/>
      <c r="G86" s="319" t="s">
        <v>311</v>
      </c>
      <c r="H86" s="319" t="b">
        <v>0</v>
      </c>
      <c r="I86" s="319" t="b">
        <v>0</v>
      </c>
      <c r="J86" s="71"/>
      <c r="K86" s="319"/>
      <c r="L86" s="321"/>
      <c r="M86" s="71"/>
      <c r="N86" s="285"/>
      <c r="O86" s="285"/>
      <c r="P86" s="285"/>
      <c r="Q86" s="320">
        <v>0.84</v>
      </c>
      <c r="R86" s="320" t="s">
        <v>302</v>
      </c>
      <c r="S86" s="71"/>
      <c r="T86" s="319"/>
      <c r="U86" s="71"/>
      <c r="V86" s="319"/>
      <c r="W86" s="71"/>
      <c r="X86" s="71"/>
      <c r="Y86" s="71"/>
    </row>
    <row r="87" ht="24.75" customHeight="1">
      <c r="A87" s="327"/>
      <c r="B87" s="71"/>
      <c r="C87" s="319"/>
      <c r="D87" s="71"/>
      <c r="E87" s="319"/>
      <c r="F87" s="71"/>
      <c r="G87" s="319" t="s">
        <v>312</v>
      </c>
      <c r="H87" s="319" t="b">
        <v>0</v>
      </c>
      <c r="I87" s="319" t="b">
        <v>0</v>
      </c>
      <c r="J87" s="71"/>
      <c r="K87" s="319"/>
      <c r="L87" s="321"/>
      <c r="M87" s="71"/>
      <c r="N87" s="285"/>
      <c r="O87" s="285"/>
      <c r="P87" s="285"/>
      <c r="Q87" s="320">
        <v>0.85</v>
      </c>
      <c r="R87" s="320" t="s">
        <v>302</v>
      </c>
      <c r="S87" s="71"/>
      <c r="T87" s="319"/>
      <c r="U87" s="71"/>
      <c r="V87" s="319"/>
      <c r="W87" s="71"/>
      <c r="X87" s="71"/>
      <c r="Y87" s="71"/>
    </row>
    <row r="88" ht="24.75" customHeight="1">
      <c r="A88" s="327"/>
      <c r="B88" s="71"/>
      <c r="C88" s="319"/>
      <c r="D88" s="71"/>
      <c r="E88" s="319"/>
      <c r="F88" s="71"/>
      <c r="G88" s="319" t="s">
        <v>313</v>
      </c>
      <c r="H88" s="319" t="b">
        <v>0</v>
      </c>
      <c r="I88" s="319" t="b">
        <v>0</v>
      </c>
      <c r="J88" s="71"/>
      <c r="K88" s="319"/>
      <c r="L88" s="321"/>
      <c r="M88" s="71"/>
      <c r="N88" s="285"/>
      <c r="O88" s="285"/>
      <c r="P88" s="285"/>
      <c r="Q88" s="320">
        <v>0.86</v>
      </c>
      <c r="R88" s="320" t="s">
        <v>302</v>
      </c>
      <c r="S88" s="71"/>
      <c r="T88" s="319"/>
      <c r="U88" s="71"/>
      <c r="V88" s="319"/>
      <c r="W88" s="71"/>
      <c r="X88" s="71"/>
      <c r="Y88" s="71"/>
    </row>
    <row r="89" ht="24.75" customHeight="1">
      <c r="A89" s="327"/>
      <c r="B89" s="71"/>
      <c r="C89" s="319"/>
      <c r="D89" s="71"/>
      <c r="E89" s="319"/>
      <c r="F89" s="71"/>
      <c r="G89" s="319" t="s">
        <v>314</v>
      </c>
      <c r="H89" s="319" t="b">
        <v>0</v>
      </c>
      <c r="I89" s="319" t="b">
        <v>0</v>
      </c>
      <c r="J89" s="71"/>
      <c r="K89" s="319"/>
      <c r="L89" s="321"/>
      <c r="M89" s="71"/>
      <c r="N89" s="285"/>
      <c r="O89" s="285"/>
      <c r="P89" s="285"/>
      <c r="Q89" s="320">
        <v>0.87</v>
      </c>
      <c r="R89" s="320" t="s">
        <v>302</v>
      </c>
      <c r="S89" s="71"/>
      <c r="T89" s="319"/>
      <c r="U89" s="71"/>
      <c r="V89" s="319"/>
      <c r="W89" s="71"/>
      <c r="X89" s="71"/>
      <c r="Y89" s="71"/>
    </row>
    <row r="90" ht="24.75" customHeight="1">
      <c r="A90" s="327"/>
      <c r="B90" s="71"/>
      <c r="C90" s="319"/>
      <c r="D90" s="71"/>
      <c r="E90" s="319"/>
      <c r="F90" s="71"/>
      <c r="G90" s="319" t="s">
        <v>315</v>
      </c>
      <c r="H90" s="319" t="b">
        <v>0</v>
      </c>
      <c r="I90" s="319" t="b">
        <v>0</v>
      </c>
      <c r="J90" s="71"/>
      <c r="K90" s="319"/>
      <c r="L90" s="321"/>
      <c r="M90" s="71"/>
      <c r="N90" s="285"/>
      <c r="O90" s="285"/>
      <c r="P90" s="285"/>
      <c r="Q90" s="320">
        <v>0.88</v>
      </c>
      <c r="R90" s="320" t="s">
        <v>302</v>
      </c>
      <c r="S90" s="71"/>
      <c r="T90" s="319"/>
      <c r="U90" s="71"/>
      <c r="V90" s="319"/>
      <c r="W90" s="71"/>
      <c r="X90" s="71"/>
      <c r="Y90" s="71"/>
    </row>
    <row r="91" ht="24.75" customHeight="1">
      <c r="A91" s="327"/>
      <c r="B91" s="71"/>
      <c r="C91" s="319"/>
      <c r="D91" s="71"/>
      <c r="E91" s="319"/>
      <c r="F91" s="71"/>
      <c r="G91" s="319" t="s">
        <v>316</v>
      </c>
      <c r="H91" s="319" t="b">
        <v>0</v>
      </c>
      <c r="I91" s="319" t="b">
        <v>0</v>
      </c>
      <c r="J91" s="71"/>
      <c r="K91" s="319"/>
      <c r="L91" s="321"/>
      <c r="M91" s="71"/>
      <c r="N91" s="285"/>
      <c r="O91" s="285"/>
      <c r="P91" s="285"/>
      <c r="Q91" s="320">
        <v>0.89</v>
      </c>
      <c r="R91" s="320" t="s">
        <v>302</v>
      </c>
      <c r="S91" s="71"/>
      <c r="T91" s="319"/>
      <c r="U91" s="71"/>
      <c r="V91" s="319"/>
      <c r="W91" s="71"/>
      <c r="X91" s="71"/>
      <c r="Y91" s="71"/>
    </row>
    <row r="92" ht="24.75" customHeight="1">
      <c r="A92" s="327"/>
      <c r="B92" s="71"/>
      <c r="C92" s="319"/>
      <c r="D92" s="71"/>
      <c r="E92" s="319"/>
      <c r="F92" s="71"/>
      <c r="G92" s="319" t="s">
        <v>317</v>
      </c>
      <c r="H92" s="319" t="b">
        <v>0</v>
      </c>
      <c r="I92" s="319" t="b">
        <v>0</v>
      </c>
      <c r="J92" s="71"/>
      <c r="K92" s="319"/>
      <c r="L92" s="321"/>
      <c r="M92" s="71"/>
      <c r="N92" s="285"/>
      <c r="O92" s="285"/>
      <c r="P92" s="285"/>
      <c r="Q92" s="320">
        <v>0.9</v>
      </c>
      <c r="R92" s="320" t="s">
        <v>302</v>
      </c>
      <c r="S92" s="71"/>
      <c r="T92" s="319"/>
      <c r="U92" s="71"/>
      <c r="V92" s="319"/>
      <c r="W92" s="71"/>
      <c r="X92" s="71"/>
      <c r="Y92" s="71"/>
    </row>
    <row r="93" ht="24.75" customHeight="1">
      <c r="A93" s="327"/>
      <c r="B93" s="71"/>
      <c r="C93" s="319"/>
      <c r="D93" s="71"/>
      <c r="E93" s="319"/>
      <c r="F93" s="71"/>
      <c r="G93" s="319" t="s">
        <v>318</v>
      </c>
      <c r="H93" s="319" t="b">
        <v>0</v>
      </c>
      <c r="I93" s="319" t="b">
        <v>0</v>
      </c>
      <c r="J93" s="71"/>
      <c r="K93" s="319"/>
      <c r="L93" s="321"/>
      <c r="M93" s="71"/>
      <c r="N93" s="285"/>
      <c r="O93" s="285"/>
      <c r="P93" s="285"/>
      <c r="Q93" s="320">
        <v>0.91</v>
      </c>
      <c r="R93" s="320" t="s">
        <v>296</v>
      </c>
      <c r="S93" s="71"/>
      <c r="T93" s="319"/>
      <c r="U93" s="71"/>
      <c r="V93" s="319"/>
      <c r="W93" s="71"/>
      <c r="X93" s="71"/>
      <c r="Y93" s="71"/>
    </row>
    <row r="94" ht="24.75" customHeight="1">
      <c r="A94" s="327"/>
      <c r="B94" s="71"/>
      <c r="C94" s="319"/>
      <c r="D94" s="71"/>
      <c r="E94" s="319"/>
      <c r="F94" s="71"/>
      <c r="G94" s="319" t="s">
        <v>319</v>
      </c>
      <c r="H94" s="319" t="b">
        <v>0</v>
      </c>
      <c r="I94" s="319" t="b">
        <v>0</v>
      </c>
      <c r="J94" s="71"/>
      <c r="K94" s="319"/>
      <c r="L94" s="321"/>
      <c r="M94" s="71"/>
      <c r="N94" s="285"/>
      <c r="O94" s="285"/>
      <c r="P94" s="285"/>
      <c r="Q94" s="320">
        <v>0.92</v>
      </c>
      <c r="R94" s="320" t="s">
        <v>299</v>
      </c>
      <c r="S94" s="71"/>
      <c r="T94" s="319"/>
      <c r="U94" s="71"/>
      <c r="V94" s="319"/>
      <c r="W94" s="71"/>
      <c r="X94" s="71"/>
      <c r="Y94" s="71"/>
    </row>
    <row r="95" ht="24.75" customHeight="1">
      <c r="A95" s="327"/>
      <c r="B95" s="71"/>
      <c r="C95" s="319"/>
      <c r="D95" s="71"/>
      <c r="E95" s="319"/>
      <c r="F95" s="71"/>
      <c r="G95" s="319" t="s">
        <v>320</v>
      </c>
      <c r="H95" s="319" t="b">
        <v>0</v>
      </c>
      <c r="I95" s="319" t="b">
        <v>0</v>
      </c>
      <c r="J95" s="71"/>
      <c r="K95" s="319"/>
      <c r="L95" s="321"/>
      <c r="M95" s="71"/>
      <c r="N95" s="285"/>
      <c r="O95" s="285"/>
      <c r="P95" s="285"/>
      <c r="Q95" s="320">
        <v>0.93</v>
      </c>
      <c r="R95" s="320" t="s">
        <v>300</v>
      </c>
      <c r="S95" s="71"/>
      <c r="T95" s="319"/>
      <c r="U95" s="71"/>
      <c r="V95" s="319"/>
      <c r="W95" s="71"/>
      <c r="X95" s="71"/>
      <c r="Y95" s="71"/>
    </row>
    <row r="96" ht="24.75" customHeight="1">
      <c r="A96" s="327"/>
      <c r="B96" s="71"/>
      <c r="C96" s="319"/>
      <c r="D96" s="71"/>
      <c r="E96" s="319"/>
      <c r="F96" s="71"/>
      <c r="G96" s="319" t="s">
        <v>321</v>
      </c>
      <c r="H96" s="319" t="b">
        <v>0</v>
      </c>
      <c r="I96" s="319" t="b">
        <v>0</v>
      </c>
      <c r="J96" s="71"/>
      <c r="K96" s="319"/>
      <c r="L96" s="321"/>
      <c r="M96" s="71"/>
      <c r="N96" s="285"/>
      <c r="O96" s="285"/>
      <c r="P96" s="285"/>
      <c r="Q96" s="320">
        <v>0.94</v>
      </c>
      <c r="R96" s="320" t="s">
        <v>302</v>
      </c>
      <c r="S96" s="71"/>
      <c r="T96" s="319"/>
      <c r="U96" s="71"/>
      <c r="V96" s="319"/>
      <c r="W96" s="71"/>
      <c r="X96" s="71"/>
      <c r="Y96" s="71"/>
    </row>
    <row r="97" ht="24.75" customHeight="1">
      <c r="A97" s="327"/>
      <c r="B97" s="71"/>
      <c r="C97" s="319"/>
      <c r="D97" s="71"/>
      <c r="E97" s="319"/>
      <c r="F97" s="71"/>
      <c r="G97" s="319" t="s">
        <v>322</v>
      </c>
      <c r="H97" s="319" t="b">
        <v>0</v>
      </c>
      <c r="I97" s="319" t="b">
        <v>0</v>
      </c>
      <c r="J97" s="71"/>
      <c r="K97" s="319"/>
      <c r="L97" s="321"/>
      <c r="M97" s="71"/>
      <c r="N97" s="285"/>
      <c r="O97" s="285"/>
      <c r="P97" s="285"/>
      <c r="Q97" s="320">
        <v>0.95</v>
      </c>
      <c r="R97" s="320" t="s">
        <v>302</v>
      </c>
      <c r="S97" s="71"/>
      <c r="T97" s="319"/>
      <c r="U97" s="71"/>
      <c r="V97" s="319"/>
      <c r="W97" s="71"/>
      <c r="X97" s="71"/>
      <c r="Y97" s="71"/>
    </row>
    <row r="98" ht="24.75" customHeight="1">
      <c r="A98" s="327"/>
      <c r="B98" s="71"/>
      <c r="C98" s="319"/>
      <c r="D98" s="71"/>
      <c r="E98" s="319"/>
      <c r="F98" s="71"/>
      <c r="G98" s="319" t="s">
        <v>323</v>
      </c>
      <c r="H98" s="319" t="b">
        <v>0</v>
      </c>
      <c r="I98" s="319" t="b">
        <v>0</v>
      </c>
      <c r="J98" s="71"/>
      <c r="K98" s="319"/>
      <c r="L98" s="321"/>
      <c r="M98" s="71"/>
      <c r="N98" s="285"/>
      <c r="O98" s="285"/>
      <c r="P98" s="285"/>
      <c r="Q98" s="320">
        <v>0.96</v>
      </c>
      <c r="R98" s="320" t="s">
        <v>302</v>
      </c>
      <c r="S98" s="71"/>
      <c r="T98" s="319"/>
      <c r="U98" s="71"/>
      <c r="V98" s="319"/>
      <c r="W98" s="71"/>
      <c r="X98" s="71"/>
      <c r="Y98" s="71"/>
    </row>
    <row r="99" ht="24.75" customHeight="1">
      <c r="A99" s="327"/>
      <c r="B99" s="71"/>
      <c r="C99" s="319"/>
      <c r="D99" s="71"/>
      <c r="E99" s="319"/>
      <c r="F99" s="71"/>
      <c r="G99" s="319" t="s">
        <v>320</v>
      </c>
      <c r="H99" s="319" t="b">
        <v>0</v>
      </c>
      <c r="I99" s="319" t="b">
        <v>0</v>
      </c>
      <c r="J99" s="71"/>
      <c r="K99" s="319"/>
      <c r="L99" s="321"/>
      <c r="M99" s="71"/>
      <c r="N99" s="285"/>
      <c r="O99" s="285"/>
      <c r="P99" s="285"/>
      <c r="Q99" s="320">
        <v>0.97</v>
      </c>
      <c r="R99" s="320" t="s">
        <v>302</v>
      </c>
      <c r="S99" s="71"/>
      <c r="T99" s="319"/>
      <c r="U99" s="71"/>
      <c r="V99" s="319"/>
      <c r="W99" s="71"/>
      <c r="X99" s="71"/>
      <c r="Y99" s="71"/>
    </row>
    <row r="100" ht="24.75" customHeight="1">
      <c r="A100" s="327"/>
      <c r="B100" s="71"/>
      <c r="C100" s="319"/>
      <c r="D100" s="71"/>
      <c r="E100" s="319"/>
      <c r="F100" s="71"/>
      <c r="G100" s="319" t="s">
        <v>324</v>
      </c>
      <c r="H100" s="319" t="b">
        <v>0</v>
      </c>
      <c r="I100" s="319" t="b">
        <v>0</v>
      </c>
      <c r="J100" s="71"/>
      <c r="K100" s="319"/>
      <c r="L100" s="321"/>
      <c r="M100" s="71"/>
      <c r="N100" s="285"/>
      <c r="O100" s="285"/>
      <c r="P100" s="285"/>
      <c r="Q100" s="320">
        <v>0.98</v>
      </c>
      <c r="R100" s="320" t="s">
        <v>302</v>
      </c>
      <c r="S100" s="71"/>
      <c r="T100" s="319"/>
      <c r="U100" s="71"/>
      <c r="V100" s="319"/>
      <c r="W100" s="71"/>
      <c r="X100" s="71"/>
      <c r="Y100" s="71"/>
    </row>
    <row r="101" ht="24.75" customHeight="1">
      <c r="A101" s="327"/>
      <c r="B101" s="71"/>
      <c r="C101" s="319"/>
      <c r="D101" s="71"/>
      <c r="E101" s="319"/>
      <c r="F101" s="71"/>
      <c r="G101" s="319" t="s">
        <v>325</v>
      </c>
      <c r="H101" s="319" t="b">
        <v>0</v>
      </c>
      <c r="I101" s="319" t="b">
        <v>0</v>
      </c>
      <c r="J101" s="71"/>
      <c r="K101" s="319"/>
      <c r="L101" s="321"/>
      <c r="M101" s="71"/>
      <c r="N101" s="285"/>
      <c r="O101" s="285"/>
      <c r="P101" s="285"/>
      <c r="Q101" s="320">
        <v>0.99</v>
      </c>
      <c r="R101" s="320" t="s">
        <v>302</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302</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326</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327</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327</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328</v>
      </c>
      <c r="E6" s="342"/>
      <c r="F6" s="342"/>
      <c r="G6" s="343"/>
      <c r="H6" s="344" t="s">
        <v>329</v>
      </c>
      <c r="I6" s="342"/>
      <c r="J6" s="342"/>
      <c r="K6" s="342"/>
      <c r="L6" s="342"/>
      <c r="M6" s="342"/>
      <c r="N6" s="342"/>
      <c r="O6" s="342"/>
      <c r="P6" s="342"/>
      <c r="Q6" s="342"/>
      <c r="R6" s="342"/>
      <c r="S6" s="342"/>
      <c r="T6" s="342"/>
      <c r="U6" s="345"/>
      <c r="V6" s="341" t="s">
        <v>330</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331</v>
      </c>
      <c r="C8" s="353" t="s">
        <v>332</v>
      </c>
      <c r="D8" s="354" t="s">
        <v>333</v>
      </c>
      <c r="E8" s="355" t="s">
        <v>334</v>
      </c>
      <c r="F8" s="356" t="s">
        <v>335</v>
      </c>
      <c r="G8" s="357" t="s">
        <v>336</v>
      </c>
      <c r="H8" s="358" t="s">
        <v>337</v>
      </c>
      <c r="I8" s="359" t="s">
        <v>338</v>
      </c>
      <c r="J8" s="360" t="s">
        <v>339</v>
      </c>
      <c r="K8" s="360" t="s">
        <v>340</v>
      </c>
      <c r="L8" s="360" t="s">
        <v>341</v>
      </c>
      <c r="M8" s="359" t="s">
        <v>342</v>
      </c>
      <c r="N8" s="360" t="s">
        <v>343</v>
      </c>
      <c r="O8" s="360" t="s">
        <v>344</v>
      </c>
      <c r="P8" s="359" t="s">
        <v>345</v>
      </c>
      <c r="Q8" s="360" t="s">
        <v>346</v>
      </c>
      <c r="R8" s="360" t="s">
        <v>347</v>
      </c>
      <c r="S8" s="360" t="s">
        <v>348</v>
      </c>
      <c r="T8" s="359" t="s">
        <v>349</v>
      </c>
      <c r="U8" s="361" t="s">
        <v>350</v>
      </c>
      <c r="V8" s="362" t="s">
        <v>351</v>
      </c>
      <c r="W8" s="363" t="s">
        <v>352</v>
      </c>
      <c r="X8" s="364" t="s">
        <v>353</v>
      </c>
      <c r="Y8" s="365" t="s">
        <v>354</v>
      </c>
      <c r="Z8" s="364" t="s">
        <v>355</v>
      </c>
      <c r="AA8" s="364" t="s">
        <v>356</v>
      </c>
      <c r="AB8" s="364" t="s">
        <v>357</v>
      </c>
      <c r="AC8" s="366" t="s">
        <v>358</v>
      </c>
    </row>
    <row r="9" ht="15.75" customHeight="1">
      <c r="A9" s="351">
        <v>1.0</v>
      </c>
      <c r="B9" s="367" t="s">
        <v>359</v>
      </c>
      <c r="C9" s="368" t="s">
        <v>360</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361</v>
      </c>
      <c r="C10" s="368" t="s">
        <v>362</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363</v>
      </c>
      <c r="C11" s="368" t="s">
        <v>364</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365</v>
      </c>
      <c r="C12" s="368" t="s">
        <v>366</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367</v>
      </c>
      <c r="C13" s="368" t="s">
        <v>368</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369</v>
      </c>
      <c r="C14" s="368" t="s">
        <v>370</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371</v>
      </c>
      <c r="C15" s="368" t="s">
        <v>372</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373</v>
      </c>
      <c r="C16" s="368" t="s">
        <v>374</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375</v>
      </c>
      <c r="C17" s="368" t="s">
        <v>376</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377</v>
      </c>
      <c r="C18" s="368" t="s">
        <v>378</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379</v>
      </c>
      <c r="C19" s="368" t="s">
        <v>380</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381</v>
      </c>
      <c r="C20" s="368" t="s">
        <v>382</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383</v>
      </c>
      <c r="C21" s="368" t="s">
        <v>384</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385</v>
      </c>
      <c r="C22" s="368" t="s">
        <v>386</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387</v>
      </c>
      <c r="C23" s="368" t="s">
        <v>388</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389</v>
      </c>
      <c r="C24" s="368" t="s">
        <v>390</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391</v>
      </c>
      <c r="C25" s="368" t="s">
        <v>392</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393</v>
      </c>
      <c r="C26" s="368" t="s">
        <v>394</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c r="C27" s="368"/>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c r="C28" s="368"/>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