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3040" windowHeight="9084" activeTab="2"/>
  </bookViews>
  <sheets>
    <sheet name="Wykresy" sheetId="5" r:id="rId1"/>
    <sheet name="Tablica" sheetId="1" r:id="rId2"/>
    <sheet name="DANE" sheetId="3" r:id="rId3"/>
  </sheets>
  <definedNames>
    <definedName name="Koszty">Tabela1[Całkowity koszt pokrycia strat (w tys dolarów)]</definedName>
  </definedName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F9" i="3"/>
  <c r="F23" i="3" l="1"/>
  <c r="B350" i="1" l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L14" i="3"/>
  <c r="F4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" i="3"/>
  <c r="B4" i="3"/>
  <c r="B5" i="3"/>
  <c r="L8" i="3" s="1"/>
  <c r="B2" i="3"/>
  <c r="H25" i="3" s="1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L3" i="3" l="1"/>
  <c r="L5" i="3"/>
  <c r="L6" i="3" s="1"/>
  <c r="L9" i="3"/>
  <c r="F11" i="3"/>
  <c r="A195" i="3" l="1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4" i="3"/>
  <c r="A3" i="3"/>
  <c r="A2" i="3"/>
  <c r="F25" i="3" l="1"/>
  <c r="F19" i="3"/>
  <c r="L18" i="3"/>
  <c r="F18" i="3"/>
  <c r="F17" i="3"/>
  <c r="F14" i="3"/>
  <c r="F13" i="3"/>
  <c r="L12" i="3"/>
  <c r="F12" i="3"/>
  <c r="L10" i="3"/>
  <c r="F10" i="3"/>
  <c r="F6" i="3"/>
  <c r="F5" i="3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4" i="1"/>
  <c r="B3" i="1"/>
  <c r="B2" i="1"/>
  <c r="F7" i="3" l="1"/>
  <c r="H8" i="3"/>
  <c r="F15" i="3"/>
  <c r="F24" i="3"/>
  <c r="F20" i="3"/>
  <c r="H21" i="3" l="1"/>
</calcChain>
</file>

<file path=xl/comments1.xml><?xml version="1.0" encoding="utf-8"?>
<comments xmlns="http://schemas.openxmlformats.org/spreadsheetml/2006/main">
  <authors>
    <author>Acer</author>
  </authors>
  <commentList>
    <comment ref="H25" authorId="0" shape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Dominanta wystąpila 4 razy w tym zakresie wartości</t>
        </r>
      </text>
    </comment>
  </commentList>
</comments>
</file>

<file path=xl/sharedStrings.xml><?xml version="1.0" encoding="utf-8"?>
<sst xmlns="http://schemas.openxmlformats.org/spreadsheetml/2006/main" count="1230" uniqueCount="440">
  <si>
    <t>ONEOK NGL PIPELINE LP</t>
  </si>
  <si>
    <t>PORTLAND PIPELINE CORP</t>
  </si>
  <si>
    <t>PETROLOGISTICS OLEFINS, LLC</t>
  </si>
  <si>
    <t>ENBRIDGE ENERGY, LIMITED PARTNERSHIP</t>
  </si>
  <si>
    <t>PLAINS PIPELINE, L.P.</t>
  </si>
  <si>
    <t>KINDER MORGAN LIQUID TERMINALS, LLC</t>
  </si>
  <si>
    <t>MOBIL CORP</t>
  </si>
  <si>
    <t>CONOCOPHILLIPS</t>
  </si>
  <si>
    <t>TARGA RESOURCES OPERATING LP</t>
  </si>
  <si>
    <t>NUSTAR LOGISTICS, L.P.</t>
  </si>
  <si>
    <t>JAYHAWK PIPELINE LLC</t>
  </si>
  <si>
    <t>PLAINS MARKETING, L.P.</t>
  </si>
  <si>
    <t>CCPS TRANSPORTATION, LLC</t>
  </si>
  <si>
    <t>MAGELLAN AMMONIA PIPELINE, L.P.</t>
  </si>
  <si>
    <t>SHELL PIPELINE CO., L.P.</t>
  </si>
  <si>
    <t>KOCH PIPELINE COMPANY, L.P.</t>
  </si>
  <si>
    <t>KIANTONE PIPELINE CORP</t>
  </si>
  <si>
    <t>PACIFIC PIPELINE SYSTEM LLC</t>
  </si>
  <si>
    <t>TE PRODUCTS PIPELINE COMPANY, LLC</t>
  </si>
  <si>
    <t>MAGELLAN PIPELINE COMPANY, LP</t>
  </si>
  <si>
    <t>EXPLORER PIPELINE CO</t>
  </si>
  <si>
    <t>PLANTATION PIPE LINE CO</t>
  </si>
  <si>
    <t>NUSTAR PIPELINE OPERATING PARTNERSHIP L.P.</t>
  </si>
  <si>
    <t>LOOP INC</t>
  </si>
  <si>
    <t>BELLE FOURCHE PIPELINE CO</t>
  </si>
  <si>
    <t>SEMGROUP LP</t>
  </si>
  <si>
    <t>WEST SHORE PIPELINE CO</t>
  </si>
  <si>
    <t>BUCKEYE PARTNERS, LP</t>
  </si>
  <si>
    <t>SUNOCO PIPELINE L.P.</t>
  </si>
  <si>
    <t>LDH ENERGY PIPELINE L.P.</t>
  </si>
  <si>
    <t>COLONIAL PIPELINE CO</t>
  </si>
  <si>
    <t>ENBRIDGE PIPELINES (NORTH DAKOTA) LLC</t>
  </si>
  <si>
    <t>CHAPARRAL ENERGY, LLC</t>
  </si>
  <si>
    <t>ENTERPRISE PRODUCTS OPERATING LLC</t>
  </si>
  <si>
    <t>EXXONMOBIL PIPELINE CO</t>
  </si>
  <si>
    <t>SINCLAIR TRANSPORTATION COMPANY</t>
  </si>
  <si>
    <t>TEPPCO CRUDE PIPELINE, LLC</t>
  </si>
  <si>
    <t>SFPP, LP</t>
  </si>
  <si>
    <t>ENBRIDGE PIPELINES (OZARK) L.L.C.</t>
  </si>
  <si>
    <t>BP PIPELINE (NORTH AMERICA) INC.</t>
  </si>
  <si>
    <t>SUNOCO, INC (R&amp;M)</t>
  </si>
  <si>
    <t>WHITECAP PIPE LINE COMPANY, L.L.C.</t>
  </si>
  <si>
    <t>PROGRESS ENERGY</t>
  </si>
  <si>
    <t>KINDER MORGAN PIPELINES (USA) INC</t>
  </si>
  <si>
    <t>BRIDGER LAKE, LLC</t>
  </si>
  <si>
    <t>CHEVRON PIPE LINE CO</t>
  </si>
  <si>
    <t>CHEVRON PRODUCTS COMPANY</t>
  </si>
  <si>
    <t>VALERO TERMINALING AND DISTRIBUTION COMPANY</t>
  </si>
  <si>
    <t>MARATHON PIPE LINE LLC</t>
  </si>
  <si>
    <t>HOUSTON REFINING LP.</t>
  </si>
  <si>
    <t>CALNEV PIPELINE CO</t>
  </si>
  <si>
    <t>KINDER MORGAN CO2 CO. LP</t>
  </si>
  <si>
    <t>TC OIL PIPELINE OPERATIONS INC</t>
  </si>
  <si>
    <t>MAGELLAN TERMINALS HOLDINGS, LP</t>
  </si>
  <si>
    <t>ALYESKA PIPELINE SERVICE CO</t>
  </si>
  <si>
    <t>ROCKY MOUNTAIN PIPELINE SYSTEM, LLC</t>
  </si>
  <si>
    <t>AMOCO OIL CO</t>
  </si>
  <si>
    <t>CITGO PRODUCTS PIPELINE CO</t>
  </si>
  <si>
    <t>SUNCOR ENERGY (USA) PIPELINE CO.</t>
  </si>
  <si>
    <t>WEST TEXAS GULF PIPELINE CO</t>
  </si>
  <si>
    <t>DIXIE PIPELINE</t>
  </si>
  <si>
    <t>OXY USA INC</t>
  </si>
  <si>
    <t>WHITE CLIFFS PIPELINE, LLC</t>
  </si>
  <si>
    <t>CITGO PIPELINE CO</t>
  </si>
  <si>
    <t>CENEX PIPELINE LLC</t>
  </si>
  <si>
    <t>NUSTAR TERMINALS OPERATIONS PARTNERSHIP L. P.</t>
  </si>
  <si>
    <t>LDH ENERGY MONT BELVIEU L.P.</t>
  </si>
  <si>
    <t>KINDER MORGAN ENERGY PARTNERS, L.P.</t>
  </si>
  <si>
    <t>CENTURION PIPELINE L.P.</t>
  </si>
  <si>
    <t>HARBOR PIPELINE CO</t>
  </si>
  <si>
    <t>ENTERPRISE CRUDE PIPELINE LLC</t>
  </si>
  <si>
    <t>BP WEST COAST PRODUCTS L.L.C.</t>
  </si>
  <si>
    <t>COFFEYVILLE RESOURCES CRUDE TRANSPORTATION, LLC</t>
  </si>
  <si>
    <t>ROADRUNNER PIPELINE, L.L.C.</t>
  </si>
  <si>
    <t>DENBURY ONSHORE, LLC</t>
  </si>
  <si>
    <t>OILTANKING, HOUSTON LP</t>
  </si>
  <si>
    <t>MUSTANG PIPE LINE PARTNERS</t>
  </si>
  <si>
    <t>MID . VALLEY PIPELINE CO</t>
  </si>
  <si>
    <t>EXXONMOBIL OIL CORP . WEST COAST</t>
  </si>
  <si>
    <t>TESORO . HIGH PLAINS PIPELINE COMPANY</t>
  </si>
  <si>
    <t>UNOCAL PIPELINE CO . EASTERN REGION</t>
  </si>
  <si>
    <t>MID.CONTINENT FRACTIONATION AND STORAGE, L.L.C.</t>
  </si>
  <si>
    <t>MCPHERSON</t>
  </si>
  <si>
    <t>RAYMOND</t>
  </si>
  <si>
    <t>SULPHER</t>
  </si>
  <si>
    <t>SUPERIOR</t>
  </si>
  <si>
    <t>DOUGLAS</t>
  </si>
  <si>
    <t>SHERMAN</t>
  </si>
  <si>
    <t>NECHE</t>
  </si>
  <si>
    <t>GALENA PARK</t>
  </si>
  <si>
    <t>HULL</t>
  </si>
  <si>
    <t>PASADENA</t>
  </si>
  <si>
    <t>LAKE CHARLES</t>
  </si>
  <si>
    <t>TAFT</t>
  </si>
  <si>
    <t>CHASE</t>
  </si>
  <si>
    <t>CUSHING</t>
  </si>
  <si>
    <t>LINCOLN</t>
  </si>
  <si>
    <t>RUSHVILLE</t>
  </si>
  <si>
    <t>PAWNEE</t>
  </si>
  <si>
    <t>SORRENTO</t>
  </si>
  <si>
    <t>MENAHGA</t>
  </si>
  <si>
    <t>GOWANDA</t>
  </si>
  <si>
    <t>CARSON</t>
  </si>
  <si>
    <t>ELLIS</t>
  </si>
  <si>
    <t>PRINCETON</t>
  </si>
  <si>
    <t>AURORA</t>
  </si>
  <si>
    <t>HARTFORD</t>
  </si>
  <si>
    <t>GREENSBURG</t>
  </si>
  <si>
    <t>COLLINS</t>
  </si>
  <si>
    <t>EL DORADO</t>
  </si>
  <si>
    <t>CUT OFF</t>
  </si>
  <si>
    <t>PORT ARTHUR</t>
  </si>
  <si>
    <t>DICKINSON</t>
  </si>
  <si>
    <t>HARPER</t>
  </si>
  <si>
    <t>MILWAUKEE</t>
  </si>
  <si>
    <t>LAKE ARTHUR</t>
  </si>
  <si>
    <t>BATON ROUGE</t>
  </si>
  <si>
    <t>WAYNE</t>
  </si>
  <si>
    <t>KANSAS CITY</t>
  </si>
  <si>
    <t>LINDEN</t>
  </si>
  <si>
    <t>LONGVIEW</t>
  </si>
  <si>
    <t>MCCAMEY</t>
  </si>
  <si>
    <t>BIG SPRING</t>
  </si>
  <si>
    <t>SPOKANE</t>
  </si>
  <si>
    <t>COUNCIL BLUFFS</t>
  </si>
  <si>
    <t>POND CREEK</t>
  </si>
  <si>
    <t>CLEARBROOK</t>
  </si>
  <si>
    <t>HAYNE</t>
  </si>
  <si>
    <t>SULPHUR</t>
  </si>
  <si>
    <t>CARROLLTON</t>
  </si>
  <si>
    <t>CORSICANA</t>
  </si>
  <si>
    <t>MILFORD</t>
  </si>
  <si>
    <t>COMYN</t>
  </si>
  <si>
    <t>HOBBS</t>
  </si>
  <si>
    <t>WHITE OAK</t>
  </si>
  <si>
    <t>SACRAMENTO</t>
  </si>
  <si>
    <t>METTLER</t>
  </si>
  <si>
    <t>MOKENA</t>
  </si>
  <si>
    <t>TEXAS CITY</t>
  </si>
  <si>
    <t>JACKSON</t>
  </si>
  <si>
    <t>WESTLAKE</t>
  </si>
  <si>
    <t>PHILADELPHIA</t>
  </si>
  <si>
    <t>BORGER</t>
  </si>
  <si>
    <t>ST PETERSBURG</t>
  </si>
  <si>
    <t>BOURBONNAIS</t>
  </si>
  <si>
    <t>SALISBURY</t>
  </si>
  <si>
    <t>CHARLOTTE COURTHOUSE</t>
  </si>
  <si>
    <t>GOWER</t>
  </si>
  <si>
    <t>TULSA</t>
  </si>
  <si>
    <t>ROBERTSON</t>
  </si>
  <si>
    <t>PHAROAH</t>
  </si>
  <si>
    <t>VENICE</t>
  </si>
  <si>
    <t>PLAQUEMINE</t>
  </si>
  <si>
    <t>LOUISVILLE</t>
  </si>
  <si>
    <t>WALNUT SPRINGS</t>
  </si>
  <si>
    <t>GREEN RIDGE</t>
  </si>
  <si>
    <t>HERMLEIGH</t>
  </si>
  <si>
    <t>CASHION</t>
  </si>
  <si>
    <t>LOUDON</t>
  </si>
  <si>
    <t>SEYMOUR</t>
  </si>
  <si>
    <t>BEAUMONT</t>
  </si>
  <si>
    <t>QULIN</t>
  </si>
  <si>
    <t>REFUGIO</t>
  </si>
  <si>
    <t>DEER RIVER</t>
  </si>
  <si>
    <t>PEMBERTON</t>
  </si>
  <si>
    <t>SOLOMON</t>
  </si>
  <si>
    <t>SAMARIA</t>
  </si>
  <si>
    <t>OLATHE</t>
  </si>
  <si>
    <t>TWIN FALLS</t>
  </si>
  <si>
    <t>AUSTELL</t>
  </si>
  <si>
    <t>HOUSTON</t>
  </si>
  <si>
    <t>SCHALLER</t>
  </si>
  <si>
    <t>TOWANDA</t>
  </si>
  <si>
    <t>SAN  PEDRO  CALIFORNIA</t>
  </si>
  <si>
    <t>LAS VEGAS</t>
  </si>
  <si>
    <t>TIOGA</t>
  </si>
  <si>
    <t>DENVER CITY</t>
  </si>
  <si>
    <t>CRANE</t>
  </si>
  <si>
    <t>ST. JAMES</t>
  </si>
  <si>
    <t>GRAHAM</t>
  </si>
  <si>
    <t>AVENEL</t>
  </si>
  <si>
    <t>GORDON</t>
  </si>
  <si>
    <t>HUDSON</t>
  </si>
  <si>
    <t>EAST SPARTA</t>
  </si>
  <si>
    <t xml:space="preserve">CARPENTER </t>
  </si>
  <si>
    <t>COLORADO CITY</t>
  </si>
  <si>
    <t>DELTA JUNCTION</t>
  </si>
  <si>
    <t>COMMERCE CITY</t>
  </si>
  <si>
    <t xml:space="preserve">CONSTANTINE </t>
  </si>
  <si>
    <t>SPARTANBURG</t>
  </si>
  <si>
    <t>MCKITTRICK</t>
  </si>
  <si>
    <t>DAYTON</t>
  </si>
  <si>
    <t>GOLDSMITH</t>
  </si>
  <si>
    <t>MCCLOUD</t>
  </si>
  <si>
    <t>ALBANY</t>
  </si>
  <si>
    <t>VICTORIA</t>
  </si>
  <si>
    <t>GRENORA</t>
  </si>
  <si>
    <t>ASHMORE</t>
  </si>
  <si>
    <t>NORCO</t>
  </si>
  <si>
    <t>MARSHFIELD</t>
  </si>
  <si>
    <t>NORTH AUGUSTA</t>
  </si>
  <si>
    <t>SALT LAKE CITY</t>
  </si>
  <si>
    <t xml:space="preserve">CHEYENNE </t>
  </si>
  <si>
    <t>COLMESNEIL</t>
  </si>
  <si>
    <t xml:space="preserve">HOWARD </t>
  </si>
  <si>
    <t>GRAMERCY</t>
  </si>
  <si>
    <t>LIMA</t>
  </si>
  <si>
    <t>STRAWN</t>
  </si>
  <si>
    <t>LIVINGSTON</t>
  </si>
  <si>
    <t>OMAHA</t>
  </si>
  <si>
    <t>LANGDON</t>
  </si>
  <si>
    <t>DRUMRIGHT</t>
  </si>
  <si>
    <t>THOMSON</t>
  </si>
  <si>
    <t xml:space="preserve">LA HABRA HEIGHTS </t>
  </si>
  <si>
    <t>THOMAS</t>
  </si>
  <si>
    <t>BOWLING GREEN</t>
  </si>
  <si>
    <t>LAPORTE</t>
  </si>
  <si>
    <t>ROXANA</t>
  </si>
  <si>
    <t>ROCKVILLE</t>
  </si>
  <si>
    <t>CARTERET</t>
  </si>
  <si>
    <t>ROCKLIN</t>
  </si>
  <si>
    <t>PICKRELL</t>
  </si>
  <si>
    <t>SOUR LAKE</t>
  </si>
  <si>
    <t>CASS LAKE</t>
  </si>
  <si>
    <t>BILLINGS</t>
  </si>
  <si>
    <t>HAVEN</t>
  </si>
  <si>
    <t>FOUNTAIN</t>
  </si>
  <si>
    <t>RANGER</t>
  </si>
  <si>
    <t>MARCUS HOOK</t>
  </si>
  <si>
    <t>OREGON</t>
  </si>
  <si>
    <t>PAOLI</t>
  </si>
  <si>
    <t>MIDLAND</t>
  </si>
  <si>
    <t>BROOKLYN</t>
  </si>
  <si>
    <t>HAMMOND</t>
  </si>
  <si>
    <t>DUNCAN</t>
  </si>
  <si>
    <t>ELKHART</t>
  </si>
  <si>
    <t>HARTINGTON</t>
  </si>
  <si>
    <t>PASEDENA</t>
  </si>
  <si>
    <t>SHERWOOD</t>
  </si>
  <si>
    <t>GLENPOOL</t>
  </si>
  <si>
    <t>RICHLAND</t>
  </si>
  <si>
    <t>MONT BELVIEU</t>
  </si>
  <si>
    <t>BAYTOWN</t>
  </si>
  <si>
    <t>EVANSVILLE</t>
  </si>
  <si>
    <t>GILBOA</t>
  </si>
  <si>
    <t>FRIENDSWOOD</t>
  </si>
  <si>
    <t>WICHITA FALLS</t>
  </si>
  <si>
    <t xml:space="preserve">HUGOTON </t>
  </si>
  <si>
    <t>N/A</t>
  </si>
  <si>
    <t>COLDFOOT</t>
  </si>
  <si>
    <t>ARKANSAS CITY</t>
  </si>
  <si>
    <t>MARINQOUIN</t>
  </si>
  <si>
    <t>WINDOM</t>
  </si>
  <si>
    <t>ROMEOVILLE</t>
  </si>
  <si>
    <t>FOWLERVILLE</t>
  </si>
  <si>
    <t>ST JAMES</t>
  </si>
  <si>
    <t>ANSON</t>
  </si>
  <si>
    <t>WYOMING</t>
  </si>
  <si>
    <t>WILLIS</t>
  </si>
  <si>
    <t>MARTINSVILLE</t>
  </si>
  <si>
    <t>PT. ARTHUR</t>
  </si>
  <si>
    <t>SEMINOLE</t>
  </si>
  <si>
    <t>BRECKENRIDGE</t>
  </si>
  <si>
    <t>INDIAN BAYOU</t>
  </si>
  <si>
    <t>ST. CLAIR</t>
  </si>
  <si>
    <t>LEVELLAND</t>
  </si>
  <si>
    <t>PERTH AMBOY</t>
  </si>
  <si>
    <t>MANSFIELD TOWNSHIP</t>
  </si>
  <si>
    <t>SANTO</t>
  </si>
  <si>
    <t>FOX</t>
  </si>
  <si>
    <t>HOPE</t>
  </si>
  <si>
    <t>CREAL SPRINGS</t>
  </si>
  <si>
    <t>WHITEWRIGHT</t>
  </si>
  <si>
    <t>POMONA</t>
  </si>
  <si>
    <t>ODESSA</t>
  </si>
  <si>
    <t>PURCELL</t>
  </si>
  <si>
    <t>CHICO</t>
  </si>
  <si>
    <t>ARGO</t>
  </si>
  <si>
    <t>CROSBY</t>
  </si>
  <si>
    <t>HEALDTON</t>
  </si>
  <si>
    <t>FLOODWOOD</t>
  </si>
  <si>
    <t>SIGNAL HILL</t>
  </si>
  <si>
    <t>SAVAGE</t>
  </si>
  <si>
    <t>ENID</t>
  </si>
  <si>
    <t xml:space="preserve">COLDWATER </t>
  </si>
  <si>
    <t>EARLY</t>
  </si>
  <si>
    <t>DIBOLL</t>
  </si>
  <si>
    <t>FREEPORT</t>
  </si>
  <si>
    <t>VINTON</t>
  </si>
  <si>
    <t>MOUNDVILLE</t>
  </si>
  <si>
    <t>NEW WAVERLY</t>
  </si>
  <si>
    <t>SUBLETTE</t>
  </si>
  <si>
    <t>WEST COLUMBIA</t>
  </si>
  <si>
    <t>MILLERSBURG</t>
  </si>
  <si>
    <t>LONG BEACH</t>
  </si>
  <si>
    <t>KNOX CITY</t>
  </si>
  <si>
    <t>NORTH BRANCH</t>
  </si>
  <si>
    <t>NEW DOUGLAS</t>
  </si>
  <si>
    <t>NORTH ENGLISH</t>
  </si>
  <si>
    <t>WOODBINE</t>
  </si>
  <si>
    <t>VAN</t>
  </si>
  <si>
    <t>FARGO</t>
  </si>
  <si>
    <t xml:space="preserve">WOOD RIVER </t>
  </si>
  <si>
    <t>POCASSET</t>
  </si>
  <si>
    <t>COPAN</t>
  </si>
  <si>
    <t>TRIMONT</t>
  </si>
  <si>
    <t>TAYLOR</t>
  </si>
  <si>
    <t>EAGLEVILLE</t>
  </si>
  <si>
    <t>LOCKPORT</t>
  </si>
  <si>
    <t>SUNDOWN</t>
  </si>
  <si>
    <t>EUREKA</t>
  </si>
  <si>
    <t>MAYERSVILLE</t>
  </si>
  <si>
    <t>KINDER</t>
  </si>
  <si>
    <t>GENEVA</t>
  </si>
  <si>
    <t>TRENTON</t>
  </si>
  <si>
    <t>GARNER</t>
  </si>
  <si>
    <t>INCORRECT OPERATION</t>
  </si>
  <si>
    <t>MATERIAL/WELD/EQUIP FAILURE</t>
  </si>
  <si>
    <t>NATURAL FORCE DAMAGE</t>
  </si>
  <si>
    <t>EXCAVATION DAMAGE</t>
  </si>
  <si>
    <t>ALL OTHER CAUSES</t>
  </si>
  <si>
    <t>CORROSION</t>
  </si>
  <si>
    <t>OTHER OUTSIDE FORCE DAMAGE</t>
  </si>
  <si>
    <t>0.24</t>
  </si>
  <si>
    <t>0.48</t>
  </si>
  <si>
    <t>0.04</t>
  </si>
  <si>
    <t>0.89</t>
  </si>
  <si>
    <t>0.6</t>
  </si>
  <si>
    <t>0.05</t>
  </si>
  <si>
    <t>0.71</t>
  </si>
  <si>
    <t>0.5</t>
  </si>
  <si>
    <t>0.8</t>
  </si>
  <si>
    <t>0.31</t>
  </si>
  <si>
    <t>0.95</t>
  </si>
  <si>
    <t>0.12</t>
  </si>
  <si>
    <t>42.88</t>
  </si>
  <si>
    <t>0.11</t>
  </si>
  <si>
    <t>0.17</t>
  </si>
  <si>
    <t>0.02</t>
  </si>
  <si>
    <t>0.75</t>
  </si>
  <si>
    <t>0.1</t>
  </si>
  <si>
    <t>0.36</t>
  </si>
  <si>
    <t>0.53</t>
  </si>
  <si>
    <t>0.25</t>
  </si>
  <si>
    <t>0.01</t>
  </si>
  <si>
    <t>0.88</t>
  </si>
  <si>
    <t>0.19</t>
  </si>
  <si>
    <t>0.14</t>
  </si>
  <si>
    <t>36.14</t>
  </si>
  <si>
    <t>0.52</t>
  </si>
  <si>
    <t>0.4</t>
  </si>
  <si>
    <t>33.8</t>
  </si>
  <si>
    <t>0.03</t>
  </si>
  <si>
    <t>0.37</t>
  </si>
  <si>
    <t>0.85</t>
  </si>
  <si>
    <t>0.16</t>
  </si>
  <si>
    <t>489.7</t>
  </si>
  <si>
    <t>0.98</t>
  </si>
  <si>
    <t>0.42</t>
  </si>
  <si>
    <t>0.29</t>
  </si>
  <si>
    <t>Rok wypadku</t>
  </si>
  <si>
    <t>Data wypadku</t>
  </si>
  <si>
    <t>Miasto wypadku</t>
  </si>
  <si>
    <t>Czysta strata (w baryłkach)</t>
  </si>
  <si>
    <t>Przyczyna wypadku</t>
  </si>
  <si>
    <t>Etykiety wierszy</t>
  </si>
  <si>
    <t>Suma końcowa</t>
  </si>
  <si>
    <t>2010 Suma</t>
  </si>
  <si>
    <t>Średnia arytmetyczna kosztów       --&gt;</t>
  </si>
  <si>
    <t>Wariancja kosztów                            --&gt;</t>
  </si>
  <si>
    <t>Odchylenie standardowe kosztów  --&gt;</t>
  </si>
  <si>
    <t>Typowy obszar zmienności kosztów --&gt;</t>
  </si>
  <si>
    <t>Klasyczny współczynnik zmienności kosztów                                             --&gt;</t>
  </si>
  <si>
    <t>x_typ</t>
  </si>
  <si>
    <t>Klasyczny współczynnik asymetrii kosztów                             --&gt;</t>
  </si>
  <si>
    <t>Klasyczny współczynnik koncentracji kosztów                        --&gt;</t>
  </si>
  <si>
    <t>kurtoza</t>
  </si>
  <si>
    <t>skosność</t>
  </si>
  <si>
    <t>Maksimum kosztów</t>
  </si>
  <si>
    <t>Minimum kosztów</t>
  </si>
  <si>
    <t>Suma kosztów</t>
  </si>
  <si>
    <t>Licznik kosztów</t>
  </si>
  <si>
    <t>Zakres kosztów</t>
  </si>
  <si>
    <t>MIARY KLASYCZNE</t>
  </si>
  <si>
    <t>S</t>
  </si>
  <si>
    <t>Vx</t>
  </si>
  <si>
    <t>xtyp</t>
  </si>
  <si>
    <t>As</t>
  </si>
  <si>
    <t>K</t>
  </si>
  <si>
    <t>Maks</t>
  </si>
  <si>
    <t>Min</t>
  </si>
  <si>
    <t>Suma</t>
  </si>
  <si>
    <t>Licznik</t>
  </si>
  <si>
    <t>Zakres</t>
  </si>
  <si>
    <t>Kwartyl 1 kosztów</t>
  </si>
  <si>
    <t>Mediana kosztów(kwartyl 2)</t>
  </si>
  <si>
    <t>Kwartyl 3 kosztów</t>
  </si>
  <si>
    <t>Odchylenie ćwiartkowe</t>
  </si>
  <si>
    <t>Pozycyjny typowy obszar zmienności kosztów</t>
  </si>
  <si>
    <t>Pozycyjny współczynnik zmienności kosztów</t>
  </si>
  <si>
    <t>Pozycyjny współczynnik asymetrii kosztów</t>
  </si>
  <si>
    <t>Rozstęp</t>
  </si>
  <si>
    <t>Dominanta</t>
  </si>
  <si>
    <t>MIARY POZYCYJNE</t>
  </si>
  <si>
    <t>Q1</t>
  </si>
  <si>
    <t>Q3</t>
  </si>
  <si>
    <t>Q</t>
  </si>
  <si>
    <t>R</t>
  </si>
  <si>
    <t>D</t>
  </si>
  <si>
    <t>Symbol</t>
  </si>
  <si>
    <t>Wartość2</t>
  </si>
  <si>
    <t>Q2/Me</t>
  </si>
  <si>
    <t>Aq</t>
  </si>
  <si>
    <t>Vq</t>
  </si>
  <si>
    <t>&lt; x_typ &lt;</t>
  </si>
  <si>
    <t>S^2</t>
  </si>
  <si>
    <t>x_śr</t>
  </si>
  <si>
    <t>Nazwa rurociągu</t>
  </si>
  <si>
    <t>ID rurociągu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</si>
  <si>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</si>
  <si>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</si>
  <si>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</si>
  <si>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</si>
  <si>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</si>
  <si>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</si>
  <si>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</si>
  <si>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</si>
  <si>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</si>
  <si>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</si>
  <si>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</si>
  <si>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</si>
  <si>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Całkowity koszt pokrycia strat ( w dolarach)</t>
  </si>
  <si>
    <t>Koszt pokrycia strat (w tys dolarów)</t>
  </si>
  <si>
    <t>Wartość( w tys.$)</t>
  </si>
  <si>
    <t>Wartość w tys. $</t>
  </si>
  <si>
    <t>Całkowity koszt pokrycia strat (w tys dolarów)</t>
  </si>
  <si>
    <t>Koszt w dolarach</t>
  </si>
  <si>
    <t>Suma z Całkowity koszt pokrycia strat (w tys dolarów)</t>
  </si>
  <si>
    <t>Liczba z Całkowity koszt pokrycia strat (w tys dolarów)</t>
  </si>
  <si>
    <t>Średnia z Całkowity koszt pokrycia strat (w tys dolarów)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</si>
</sst>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22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 indent="1"/>
    </xf>
    <xf numFmtId="9" fontId="0" fillId="0" borderId="0" xfId="1" applyFont="1"/>
    <xf numFmtId="0" fontId="0" fillId="0" borderId="2" xfId="0" applyFont="1" applyBorder="1"/>
    <xf numFmtId="14" fontId="0" fillId="0" borderId="1" xfId="0" applyNumberFormat="1" applyFont="1" applyBorder="1" applyAlignment="1">
      <alignment horizontal="right"/>
    </xf>
    <xf numFmtId="14" fontId="0" fillId="0" borderId="3" xfId="0" applyNumberFormat="1" applyFont="1" applyBorder="1" applyAlignment="1">
      <alignment horizontal="right"/>
    </xf>
    <xf numFmtId="0" fontId="0" fillId="0" borderId="4" xfId="0" applyFont="1" applyBorder="1"/>
    <xf numFmtId="0" fontId="6" fillId="0" borderId="0" xfId="0" applyFont="1" applyAlignment="1">
      <alignment vertical="center"/>
    </xf>
    <xf numFmtId="9" fontId="0" fillId="0" borderId="0" xfId="0" applyNumberFormat="1"/>
  </cellXfs>
  <cellStyles count="2">
    <cellStyle name="Normalny" xfId="0" builtinId="0"/>
    <cellStyle name="Procentowy" xfId="1" builtinId="5"/>
  </cellStyles>
  <dxfs count="6"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[Wypadki przy transporcie rurociągowym w USA w 2010 r..xlsx]Wykresy!Tabela przestawna10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Suma strat pieniężnych poniesionych w wypadkach w poszczególnych miesiącach 2010 r</a:t>
            </a:r>
            <a:r>
              <a:rPr lang="pl-PL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6666666666666666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6666666666666666E-2"/>
              <c:y val="-3.70370370370370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3757891559612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37578915596078E-3"/>
              <c:y val="-4.56349291904004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8.321273674678822E-3"/>
              <c:y val="-1.82539716761602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7737578915597093E-3"/>
              <c:y val="-2.73809575142403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Wykresy!$B$1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480-4929-8357-EA9F70C5EEE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480-4929-8357-EA9F70C5EEE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480-4929-8357-EA9F70C5EEE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480-4929-8357-EA9F70C5EEE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480-4929-8357-EA9F70C5EEE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480-4929-8357-EA9F70C5EEE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1480-4929-8357-EA9F70C5EEE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480-4929-8357-EA9F70C5EEE2}"/>
              </c:ext>
            </c:extLst>
          </c:dPt>
          <c:dLbls>
            <c:dLbl>
              <c:idx val="1"/>
              <c:layout>
                <c:manualLayout>
                  <c:x val="8.3333333333333332E-3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80-4929-8357-EA9F70C5EEE2}"/>
                </c:ext>
              </c:extLst>
            </c:dLbl>
            <c:dLbl>
              <c:idx val="2"/>
              <c:layout>
                <c:manualLayout>
                  <c:x val="0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80-4929-8357-EA9F70C5EEE2}"/>
                </c:ext>
              </c:extLst>
            </c:dLbl>
            <c:dLbl>
              <c:idx val="3"/>
              <c:layout>
                <c:manualLayout>
                  <c:x val="-1.6666666666666666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80-4929-8357-EA9F70C5EEE2}"/>
                </c:ext>
              </c:extLst>
            </c:dLbl>
            <c:dLbl>
              <c:idx val="4"/>
              <c:layout>
                <c:manualLayout>
                  <c:x val="-1.6666666666666666E-2"/>
                  <c:y val="-3.7037037037037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80-4929-8357-EA9F70C5EEE2}"/>
                </c:ext>
              </c:extLst>
            </c:dLbl>
            <c:dLbl>
              <c:idx val="5"/>
              <c:layout>
                <c:manualLayout>
                  <c:x val="2.773757891559612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80-4929-8357-EA9F70C5EEE2}"/>
                </c:ext>
              </c:extLst>
            </c:dLbl>
            <c:dLbl>
              <c:idx val="6"/>
              <c:layout>
                <c:manualLayout>
                  <c:x val="2.7737578915596078E-3"/>
                  <c:y val="-4.56349291904004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80-4929-8357-EA9F70C5EEE2}"/>
                </c:ext>
              </c:extLst>
            </c:dLbl>
            <c:dLbl>
              <c:idx val="7"/>
              <c:layout>
                <c:manualLayout>
                  <c:x val="-8.321273674678822E-3"/>
                  <c:y val="-1.82539716761602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80-4929-8357-EA9F70C5EEE2}"/>
                </c:ext>
              </c:extLst>
            </c:dLbl>
            <c:dLbl>
              <c:idx val="10"/>
              <c:layout>
                <c:manualLayout>
                  <c:x val="-2.7737578915597093E-3"/>
                  <c:y val="-2.7380957514240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80-4929-8357-EA9F70C5EE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Wykresy!$A$2:$A$16</c:f>
              <c:multiLvlStrCache>
                <c:ptCount val="12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</c:lvl>
                <c:lvl>
                  <c:pt idx="0">
                    <c:v>2010</c:v>
                  </c:pt>
                </c:lvl>
              </c:multiLvlStrCache>
            </c:multiLvlStrRef>
          </c:cat>
          <c:val>
            <c:numRef>
              <c:f>Wykresy!$B$2:$B$16</c:f>
              <c:numCache>
                <c:formatCode>0.00</c:formatCode>
                <c:ptCount val="12"/>
                <c:pt idx="0">
                  <c:v>13311.246999999998</c:v>
                </c:pt>
                <c:pt idx="1">
                  <c:v>2343.0680000000002</c:v>
                </c:pt>
                <c:pt idx="2">
                  <c:v>4741.9389999999994</c:v>
                </c:pt>
                <c:pt idx="3">
                  <c:v>21969.59499999999</c:v>
                </c:pt>
                <c:pt idx="4">
                  <c:v>34972.047999999995</c:v>
                </c:pt>
                <c:pt idx="5">
                  <c:v>34895.793999999994</c:v>
                </c:pt>
                <c:pt idx="6">
                  <c:v>3667.9220000000005</c:v>
                </c:pt>
                <c:pt idx="7">
                  <c:v>16701.603000000003</c:v>
                </c:pt>
                <c:pt idx="8">
                  <c:v>48557.832999999999</c:v>
                </c:pt>
                <c:pt idx="9">
                  <c:v>507.52399999999994</c:v>
                </c:pt>
                <c:pt idx="10">
                  <c:v>3781.2939999999999</c:v>
                </c:pt>
                <c:pt idx="11">
                  <c:v>49218.00499999999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5-43EB-8F37-5F1E246872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0256624"/>
        <c:axId val="490252688"/>
        <c:axId val="0"/>
      </c:bar3DChart>
      <c:catAx>
        <c:axId val="49025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252688"/>
        <c:crosses val="autoZero"/>
        <c:auto val="1"/>
        <c:lblAlgn val="ctr"/>
        <c:lblOffset val="100"/>
        <c:noMultiLvlLbl val="0"/>
      </c:catAx>
      <c:valAx>
        <c:axId val="4902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25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[Wypadki przy transporcie rurociągowym w USA w 2010 r..xlsx]Wykresy!Tabela przestawna14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Liczba</a:t>
            </a:r>
            <a:r>
              <a:rPr lang="pl-PL" sz="1200" baseline="0"/>
              <a:t> wypadków przy transporcie rurociągowym ropy w poszczególnych miesiącach 2010 r.</a:t>
            </a:r>
            <a:endParaRPr lang="pl-PL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Wykresy!$E$1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Wykresy!$D$2:$D$16</c:f>
              <c:multiLvlStrCache>
                <c:ptCount val="12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</c:lvl>
                <c:lvl>
                  <c:pt idx="0">
                    <c:v>2010</c:v>
                  </c:pt>
                </c:lvl>
              </c:multiLvlStrCache>
            </c:multiLvlStrRef>
          </c:cat>
          <c:val>
            <c:numRef>
              <c:f>Wykresy!$E$2:$E$16</c:f>
              <c:numCache>
                <c:formatCode>General</c:formatCode>
                <c:ptCount val="12"/>
                <c:pt idx="0">
                  <c:v>34</c:v>
                </c:pt>
                <c:pt idx="1">
                  <c:v>16</c:v>
                </c:pt>
                <c:pt idx="2">
                  <c:v>32</c:v>
                </c:pt>
                <c:pt idx="3">
                  <c:v>32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29</c:v>
                </c:pt>
                <c:pt idx="9">
                  <c:v>10</c:v>
                </c:pt>
                <c:pt idx="10">
                  <c:v>41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1-4557-885A-5B268EF428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0259248"/>
        <c:axId val="490253672"/>
        <c:axId val="0"/>
      </c:bar3DChart>
      <c:catAx>
        <c:axId val="4902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253672"/>
        <c:crosses val="autoZero"/>
        <c:auto val="1"/>
        <c:lblAlgn val="ctr"/>
        <c:lblOffset val="100"/>
        <c:noMultiLvlLbl val="0"/>
      </c:catAx>
      <c:valAx>
        <c:axId val="4902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2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[Wypadki przy transporcie rurociągowym w USA w 2010 r..xlsx]Wykresy!Tabela przestawna13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Średni</a:t>
            </a:r>
            <a:r>
              <a:rPr lang="pl-PL" sz="1200" baseline="0"/>
              <a:t> koszt poniesionych strat w poszczególnych miesiącach w 2010 r.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776E-2"/>
              <c:y val="-2.3148148148148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779E-3"/>
              <c:y val="-1.85185185185186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Wykresy!$H$1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633-4D64-A9DE-51B6EA9AAB3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633-4D64-A9DE-51B6EA9AAB31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633-4D64-A9DE-51B6EA9AAB31}"/>
              </c:ext>
            </c:extLst>
          </c:dPt>
          <c:dLbls>
            <c:dLbl>
              <c:idx val="2"/>
              <c:layout>
                <c:manualLayout>
                  <c:x val="0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33-4D64-A9DE-51B6EA9AAB31}"/>
                </c:ext>
              </c:extLst>
            </c:dLbl>
            <c:dLbl>
              <c:idx val="5"/>
              <c:layout>
                <c:manualLayout>
                  <c:x val="2.7777777777777776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33-4D64-A9DE-51B6EA9AAB31}"/>
                </c:ext>
              </c:extLst>
            </c:dLbl>
            <c:dLbl>
              <c:idx val="10"/>
              <c:layout>
                <c:manualLayout>
                  <c:x val="2.7777777777777779E-3"/>
                  <c:y val="-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33-4D64-A9DE-51B6EA9AA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Wykresy!$G$2:$G$16</c:f>
              <c:multiLvlStrCache>
                <c:ptCount val="12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</c:lvl>
                <c:lvl>
                  <c:pt idx="0">
                    <c:v>2010</c:v>
                  </c:pt>
                </c:lvl>
              </c:multiLvlStrCache>
            </c:multiLvlStrRef>
          </c:cat>
          <c:val>
            <c:numRef>
              <c:f>Wykresy!$H$2:$H$16</c:f>
              <c:numCache>
                <c:formatCode>0.00</c:formatCode>
                <c:ptCount val="12"/>
                <c:pt idx="0">
                  <c:v>391.50726470588228</c:v>
                </c:pt>
                <c:pt idx="1">
                  <c:v>146.44175000000001</c:v>
                </c:pt>
                <c:pt idx="2">
                  <c:v>148.18559374999998</c:v>
                </c:pt>
                <c:pt idx="3">
                  <c:v>686.5498437499997</c:v>
                </c:pt>
                <c:pt idx="4">
                  <c:v>1165.7349333333332</c:v>
                </c:pt>
                <c:pt idx="5">
                  <c:v>1203.3032413793101</c:v>
                </c:pt>
                <c:pt idx="6">
                  <c:v>130.99721428571431</c:v>
                </c:pt>
                <c:pt idx="7">
                  <c:v>618.57788888888899</c:v>
                </c:pt>
                <c:pt idx="8">
                  <c:v>1674.4080344827585</c:v>
                </c:pt>
                <c:pt idx="9">
                  <c:v>50.752399999999994</c:v>
                </c:pt>
                <c:pt idx="10">
                  <c:v>92.22668292682927</c:v>
                </c:pt>
                <c:pt idx="11">
                  <c:v>1200.4391463414631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3-4BBA-9ACA-7AF1EF33DF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0248672"/>
        <c:axId val="490249000"/>
        <c:axId val="0"/>
      </c:bar3DChart>
      <c:catAx>
        <c:axId val="4902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249000"/>
        <c:crosses val="autoZero"/>
        <c:auto val="1"/>
        <c:lblAlgn val="ctr"/>
        <c:lblOffset val="100"/>
        <c:noMultiLvlLbl val="0"/>
      </c:catAx>
      <c:valAx>
        <c:axId val="4902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2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7620</xdr:rowOff>
    </xdr:from>
    <xdr:to>
      <xdr:col>2</xdr:col>
      <xdr:colOff>304800</xdr:colOff>
      <xdr:row>31</xdr:row>
      <xdr:rowOff>7620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0F0E2CC-FCBD-4662-943E-4D6D7E9BC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480060</xdr:colOff>
      <xdr:row>16</xdr:row>
      <xdr:rowOff>7620</xdr:rowOff>
    </xdr:from>
    <xdr:to>
      <xdr:col>5</xdr:col>
      <xdr:colOff>83820</xdr:colOff>
      <xdr:row>31</xdr:row>
      <xdr:rowOff>7620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2509618-1B21-43BF-AA87-E63CFA3F0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7620</xdr:rowOff>
    </xdr:from>
    <xdr:to>
      <xdr:col>8</xdr:col>
      <xdr:colOff>7620</xdr:colOff>
      <xdr:row>31</xdr:row>
      <xdr:rowOff>7620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8FB9518-3E09-4377-A549-0DC1E22CE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2852.780399189818" createdVersion="6" refreshedVersion="6" minRefreshableVersion="3" recordCount="349">
  <cacheSource type="worksheet">
    <worksheetSource ref="A1:I350" sheet="Tablica"/>
  </cacheSource>
  <cacheFields count="11">
    <cacheField name="Rok wypadku" numFmtId="0">
      <sharedItems containsSemiMixedTypes="0" containsString="0" containsNumber="1" containsInteger="1" minValue="2010" maxValue="2010" count="1">
        <n v="2010"/>
      </sharedItems>
    </cacheField>
    <cacheField name="Data wypadku" numFmtId="14">
      <sharedItems containsSemiMixedTypes="0" containsNonDate="0" containsDate="1" containsString="0" minDate="1900-01-05T00:00:00" maxDate="2011-01-01T00:00:00" count="215">
        <d v="2010-01-01T00:00:00"/>
        <d v="2010-01-04T00:00:00"/>
        <d v="2010-01-05T00:00:00"/>
        <d v="1900-01-05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1T00:00:00"/>
        <d v="2010-01-22T00:00:00"/>
        <d v="2010-01-24T00:00:00"/>
        <d v="2010-01-25T00:00:00"/>
        <d v="2010-01-27T00:00:00"/>
        <d v="2010-01-28T00:00:00"/>
        <d v="2010-02-02T00:00:00"/>
        <d v="2010-02-04T00:00:00"/>
        <d v="2010-02-06T00:00:00"/>
        <d v="2010-02-08T00:00:00"/>
        <d v="2010-02-09T00:00:00"/>
        <d v="2010-02-16T00:00:00"/>
        <d v="2010-02-17T00:00:00"/>
        <d v="2010-02-19T00:00:00"/>
        <d v="2010-02-20T00:00:00"/>
        <d v="2010-02-21T00:00:00"/>
        <d v="2010-02-22T00:00:00"/>
        <d v="2010-02-23T00:00:00"/>
        <d v="2010-02-25T00:00:00"/>
        <d v="2010-03-01T00:00:00"/>
        <d v="2010-03-03T00:00:00"/>
        <d v="2010-03-04T00:00:00"/>
        <d v="2010-03-08T00:00:00"/>
        <d v="2010-03-09T00:00:00"/>
        <d v="2010-03-11T00:00:00"/>
        <d v="2010-03-14T00:00:00"/>
        <d v="2010-03-15T00:00:00"/>
        <d v="2010-03-16T00:00:00"/>
        <d v="2010-03-18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9T00:00:00"/>
        <d v="2010-03-30T00:00:00"/>
        <d v="2010-03-31T00:00:00"/>
        <d v="2010-04-03T00:00:00"/>
        <d v="2010-04-05T00:00:00"/>
        <d v="2010-04-07T00:00:00"/>
        <d v="2010-04-08T00:00:00"/>
        <d v="2010-04-09T00:00:00"/>
        <d v="2010-04-10T00:00:00"/>
        <d v="2010-04-12T00:00:00"/>
        <d v="2010-04-13T00:00:00"/>
        <d v="2010-04-14T00:00:00"/>
        <d v="2010-04-15T00:00:00"/>
        <d v="2010-04-16T00:00:00"/>
        <d v="2010-04-17T00:00:00"/>
        <d v="2010-04-20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4T00:00:00"/>
        <d v="2010-05-07T00:00:00"/>
        <d v="2010-05-10T00:00:00"/>
        <d v="2010-05-12T00:00:00"/>
        <d v="2010-05-16T00:00:00"/>
        <d v="2010-05-17T00:00:00"/>
        <d v="2010-05-19T00:00:00"/>
        <d v="2010-05-20T00:00:00"/>
        <d v="2010-05-21T00:00:00"/>
        <d v="2010-05-23T00:00:00"/>
        <d v="2010-05-24T00:00:00"/>
        <d v="2010-05-25T00:00:00"/>
        <d v="2010-05-26T00:00:00"/>
        <d v="2010-05-27T00:00:00"/>
        <d v="2010-05-29T00:00:00"/>
        <d v="2010-05-31T00:00:00"/>
        <d v="2010-06-01T00:00:00"/>
        <d v="2010-06-03T00:00:00"/>
        <d v="2010-06-04T00:00:00"/>
        <d v="2010-06-05T00:00:00"/>
        <d v="2010-06-07T00:00:00"/>
        <d v="2010-06-08T00:00:00"/>
        <d v="2010-06-09T00:00:00"/>
        <d v="2010-06-10T00:00:00"/>
        <d v="2010-06-11T00:00:00"/>
        <d v="2010-06-12T00:00:00"/>
        <d v="2010-06-14T00:00:00"/>
        <d v="2010-06-16T00:00:00"/>
        <d v="2010-06-23T00:00:00"/>
        <d v="2010-06-25T00:00:00"/>
        <d v="2010-06-28T00:00:00"/>
        <d v="2010-06-30T00:00:00"/>
        <d v="2010-07-02T00:00:00"/>
        <d v="2010-07-04T00:00:00"/>
        <d v="2010-07-05T00:00:00"/>
        <d v="2010-07-06T00:00:00"/>
        <d v="2010-07-07T00:00:00"/>
        <d v="2010-07-08T00:00:00"/>
        <d v="2010-07-11T00:00:00"/>
        <d v="2010-07-12T00:00:00"/>
        <d v="2010-07-14T00:00:00"/>
        <d v="2010-07-17T00:00:00"/>
        <d v="2010-07-19T00:00:00"/>
        <d v="2010-07-21T00:00:00"/>
        <d v="2010-07-23T00:00:00"/>
        <d v="2010-07-26T00:00:00"/>
        <d v="2010-07-27T00:00:00"/>
        <d v="2010-07-28T00:00:00"/>
        <d v="2010-07-29T00:00:00"/>
        <d v="2010-07-31T00:00:00"/>
        <d v="2010-08-02T00:00:00"/>
        <d v="2010-08-03T00:00:00"/>
        <d v="2010-08-05T00:00:00"/>
        <d v="2010-08-09T00:00:00"/>
        <d v="2010-08-11T00:00:00"/>
        <d v="2010-08-12T00:00:00"/>
        <d v="2010-08-17T00:00:00"/>
        <d v="2010-08-18T00:00:00"/>
        <d v="2010-08-19T00:00:00"/>
        <d v="2010-08-20T00:00:00"/>
        <d v="2010-08-22T00:00:00"/>
        <d v="2010-08-23T00:00:00"/>
        <d v="2010-08-24T00:00:00"/>
        <d v="2010-08-25T00:00:00"/>
        <d v="2010-08-26T00:00:00"/>
        <d v="2010-08-27T00:00:00"/>
        <d v="2010-08-31T00:00:00"/>
        <d v="2010-09-01T00:00:00"/>
        <d v="2010-09-02T00:00:00"/>
        <d v="2010-09-03T00:00:00"/>
        <d v="2010-09-05T00:00:00"/>
        <d v="2010-09-07T00:00:00"/>
        <d v="2010-09-08T00:00:00"/>
        <d v="2010-09-09T00:00:00"/>
        <d v="2010-09-11T00:00:00"/>
        <d v="2010-09-12T00:00:00"/>
        <d v="2010-09-13T00:00:00"/>
        <d v="2010-09-16T00:00:00"/>
        <d v="2010-09-17T00:00:00"/>
        <d v="2010-09-19T00:00:00"/>
        <d v="2010-09-22T00:00:00"/>
        <d v="2010-09-23T00:00:00"/>
        <d v="2010-09-24T00:00:00"/>
        <d v="2010-09-27T00:00:00"/>
        <d v="2010-09-28T00:00:00"/>
        <d v="2010-09-30T00:00:00"/>
        <d v="2010-10-05T00:00:00"/>
        <d v="2010-10-06T00:00:00"/>
        <d v="2010-10-08T00:00:00"/>
        <d v="2010-10-11T00:00:00"/>
        <d v="2010-10-21T00:00:00"/>
        <d v="2010-10-23T00:00:00"/>
        <d v="2010-10-26T00:00:00"/>
        <d v="2010-10-27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8T00:00:00"/>
        <d v="2010-11-20T00:00:00"/>
        <d v="2010-11-22T00:00:00"/>
        <d v="2010-11-23T00:00:00"/>
        <d v="2010-11-24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4T00:00:00"/>
        <d v="2010-12-28T00:00:00"/>
        <d v="2010-12-30T00:00:00"/>
        <d v="2010-12-31T00:00:00"/>
      </sharedItems>
      <fieldGroup par="10" base="1">
        <rangePr groupBy="months" startDate="1900-01-05T00:00:00" endDate="2011-01-01T00:00:00"/>
        <groupItems count="14">
          <s v="&lt;06.01.190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1"/>
        </groupItems>
      </fieldGroup>
    </cacheField>
    <cacheField name="ID rurociągu" numFmtId="0">
      <sharedItems containsSemiMixedTypes="0" containsString="0" containsNumber="1" containsInteger="1" minValue="300" maxValue="32602"/>
    </cacheField>
    <cacheField name="Nazwa rurociągu" numFmtId="0">
      <sharedItems/>
    </cacheField>
    <cacheField name="Miasto wypadku" numFmtId="0">
      <sharedItems containsBlank="1"/>
    </cacheField>
    <cacheField name="Przyczyna wypadku" numFmtId="0">
      <sharedItems/>
    </cacheField>
    <cacheField name="Czysta strata (w baryłkach)" numFmtId="0">
      <sharedItems containsMixedTypes="1" containsNumber="1" containsInteger="1" minValue="0" maxValue="43040"/>
    </cacheField>
    <cacheField name="Całkowity koszt pokrycia strat (w tys dolarów)" numFmtId="0">
      <sharedItems containsSemiMixedTypes="0" containsString="0" containsNumber="1" minValue="0" maxValue="47393.565999999999"/>
    </cacheField>
    <cacheField name="Koszt w dolarach" numFmtId="0">
      <sharedItems containsSemiMixedTypes="0" containsString="0" containsNumber="1" containsInteger="1" minValue="0" maxValue="47393566"/>
    </cacheField>
    <cacheField name="Kwartały" numFmtId="0" databaseField="0">
      <fieldGroup base="1">
        <rangePr groupBy="quarters" startDate="1900-01-05T00:00:00" endDate="2011-01-01T00:00:00"/>
        <groupItems count="6">
          <s v="&lt;06.01.1900"/>
          <s v="Kwartał1"/>
          <s v="Kwartał2"/>
          <s v="Kwartał3"/>
          <s v="Kwartał4"/>
          <s v="&gt;01.01.2011"/>
        </groupItems>
      </fieldGroup>
    </cacheField>
    <cacheField name="Lata" numFmtId="0" databaseField="0">
      <fieldGroup base="1">
        <rangePr groupBy="years" startDate="1900-01-05T00:00:00" endDate="2011-01-01T00:00:00"/>
        <groupItems count="114">
          <s v="&lt;06.01.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01.01.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">
  <r>
    <x v="0"/>
    <x v="0"/>
    <n v="32109"/>
    <s v="ONEOK NGL PIPELINE LP"/>
    <s v="MCPHERSON"/>
    <s v="INCORRECT OPERATION"/>
    <n v="21"/>
    <n v="1.627"/>
    <n v="1627"/>
  </r>
  <r>
    <x v="0"/>
    <x v="1"/>
    <n v="15786"/>
    <s v="PORTLAND PIPELINE CORP"/>
    <s v="RAYMOND"/>
    <s v="MATERIAL/WELD/EQUIP FAILURE"/>
    <n v="0"/>
    <n v="4.008"/>
    <n v="4008"/>
  </r>
  <r>
    <x v="0"/>
    <x v="2"/>
    <n v="20160"/>
    <s v="PETROLOGISTICS OLEFINS, LLC"/>
    <s v="SULPHER"/>
    <s v="MATERIAL/WELD/EQUIP FAILURE"/>
    <n v="2"/>
    <n v="0.2"/>
    <n v="200"/>
  </r>
  <r>
    <x v="0"/>
    <x v="3"/>
    <n v="11169"/>
    <s v="ENBRIDGE ENERGY, LIMITED PARTNERSHIP"/>
    <s v="SUPERIOR"/>
    <s v="NATURAL FORCE DAMAGE"/>
    <n v="0"/>
    <n v="11.54"/>
    <n v="11540"/>
  </r>
  <r>
    <x v="0"/>
    <x v="4"/>
    <n v="300"/>
    <s v="PLAINS PIPELINE, L.P."/>
    <s v="SHERMAN"/>
    <s v="EXCAVATION DAMAGE"/>
    <n v="2"/>
    <n v="29.65"/>
    <n v="29650"/>
  </r>
  <r>
    <x v="0"/>
    <x v="5"/>
    <n v="11169"/>
    <s v="ENBRIDGE ENERGY, LIMITED PARTNERSHIP"/>
    <s v="NECHE"/>
    <s v="MATERIAL/WELD/EQUIP FAILURE"/>
    <n v="2237"/>
    <n v="4194.7150000000001"/>
    <n v="4194715"/>
  </r>
  <r>
    <x v="0"/>
    <x v="6"/>
    <n v="26041"/>
    <s v="KINDER MORGAN LIQUID TERMINALS, LLC"/>
    <s v="GALENA PARK"/>
    <s v="MATERIAL/WELD/EQUIP FAILURE"/>
    <n v="5"/>
    <n v="70.400000000000006"/>
    <n v="70400"/>
  </r>
  <r>
    <x v="0"/>
    <x v="6"/>
    <n v="12624"/>
    <s v="MOBIL CORP"/>
    <s v="HULL"/>
    <s v="NATURAL FORCE DAMAGE"/>
    <s v="0.24"/>
    <n v="0.41299999999999998"/>
    <n v="413"/>
  </r>
  <r>
    <x v="0"/>
    <x v="7"/>
    <n v="26041"/>
    <s v="KINDER MORGAN LIQUID TERMINALS, LLC"/>
    <m/>
    <s v="MATERIAL/WELD/EQUIP FAILURE"/>
    <n v="0"/>
    <n v="40.335999999999999"/>
    <n v="40336"/>
  </r>
  <r>
    <x v="0"/>
    <x v="8"/>
    <n v="31684"/>
    <s v="CONOCOPHILLIPS"/>
    <s v="PASADENA"/>
    <s v="ALL OTHER CAUSES"/>
    <n v="0"/>
    <n v="30.05"/>
    <n v="30050"/>
  </r>
  <r>
    <x v="0"/>
    <x v="8"/>
    <n v="32296"/>
    <s v="TARGA RESOURCES OPERATING LP"/>
    <s v="LAKE CHARLES"/>
    <s v="NATURAL FORCE DAMAGE"/>
    <n v="2237"/>
    <n v="165.59299999999999"/>
    <n v="165593"/>
  </r>
  <r>
    <x v="0"/>
    <x v="8"/>
    <n v="31454"/>
    <s v="NUSTAR LOGISTICS, L.P."/>
    <s v="TAFT"/>
    <s v="MATERIAL/WELD/EQUIP FAILURE"/>
    <n v="0"/>
    <n v="357.26900000000001"/>
    <n v="357269"/>
  </r>
  <r>
    <x v="0"/>
    <x v="8"/>
    <n v="9175"/>
    <s v="JAYHAWK PIPELINE LLC"/>
    <s v="CHASE"/>
    <s v="CORROSION"/>
    <n v="1"/>
    <n v="12.15"/>
    <n v="12150"/>
  </r>
  <r>
    <x v="0"/>
    <x v="8"/>
    <n v="31684"/>
    <s v="CONOCOPHILLIPS"/>
    <s v="CUSHING"/>
    <s v="NATURAL FORCE DAMAGE"/>
    <n v="2"/>
    <n v="37.85"/>
    <n v="37850"/>
  </r>
  <r>
    <x v="0"/>
    <x v="9"/>
    <n v="26085"/>
    <s v="PLAINS MARKETING, L.P."/>
    <s v="CUSHING"/>
    <s v="CORROSION"/>
    <n v="0"/>
    <n v="20.332999999999998"/>
    <n v="20333"/>
  </r>
  <r>
    <x v="0"/>
    <x v="9"/>
    <n v="32080"/>
    <s v="CCPS TRANSPORTATION, LLC"/>
    <s v="RUSHVILLE"/>
    <s v="INCORRECT OPERATION"/>
    <n v="0"/>
    <n v="32.5"/>
    <n v="32500"/>
  </r>
  <r>
    <x v="0"/>
    <x v="9"/>
    <n v="12105"/>
    <s v="MAGELLAN AMMONIA PIPELINE, L.P."/>
    <s v="PAWNEE"/>
    <s v="MATERIAL/WELD/EQUIP FAILURE"/>
    <n v="445"/>
    <n v="2517.6149999999998"/>
    <n v="2517615"/>
  </r>
  <r>
    <x v="0"/>
    <x v="10"/>
    <n v="31174"/>
    <s v="SHELL PIPELINE CO., L.P."/>
    <s v="SORRENTO"/>
    <s v="NATURAL FORCE DAMAGE"/>
    <n v="17958"/>
    <n v="0.254"/>
    <n v="254"/>
  </r>
  <r>
    <x v="0"/>
    <x v="10"/>
    <n v="26041"/>
    <s v="KINDER MORGAN LIQUID TERMINALS, LLC"/>
    <s v="GALENA PARK"/>
    <s v="MATERIAL/WELD/EQUIP FAILURE"/>
    <n v="0"/>
    <n v="30.504000000000001"/>
    <n v="30504"/>
  </r>
  <r>
    <x v="0"/>
    <x v="10"/>
    <n v="22855"/>
    <s v="KOCH PIPELINE COMPANY, L.P."/>
    <s v="MENAHGA"/>
    <s v="INCORRECT OPERATION"/>
    <s v="0.48"/>
    <n v="66.679000000000002"/>
    <n v="66679"/>
  </r>
  <r>
    <x v="0"/>
    <x v="11"/>
    <n v="10250"/>
    <s v="KIANTONE PIPELINE CORP"/>
    <s v="GOWANDA"/>
    <s v="NATURAL FORCE DAMAGE"/>
    <s v="0.04"/>
    <n v="75.016999999999996"/>
    <n v="75017"/>
  </r>
  <r>
    <x v="0"/>
    <x v="12"/>
    <n v="31325"/>
    <s v="PACIFIC PIPELINE SYSTEM LLC"/>
    <s v="CARSON"/>
    <s v="OTHER OUTSIDE FORCE DAMAGE"/>
    <n v="0"/>
    <n v="4575"/>
    <n v="4575000"/>
  </r>
  <r>
    <x v="0"/>
    <x v="12"/>
    <n v="9175"/>
    <s v="JAYHAWK PIPELINE LLC"/>
    <s v="ELLIS"/>
    <s v="CORROSION"/>
    <n v="3"/>
    <n v="3.88"/>
    <n v="3880"/>
  </r>
  <r>
    <x v="0"/>
    <x v="13"/>
    <n v="19237"/>
    <s v="TE PRODUCTS PIPELINE COMPANY, LLC"/>
    <s v="PRINCETON"/>
    <s v="MATERIAL/WELD/EQUIP FAILURE"/>
    <n v="2"/>
    <n v="1.1000000000000001"/>
    <n v="1100"/>
  </r>
  <r>
    <x v="0"/>
    <x v="14"/>
    <n v="22610"/>
    <s v="MAGELLAN PIPELINE COMPANY, LP"/>
    <s v="AURORA"/>
    <s v="MATERIAL/WELD/EQUIP FAILURE"/>
    <s v="0.89"/>
    <n v="26"/>
    <n v="26000"/>
  </r>
  <r>
    <x v="0"/>
    <x v="14"/>
    <n v="4805"/>
    <s v="EXPLORER PIPELINE CO"/>
    <s v="HARTFORD"/>
    <s v="MATERIAL/WELD/EQUIP FAILURE"/>
    <n v="1"/>
    <n v="46.185000000000002"/>
    <n v="46185"/>
  </r>
  <r>
    <x v="0"/>
    <x v="15"/>
    <n v="31325"/>
    <s v="PACIFIC PIPELINE SYSTEM LLC"/>
    <s v="TAFT"/>
    <s v="MATERIAL/WELD/EQUIP FAILURE"/>
    <n v="0"/>
    <n v="7.8070000000000004"/>
    <n v="7807"/>
  </r>
  <r>
    <x v="0"/>
    <x v="15"/>
    <n v="15674"/>
    <s v="PLANTATION PIPE LINE CO"/>
    <s v="GREENSBURG"/>
    <s v="NATURAL FORCE DAMAGE"/>
    <n v="0"/>
    <n v="200.57"/>
    <n v="200570"/>
  </r>
  <r>
    <x v="0"/>
    <x v="15"/>
    <n v="15674"/>
    <s v="PLANTATION PIPE LINE CO"/>
    <s v="COLLINS"/>
    <s v="MATERIAL/WELD/EQUIP FAILURE"/>
    <n v="0"/>
    <n v="2.8"/>
    <n v="2800"/>
  </r>
  <r>
    <x v="0"/>
    <x v="16"/>
    <n v="10012"/>
    <s v="NUSTAR PIPELINE OPERATING PARTNERSHIP L.P."/>
    <s v="EL DORADO"/>
    <s v="INCORRECT OPERATION"/>
    <n v="0"/>
    <n v="8.8670000000000009"/>
    <n v="8867"/>
  </r>
  <r>
    <x v="0"/>
    <x v="17"/>
    <n v="19237"/>
    <s v="TE PRODUCTS PIPELINE COMPANY, LLC"/>
    <s v="PRINCETON"/>
    <s v="MATERIAL/WELD/EQUIP FAILURE"/>
    <n v="1"/>
    <n v="2.1"/>
    <n v="2100"/>
  </r>
  <r>
    <x v="0"/>
    <x v="18"/>
    <n v="11733"/>
    <s v="LOOP INC"/>
    <s v="CUT OFF"/>
    <s v="MATERIAL/WELD/EQUIP FAILURE"/>
    <n v="0"/>
    <n v="667"/>
    <n v="667000"/>
  </r>
  <r>
    <x v="0"/>
    <x v="19"/>
    <n v="31174"/>
    <s v="SHELL PIPELINE CO., L.P."/>
    <s v="PORT ARTHUR"/>
    <s v="ALL OTHER CAUSES"/>
    <s v="0.6"/>
    <n v="60.064999999999998"/>
    <n v="60065"/>
  </r>
  <r>
    <x v="0"/>
    <x v="20"/>
    <n v="1248"/>
    <s v="BELLE FOURCHE PIPELINE CO"/>
    <s v="DICKINSON"/>
    <s v="OTHER OUTSIDE FORCE DAMAGE"/>
    <n v="7"/>
    <n v="11.17"/>
    <n v="11170"/>
  </r>
  <r>
    <x v="0"/>
    <x v="21"/>
    <n v="31476"/>
    <s v="SEMGROUP LP"/>
    <s v="HARPER"/>
    <s v="MATERIAL/WELD/EQUIP FAILURE"/>
    <n v="5"/>
    <n v="6.5"/>
    <n v="6500"/>
  </r>
  <r>
    <x v="0"/>
    <x v="22"/>
    <n v="22430"/>
    <s v="WEST SHORE PIPELINE CO"/>
    <s v="MILWAUKEE"/>
    <s v="NATURAL FORCE DAMAGE"/>
    <s v="0.05"/>
    <n v="4.5209999999999999"/>
    <n v="4521"/>
  </r>
  <r>
    <x v="0"/>
    <x v="23"/>
    <n v="22610"/>
    <s v="MAGELLAN PIPELINE COMPANY, LP"/>
    <s v="EL DORADO"/>
    <s v="MATERIAL/WELD/EQUIP FAILURE"/>
    <n v="12055"/>
    <n v="4.8"/>
    <n v="4800"/>
  </r>
  <r>
    <x v="0"/>
    <x v="24"/>
    <n v="31174"/>
    <s v="SHELL PIPELINE CO., L.P."/>
    <s v="LAKE ARTHUR"/>
    <s v="MATERIAL/WELD/EQUIP FAILURE"/>
    <n v="5"/>
    <n v="380.4"/>
    <n v="380400"/>
  </r>
  <r>
    <x v="0"/>
    <x v="25"/>
    <n v="15674"/>
    <s v="PLANTATION PIPE LINE CO"/>
    <s v="BATON ROUGE"/>
    <s v="MATERIAL/WELD/EQUIP FAILURE"/>
    <n v="0"/>
    <n v="0.95"/>
    <n v="950"/>
  </r>
  <r>
    <x v="0"/>
    <x v="25"/>
    <n v="1845"/>
    <s v="BUCKEYE PARTNERS, LP"/>
    <s v="LINCOLN"/>
    <s v="NATURAL FORCE DAMAGE"/>
    <n v="0"/>
    <n v="5.3769999999999998"/>
    <n v="5377"/>
  </r>
  <r>
    <x v="0"/>
    <x v="26"/>
    <n v="22610"/>
    <s v="MAGELLAN PIPELINE COMPANY, LP"/>
    <s v="WAYNE"/>
    <s v="MATERIAL/WELD/EQUIP FAILURE"/>
    <n v="0"/>
    <n v="30.515000000000001"/>
    <n v="30515"/>
  </r>
  <r>
    <x v="0"/>
    <x v="27"/>
    <n v="22610"/>
    <s v="MAGELLAN PIPELINE COMPANY, LP"/>
    <s v="KANSAS CITY"/>
    <s v="MATERIAL/WELD/EQUIP FAILURE"/>
    <n v="0"/>
    <n v="1.514"/>
    <n v="1514"/>
  </r>
  <r>
    <x v="0"/>
    <x v="28"/>
    <n v="1845"/>
    <s v="BUCKEYE PARTNERS, LP"/>
    <s v="LINDEN"/>
    <s v="MATERIAL/WELD/EQUIP FAILURE"/>
    <n v="0"/>
    <n v="17.100000000000001"/>
    <n v="17100"/>
  </r>
  <r>
    <x v="0"/>
    <x v="29"/>
    <n v="18718"/>
    <s v="SUNOCO PIPELINE L.P."/>
    <s v="LONGVIEW"/>
    <s v="MATERIAL/WELD/EQUIP FAILURE"/>
    <n v="2"/>
    <n v="93.513000000000005"/>
    <n v="93513"/>
  </r>
  <r>
    <x v="0"/>
    <x v="30"/>
    <n v="300"/>
    <s v="PLAINS PIPELINE, L.P."/>
    <s v="MCCAMEY"/>
    <s v="CORROSION"/>
    <n v="0"/>
    <n v="17.484999999999999"/>
    <n v="17485"/>
  </r>
  <r>
    <x v="0"/>
    <x v="31"/>
    <n v="32035"/>
    <s v="LDH ENERGY PIPELINE L.P."/>
    <s v="BIG SPRING"/>
    <s v="CORROSION"/>
    <n v="1"/>
    <n v="26.86"/>
    <n v="26860"/>
  </r>
  <r>
    <x v="0"/>
    <x v="31"/>
    <n v="31684"/>
    <s v="CONOCOPHILLIPS"/>
    <s v="SPOKANE"/>
    <s v="INCORRECT OPERATION"/>
    <s v="0.71"/>
    <n v="8.7899999999999991"/>
    <n v="8790"/>
  </r>
  <r>
    <x v="0"/>
    <x v="32"/>
    <n v="32109"/>
    <s v="ONEOK NGL PIPELINE LP"/>
    <s v="COUNCIL BLUFFS"/>
    <s v="INCORRECT OPERATION"/>
    <n v="28"/>
    <n v="129.00700000000001"/>
    <n v="129007"/>
  </r>
  <r>
    <x v="0"/>
    <x v="33"/>
    <n v="32109"/>
    <s v="ONEOK NGL PIPELINE LP"/>
    <s v="POND CREEK"/>
    <s v="INCORRECT OPERATION"/>
    <n v="13718"/>
    <n v="1599.7860000000001"/>
    <n v="1599786"/>
  </r>
  <r>
    <x v="0"/>
    <x v="33"/>
    <n v="2552"/>
    <s v="COLONIAL PIPELINE CO"/>
    <m/>
    <s v="MATERIAL/WELD/EQUIP FAILURE"/>
    <n v="0"/>
    <n v="15.95"/>
    <n v="15950"/>
  </r>
  <r>
    <x v="0"/>
    <x v="34"/>
    <n v="12470"/>
    <s v="MID . VALLEY PIPELINE CO"/>
    <s v="LONGVIEW"/>
    <s v="CORROSION"/>
    <n v="2"/>
    <n v="16.018000000000001"/>
    <n v="16018"/>
  </r>
  <r>
    <x v="0"/>
    <x v="34"/>
    <n v="15774"/>
    <s v="ENBRIDGE PIPELINES (NORTH DAKOTA) LLC"/>
    <s v="CLEARBROOK"/>
    <s v="INCORRECT OPERATION"/>
    <n v="0"/>
    <n v="19.079999999999998"/>
    <n v="19080"/>
  </r>
  <r>
    <x v="0"/>
    <x v="34"/>
    <n v="31672"/>
    <s v="CHAPARRAL ENERGY, LLC"/>
    <s v="HAYNE"/>
    <s v="ALL OTHER CAUSES"/>
    <n v="36192"/>
    <n v="3.51"/>
    <n v="3510"/>
  </r>
  <r>
    <x v="0"/>
    <x v="35"/>
    <n v="31618"/>
    <s v="ENTERPRISE PRODUCTS OPERATING LLC"/>
    <m/>
    <s v="MATERIAL/WELD/EQUIP FAILURE"/>
    <s v="0.5"/>
    <n v="0.77300000000000002"/>
    <n v="773"/>
  </r>
  <r>
    <x v="0"/>
    <x v="36"/>
    <n v="2552"/>
    <s v="COLONIAL PIPELINE CO"/>
    <s v="SULPHUR"/>
    <s v="MATERIAL/WELD/EQUIP FAILURE"/>
    <s v="0.8"/>
    <n v="65"/>
    <n v="65000"/>
  </r>
  <r>
    <x v="0"/>
    <x v="36"/>
    <n v="4906"/>
    <s v="EXXONMOBIL PIPELINE CO"/>
    <s v="SORRENTO"/>
    <s v="MATERIAL/WELD/EQUIP FAILURE"/>
    <s v="0.31"/>
    <n v="13.593999999999999"/>
    <n v="13594"/>
  </r>
  <r>
    <x v="0"/>
    <x v="37"/>
    <n v="15156"/>
    <s v="SINCLAIR TRANSPORTATION COMPANY"/>
    <s v="CARROLLTON"/>
    <s v="MATERIAL/WELD/EQUIP FAILURE"/>
    <n v="1"/>
    <n v="11.287000000000001"/>
    <n v="11287"/>
  </r>
  <r>
    <x v="0"/>
    <x v="37"/>
    <n v="22610"/>
    <s v="MAGELLAN PIPELINE COMPANY, LP"/>
    <s v="KANSAS CITY"/>
    <s v="NATURAL FORCE DAMAGE"/>
    <n v="93"/>
    <n v="85.62"/>
    <n v="85620"/>
  </r>
  <r>
    <x v="0"/>
    <x v="38"/>
    <n v="18718"/>
    <s v="SUNOCO PIPELINE L.P."/>
    <s v="LONGVIEW"/>
    <s v="MATERIAL/WELD/EQUIP FAILURE"/>
    <s v="0.5"/>
    <n v="5.0389999999999997"/>
    <n v="5039"/>
  </r>
  <r>
    <x v="0"/>
    <x v="38"/>
    <n v="18718"/>
    <s v="SUNOCO PIPELINE L.P."/>
    <s v="CORSICANA"/>
    <s v="MATERIAL/WELD/EQUIP FAILURE"/>
    <s v="0.95"/>
    <n v="26.064"/>
    <n v="26064"/>
  </r>
  <r>
    <x v="0"/>
    <x v="39"/>
    <n v="11169"/>
    <s v="ENBRIDGE ENERGY, LIMITED PARTNERSHIP"/>
    <s v="SUPERIOR"/>
    <s v="NATURAL FORCE DAMAGE"/>
    <n v="0"/>
    <n v="8.06"/>
    <n v="8060"/>
  </r>
  <r>
    <x v="0"/>
    <x v="40"/>
    <n v="22610"/>
    <s v="MAGELLAN PIPELINE COMPANY, LP"/>
    <s v="MILFORD"/>
    <s v="NATURAL FORCE DAMAGE"/>
    <n v="70"/>
    <n v="511.55"/>
    <n v="511550"/>
  </r>
  <r>
    <x v="0"/>
    <x v="41"/>
    <n v="18718"/>
    <s v="SUNOCO PIPELINE L.P."/>
    <s v="COMYN"/>
    <s v="MATERIAL/WELD/EQUIP FAILURE"/>
    <s v="0.12"/>
    <n v="0.76500000000000001"/>
    <n v="765"/>
  </r>
  <r>
    <x v="0"/>
    <x v="41"/>
    <n v="30829"/>
    <s v="TEPPCO CRUDE PIPELINE, LLC"/>
    <s v="HOBBS"/>
    <s v="MATERIAL/WELD/EQUIP FAILURE"/>
    <n v="0"/>
    <n v="1.1599999999999999"/>
    <n v="1160"/>
  </r>
  <r>
    <x v="0"/>
    <x v="41"/>
    <n v="18718"/>
    <s v="SUNOCO PIPELINE L.P."/>
    <s v="WHITE OAK"/>
    <s v="MATERIAL/WELD/EQUIP FAILURE"/>
    <s v="0.6"/>
    <n v="11.497"/>
    <n v="11497"/>
  </r>
  <r>
    <x v="0"/>
    <x v="42"/>
    <n v="18092"/>
    <s v="SFPP, LP"/>
    <s v="SACRAMENTO"/>
    <s v="CORROSION"/>
    <s v="42.88"/>
    <n v="480"/>
    <n v="480000"/>
  </r>
  <r>
    <x v="0"/>
    <x v="43"/>
    <n v="31947"/>
    <s v="ENBRIDGE PIPELINES (OZARK) L.L.C."/>
    <s v="CUSHING"/>
    <s v="CORROSION"/>
    <n v="0"/>
    <n v="54"/>
    <n v="54000"/>
  </r>
  <r>
    <x v="0"/>
    <x v="44"/>
    <n v="31325"/>
    <s v="PACIFIC PIPELINE SYSTEM LLC"/>
    <s v="METTLER"/>
    <s v="CORROSION"/>
    <n v="0"/>
    <n v="16.8"/>
    <n v="16800"/>
  </r>
  <r>
    <x v="0"/>
    <x v="45"/>
    <n v="31189"/>
    <s v="BP PIPELINE (NORTH AMERICA) INC."/>
    <s v="MOKENA"/>
    <s v="MATERIAL/WELD/EQUIP FAILURE"/>
    <n v="0"/>
    <n v="158.5"/>
    <n v="158500"/>
  </r>
  <r>
    <x v="0"/>
    <x v="46"/>
    <n v="31189"/>
    <s v="BP PIPELINE (NORTH AMERICA) INC."/>
    <s v="TEXAS CITY"/>
    <s v="MATERIAL/WELD/EQUIP FAILURE"/>
    <n v="0"/>
    <n v="106.03"/>
    <n v="106030"/>
  </r>
  <r>
    <x v="0"/>
    <x v="47"/>
    <n v="2552"/>
    <s v="COLONIAL PIPELINE CO"/>
    <s v="JACKSON"/>
    <s v="CORROSION"/>
    <n v="0"/>
    <n v="4.7729999999999997"/>
    <n v="4773"/>
  </r>
  <r>
    <x v="0"/>
    <x v="47"/>
    <n v="31684"/>
    <s v="CONOCOPHILLIPS"/>
    <s v="WESTLAKE"/>
    <s v="MATERIAL/WELD/EQUIP FAILURE"/>
    <n v="0"/>
    <n v="3.52"/>
    <n v="3520"/>
  </r>
  <r>
    <x v="0"/>
    <x v="48"/>
    <n v="31947"/>
    <s v="ENBRIDGE PIPELINES (OZARK) L.L.C."/>
    <s v="CUSHING"/>
    <s v="MATERIAL/WELD/EQUIP FAILURE"/>
    <n v="0"/>
    <n v="1.35"/>
    <n v="1350"/>
  </r>
  <r>
    <x v="0"/>
    <x v="48"/>
    <n v="15674"/>
    <s v="PLANTATION PIPE LINE CO"/>
    <s v="BATON ROUGE"/>
    <s v="MATERIAL/WELD/EQUIP FAILURE"/>
    <n v="0"/>
    <n v="4.2149999999999999"/>
    <n v="4215"/>
  </r>
  <r>
    <x v="0"/>
    <x v="49"/>
    <n v="18779"/>
    <s v="SUNOCO, INC (R&amp;M)"/>
    <s v="PHILADELPHIA"/>
    <s v="MATERIAL/WELD/EQUIP FAILURE"/>
    <n v="1"/>
    <n v="100"/>
    <n v="100000"/>
  </r>
  <r>
    <x v="0"/>
    <x v="49"/>
    <n v="31563"/>
    <s v="WHITECAP PIPE LINE COMPANY, L.L.C."/>
    <m/>
    <s v="OTHER OUTSIDE FORCE DAMAGE"/>
    <n v="42921"/>
    <n v="2201.2600000000002"/>
    <n v="2201260"/>
  </r>
  <r>
    <x v="0"/>
    <x v="50"/>
    <n v="31684"/>
    <s v="CONOCOPHILLIPS"/>
    <s v="BORGER"/>
    <s v="INCORRECT OPERATION"/>
    <s v="0.11"/>
    <n v="30.058"/>
    <n v="30058"/>
  </r>
  <r>
    <x v="0"/>
    <x v="51"/>
    <n v="5320"/>
    <s v="PROGRESS ENERGY"/>
    <s v="ST PETERSBURG"/>
    <s v="INCORRECT OPERATION"/>
    <n v="95"/>
    <n v="437"/>
    <n v="437000"/>
  </r>
  <r>
    <x v="0"/>
    <x v="52"/>
    <n v="31684"/>
    <s v="CONOCOPHILLIPS"/>
    <s v="SULPHUR"/>
    <s v="CORROSION"/>
    <n v="0"/>
    <n v="16.13"/>
    <n v="16130"/>
  </r>
  <r>
    <x v="0"/>
    <x v="52"/>
    <n v="1845"/>
    <s v="BUCKEYE PARTNERS, LP"/>
    <s v="BOURBONNAIS"/>
    <s v="EXCAVATION DAMAGE"/>
    <n v="0"/>
    <n v="115.29"/>
    <n v="115290"/>
  </r>
  <r>
    <x v="0"/>
    <x v="53"/>
    <n v="31618"/>
    <s v="ENTERPRISE PRODUCTS OPERATING LLC"/>
    <s v="SALISBURY"/>
    <s v="NATURAL FORCE DAMAGE"/>
    <n v="656"/>
    <n v="110.6"/>
    <n v="110600"/>
  </r>
  <r>
    <x v="0"/>
    <x v="54"/>
    <n v="2552"/>
    <s v="COLONIAL PIPELINE CO"/>
    <s v="CHARLOTTE COURTHOUSE"/>
    <s v="NATURAL FORCE DAMAGE"/>
    <n v="0"/>
    <n v="123.396"/>
    <n v="123396"/>
  </r>
  <r>
    <x v="0"/>
    <x v="55"/>
    <n v="31720"/>
    <s v="KINDER MORGAN PIPELINES (USA) INC"/>
    <s v="GOWER"/>
    <s v="CORROSION"/>
    <n v="0"/>
    <n v="189.24"/>
    <n v="189240"/>
  </r>
  <r>
    <x v="0"/>
    <x v="56"/>
    <n v="22610"/>
    <s v="MAGELLAN PIPELINE COMPANY, LP"/>
    <s v="TULSA"/>
    <s v="MATERIAL/WELD/EQUIP FAILURE"/>
    <n v="0"/>
    <n v="8.0120000000000005"/>
    <n v="8012"/>
  </r>
  <r>
    <x v="0"/>
    <x v="56"/>
    <n v="32483"/>
    <s v="BRIDGER LAKE, LLC"/>
    <s v="ROBERTSON"/>
    <s v="INCORRECT OPERATION"/>
    <n v="0"/>
    <n v="4000"/>
    <n v="4000000"/>
  </r>
  <r>
    <x v="0"/>
    <x v="56"/>
    <n v="18718"/>
    <s v="SUNOCO PIPELINE L.P."/>
    <s v="PHAROAH"/>
    <s v="MATERIAL/WELD/EQUIP FAILURE"/>
    <n v="0"/>
    <n v="7.8150000000000004"/>
    <n v="7815"/>
  </r>
  <r>
    <x v="0"/>
    <x v="56"/>
    <n v="2731"/>
    <s v="CHEVRON PIPE LINE CO"/>
    <s v="VENICE"/>
    <s v="EXCAVATION DAMAGE"/>
    <n v="215"/>
    <n v="13933.6"/>
    <n v="13933600"/>
  </r>
  <r>
    <x v="0"/>
    <x v="57"/>
    <n v="2730"/>
    <s v="CHEVRON PRODUCTS COMPANY"/>
    <s v="LOUISVILLE"/>
    <s v="MATERIAL/WELD/EQUIP FAILURE"/>
    <n v="0"/>
    <n v="100.504"/>
    <n v="100504"/>
  </r>
  <r>
    <x v="0"/>
    <x v="58"/>
    <n v="22610"/>
    <s v="MAGELLAN PIPELINE COMPANY, LP"/>
    <s v="WALNUT SPRINGS"/>
    <s v="MATERIAL/WELD/EQUIP FAILURE"/>
    <n v="0"/>
    <n v="36.590000000000003"/>
    <n v="36590"/>
  </r>
  <r>
    <x v="0"/>
    <x v="59"/>
    <n v="31684"/>
    <s v="CONOCOPHILLIPS"/>
    <s v="GREEN RIDGE"/>
    <s v="NATURAL FORCE DAMAGE"/>
    <s v="0.17"/>
    <n v="2.7E-2"/>
    <n v="27"/>
  </r>
  <r>
    <x v="0"/>
    <x v="59"/>
    <n v="300"/>
    <s v="PLAINS PIPELINE, L.P."/>
    <s v="HERMLEIGH"/>
    <s v="MATERIAL/WELD/EQUIP FAILURE"/>
    <n v="0"/>
    <n v="1.78"/>
    <n v="1780"/>
  </r>
  <r>
    <x v="0"/>
    <x v="60"/>
    <n v="18718"/>
    <s v="SUNOCO PIPELINE L.P."/>
    <s v="CASHION"/>
    <s v="MATERIAL/WELD/EQUIP FAILURE"/>
    <s v="0.02"/>
    <n v="167.904"/>
    <n v="167904"/>
  </r>
  <r>
    <x v="0"/>
    <x v="61"/>
    <n v="15674"/>
    <s v="PLANTATION PIPE LINE CO"/>
    <s v="LOUDON"/>
    <s v="MATERIAL/WELD/EQUIP FAILURE"/>
    <n v="0"/>
    <n v="31.018999999999998"/>
    <n v="31019"/>
  </r>
  <r>
    <x v="0"/>
    <x v="62"/>
    <n v="19237"/>
    <s v="TE PRODUCTS PIPELINE COMPANY, LLC"/>
    <s v="SEYMOUR"/>
    <s v="INCORRECT OPERATION"/>
    <n v="0"/>
    <n v="35.228999999999999"/>
    <n v="35229"/>
  </r>
  <r>
    <x v="0"/>
    <x v="62"/>
    <n v="4805"/>
    <s v="EXPLORER PIPELINE CO"/>
    <s v="PORT ARTHUR"/>
    <s v="MATERIAL/WELD/EQUIP FAILURE"/>
    <n v="0"/>
    <n v="102.96899999999999"/>
    <n v="102969"/>
  </r>
  <r>
    <x v="0"/>
    <x v="63"/>
    <n v="4906"/>
    <s v="EXXONMOBIL PIPELINE CO"/>
    <s v="LONGVIEW"/>
    <s v="CORROSION"/>
    <n v="0"/>
    <n v="5.0860000000000003"/>
    <n v="5086"/>
  </r>
  <r>
    <x v="0"/>
    <x v="64"/>
    <n v="4430"/>
    <s v="VALERO TERMINALING AND DISTRIBUTION COMPANY"/>
    <s v="BEAUMONT"/>
    <s v="CORROSION"/>
    <n v="0"/>
    <n v="20.3"/>
    <n v="20300"/>
  </r>
  <r>
    <x v="0"/>
    <x v="65"/>
    <n v="19237"/>
    <s v="TE PRODUCTS PIPELINE COMPANY, LLC"/>
    <s v="QULIN"/>
    <s v="MATERIAL/WELD/EQUIP FAILURE"/>
    <n v="0"/>
    <n v="5"/>
    <n v="5000"/>
  </r>
  <r>
    <x v="0"/>
    <x v="65"/>
    <n v="22855"/>
    <s v="KOCH PIPELINE COMPANY, L.P."/>
    <s v="REFUGIO"/>
    <s v="MATERIAL/WELD/EQUIP FAILURE"/>
    <s v="0.12"/>
    <n v="2.5089999999999999"/>
    <n v="2509"/>
  </r>
  <r>
    <x v="0"/>
    <x v="66"/>
    <n v="11169"/>
    <s v="ENBRIDGE ENERGY, LIMITED PARTNERSHIP"/>
    <s v="DEER RIVER"/>
    <s v="MATERIAL/WELD/EQUIP FAILURE"/>
    <n v="1"/>
    <n v="966.35"/>
    <n v="966350"/>
  </r>
  <r>
    <x v="0"/>
    <x v="67"/>
    <n v="22610"/>
    <s v="MAGELLAN PIPELINE COMPANY, LP"/>
    <s v="PEMBERTON"/>
    <s v="MATERIAL/WELD/EQUIP FAILURE"/>
    <n v="0"/>
    <n v="142.67500000000001"/>
    <n v="142675"/>
  </r>
  <r>
    <x v="0"/>
    <x v="68"/>
    <n v="31618"/>
    <s v="ENTERPRISE PRODUCTS OPERATING LLC"/>
    <s v="SOLOMON"/>
    <s v="EXCAVATION DAMAGE"/>
    <n v="1659"/>
    <n v="575.40899999999999"/>
    <n v="575409"/>
  </r>
  <r>
    <x v="0"/>
    <x v="69"/>
    <n v="32147"/>
    <s v="MARATHON PIPE LINE LLC"/>
    <s v="JACKSON"/>
    <s v="OTHER OUTSIDE FORCE DAMAGE"/>
    <n v="0"/>
    <n v="47.283999999999999"/>
    <n v="47284"/>
  </r>
  <r>
    <x v="0"/>
    <x v="70"/>
    <n v="32147"/>
    <s v="MARATHON PIPE LINE LLC"/>
    <s v="SAMARIA"/>
    <s v="MATERIAL/WELD/EQUIP FAILURE"/>
    <n v="12"/>
    <n v="1103.9670000000001"/>
    <n v="1103967"/>
  </r>
  <r>
    <x v="0"/>
    <x v="71"/>
    <n v="22610"/>
    <s v="MAGELLAN PIPELINE COMPANY, LP"/>
    <s v="OLATHE"/>
    <s v="MATERIAL/WELD/EQUIP FAILURE"/>
    <s v="0.75"/>
    <n v="13.11"/>
    <n v="13110"/>
  </r>
  <r>
    <x v="0"/>
    <x v="71"/>
    <n v="2731"/>
    <s v="CHEVRON PIPE LINE CO"/>
    <s v="TWIN FALLS"/>
    <s v="CORROSION"/>
    <n v="1"/>
    <n v="92.855999999999995"/>
    <n v="92856"/>
  </r>
  <r>
    <x v="0"/>
    <x v="71"/>
    <n v="12105"/>
    <s v="MAGELLAN AMMONIA PIPELINE, L.P."/>
    <s v="MCPHERSON"/>
    <s v="MATERIAL/WELD/EQUIP FAILURE"/>
    <n v="2"/>
    <n v="117.65300000000001"/>
    <n v="117653"/>
  </r>
  <r>
    <x v="0"/>
    <x v="71"/>
    <n v="2552"/>
    <s v="COLONIAL PIPELINE CO"/>
    <s v="AUSTELL"/>
    <s v="CORROSION"/>
    <n v="0"/>
    <n v="28.88"/>
    <n v="28880"/>
  </r>
  <r>
    <x v="0"/>
    <x v="72"/>
    <n v="30003"/>
    <s v="HOUSTON REFINING LP."/>
    <s v="HOUSTON"/>
    <s v="MATERIAL/WELD/EQUIP FAILURE"/>
    <s v="0.1"/>
    <n v="78.188000000000002"/>
    <n v="78188"/>
  </r>
  <r>
    <x v="0"/>
    <x v="73"/>
    <n v="31174"/>
    <s v="SHELL PIPELINE CO., L.P."/>
    <s v="PASADENA"/>
    <s v="CORROSION"/>
    <s v="0.6"/>
    <n v="4.5750000000000002"/>
    <n v="4575"/>
  </r>
  <r>
    <x v="0"/>
    <x v="73"/>
    <n v="12105"/>
    <s v="MAGELLAN AMMONIA PIPELINE, L.P."/>
    <s v="SCHALLER"/>
    <s v="MATERIAL/WELD/EQUIP FAILURE"/>
    <s v="0.36"/>
    <n v="32.03"/>
    <n v="32030"/>
  </r>
  <r>
    <x v="0"/>
    <x v="74"/>
    <n v="32109"/>
    <s v="ONEOK NGL PIPELINE LP"/>
    <s v="TOWANDA"/>
    <s v="EXCAVATION DAMAGE"/>
    <n v="770"/>
    <n v="93.626999999999995"/>
    <n v="93627"/>
  </r>
  <r>
    <x v="0"/>
    <x v="74"/>
    <n v="1845"/>
    <s v="BUCKEYE PARTNERS, LP"/>
    <s v="LINDEN"/>
    <s v="MATERIAL/WELD/EQUIP FAILURE"/>
    <n v="0"/>
    <n v="23.606999999999999"/>
    <n v="23607"/>
  </r>
  <r>
    <x v="0"/>
    <x v="75"/>
    <n v="19237"/>
    <s v="TE PRODUCTS PIPELINE COMPANY, LLC"/>
    <s v="PORT ARTHUR"/>
    <s v="INCORRECT OPERATION"/>
    <s v="0.05"/>
    <n v="1.8"/>
    <n v="1800"/>
  </r>
  <r>
    <x v="0"/>
    <x v="76"/>
    <n v="26134"/>
    <s v="EXXONMOBIL OIL CORP . WEST COAST"/>
    <s v="SAN  PEDRO  CALIFORNIA"/>
    <s v="MATERIAL/WELD/EQUIP FAILURE"/>
    <n v="0"/>
    <n v="18.375"/>
    <n v="18375"/>
  </r>
  <r>
    <x v="0"/>
    <x v="77"/>
    <n v="26125"/>
    <s v="CALNEV PIPELINE CO"/>
    <s v="LAS VEGAS"/>
    <s v="CORROSION"/>
    <n v="0"/>
    <n v="39.518000000000001"/>
    <n v="39518"/>
  </r>
  <r>
    <x v="0"/>
    <x v="78"/>
    <n v="31570"/>
    <s v="TESORO . HIGH PLAINS PIPELINE COMPANY"/>
    <s v="TIOGA"/>
    <s v="MATERIAL/WELD/EQUIP FAILURE"/>
    <n v="0"/>
    <n v="5.0999999999999996"/>
    <n v="5100"/>
  </r>
  <r>
    <x v="0"/>
    <x v="78"/>
    <n v="30829"/>
    <s v="TEPPCO CRUDE PIPELINE, LLC"/>
    <s v="HOBBS"/>
    <s v="CORROSION"/>
    <n v="18994"/>
    <n v="51.1"/>
    <n v="51100"/>
  </r>
  <r>
    <x v="0"/>
    <x v="79"/>
    <n v="31555"/>
    <s v="KINDER MORGAN CO2 CO. LP"/>
    <s v="DENVER CITY"/>
    <s v="MATERIAL/WELD/EQUIP FAILURE"/>
    <s v="0.53"/>
    <n v="0.82299999999999995"/>
    <n v="823"/>
  </r>
  <r>
    <x v="0"/>
    <x v="80"/>
    <n v="300"/>
    <s v="PLAINS PIPELINE, L.P."/>
    <s v="CRANE"/>
    <s v="MATERIAL/WELD/EQUIP FAILURE"/>
    <n v="0"/>
    <n v="11.375"/>
    <n v="11375"/>
  </r>
  <r>
    <x v="0"/>
    <x v="80"/>
    <n v="31174"/>
    <s v="SHELL PIPELINE CO., L.P."/>
    <s v="ST. JAMES"/>
    <s v="NATURAL FORCE DAMAGE"/>
    <n v="0"/>
    <n v="1879.337"/>
    <n v="1879337"/>
  </r>
  <r>
    <x v="0"/>
    <x v="80"/>
    <n v="31684"/>
    <s v="CONOCOPHILLIPS"/>
    <s v="GRAHAM"/>
    <s v="MATERIAL/WELD/EQUIP FAILURE"/>
    <n v="1"/>
    <n v="23.574999999999999"/>
    <n v="23575"/>
  </r>
  <r>
    <x v="0"/>
    <x v="80"/>
    <n v="30829"/>
    <s v="TEPPCO CRUDE PIPELINE, LLC"/>
    <s v="TEXAS CITY"/>
    <s v="MATERIAL/WELD/EQUIP FAILURE"/>
    <n v="1"/>
    <n v="194.58600000000001"/>
    <n v="194586"/>
  </r>
  <r>
    <x v="0"/>
    <x v="81"/>
    <n v="30829"/>
    <s v="TEPPCO CRUDE PIPELINE, LLC"/>
    <s v="TEXAS CITY"/>
    <s v="MATERIAL/WELD/EQUIP FAILURE"/>
    <s v="0.5"/>
    <n v="1.4"/>
    <n v="1400"/>
  </r>
  <r>
    <x v="0"/>
    <x v="82"/>
    <n v="18718"/>
    <s v="SUNOCO PIPELINE L.P."/>
    <s v="LONGVIEW"/>
    <s v="MATERIAL/WELD/EQUIP FAILURE"/>
    <n v="1"/>
    <n v="6.8680000000000003"/>
    <n v="6868"/>
  </r>
  <r>
    <x v="0"/>
    <x v="82"/>
    <n v="2552"/>
    <s v="COLONIAL PIPELINE CO"/>
    <s v="AVENEL"/>
    <s v="MATERIAL/WELD/EQUIP FAILURE"/>
    <s v="0.36"/>
    <n v="20.05"/>
    <n v="20050"/>
  </r>
  <r>
    <x v="0"/>
    <x v="83"/>
    <n v="2731"/>
    <s v="CHEVRON PIPE LINE CO"/>
    <s v="GORDON"/>
    <s v="CORROSION"/>
    <n v="42739"/>
    <n v="70"/>
    <n v="70000"/>
  </r>
  <r>
    <x v="0"/>
    <x v="83"/>
    <n v="1845"/>
    <s v="BUCKEYE PARTNERS, LP"/>
    <s v="LINDEN"/>
    <s v="CORROSION"/>
    <n v="0"/>
    <n v="305.19499999999999"/>
    <n v="305195"/>
  </r>
  <r>
    <x v="0"/>
    <x v="83"/>
    <n v="31476"/>
    <s v="SEMGROUP LP"/>
    <s v="HUDSON"/>
    <s v="CORROSION"/>
    <s v="0.12"/>
    <n v="11.012"/>
    <n v="11012"/>
  </r>
  <r>
    <x v="0"/>
    <x v="83"/>
    <n v="32147"/>
    <s v="MARATHON PIPE LINE LLC"/>
    <s v="EAST SPARTA"/>
    <s v="MATERIAL/WELD/EQUIP FAILURE"/>
    <n v="0"/>
    <n v="1053.057"/>
    <n v="1053057"/>
  </r>
  <r>
    <x v="0"/>
    <x v="84"/>
    <n v="32334"/>
    <s v="TC OIL PIPELINE OPERATIONS INC"/>
    <s v="CARPENTER "/>
    <s v="MATERIAL/WELD/EQUIP FAILURE"/>
    <s v="0.11"/>
    <n v="207.50800000000001"/>
    <n v="207508"/>
  </r>
  <r>
    <x v="0"/>
    <x v="85"/>
    <n v="300"/>
    <s v="PLAINS PIPELINE, L.P."/>
    <s v="COLORADO CITY"/>
    <s v="CORROSION"/>
    <n v="0"/>
    <n v="9.9649999999999999"/>
    <n v="9965"/>
  </r>
  <r>
    <x v="0"/>
    <x v="86"/>
    <n v="31580"/>
    <s v="MAGELLAN TERMINALS HOLDINGS, LP"/>
    <s v="PASADENA"/>
    <s v="MATERIAL/WELD/EQUIP FAILURE"/>
    <n v="0"/>
    <n v="25.5"/>
    <n v="25500"/>
  </r>
  <r>
    <x v="0"/>
    <x v="87"/>
    <n v="26149"/>
    <s v="ALYESKA PIPELINE SERVICE CO"/>
    <s v="DELTA JUNCTION"/>
    <s v="INCORRECT OPERATION"/>
    <n v="1119"/>
    <n v="28938"/>
    <n v="28938000"/>
  </r>
  <r>
    <x v="0"/>
    <x v="88"/>
    <n v="31666"/>
    <s v="ROCKY MOUNTAIN PIPELINE SYSTEM, LLC"/>
    <s v="COMMERCE CITY"/>
    <s v="MATERIAL/WELD/EQUIP FAILURE"/>
    <n v="42739"/>
    <n v="5.0659999999999998"/>
    <n v="5066"/>
  </r>
  <r>
    <x v="0"/>
    <x v="89"/>
    <n v="20160"/>
    <s v="PETROLOGISTICS OLEFINS, LLC"/>
    <s v="PLAQUEMINE"/>
    <s v="MATERIAL/WELD/EQUIP FAILURE"/>
    <n v="11324"/>
    <n v="5.22"/>
    <n v="5220"/>
  </r>
  <r>
    <x v="0"/>
    <x v="89"/>
    <n v="31684"/>
    <s v="CONOCOPHILLIPS"/>
    <s v="KANSAS CITY"/>
    <s v="MATERIAL/WELD/EQUIP FAILURE"/>
    <n v="5"/>
    <n v="11.7"/>
    <n v="11700"/>
  </r>
  <r>
    <x v="0"/>
    <x v="89"/>
    <n v="18718"/>
    <s v="SUNOCO PIPELINE L.P."/>
    <s v="CORSICANA"/>
    <s v="CORROSION"/>
    <s v="0.36"/>
    <n v="9.4990000000000006"/>
    <n v="9499"/>
  </r>
  <r>
    <x v="0"/>
    <x v="89"/>
    <n v="9175"/>
    <s v="JAYHAWK PIPELINE LLC"/>
    <m/>
    <s v="EXCAVATION DAMAGE"/>
    <n v="1"/>
    <n v="4.7649999999999997"/>
    <n v="4765"/>
  </r>
  <r>
    <x v="0"/>
    <x v="89"/>
    <n v="2552"/>
    <s v="COLONIAL PIPELINE CO"/>
    <m/>
    <s v="MATERIAL/WELD/EQUIP FAILURE"/>
    <n v="0"/>
    <n v="5"/>
    <n v="5000"/>
  </r>
  <r>
    <x v="0"/>
    <x v="90"/>
    <n v="395"/>
    <s v="AMOCO OIL CO"/>
    <s v="CONSTANTINE "/>
    <s v="MATERIAL/WELD/EQUIP FAILURE"/>
    <n v="1120"/>
    <n v="1965.2460000000001"/>
    <n v="1965246"/>
  </r>
  <r>
    <x v="0"/>
    <x v="90"/>
    <n v="30003"/>
    <s v="HOUSTON REFINING LP."/>
    <s v="HOUSTON"/>
    <s v="MATERIAL/WELD/EQUIP FAILURE"/>
    <s v="0.25"/>
    <n v="0.15"/>
    <n v="150"/>
  </r>
  <r>
    <x v="0"/>
    <x v="90"/>
    <n v="300"/>
    <s v="PLAINS PIPELINE, L.P."/>
    <s v="CUSHING"/>
    <s v="MATERIAL/WELD/EQUIP FAILURE"/>
    <n v="0"/>
    <n v="71"/>
    <n v="71000"/>
  </r>
  <r>
    <x v="0"/>
    <x v="91"/>
    <n v="2552"/>
    <s v="COLONIAL PIPELINE CO"/>
    <s v="SPARTANBURG"/>
    <s v="CORROSION"/>
    <n v="0"/>
    <n v="22.058"/>
    <n v="22058"/>
  </r>
  <r>
    <x v="0"/>
    <x v="92"/>
    <n v="2731"/>
    <s v="CHEVRON PIPE LINE CO"/>
    <s v="MCKITTRICK"/>
    <s v="CORROSION"/>
    <n v="8"/>
    <n v="150"/>
    <n v="150000"/>
  </r>
  <r>
    <x v="0"/>
    <x v="92"/>
    <n v="31618"/>
    <s v="ENTERPRISE PRODUCTS OPERATING LLC"/>
    <s v="DAYTON"/>
    <s v="EXCAVATION DAMAGE"/>
    <n v="1"/>
    <n v="0.15"/>
    <n v="150"/>
  </r>
  <r>
    <x v="0"/>
    <x v="93"/>
    <n v="31684"/>
    <s v="CONOCOPHILLIPS"/>
    <s v="GOLDSMITH"/>
    <s v="CORROSION"/>
    <n v="4618"/>
    <n v="304.262"/>
    <n v="304262"/>
  </r>
  <r>
    <x v="0"/>
    <x v="93"/>
    <n v="32109"/>
    <s v="ONEOK NGL PIPELINE LP"/>
    <s v="MCCLOUD"/>
    <s v="MATERIAL/WELD/EQUIP FAILURE"/>
    <n v="11"/>
    <n v="1.8540000000000001"/>
    <n v="1854"/>
  </r>
  <r>
    <x v="0"/>
    <x v="94"/>
    <n v="22855"/>
    <s v="KOCH PIPELINE COMPANY, L.P."/>
    <s v="ALBANY"/>
    <s v="MATERIAL/WELD/EQUIP FAILURE"/>
    <n v="42979"/>
    <n v="13.741"/>
    <n v="13741"/>
  </r>
  <r>
    <x v="0"/>
    <x v="95"/>
    <n v="30755"/>
    <s v="CITGO PRODUCTS PIPELINE CO"/>
    <s v="VICTORIA"/>
    <s v="MATERIAL/WELD/EQUIP FAILURE"/>
    <n v="0"/>
    <n v="150.75800000000001"/>
    <n v="150758"/>
  </r>
  <r>
    <x v="0"/>
    <x v="96"/>
    <n v="15774"/>
    <s v="ENBRIDGE PIPELINES (NORTH DAKOTA) LLC"/>
    <s v="GRENORA"/>
    <s v="MATERIAL/WELD/EQUIP FAILURE"/>
    <n v="0"/>
    <n v="10.07"/>
    <n v="10070"/>
  </r>
  <r>
    <x v="0"/>
    <x v="96"/>
    <n v="32147"/>
    <s v="MARATHON PIPE LINE LLC"/>
    <s v="ASHMORE"/>
    <s v="MATERIAL/WELD/EQUIP FAILURE"/>
    <n v="0"/>
    <n v="287.06400000000002"/>
    <n v="287064"/>
  </r>
  <r>
    <x v="0"/>
    <x v="97"/>
    <n v="31174"/>
    <s v="SHELL PIPELINE CO., L.P."/>
    <s v="NORCO"/>
    <s v="MATERIAL/WELD/EQUIP FAILURE"/>
    <n v="42926"/>
    <n v="0.78400000000000003"/>
    <n v="784"/>
  </r>
  <r>
    <x v="0"/>
    <x v="97"/>
    <n v="11169"/>
    <s v="ENBRIDGE ENERGY, LIMITED PARTNERSHIP"/>
    <s v="MARSHFIELD"/>
    <s v="MATERIAL/WELD/EQUIP FAILURE"/>
    <n v="0"/>
    <n v="330"/>
    <n v="330000"/>
  </r>
  <r>
    <x v="0"/>
    <x v="97"/>
    <n v="31684"/>
    <s v="CONOCOPHILLIPS"/>
    <s v="WESTLAKE"/>
    <s v="MATERIAL/WELD/EQUIP FAILURE"/>
    <s v="0.01"/>
    <n v="76.269000000000005"/>
    <n v="76269"/>
  </r>
  <r>
    <x v="0"/>
    <x v="98"/>
    <n v="2552"/>
    <s v="COLONIAL PIPELINE CO"/>
    <s v="NORTH AUGUSTA"/>
    <s v="MATERIAL/WELD/EQUIP FAILURE"/>
    <n v="19238"/>
    <n v="26.885000000000002"/>
    <n v="26885"/>
  </r>
  <r>
    <x v="0"/>
    <x v="98"/>
    <n v="18718"/>
    <s v="SUNOCO PIPELINE L.P."/>
    <s v="HOUSTON"/>
    <s v="MATERIAL/WELD/EQUIP FAILURE"/>
    <n v="3"/>
    <n v="16.533999999999999"/>
    <n v="16534"/>
  </r>
  <r>
    <x v="0"/>
    <x v="99"/>
    <n v="18718"/>
    <s v="SUNOCO PIPELINE L.P."/>
    <s v="DOUGLAS"/>
    <s v="MATERIAL/WELD/EQUIP FAILURE"/>
    <s v="0.5"/>
    <n v="2.536"/>
    <n v="2536"/>
  </r>
  <r>
    <x v="0"/>
    <x v="100"/>
    <n v="1248"/>
    <s v="BELLE FOURCHE PIPELINE CO"/>
    <m/>
    <s v="CORROSION"/>
    <s v="0.12"/>
    <n v="7.5"/>
    <n v="7500"/>
  </r>
  <r>
    <x v="0"/>
    <x v="100"/>
    <n v="12624"/>
    <s v="MOBIL CORP"/>
    <s v="BEAUMONT"/>
    <s v="CORROSION"/>
    <n v="0"/>
    <n v="26.581"/>
    <n v="26581"/>
  </r>
  <r>
    <x v="0"/>
    <x v="101"/>
    <n v="2731"/>
    <s v="CHEVRON PIPE LINE CO"/>
    <s v="SALT LAKE CITY"/>
    <s v="OTHER OUTSIDE FORCE DAMAGE"/>
    <n v="22"/>
    <n v="32233.74"/>
    <n v="32233740"/>
  </r>
  <r>
    <x v="0"/>
    <x v="101"/>
    <n v="31684"/>
    <s v="CONOCOPHILLIPS"/>
    <s v="CUSHING"/>
    <s v="MATERIAL/WELD/EQUIP FAILURE"/>
    <n v="2"/>
    <n v="10.18"/>
    <n v="10180"/>
  </r>
  <r>
    <x v="0"/>
    <x v="102"/>
    <n v="30829"/>
    <s v="TEPPCO CRUDE PIPELINE, LLC"/>
    <s v="CUSHING"/>
    <s v="ALL OTHER CAUSES"/>
    <s v="0.88"/>
    <n v="11.598000000000001"/>
    <n v="11598"/>
  </r>
  <r>
    <x v="0"/>
    <x v="102"/>
    <n v="31822"/>
    <s v="SUNCOR ENERGY (USA) PIPELINE CO."/>
    <s v="CHEYENNE "/>
    <s v="INCORRECT OPERATION"/>
    <n v="5"/>
    <n v="45.375"/>
    <n v="45375"/>
  </r>
  <r>
    <x v="0"/>
    <x v="103"/>
    <n v="10012"/>
    <s v="NUSTAR PIPELINE OPERATING PARTNERSHIP L.P."/>
    <m/>
    <s v="ALL OTHER CAUSES"/>
    <s v="0.19"/>
    <n v="0"/>
    <n v="0"/>
  </r>
  <r>
    <x v="0"/>
    <x v="103"/>
    <n v="18718"/>
    <s v="SUNOCO PIPELINE L.P."/>
    <s v="COLMESNEIL"/>
    <s v="MATERIAL/WELD/EQUIP FAILURE"/>
    <s v="0.14"/>
    <n v="5.0110000000000001"/>
    <n v="5011"/>
  </r>
  <r>
    <x v="0"/>
    <x v="104"/>
    <n v="32334"/>
    <s v="TC OIL PIPELINE OPERATIONS INC"/>
    <s v="HOWARD "/>
    <s v="MATERIAL/WELD/EQUIP FAILURE"/>
    <n v="0"/>
    <n v="30.417000000000002"/>
    <n v="30417"/>
  </r>
  <r>
    <x v="0"/>
    <x v="104"/>
    <n v="31174"/>
    <s v="SHELL PIPELINE CO., L.P."/>
    <s v="GRAMERCY"/>
    <s v="MATERIAL/WELD/EQUIP FAILURE"/>
    <s v="0.24"/>
    <n v="79.03"/>
    <n v="79030"/>
  </r>
  <r>
    <x v="0"/>
    <x v="104"/>
    <n v="32147"/>
    <s v="MARATHON PIPE LINE LLC"/>
    <s v="LIMA"/>
    <s v="MATERIAL/WELD/EQUIP FAILURE"/>
    <n v="0"/>
    <n v="42.796999999999997"/>
    <n v="42797"/>
  </r>
  <r>
    <x v="0"/>
    <x v="105"/>
    <n v="22442"/>
    <s v="WEST TEXAS GULF PIPELINE CO"/>
    <s v="HERMLEIGH"/>
    <s v="CORROSION"/>
    <n v="2"/>
    <n v="22.411999999999999"/>
    <n v="22412"/>
  </r>
  <r>
    <x v="0"/>
    <x v="106"/>
    <n v="4805"/>
    <s v="EXPLORER PIPELINE CO"/>
    <s v="STRAWN"/>
    <s v="CORROSION"/>
    <n v="0"/>
    <n v="135"/>
    <n v="135000"/>
  </r>
  <r>
    <x v="0"/>
    <x v="107"/>
    <n v="22610"/>
    <s v="MAGELLAN PIPELINE COMPANY, LP"/>
    <s v="OMAHA"/>
    <s v="CORROSION"/>
    <s v="36.14"/>
    <n v="807.09400000000005"/>
    <n v="807094"/>
  </r>
  <r>
    <x v="0"/>
    <x v="107"/>
    <n v="12105"/>
    <s v="MAGELLAN AMMONIA PIPELINE, L.P."/>
    <s v="LANGDON"/>
    <s v="MATERIAL/WELD/EQUIP FAILURE"/>
    <n v="2"/>
    <n v="68.152000000000001"/>
    <n v="68152"/>
  </r>
  <r>
    <x v="0"/>
    <x v="108"/>
    <n v="11169"/>
    <s v="ENBRIDGE ENERGY, LIMITED PARTNERSHIP"/>
    <s v="DEER RIVER"/>
    <s v="MATERIAL/WELD/EQUIP FAILURE"/>
    <n v="0"/>
    <n v="137"/>
    <n v="137000"/>
  </r>
  <r>
    <x v="0"/>
    <x v="108"/>
    <n v="32147"/>
    <s v="MARATHON PIPE LINE LLC"/>
    <m/>
    <s v="MATERIAL/WELD/EQUIP FAILURE"/>
    <s v="0.52"/>
    <n v="1036.94"/>
    <n v="1036940"/>
  </r>
  <r>
    <x v="0"/>
    <x v="109"/>
    <n v="18718"/>
    <s v="SUNOCO PIPELINE L.P."/>
    <s v="DRUMRIGHT"/>
    <s v="CORROSION"/>
    <s v="0.4"/>
    <n v="29.411000000000001"/>
    <n v="29411"/>
  </r>
  <r>
    <x v="0"/>
    <x v="110"/>
    <n v="3445"/>
    <s v="DIXIE PIPELINE"/>
    <s v="THOMSON"/>
    <s v="EXCAVATION DAMAGE"/>
    <n v="3104"/>
    <n v="524.27499999999998"/>
    <n v="524275"/>
  </r>
  <r>
    <x v="0"/>
    <x v="111"/>
    <n v="32602"/>
    <s v="OXY USA INC"/>
    <s v="LA HABRA HEIGHTS "/>
    <s v="CORROSION"/>
    <n v="0"/>
    <n v="13.9"/>
    <n v="13900"/>
  </r>
  <r>
    <x v="0"/>
    <x v="111"/>
    <n v="32288"/>
    <s v="WHITE CLIFFS PIPELINE, LLC"/>
    <s v="CUSHING"/>
    <s v="MATERIAL/WELD/EQUIP FAILURE"/>
    <s v="0.5"/>
    <n v="2.2799999999999998"/>
    <n v="2280"/>
  </r>
  <r>
    <x v="0"/>
    <x v="112"/>
    <n v="4906"/>
    <s v="EXXONMOBIL PIPELINE CO"/>
    <s v="PASADENA"/>
    <s v="MATERIAL/WELD/EQUIP FAILURE"/>
    <n v="42856"/>
    <n v="6.25"/>
    <n v="6250"/>
  </r>
  <r>
    <x v="0"/>
    <x v="113"/>
    <n v="31618"/>
    <s v="ENTERPRISE PRODUCTS OPERATING LLC"/>
    <s v="PASADENA"/>
    <s v="ALL OTHER CAUSES"/>
    <n v="19176"/>
    <n v="261.31700000000001"/>
    <n v="261317"/>
  </r>
  <r>
    <x v="0"/>
    <x v="114"/>
    <n v="18718"/>
    <s v="SUNOCO PIPELINE L.P."/>
    <s v="THOMAS"/>
    <s v="CORROSION"/>
    <n v="6"/>
    <n v="43.360999999999997"/>
    <n v="43361"/>
  </r>
  <r>
    <x v="0"/>
    <x v="115"/>
    <n v="4906"/>
    <s v="EXXONMOBIL PIPELINE CO"/>
    <s v="LONGVIEW"/>
    <s v="CORROSION"/>
    <n v="0"/>
    <n v="10.035"/>
    <n v="10035"/>
  </r>
  <r>
    <x v="0"/>
    <x v="115"/>
    <n v="15674"/>
    <s v="PLANTATION PIPE LINE CO"/>
    <s v="BOWLING GREEN"/>
    <s v="MATERIAL/WELD/EQUIP FAILURE"/>
    <n v="0"/>
    <n v="5.3"/>
    <n v="5300"/>
  </r>
  <r>
    <x v="0"/>
    <x v="116"/>
    <n v="32109"/>
    <s v="ONEOK NGL PIPELINE LP"/>
    <m/>
    <s v="MATERIAL/WELD/EQUIP FAILURE"/>
    <n v="42856"/>
    <n v="4.9000000000000002E-2"/>
    <n v="49"/>
  </r>
  <r>
    <x v="0"/>
    <x v="116"/>
    <n v="22855"/>
    <s v="KOCH PIPELINE COMPANY, L.P."/>
    <s v="LAPORTE"/>
    <s v="MATERIAL/WELD/EQUIP FAILURE"/>
    <s v="33.8"/>
    <n v="1.294"/>
    <n v="1294"/>
  </r>
  <r>
    <x v="0"/>
    <x v="116"/>
    <n v="32147"/>
    <s v="MARATHON PIPE LINE LLC"/>
    <s v="ROXANA"/>
    <s v="INCORRECT OPERATION"/>
    <n v="0"/>
    <n v="25.957999999999998"/>
    <n v="25958"/>
  </r>
  <r>
    <x v="0"/>
    <x v="116"/>
    <n v="32109"/>
    <s v="ONEOK NGL PIPELINE LP"/>
    <m/>
    <s v="CORROSION"/>
    <n v="30"/>
    <n v="8.7270000000000003"/>
    <n v="8727"/>
  </r>
  <r>
    <x v="0"/>
    <x v="116"/>
    <n v="32109"/>
    <s v="ONEOK NGL PIPELINE LP"/>
    <m/>
    <s v="MATERIAL/WELD/EQUIP FAILURE"/>
    <n v="43040"/>
    <n v="0.16"/>
    <n v="160"/>
  </r>
  <r>
    <x v="0"/>
    <x v="117"/>
    <n v="32147"/>
    <s v="MARATHON PIPE LINE LLC"/>
    <s v="ROCKVILLE"/>
    <s v="MATERIAL/WELD/EQUIP FAILURE"/>
    <n v="0"/>
    <n v="21.404"/>
    <n v="21404"/>
  </r>
  <r>
    <x v="0"/>
    <x v="117"/>
    <n v="26041"/>
    <s v="KINDER MORGAN LIQUID TERMINALS, LLC"/>
    <s v="CARTERET"/>
    <s v="NATURAL FORCE DAMAGE"/>
    <n v="0"/>
    <n v="27.3"/>
    <n v="27300"/>
  </r>
  <r>
    <x v="0"/>
    <x v="118"/>
    <n v="18092"/>
    <s v="SFPP, LP"/>
    <s v="ROCKLIN"/>
    <s v="MATERIAL/WELD/EQUIP FAILURE"/>
    <n v="0"/>
    <n v="49.5"/>
    <n v="49500"/>
  </r>
  <r>
    <x v="0"/>
    <x v="119"/>
    <n v="32109"/>
    <s v="ONEOK NGL PIPELINE LP"/>
    <m/>
    <s v="MATERIAL/WELD/EQUIP FAILURE"/>
    <n v="42769"/>
    <n v="0.20100000000000001"/>
    <n v="201"/>
  </r>
  <r>
    <x v="0"/>
    <x v="120"/>
    <n v="12105"/>
    <s v="MAGELLAN AMMONIA PIPELINE, L.P."/>
    <s v="PICKRELL"/>
    <s v="MATERIAL/WELD/EQUIP FAILURE"/>
    <s v="0.36"/>
    <n v="163.161"/>
    <n v="163161"/>
  </r>
  <r>
    <x v="0"/>
    <x v="121"/>
    <n v="2387"/>
    <s v="CITGO PIPELINE CO"/>
    <s v="SOUR LAKE"/>
    <s v="MATERIAL/WELD/EQUIP FAILURE"/>
    <s v="0.6"/>
    <n v="24.952000000000002"/>
    <n v="24952"/>
  </r>
  <r>
    <x v="0"/>
    <x v="122"/>
    <n v="4805"/>
    <s v="EXPLORER PIPELINE CO"/>
    <s v="HARTFORD"/>
    <s v="CORROSION"/>
    <n v="0"/>
    <n v="362.04500000000002"/>
    <n v="362045"/>
  </r>
  <r>
    <x v="0"/>
    <x v="123"/>
    <n v="11169"/>
    <s v="ENBRIDGE ENERGY, LIMITED PARTNERSHIP"/>
    <s v="CASS LAKE"/>
    <s v="MATERIAL/WELD/EQUIP FAILURE"/>
    <n v="0"/>
    <n v="18.352"/>
    <n v="18352"/>
  </r>
  <r>
    <x v="0"/>
    <x v="124"/>
    <n v="2170"/>
    <s v="CENEX PIPELINE LLC"/>
    <s v="BILLINGS"/>
    <s v="MATERIAL/WELD/EQUIP FAILURE"/>
    <s v="0.03"/>
    <n v="0.52300000000000002"/>
    <n v="523"/>
  </r>
  <r>
    <x v="0"/>
    <x v="124"/>
    <n v="11169"/>
    <s v="ENBRIDGE ENERGY, LIMITED PARTNERSHIP"/>
    <s v="CASS LAKE"/>
    <s v="MATERIAL/WELD/EQUIP FAILURE"/>
    <n v="0"/>
    <n v="830"/>
    <n v="830000"/>
  </r>
  <r>
    <x v="0"/>
    <x v="124"/>
    <n v="31476"/>
    <s v="SEMGROUP LP"/>
    <s v="HAVEN"/>
    <s v="CORROSION"/>
    <n v="8"/>
    <n v="45"/>
    <n v="45000"/>
  </r>
  <r>
    <x v="0"/>
    <x v="125"/>
    <n v="18718"/>
    <s v="SUNOCO PIPELINE L.P."/>
    <s v="CORSICANA"/>
    <s v="CORROSION"/>
    <n v="42857"/>
    <n v="19.227"/>
    <n v="19227"/>
  </r>
  <r>
    <x v="0"/>
    <x v="126"/>
    <n v="31666"/>
    <s v="ROCKY MOUNTAIN PIPELINE SYSTEM, LLC"/>
    <s v="FOUNTAIN"/>
    <s v="NATURAL FORCE DAMAGE"/>
    <n v="0"/>
    <n v="0.56699999999999995"/>
    <n v="567"/>
  </r>
  <r>
    <x v="0"/>
    <x v="127"/>
    <n v="22442"/>
    <s v="WEST TEXAS GULF PIPELINE CO"/>
    <s v="RANGER"/>
    <s v="MATERIAL/WELD/EQUIP FAILURE"/>
    <n v="0"/>
    <n v="1.2090000000000001"/>
    <n v="1209"/>
  </r>
  <r>
    <x v="0"/>
    <x v="128"/>
    <n v="18779"/>
    <s v="SUNOCO, INC (R&amp;M)"/>
    <s v="MARCUS HOOK"/>
    <s v="MATERIAL/WELD/EQUIP FAILURE"/>
    <n v="0"/>
    <n v="1"/>
    <n v="1000"/>
  </r>
  <r>
    <x v="0"/>
    <x v="128"/>
    <n v="12470"/>
    <s v="MID . VALLEY PIPELINE CO"/>
    <s v="OREGON"/>
    <s v="MATERIAL/WELD/EQUIP FAILURE"/>
    <n v="1"/>
    <n v="21.238"/>
    <n v="21238"/>
  </r>
  <r>
    <x v="0"/>
    <x v="128"/>
    <n v="30829"/>
    <s v="TEPPCO CRUDE PIPELINE, LLC"/>
    <s v="CRANE"/>
    <s v="CORROSION"/>
    <s v="0.5"/>
    <n v="11.044"/>
    <n v="11044"/>
  </r>
  <r>
    <x v="0"/>
    <x v="128"/>
    <n v="22610"/>
    <s v="MAGELLAN PIPELINE COMPANY, LP"/>
    <s v="PAOLI"/>
    <s v="EXCAVATION DAMAGE"/>
    <n v="0"/>
    <n v="240.3"/>
    <n v="240300"/>
  </r>
  <r>
    <x v="0"/>
    <x v="129"/>
    <n v="31555"/>
    <s v="KINDER MORGAN CO2 CO. LP"/>
    <m/>
    <s v="ALL OTHER CAUSES"/>
    <s v="0.37"/>
    <n v="0.6"/>
    <n v="600"/>
  </r>
  <r>
    <x v="0"/>
    <x v="130"/>
    <n v="300"/>
    <s v="PLAINS PIPELINE, L.P."/>
    <s v="MIDLAND"/>
    <s v="MATERIAL/WELD/EQUIP FAILURE"/>
    <n v="0"/>
    <n v="9.59"/>
    <n v="9590"/>
  </r>
  <r>
    <x v="0"/>
    <x v="130"/>
    <n v="26041"/>
    <s v="KINDER MORGAN LIQUID TERMINALS, LLC"/>
    <s v="PASADENA"/>
    <s v="MATERIAL/WELD/EQUIP FAILURE"/>
    <n v="0"/>
    <n v="20.242999999999999"/>
    <n v="20243"/>
  </r>
  <r>
    <x v="0"/>
    <x v="131"/>
    <n v="31189"/>
    <s v="BP PIPELINE (NORTH AMERICA) INC."/>
    <s v="LAPORTE"/>
    <s v="MATERIAL/WELD/EQUIP FAILURE"/>
    <n v="3"/>
    <n v="295.60000000000002"/>
    <n v="295600"/>
  </r>
  <r>
    <x v="0"/>
    <x v="132"/>
    <n v="1845"/>
    <s v="BUCKEYE PARTNERS, LP"/>
    <s v="BROOKLYN"/>
    <s v="CORROSION"/>
    <n v="0"/>
    <n v="499.33499999999998"/>
    <n v="499335"/>
  </r>
  <r>
    <x v="0"/>
    <x v="132"/>
    <n v="395"/>
    <s v="AMOCO OIL CO"/>
    <s v="HAMMOND"/>
    <s v="CORROSION"/>
    <n v="121"/>
    <n v="13184"/>
    <n v="13184000"/>
  </r>
  <r>
    <x v="0"/>
    <x v="132"/>
    <n v="300"/>
    <s v="PLAINS PIPELINE, L.P."/>
    <s v="DUNCAN"/>
    <s v="CORROSION"/>
    <n v="0"/>
    <n v="5.08"/>
    <n v="5080"/>
  </r>
  <r>
    <x v="0"/>
    <x v="133"/>
    <n v="32109"/>
    <s v="ONEOK NGL PIPELINE LP"/>
    <s v="ELKHART"/>
    <s v="MATERIAL/WELD/EQUIP FAILURE"/>
    <n v="2"/>
    <n v="0.17299999999999999"/>
    <n v="173"/>
  </r>
  <r>
    <x v="0"/>
    <x v="134"/>
    <n v="32334"/>
    <s v="TC OIL PIPELINE OPERATIONS INC"/>
    <s v="HARTINGTON"/>
    <s v="MATERIAL/WELD/EQUIP FAILURE"/>
    <n v="0"/>
    <n v="33.018000000000001"/>
    <n v="33018"/>
  </r>
  <r>
    <x v="0"/>
    <x v="134"/>
    <n v="26094"/>
    <s v="NUSTAR TERMINALS OPERATIONS PARTNERSHIP L. P."/>
    <s v="ST. JAMES"/>
    <s v="CORROSION"/>
    <n v="0"/>
    <n v="28.5"/>
    <n v="28500"/>
  </r>
  <r>
    <x v="0"/>
    <x v="135"/>
    <n v="31580"/>
    <s v="MAGELLAN TERMINALS HOLDINGS, LP"/>
    <s v="PASEDENA"/>
    <s v="INCORRECT OPERATION"/>
    <n v="0"/>
    <n v="20"/>
    <n v="20000"/>
  </r>
  <r>
    <x v="0"/>
    <x v="135"/>
    <n v="15774"/>
    <s v="ENBRIDGE PIPELINES (NORTH DAKOTA) LLC"/>
    <s v="SHERWOOD"/>
    <s v="CORROSION"/>
    <n v="0"/>
    <n v="11.025"/>
    <n v="11025"/>
  </r>
  <r>
    <x v="0"/>
    <x v="136"/>
    <n v="18718"/>
    <s v="SUNOCO PIPELINE L.P."/>
    <s v="CORSICANA"/>
    <s v="CORROSION"/>
    <n v="98"/>
    <n v="398.03899999999999"/>
    <n v="398039"/>
  </r>
  <r>
    <x v="0"/>
    <x v="137"/>
    <n v="4805"/>
    <s v="EXPLORER PIPELINE CO"/>
    <s v="GLENPOOL"/>
    <s v="ALL OTHER CAUSES"/>
    <n v="0"/>
    <n v="2.7989999999999999"/>
    <n v="2799"/>
  </r>
  <r>
    <x v="0"/>
    <x v="138"/>
    <n v="31947"/>
    <s v="ENBRIDGE PIPELINES (OZARK) L.L.C."/>
    <s v="RICHLAND"/>
    <s v="CORROSION"/>
    <n v="0"/>
    <n v="15"/>
    <n v="15000"/>
  </r>
  <r>
    <x v="0"/>
    <x v="139"/>
    <n v="32246"/>
    <s v="LDH ENERGY MONT BELVIEU L.P."/>
    <s v="MONT BELVIEU"/>
    <s v="EXCAVATION DAMAGE"/>
    <n v="6"/>
    <n v="5"/>
    <n v="5000"/>
  </r>
  <r>
    <x v="0"/>
    <x v="140"/>
    <n v="4472"/>
    <s v="KINDER MORGAN ENERGY PARTNERS, L.P."/>
    <s v="MONT BELVIEU"/>
    <s v="MATERIAL/WELD/EQUIP FAILURE"/>
    <n v="1"/>
    <n v="18.677"/>
    <n v="18677"/>
  </r>
  <r>
    <x v="0"/>
    <x v="141"/>
    <n v="2731"/>
    <s v="CHEVRON PIPE LINE CO"/>
    <s v="BAYTOWN"/>
    <s v="ALL OTHER CAUSES"/>
    <s v="0.02"/>
    <n v="2.5"/>
    <n v="2500"/>
  </r>
  <r>
    <x v="0"/>
    <x v="141"/>
    <n v="31684"/>
    <s v="CONOCOPHILLIPS"/>
    <s v="EVANSVILLE"/>
    <s v="INCORRECT OPERATION"/>
    <n v="10"/>
    <n v="16.260000000000002"/>
    <n v="16260"/>
  </r>
  <r>
    <x v="0"/>
    <x v="141"/>
    <n v="31618"/>
    <s v="ENTERPRISE PRODUCTS OPERATING LLC"/>
    <s v="GILBOA"/>
    <s v="MATERIAL/WELD/EQUIP FAILURE"/>
    <n v="3283"/>
    <n v="1811.7560000000001"/>
    <n v="1811756"/>
  </r>
  <r>
    <x v="0"/>
    <x v="142"/>
    <n v="4906"/>
    <s v="EXXONMOBIL PIPELINE CO"/>
    <s v="BAYTOWN"/>
    <s v="MATERIAL/WELD/EQUIP FAILURE"/>
    <n v="0"/>
    <n v="49.05"/>
    <n v="49050"/>
  </r>
  <r>
    <x v="0"/>
    <x v="143"/>
    <n v="2731"/>
    <s v="CHEVRON PIPE LINE CO"/>
    <s v="FRIENDSWOOD"/>
    <s v="ALL OTHER CAUSES"/>
    <n v="16893"/>
    <n v="45.8"/>
    <n v="45800"/>
  </r>
  <r>
    <x v="0"/>
    <x v="144"/>
    <n v="31454"/>
    <s v="NUSTAR LOGISTICS, L.P."/>
    <s v="WICHITA FALLS"/>
    <s v="MATERIAL/WELD/EQUIP FAILURE"/>
    <n v="3"/>
    <n v="2.222"/>
    <n v="2222"/>
  </r>
  <r>
    <x v="0"/>
    <x v="145"/>
    <n v="9175"/>
    <s v="JAYHAWK PIPELINE LLC"/>
    <s v="HUGOTON "/>
    <s v="CORROSION"/>
    <n v="2"/>
    <n v="4.12"/>
    <n v="4120"/>
  </r>
  <r>
    <x v="0"/>
    <x v="146"/>
    <n v="12105"/>
    <s v="MAGELLAN AMMONIA PIPELINE, L.P."/>
    <m/>
    <s v="MATERIAL/WELD/EQUIP FAILURE"/>
    <s v="0.71"/>
    <n v="45.06"/>
    <n v="45060"/>
  </r>
  <r>
    <x v="0"/>
    <x v="146"/>
    <n v="4906"/>
    <s v="EXXONMOBIL PIPELINE CO"/>
    <m/>
    <s v="INCORRECT OPERATION"/>
    <n v="0"/>
    <n v="0"/>
    <n v="0"/>
  </r>
  <r>
    <x v="0"/>
    <x v="147"/>
    <n v="2170"/>
    <s v="CENEX PIPELINE LLC"/>
    <s v="N/A"/>
    <s v="MATERIAL/WELD/EQUIP FAILURE"/>
    <n v="42889"/>
    <n v="10.5"/>
    <n v="10500"/>
  </r>
  <r>
    <x v="0"/>
    <x v="147"/>
    <n v="26149"/>
    <s v="ALYESKA PIPELINE SERVICE CO"/>
    <s v="COLDFOOT"/>
    <s v="MATERIAL/WELD/EQUIP FAILURE"/>
    <n v="0"/>
    <n v="4.1280000000000001"/>
    <n v="4128"/>
  </r>
  <r>
    <x v="0"/>
    <x v="148"/>
    <n v="10012"/>
    <s v="NUSTAR PIPELINE OPERATING PARTNERSHIP L.P."/>
    <s v="ARKANSAS CITY"/>
    <s v="MATERIAL/WELD/EQUIP FAILURE"/>
    <n v="0"/>
    <n v="6.22"/>
    <n v="6220"/>
  </r>
  <r>
    <x v="0"/>
    <x v="148"/>
    <n v="3445"/>
    <s v="DIXIE PIPELINE"/>
    <s v="MARINQOUIN"/>
    <s v="INCORRECT OPERATION"/>
    <n v="382"/>
    <n v="17.327999999999999"/>
    <n v="17328"/>
  </r>
  <r>
    <x v="0"/>
    <x v="148"/>
    <n v="32109"/>
    <s v="ONEOK NGL PIPELINE LP"/>
    <s v="WINDOM"/>
    <s v="INCORRECT OPERATION"/>
    <s v="0.85"/>
    <n v="0.06"/>
    <n v="60"/>
  </r>
  <r>
    <x v="0"/>
    <x v="148"/>
    <n v="32109"/>
    <s v="ONEOK NGL PIPELINE LP"/>
    <s v="WINDOM"/>
    <s v="INCORRECT OPERATION"/>
    <s v="0.85"/>
    <n v="0.06"/>
    <n v="60"/>
  </r>
  <r>
    <x v="0"/>
    <x v="149"/>
    <n v="12624"/>
    <s v="MOBIL CORP"/>
    <m/>
    <s v="MATERIAL/WELD/EQUIP FAILURE"/>
    <n v="0"/>
    <n v="47.442999999999998"/>
    <n v="47443"/>
  </r>
  <r>
    <x v="0"/>
    <x v="149"/>
    <n v="11169"/>
    <s v="ENBRIDGE ENERGY, LIMITED PARTNERSHIP"/>
    <s v="ROMEOVILLE"/>
    <s v="OTHER OUTSIDE FORCE DAMAGE"/>
    <n v="0"/>
    <n v="47393.565999999999"/>
    <n v="47393566"/>
  </r>
  <r>
    <x v="0"/>
    <x v="150"/>
    <n v="11169"/>
    <s v="ENBRIDGE ENERGY, LIMITED PARTNERSHIP"/>
    <s v="FOWLERVILLE"/>
    <s v="INCORRECT OPERATION"/>
    <n v="0"/>
    <n v="25"/>
    <n v="25000"/>
  </r>
  <r>
    <x v="0"/>
    <x v="151"/>
    <n v="31947"/>
    <s v="ENBRIDGE PIPELINES (OZARK) L.L.C."/>
    <s v="EL DORADO"/>
    <s v="CORROSION"/>
    <n v="0"/>
    <n v="80"/>
    <n v="80000"/>
  </r>
  <r>
    <x v="0"/>
    <x v="151"/>
    <n v="26085"/>
    <s v="PLAINS MARKETING, L.P."/>
    <s v="ST JAMES"/>
    <s v="MATERIAL/WELD/EQUIP FAILURE"/>
    <n v="0"/>
    <n v="177.922"/>
    <n v="177922"/>
  </r>
  <r>
    <x v="0"/>
    <x v="152"/>
    <n v="4805"/>
    <s v="EXPLORER PIPELINE CO"/>
    <s v="HOUSTON"/>
    <s v="INCORRECT OPERATION"/>
    <n v="0"/>
    <n v="364.15699999999998"/>
    <n v="364157"/>
  </r>
  <r>
    <x v="0"/>
    <x v="153"/>
    <n v="18718"/>
    <s v="SUNOCO PIPELINE L.P."/>
    <s v="ANSON"/>
    <s v="MATERIAL/WELD/EQUIP FAILURE"/>
    <s v="0.5"/>
    <n v="18.864999999999998"/>
    <n v="18865"/>
  </r>
  <r>
    <x v="0"/>
    <x v="153"/>
    <n v="31618"/>
    <s v="ENTERPRISE PRODUCTS OPERATING LLC"/>
    <s v="WYOMING"/>
    <s v="ALL OTHER CAUSES"/>
    <n v="42917"/>
    <n v="116.35599999999999"/>
    <n v="116356"/>
  </r>
  <r>
    <x v="0"/>
    <x v="153"/>
    <n v="22610"/>
    <s v="MAGELLAN PIPELINE COMPANY, LP"/>
    <s v="WILLIS"/>
    <s v="MATERIAL/WELD/EQUIP FAILURE"/>
    <n v="0"/>
    <n v="40.1"/>
    <n v="40100"/>
  </r>
  <r>
    <x v="0"/>
    <x v="153"/>
    <n v="1845"/>
    <s v="BUCKEYE PARTNERS, LP"/>
    <s v="MARTINSVILLE"/>
    <s v="MATERIAL/WELD/EQUIP FAILURE"/>
    <n v="0"/>
    <n v="0.94"/>
    <n v="940"/>
  </r>
  <r>
    <x v="0"/>
    <x v="154"/>
    <n v="2731"/>
    <s v="CHEVRON PIPE LINE CO"/>
    <s v="PT. ARTHUR"/>
    <s v="MATERIAL/WELD/EQUIP FAILURE"/>
    <n v="87"/>
    <n v="60.25"/>
    <n v="60250"/>
  </r>
  <r>
    <x v="0"/>
    <x v="155"/>
    <n v="31618"/>
    <s v="ENTERPRISE PRODUCTS OPERATING LLC"/>
    <s v="SEMINOLE"/>
    <s v="MATERIAL/WELD/EQUIP FAILURE"/>
    <n v="200"/>
    <n v="27.4"/>
    <n v="27400"/>
  </r>
  <r>
    <x v="0"/>
    <x v="156"/>
    <n v="22442"/>
    <s v="WEST TEXAS GULF PIPELINE CO"/>
    <s v="SOUR LAKE"/>
    <s v="MATERIAL/WELD/EQUIP FAILURE"/>
    <n v="2"/>
    <n v="21.084"/>
    <n v="21084"/>
  </r>
  <r>
    <x v="0"/>
    <x v="157"/>
    <n v="11169"/>
    <s v="ENBRIDGE ENERGY, LIMITED PARTNERSHIP"/>
    <s v="DEER RIVER"/>
    <s v="INCORRECT OPERATION"/>
    <n v="0"/>
    <n v="35.1"/>
    <n v="35100"/>
  </r>
  <r>
    <x v="0"/>
    <x v="158"/>
    <n v="18718"/>
    <s v="SUNOCO PIPELINE L.P."/>
    <s v="BRECKENRIDGE"/>
    <s v="INCORRECT OPERATION"/>
    <n v="1"/>
    <n v="0.23699999999999999"/>
    <n v="237"/>
  </r>
  <r>
    <x v="0"/>
    <x v="159"/>
    <n v="18718"/>
    <s v="SUNOCO PIPELINE L.P."/>
    <s v="BEAUMONT"/>
    <s v="INCORRECT OPERATION"/>
    <s v="0.17"/>
    <n v="8.9130000000000003"/>
    <n v="8913"/>
  </r>
  <r>
    <x v="0"/>
    <x v="160"/>
    <n v="18718"/>
    <s v="SUNOCO PIPELINE L.P."/>
    <s v="BEAUMONT"/>
    <s v="EXCAVATION DAMAGE"/>
    <n v="0"/>
    <n v="1.02"/>
    <n v="1020"/>
  </r>
  <r>
    <x v="0"/>
    <x v="161"/>
    <n v="18718"/>
    <s v="SUNOCO PIPELINE L.P."/>
    <s v="THOMAS"/>
    <s v="MATERIAL/WELD/EQUIP FAILURE"/>
    <n v="1"/>
    <n v="3.9820000000000002"/>
    <n v="3982"/>
  </r>
  <r>
    <x v="0"/>
    <x v="162"/>
    <n v="31618"/>
    <s v="ENTERPRISE PRODUCTS OPERATING LLC"/>
    <s v="INDIAN BAYOU"/>
    <s v="MATERIAL/WELD/EQUIP FAILURE"/>
    <n v="1"/>
    <n v="35.15"/>
    <n v="35150"/>
  </r>
  <r>
    <x v="0"/>
    <x v="163"/>
    <n v="18718"/>
    <s v="SUNOCO PIPELINE L.P."/>
    <s v="ST. CLAIR"/>
    <s v="CORROSION"/>
    <n v="0"/>
    <n v="75"/>
    <n v="75000"/>
  </r>
  <r>
    <x v="0"/>
    <x v="164"/>
    <n v="31618"/>
    <s v="ENTERPRISE PRODUCTS OPERATING LLC"/>
    <s v="BEAUMONT"/>
    <s v="MATERIAL/WELD/EQUIP FAILURE"/>
    <n v="20"/>
    <n v="262.51900000000001"/>
    <n v="262519"/>
  </r>
  <r>
    <x v="0"/>
    <x v="165"/>
    <n v="31888"/>
    <s v="CENTURION PIPELINE L.P."/>
    <s v="LEVELLAND"/>
    <s v="MATERIAL/WELD/EQUIP FAILURE"/>
    <n v="250"/>
    <n v="64.13"/>
    <n v="64130"/>
  </r>
  <r>
    <x v="0"/>
    <x v="165"/>
    <n v="26041"/>
    <s v="KINDER MORGAN LIQUID TERMINALS, LLC"/>
    <s v="PERTH AMBOY"/>
    <s v="INCORRECT OPERATION"/>
    <n v="0"/>
    <n v="7.2"/>
    <n v="7200"/>
  </r>
  <r>
    <x v="0"/>
    <x v="165"/>
    <n v="7063"/>
    <s v="HARBOR PIPELINE CO"/>
    <s v="MANSFIELD TOWNSHIP"/>
    <s v="INCORRECT OPERATION"/>
    <n v="0"/>
    <n v="0"/>
    <n v="0"/>
  </r>
  <r>
    <x v="0"/>
    <x v="166"/>
    <n v="31555"/>
    <s v="KINDER MORGAN CO2 CO. LP"/>
    <m/>
    <s v="ALL OTHER CAUSES"/>
    <n v="299"/>
    <n v="1.5249999999999999"/>
    <n v="1525"/>
  </r>
  <r>
    <x v="0"/>
    <x v="167"/>
    <n v="2731"/>
    <s v="CHEVRON PIPE LINE CO"/>
    <s v="SANTO"/>
    <s v="MATERIAL/WELD/EQUIP FAILURE"/>
    <n v="42772"/>
    <n v="29.15"/>
    <n v="29150"/>
  </r>
  <r>
    <x v="0"/>
    <x v="168"/>
    <n v="30829"/>
    <s v="ENTERPRISE CRUDE PIPELINE LLC"/>
    <s v="FOX"/>
    <s v="MATERIAL/WELD/EQUIP FAILURE"/>
    <n v="0"/>
    <n v="5.05"/>
    <n v="5050"/>
  </r>
  <r>
    <x v="0"/>
    <x v="169"/>
    <n v="30829"/>
    <s v="ENTERPRISE CRUDE PIPELINE LLC"/>
    <s v="HOPE"/>
    <s v="MATERIAL/WELD/EQUIP FAILURE"/>
    <n v="8"/>
    <n v="27.8"/>
    <n v="27800"/>
  </r>
  <r>
    <x v="0"/>
    <x v="170"/>
    <n v="32147"/>
    <s v="MARATHON PIPE LINE LLC"/>
    <s v="CREAL SPRINGS"/>
    <s v="MATERIAL/WELD/EQUIP FAILURE"/>
    <n v="0"/>
    <n v="1.99"/>
    <n v="1990"/>
  </r>
  <r>
    <x v="0"/>
    <x v="170"/>
    <n v="32109"/>
    <s v="ONEOK NGL PIPELINE LP"/>
    <s v="WHITEWRIGHT"/>
    <s v="CORROSION"/>
    <n v="241"/>
    <n v="250.358"/>
    <n v="250358"/>
  </r>
  <r>
    <x v="0"/>
    <x v="171"/>
    <n v="22610"/>
    <s v="MAGELLAN PIPELINE COMPANY, LP"/>
    <s v="HOUSTON"/>
    <s v="MATERIAL/WELD/EQUIP FAILURE"/>
    <n v="0"/>
    <n v="4"/>
    <n v="4000"/>
  </r>
  <r>
    <x v="0"/>
    <x v="172"/>
    <n v="2552"/>
    <s v="COLONIAL PIPELINE CO"/>
    <s v="BEAUMONT"/>
    <s v="MATERIAL/WELD/EQUIP FAILURE"/>
    <n v="0"/>
    <n v="35"/>
    <n v="35000"/>
  </r>
  <r>
    <x v="0"/>
    <x v="173"/>
    <n v="2552"/>
    <s v="COLONIAL PIPELINE CO"/>
    <s v="PORT ARTHUR"/>
    <s v="MATERIAL/WELD/EQUIP FAILURE"/>
    <n v="0"/>
    <n v="21"/>
    <n v="21000"/>
  </r>
  <r>
    <x v="0"/>
    <x v="173"/>
    <n v="18092"/>
    <s v="SFPP, LP"/>
    <s v="POMONA"/>
    <s v="MATERIAL/WELD/EQUIP FAILURE"/>
    <n v="0"/>
    <n v="64.963999999999999"/>
    <n v="64964"/>
  </r>
  <r>
    <x v="0"/>
    <x v="174"/>
    <n v="300"/>
    <s v="PLAINS PIPELINE, L.P."/>
    <s v="ODESSA"/>
    <s v="CORROSION"/>
    <n v="0"/>
    <n v="8.5399999999999991"/>
    <n v="8540"/>
  </r>
  <r>
    <x v="0"/>
    <x v="175"/>
    <n v="32109"/>
    <s v="ONEOK NGL PIPELINE LP"/>
    <s v="PURCELL"/>
    <s v="MATERIAL/WELD/EQUIP FAILURE"/>
    <n v="19419"/>
    <n v="0.159"/>
    <n v="159"/>
  </r>
  <r>
    <x v="0"/>
    <x v="176"/>
    <n v="30829"/>
    <s v="ENTERPRISE CRUDE PIPELINE LLC"/>
    <s v="CHICO"/>
    <s v="CORROSION"/>
    <n v="10"/>
    <n v="65.099999999999994"/>
    <n v="65100"/>
  </r>
  <r>
    <x v="0"/>
    <x v="177"/>
    <n v="26041"/>
    <s v="KINDER MORGAN LIQUID TERMINALS, LLC"/>
    <s v="ARGO"/>
    <s v="MATERIAL/WELD/EQUIP FAILURE"/>
    <n v="0"/>
    <n v="1.76"/>
    <n v="1760"/>
  </r>
  <r>
    <x v="0"/>
    <x v="177"/>
    <n v="2552"/>
    <s v="COLONIAL PIPELINE CO"/>
    <s v="CROSBY"/>
    <s v="MATERIAL/WELD/EQUIP FAILURE"/>
    <s v="0.12"/>
    <n v="80"/>
    <n v="80000"/>
  </r>
  <r>
    <x v="0"/>
    <x v="178"/>
    <n v="31476"/>
    <s v="SEMGROUP LP"/>
    <s v="HAVEN"/>
    <s v="CORROSION"/>
    <n v="5"/>
    <n v="91.95"/>
    <n v="91950"/>
  </r>
  <r>
    <x v="0"/>
    <x v="178"/>
    <n v="31174"/>
    <s v="SHELL PIPELINE CO., L.P."/>
    <s v="CARSON"/>
    <s v="MATERIAL/WELD/EQUIP FAILURE"/>
    <n v="5"/>
    <n v="8.5299999999999994"/>
    <n v="8530"/>
  </r>
  <r>
    <x v="0"/>
    <x v="179"/>
    <n v="30829"/>
    <s v="ENTERPRISE CRUDE PIPELINE LLC"/>
    <s v="HEALDTON"/>
    <s v="MATERIAL/WELD/EQUIP FAILURE"/>
    <n v="2"/>
    <n v="3.7"/>
    <n v="3700"/>
  </r>
  <r>
    <x v="0"/>
    <x v="180"/>
    <n v="11169"/>
    <s v="ENBRIDGE ENERGY, LIMITED PARTNERSHIP"/>
    <s v="FLOODWOOD"/>
    <s v="MATERIAL/WELD/EQUIP FAILURE"/>
    <n v="0"/>
    <n v="31"/>
    <n v="31000"/>
  </r>
  <r>
    <x v="0"/>
    <x v="180"/>
    <n v="31610"/>
    <s v="BP WEST COAST PRODUCTS L.L.C."/>
    <s v="SIGNAL HILL"/>
    <s v="EXCAVATION DAMAGE"/>
    <n v="79"/>
    <n v="765"/>
    <n v="765000"/>
  </r>
  <r>
    <x v="0"/>
    <x v="181"/>
    <n v="22610"/>
    <s v="MAGELLAN PIPELINE COMPANY, LP"/>
    <s v="SAVAGE"/>
    <s v="MATERIAL/WELD/EQUIP FAILURE"/>
    <n v="0"/>
    <n v="393.5"/>
    <n v="393500"/>
  </r>
  <r>
    <x v="0"/>
    <x v="181"/>
    <n v="18718"/>
    <s v="SUNOCO PIPELINE L.P."/>
    <s v="ENID"/>
    <s v="INCORRECT OPERATION"/>
    <s v="0.48"/>
    <n v="7.3680000000000003"/>
    <n v="7368"/>
  </r>
  <r>
    <x v="0"/>
    <x v="182"/>
    <n v="30829"/>
    <s v="ENTERPRISE CRUDE PIPELINE LLC"/>
    <s v="HEALDTON"/>
    <s v="MATERIAL/WELD/EQUIP FAILURE"/>
    <n v="5"/>
    <n v="47"/>
    <n v="47000"/>
  </r>
  <r>
    <x v="0"/>
    <x v="182"/>
    <n v="9175"/>
    <s v="JAYHAWK PIPELINE LLC"/>
    <s v="COLDWATER "/>
    <s v="MATERIAL/WELD/EQUIP FAILURE"/>
    <n v="0"/>
    <n v="0.3"/>
    <n v="300"/>
  </r>
  <r>
    <x v="0"/>
    <x v="182"/>
    <n v="12105"/>
    <s v="MAGELLAN AMMONIA PIPELINE, L.P."/>
    <s v="EARLY"/>
    <s v="MATERIAL/WELD/EQUIP FAILURE"/>
    <n v="22859"/>
    <n v="67.430999999999997"/>
    <n v="67431"/>
  </r>
  <r>
    <x v="0"/>
    <x v="182"/>
    <n v="18718"/>
    <s v="SUNOCO PIPELINE L.P."/>
    <s v="DIBOLL"/>
    <s v="INCORRECT OPERATION"/>
    <n v="5"/>
    <n v="19.434000000000001"/>
    <n v="19434"/>
  </r>
  <r>
    <x v="0"/>
    <x v="183"/>
    <n v="30829"/>
    <s v="ENTERPRISE CRUDE PIPELINE LLC"/>
    <s v="FREEPORT"/>
    <s v="MATERIAL/WELD/EQUIP FAILURE"/>
    <s v="0.71"/>
    <n v="29.184999999999999"/>
    <n v="29185"/>
  </r>
  <r>
    <x v="0"/>
    <x v="183"/>
    <n v="31618"/>
    <s v="ENTERPRISE PRODUCTS OPERATING LLC"/>
    <s v="SEMINOLE"/>
    <s v="EXCAVATION DAMAGE"/>
    <n v="25"/>
    <n v="45"/>
    <n v="45000"/>
  </r>
  <r>
    <x v="0"/>
    <x v="183"/>
    <n v="31174"/>
    <s v="SHELL PIPELINE CO., L.P."/>
    <s v="VINTON"/>
    <s v="CORROSION"/>
    <n v="535"/>
    <n v="989"/>
    <n v="989000"/>
  </r>
  <r>
    <x v="0"/>
    <x v="184"/>
    <n v="2552"/>
    <s v="COLONIAL PIPELINE CO"/>
    <s v="MOUNDVILLE"/>
    <s v="CORROSION"/>
    <n v="0"/>
    <n v="13.25"/>
    <n v="13250"/>
  </r>
  <r>
    <x v="0"/>
    <x v="185"/>
    <n v="18718"/>
    <s v="SUNOCO PIPELINE L.P."/>
    <s v="NEW WAVERLY"/>
    <s v="MATERIAL/WELD/EQUIP FAILURE"/>
    <n v="100"/>
    <n v="438.06"/>
    <n v="438060"/>
  </r>
  <r>
    <x v="0"/>
    <x v="185"/>
    <n v="26041"/>
    <s v="KINDER MORGAN LIQUID TERMINALS, LLC"/>
    <s v="CARTERET"/>
    <s v="INCORRECT OPERATION"/>
    <n v="2"/>
    <n v="11.7"/>
    <n v="11700"/>
  </r>
  <r>
    <x v="0"/>
    <x v="186"/>
    <n v="9175"/>
    <s v="JAYHAWK PIPELINE LLC"/>
    <s v="SUBLETTE"/>
    <s v="MATERIAL/WELD/EQUIP FAILURE"/>
    <s v="0.16"/>
    <n v="1.0549999999999999"/>
    <n v="1055"/>
  </r>
  <r>
    <x v="0"/>
    <x v="186"/>
    <n v="30829"/>
    <s v="ENTERPRISE CRUDE PIPELINE LLC"/>
    <s v="WEST COLUMBIA"/>
    <s v="MATERIAL/WELD/EQUIP FAILURE"/>
    <n v="2"/>
    <n v="18"/>
    <n v="18000"/>
  </r>
  <r>
    <x v="0"/>
    <x v="187"/>
    <n v="2731"/>
    <s v="CHEVRON PIPE LINE CO"/>
    <s v="TAFT"/>
    <s v="CORROSION"/>
    <n v="0"/>
    <n v="5.0650000000000004"/>
    <n v="5065"/>
  </r>
  <r>
    <x v="0"/>
    <x v="187"/>
    <n v="31720"/>
    <s v="KINDER MORGAN PIPELINES (USA) INC"/>
    <m/>
    <s v="MATERIAL/WELD/EQUIP FAILURE"/>
    <n v="0"/>
    <n v="187.5"/>
    <n v="187500"/>
  </r>
  <r>
    <x v="0"/>
    <x v="187"/>
    <n v="3445"/>
    <s v="DIXIE PIPELINE"/>
    <s v="MONT BELVIEU"/>
    <s v="MATERIAL/WELD/EQUIP FAILURE"/>
    <n v="3"/>
    <n v="1.27"/>
    <n v="1270"/>
  </r>
  <r>
    <x v="0"/>
    <x v="188"/>
    <n v="2552"/>
    <s v="COLONIAL PIPELINE CO"/>
    <m/>
    <s v="MATERIAL/WELD/EQUIP FAILURE"/>
    <n v="0"/>
    <n v="3.0870000000000002"/>
    <n v="3087"/>
  </r>
  <r>
    <x v="0"/>
    <x v="189"/>
    <n v="2731"/>
    <s v="CHEVRON PIPE LINE CO"/>
    <s v="MCKITTRICK"/>
    <s v="MATERIAL/WELD/EQUIP FAILURE"/>
    <n v="0"/>
    <n v="5"/>
    <n v="5000"/>
  </r>
  <r>
    <x v="0"/>
    <x v="189"/>
    <n v="10012"/>
    <s v="NUSTAR PIPELINE OPERATING PARTNERSHIP L.P."/>
    <s v="MILLERSBURG"/>
    <s v="MATERIAL/WELD/EQUIP FAILURE"/>
    <n v="42796"/>
    <n v="31.01"/>
    <n v="31010"/>
  </r>
  <r>
    <x v="0"/>
    <x v="190"/>
    <n v="2552"/>
    <s v="COLONIAL PIPELINE CO"/>
    <s v="AVENEL"/>
    <s v="MATERIAL/WELD/EQUIP FAILURE"/>
    <n v="0"/>
    <n v="20"/>
    <n v="20000"/>
  </r>
  <r>
    <x v="0"/>
    <x v="190"/>
    <n v="31610"/>
    <s v="BP WEST COAST PRODUCTS L.L.C."/>
    <s v="LONG BEACH"/>
    <s v="MATERIAL/WELD/EQUIP FAILURE"/>
    <n v="0"/>
    <n v="2"/>
    <n v="2000"/>
  </r>
  <r>
    <x v="0"/>
    <x v="191"/>
    <n v="31555"/>
    <s v="KINDER MORGAN CO2 CO. LP"/>
    <s v="KNOX CITY"/>
    <s v="MATERIAL/WELD/EQUIP FAILURE"/>
    <n v="26"/>
    <n v="0.41799999999999998"/>
    <n v="418"/>
  </r>
  <r>
    <x v="0"/>
    <x v="191"/>
    <n v="22610"/>
    <s v="MAGELLAN PIPELINE COMPANY, LP"/>
    <s v="CRANE"/>
    <s v="MATERIAL/WELD/EQUIP FAILURE"/>
    <n v="0"/>
    <n v="2.11"/>
    <n v="2110"/>
  </r>
  <r>
    <x v="0"/>
    <x v="192"/>
    <n v="31618"/>
    <s v="ENTERPRISE PRODUCTS OPERATING LLC"/>
    <s v="EL DORADO"/>
    <s v="MATERIAL/WELD/EQUIP FAILURE"/>
    <n v="0"/>
    <n v="10.5"/>
    <n v="10500"/>
  </r>
  <r>
    <x v="0"/>
    <x v="193"/>
    <n v="11169"/>
    <s v="ENBRIDGE ENERGY, LIMITED PARTNERSHIP"/>
    <s v="NORTH BRANCH"/>
    <s v="MATERIAL/WELD/EQUIP FAILURE"/>
    <n v="0"/>
    <n v="10.050000000000001"/>
    <n v="10050"/>
  </r>
  <r>
    <x v="0"/>
    <x v="193"/>
    <n v="32109"/>
    <s v="ONEOK NGL PIPELINE LP"/>
    <s v="MONT BELVIEU"/>
    <s v="MATERIAL/WELD/EQUIP FAILURE"/>
    <n v="83"/>
    <n v="128.86199999999999"/>
    <n v="128862"/>
  </r>
  <r>
    <x v="0"/>
    <x v="193"/>
    <n v="2731"/>
    <s v="CHEVRON PIPE LINE CO"/>
    <s v="SALT LAKE CITY"/>
    <s v="INCORRECT OPERATION"/>
    <n v="250"/>
    <n v="20833.924999999999"/>
    <n v="20833925"/>
  </r>
  <r>
    <x v="0"/>
    <x v="194"/>
    <n v="1845"/>
    <s v="BUCKEYE PARTNERS, LP"/>
    <s v="NEW DOUGLAS"/>
    <s v="OTHER OUTSIDE FORCE DAMAGE"/>
    <s v="489.7"/>
    <n v="4709.5659999999998"/>
    <n v="4709566"/>
  </r>
  <r>
    <x v="0"/>
    <x v="195"/>
    <n v="31684"/>
    <s v="CONOCOPHILLIPS"/>
    <s v="WICHITA FALLS"/>
    <s v="CORROSION"/>
    <n v="0"/>
    <n v="16.675000000000001"/>
    <n v="16675"/>
  </r>
  <r>
    <x v="0"/>
    <x v="196"/>
    <n v="18718"/>
    <s v="SUNOCO PIPELINE L.P."/>
    <s v="LIVINGSTON"/>
    <s v="CORROSION"/>
    <n v="45"/>
    <n v="155.34"/>
    <n v="155340"/>
  </r>
  <r>
    <x v="0"/>
    <x v="197"/>
    <n v="300"/>
    <s v="PLAINS PIPELINE, L.P."/>
    <s v="HERMLEIGH"/>
    <s v="CORROSION"/>
    <n v="0"/>
    <n v="21.5"/>
    <n v="21500"/>
  </r>
  <r>
    <x v="0"/>
    <x v="197"/>
    <n v="10012"/>
    <s v="NUSTAR PIPELINE OPERATING PARTNERSHIP L.P."/>
    <s v="NORTH ENGLISH"/>
    <s v="MATERIAL/WELD/EQUIP FAILURE"/>
    <s v="0.98"/>
    <n v="1.8660000000000001"/>
    <n v="1866"/>
  </r>
  <r>
    <x v="0"/>
    <x v="197"/>
    <n v="22610"/>
    <s v="MAGELLAN PIPELINE COMPANY, LP"/>
    <s v="KANSAS CITY"/>
    <s v="MATERIAL/WELD/EQUIP FAILURE"/>
    <n v="0"/>
    <n v="0.375"/>
    <n v="375"/>
  </r>
  <r>
    <x v="0"/>
    <x v="198"/>
    <n v="22610"/>
    <s v="MAGELLAN PIPELINE COMPANY, LP"/>
    <s v="TULSA"/>
    <s v="MATERIAL/WELD/EQUIP FAILURE"/>
    <n v="0"/>
    <n v="0.53"/>
    <n v="530"/>
  </r>
  <r>
    <x v="0"/>
    <x v="198"/>
    <n v="2552"/>
    <s v="COLONIAL PIPELINE CO"/>
    <s v="WOODBINE"/>
    <s v="INCORRECT OPERATION"/>
    <s v="0.17"/>
    <n v="10.395"/>
    <n v="10395"/>
  </r>
  <r>
    <x v="0"/>
    <x v="198"/>
    <n v="1845"/>
    <s v="BUCKEYE PARTNERS, LP"/>
    <s v="LINDEN"/>
    <s v="CORROSION"/>
    <n v="0"/>
    <n v="67.599999999999994"/>
    <n v="67600"/>
  </r>
  <r>
    <x v="0"/>
    <x v="198"/>
    <n v="26303"/>
    <s v="UNOCAL PIPELINE CO . EASTERN REGION"/>
    <s v="VAN"/>
    <s v="CORROSION"/>
    <n v="0"/>
    <n v="250"/>
    <n v="250000"/>
  </r>
  <r>
    <x v="0"/>
    <x v="198"/>
    <n v="31618"/>
    <s v="ENTERPRISE PRODUCTS OPERATING LLC"/>
    <s v="SEMINOLE"/>
    <s v="MATERIAL/WELD/EQUIP FAILURE"/>
    <n v="1"/>
    <n v="1.05"/>
    <n v="1050"/>
  </r>
  <r>
    <x v="0"/>
    <x v="199"/>
    <n v="22610"/>
    <s v="MAGELLAN PIPELINE COMPANY, LP"/>
    <s v="FARGO"/>
    <s v="NATURAL FORCE DAMAGE"/>
    <s v="0.42"/>
    <n v="5.7"/>
    <n v="5700"/>
  </r>
  <r>
    <x v="0"/>
    <x v="200"/>
    <n v="395"/>
    <s v="AMOCO OIL CO"/>
    <s v="WOOD RIVER "/>
    <s v="MATERIAL/WELD/EQUIP FAILURE"/>
    <n v="0"/>
    <n v="3.45"/>
    <n v="3450"/>
  </r>
  <r>
    <x v="0"/>
    <x v="200"/>
    <n v="4805"/>
    <s v="EXPLORER PIPELINE CO"/>
    <s v="PORT ARTHUR"/>
    <s v="CORROSION"/>
    <n v="0"/>
    <n v="575.02499999999998"/>
    <n v="575025"/>
  </r>
  <r>
    <x v="0"/>
    <x v="200"/>
    <n v="32109"/>
    <s v="ONEOK NGL PIPELINE LP"/>
    <s v="POCASSET"/>
    <s v="EXCAVATION DAMAGE"/>
    <n v="286"/>
    <n v="86.986999999999995"/>
    <n v="86987"/>
  </r>
  <r>
    <x v="0"/>
    <x v="200"/>
    <n v="32109"/>
    <s v="ONEOK NGL PIPELINE LP"/>
    <s v="GREENSBURG"/>
    <s v="EXCAVATION DAMAGE"/>
    <n v="3415"/>
    <n v="216.07499999999999"/>
    <n v="216075"/>
  </r>
  <r>
    <x v="0"/>
    <x v="200"/>
    <n v="5081"/>
    <s v="COFFEYVILLE RESOURCES CRUDE TRANSPORTATION, LLC"/>
    <s v="COPAN"/>
    <s v="CORROSION"/>
    <n v="4"/>
    <n v="456.24"/>
    <n v="456240"/>
  </r>
  <r>
    <x v="0"/>
    <x v="201"/>
    <n v="31618"/>
    <s v="ENTERPRISE PRODUCTS OPERATING LLC"/>
    <s v="TRIMONT"/>
    <s v="EXCAVATION DAMAGE"/>
    <n v="4544"/>
    <n v="362.12900000000002"/>
    <n v="362129"/>
  </r>
  <r>
    <x v="0"/>
    <x v="202"/>
    <n v="1845"/>
    <s v="BUCKEYE PARTNERS, LP"/>
    <s v="TAYLOR"/>
    <s v="MATERIAL/WELD/EQUIP FAILURE"/>
    <n v="0"/>
    <n v="9.5139999999999993"/>
    <n v="9514"/>
  </r>
  <r>
    <x v="0"/>
    <x v="203"/>
    <n v="10012"/>
    <s v="NUSTAR PIPELINE OPERATING PARTNERSHIP L.P."/>
    <s v="MCPHERSON"/>
    <s v="MATERIAL/WELD/EQUIP FAILURE"/>
    <s v="0.36"/>
    <n v="2.762"/>
    <n v="2762"/>
  </r>
  <r>
    <x v="0"/>
    <x v="204"/>
    <n v="9175"/>
    <s v="JAYHAWK PIPELINE LLC"/>
    <s v="SUBLETTE"/>
    <s v="MATERIAL/WELD/EQUIP FAILURE"/>
    <s v="0.05"/>
    <n v="0.62"/>
    <n v="620"/>
  </r>
  <r>
    <x v="0"/>
    <x v="204"/>
    <n v="22855"/>
    <s v="KOCH PIPELINE COMPANY, L.P."/>
    <s v="EAGLEVILLE"/>
    <s v="MATERIAL/WELD/EQUIP FAILURE"/>
    <s v="0.24"/>
    <n v="20.021000000000001"/>
    <n v="20021"/>
  </r>
  <r>
    <x v="0"/>
    <x v="205"/>
    <n v="22430"/>
    <s v="WEST SHORE PIPELINE CO"/>
    <s v="LOCKPORT"/>
    <s v="OTHER OUTSIDE FORCE DAMAGE"/>
    <n v="0"/>
    <n v="19495.904999999999"/>
    <n v="19495905"/>
  </r>
  <r>
    <x v="0"/>
    <x v="205"/>
    <n v="32450"/>
    <s v="ROADRUNNER PIPELINE, L.L.C."/>
    <s v="SUNDOWN"/>
    <s v="MATERIAL/WELD/EQUIP FAILURE"/>
    <n v="1"/>
    <n v="0.2"/>
    <n v="200"/>
  </r>
  <r>
    <x v="0"/>
    <x v="206"/>
    <n v="31684"/>
    <s v="CONOCOPHILLIPS"/>
    <s v="EUREKA"/>
    <s v="INCORRECT OPERATION"/>
    <s v="0.5"/>
    <n v="0.06"/>
    <n v="60"/>
  </r>
  <r>
    <x v="0"/>
    <x v="206"/>
    <n v="15674"/>
    <s v="PLANTATION PIPE LINE CO"/>
    <s v="SPARTANBURG"/>
    <s v="MATERIAL/WELD/EQUIP FAILURE"/>
    <n v="0"/>
    <n v="2.84"/>
    <n v="2840"/>
  </r>
  <r>
    <x v="0"/>
    <x v="207"/>
    <n v="12470"/>
    <s v="MID . VALLEY PIPELINE CO"/>
    <s v="MAYERSVILLE"/>
    <s v="CORROSION"/>
    <n v="17"/>
    <n v="150.53200000000001"/>
    <n v="150532"/>
  </r>
  <r>
    <x v="0"/>
    <x v="207"/>
    <n v="26094"/>
    <s v="NUSTAR TERMINALS OPERATIONS PARTNERSHIP L. P."/>
    <s v="LINDEN"/>
    <s v="CORROSION"/>
    <n v="0"/>
    <n v="20.742000000000001"/>
    <n v="20742"/>
  </r>
  <r>
    <x v="0"/>
    <x v="208"/>
    <n v="4906"/>
    <s v="EXXONMOBIL PIPELINE CO"/>
    <s v="TEXAS CITY"/>
    <s v="MATERIAL/WELD/EQUIP FAILURE"/>
    <n v="0"/>
    <n v="4.0549999999999997"/>
    <n v="4055"/>
  </r>
  <r>
    <x v="0"/>
    <x v="209"/>
    <n v="31627"/>
    <s v="DENBURY ONSHORE, LLC"/>
    <s v="KINDER"/>
    <s v="MATERIAL/WELD/EQUIP FAILURE"/>
    <s v="0.29"/>
    <n v="205.64500000000001"/>
    <n v="205645"/>
  </r>
  <r>
    <x v="0"/>
    <x v="210"/>
    <n v="10012"/>
    <s v="NUSTAR PIPELINE OPERATING PARTNERSHIP L.P."/>
    <s v="GENEVA"/>
    <s v="CORROSION"/>
    <n v="0"/>
    <n v="28.762"/>
    <n v="28762"/>
  </r>
  <r>
    <x v="0"/>
    <x v="211"/>
    <n v="32109"/>
    <s v="ONEOK NGL PIPELINE LP"/>
    <s v="TRENTON"/>
    <s v="MATERIAL/WELD/EQUIP FAILURE"/>
    <n v="7"/>
    <n v="125.355"/>
    <n v="125355"/>
  </r>
  <r>
    <x v="0"/>
    <x v="212"/>
    <n v="14194"/>
    <s v="OILTANKING, HOUSTON LP"/>
    <s v="HOUSTON"/>
    <s v="CORROSION"/>
    <s v="0.48"/>
    <n v="17.55"/>
    <n v="17550"/>
  </r>
  <r>
    <x v="0"/>
    <x v="212"/>
    <n v="31610"/>
    <s v="BP WEST COAST PRODUCTS L.L.C."/>
    <s v="LONG BEACH"/>
    <s v="CORROSION"/>
    <n v="28"/>
    <n v="860.7"/>
    <n v="860700"/>
  </r>
  <r>
    <x v="0"/>
    <x v="213"/>
    <n v="12105"/>
    <s v="MAGELLAN AMMONIA PIPELINE, L.P."/>
    <s v="GARNER"/>
    <s v="CORROSION"/>
    <n v="21033"/>
    <n v="64.515000000000001"/>
    <n v="64515"/>
  </r>
  <r>
    <x v="0"/>
    <x v="214"/>
    <n v="31816"/>
    <s v="MID.CONTINENT FRACTIONATION AND STORAGE, L.L.C."/>
    <s v="MCPHERSON"/>
    <s v="INCORRECT OPERATION"/>
    <n v="42859"/>
    <n v="0.38700000000000001"/>
    <n v="387"/>
  </r>
  <r>
    <x v="0"/>
    <x v="214"/>
    <n v="300"/>
    <s v="PLAINS PIPELINE, L.P."/>
    <s v="MIDLAND"/>
    <s v="MATERIAL/WELD/EQUIP FAILURE"/>
    <n v="0"/>
    <n v="44.15"/>
    <n v="44150"/>
  </r>
  <r>
    <x v="0"/>
    <x v="214"/>
    <n v="31166"/>
    <s v="MUSTANG PIPE LINE PARTNERS"/>
    <s v="LOCKPORT"/>
    <s v="MATERIAL/WELD/EQUIP FAILURE"/>
    <n v="0"/>
    <n v="250.35"/>
    <n v="2503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4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6">
  <location ref="D1:E16" firstHeaderRow="1" firstDataRow="1" firstDataCol="1"/>
  <pivotFields count="11">
    <pivotField axis="axisRow" subtotalTop="0" showAll="0">
      <items count="2">
        <item x="0"/>
        <item t="default"/>
      </items>
    </pivotField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ubtotalTop="0" showAll="0" defaultSubtotal="0">
      <items count="1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</items>
    </pivotField>
  </pivotFields>
  <rowFields count="2">
    <field x="0"/>
    <field x="1"/>
  </rowFields>
  <rowItems count="15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/>
    </i>
    <i t="grand">
      <x/>
    </i>
  </rowItems>
  <colItems count="1">
    <i/>
  </colItems>
  <dataFields count="1">
    <dataField name="Liczba z Całkowity koszt pokrycia strat (w tys dolarów)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13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6">
  <location ref="G1:H16" firstHeaderRow="1" firstDataRow="1" firstDataCol="1"/>
  <pivotFields count="11">
    <pivotField axis="axisRow" subtotalTop="0" showAll="0">
      <items count="2">
        <item x="0"/>
        <item t="default"/>
      </items>
    </pivotField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ubtotalTop="0" showAll="0" defaultSubtotal="0">
      <items count="1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</items>
    </pivotField>
  </pivotFields>
  <rowFields count="2">
    <field x="0"/>
    <field x="1"/>
  </rowFields>
  <rowItems count="15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/>
    </i>
    <i t="grand">
      <x/>
    </i>
  </rowItems>
  <colItems count="1">
    <i/>
  </colItems>
  <dataFields count="1">
    <dataField name="Średnia z Całkowity koszt pokrycia strat (w tys dolarów)" fld="7" subtotal="average" baseField="0" baseItem="0" numFmtId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10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8">
  <location ref="A1:B16" firstHeaderRow="1" firstDataRow="1" firstDataCol="1"/>
  <pivotFields count="11">
    <pivotField axis="axisRow" subtotalTop="0" showAll="0">
      <items count="2">
        <item x="0"/>
        <item t="default"/>
      </items>
    </pivotField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t="default"/>
      </items>
    </pivotField>
  </pivotFields>
  <rowFields count="2">
    <field x="0"/>
    <field x="1"/>
  </rowFields>
  <rowItems count="15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/>
    </i>
    <i t="grand">
      <x/>
    </i>
  </rowItems>
  <colItems count="1">
    <i/>
  </colItems>
  <dataFields count="1">
    <dataField name="Suma z Całkowity koszt pokrycia strat (w tys dolarów)" fld="7" baseField="0" baseItem="0" numFmtId="2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C350" totalsRowShown="0">
  <autoFilter ref="A1:C350">
    <filterColumn colId="0" hiddenButton="1"/>
    <filterColumn colId="1" hiddenButton="1"/>
    <filterColumn colId="2" hiddenButton="1"/>
  </autoFilter>
  <tableColumns count="3">
    <tableColumn id="1" name="Data wypadku" dataDxfId="5"/>
    <tableColumn id="2" name="Całkowity koszt pokrycia strat (w tys dolarów)"/>
    <tableColumn id="3" name="Całkowity koszt pokrycia strat ( w dolarach)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E2:H25" totalsRowShown="0">
  <autoFilter ref="E2:H25">
    <filterColumn colId="0" hiddenButton="1"/>
    <filterColumn colId="1" hiddenButton="1"/>
    <filterColumn colId="2" hiddenButton="1"/>
    <filterColumn colId="3" hiddenButton="1"/>
  </autoFilter>
  <tableColumns count="4">
    <tableColumn id="1" name="Koszt pokrycia strat (w tys dolarów)" dataDxfId="4"/>
    <tableColumn id="2" name="Wartość( w tys.$)"/>
    <tableColumn id="3" name="Symbol" dataDxfId="3"/>
    <tableColumn id="4" name="Wartość2"/>
  </tableColumns>
  <tableStyleInfo name="TableStyleLight21" showFirstColumn="1" showLastColumn="0" showRowStripes="0" showColumnStripes="0"/>
</table>
</file>

<file path=xl/tables/table3.xml><?xml version="1.0" encoding="utf-8"?>
<table xmlns="http://schemas.openxmlformats.org/spreadsheetml/2006/main" id="3" name="Tabela3" displayName="Tabela3" ref="K2:M14" totalsRowShown="0">
  <autoFilter ref="K2:M14">
    <filterColumn colId="0" hiddenButton="1"/>
    <filterColumn colId="1" hiddenButton="1"/>
    <filterColumn colId="2" hiddenButton="1"/>
  </autoFilter>
  <tableColumns count="3">
    <tableColumn id="1" name="MIARY KLASYCZNE"/>
    <tableColumn id="2" name="Wartość w tys. $" dataDxfId="2"/>
    <tableColumn id="3" name="Wartość2" dataDxfId="1"/>
  </tableColumns>
  <tableStyleInfo name="TableStyleMedium10" showFirstColumn="1" showLastColumn="0" showRowStripes="0" showColumnStripes="0"/>
</table>
</file>

<file path=xl/tables/table4.xml><?xml version="1.0" encoding="utf-8"?>
<table xmlns="http://schemas.openxmlformats.org/spreadsheetml/2006/main" id="4" name="Tabela4" displayName="Tabela4" ref="K17:M26" totalsRowShown="0">
  <autoFilter ref="K17:M26">
    <filterColumn colId="0" hiddenButton="1"/>
    <filterColumn colId="1" hiddenButton="1"/>
    <filterColumn colId="2" hiddenButton="1"/>
  </autoFilter>
  <tableColumns count="3">
    <tableColumn id="1" name="MIARY POZYCYJNE"/>
    <tableColumn id="2" name="Wartość w tys. $" dataDxfId="0"/>
    <tableColumn id="3" name="Wartość2"/>
  </tableColumns>
  <tableStyleInfo name="TableStyleMedium11" showFirstColumn="1" showLastColumn="0" showRowStripes="0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3"/>
  <sheetViews>
    <sheetView zoomScaleNormal="100" workbookViewId="0">
      <selection activeCell="H34" sqref="H34"/>
    </sheetView>
  </sheetViews>
  <sheetFormatPr defaultRowHeight="14.4" x14ac:dyDescent="0.3"/>
  <cols>
    <col min="1" max="1" width="16.6640625" customWidth="1"/>
    <col min="2" max="2" width="45.5546875" customWidth="1"/>
    <col min="4" max="4" width="16.6640625" customWidth="1"/>
    <col min="5" max="5" width="46.88671875" customWidth="1"/>
    <col min="7" max="7" width="15.6640625" customWidth="1"/>
    <col min="8" max="8" width="50.88671875" customWidth="1"/>
    <col min="9" max="9" width="49.21875" customWidth="1"/>
    <col min="11" max="11" width="16.6640625" customWidth="1"/>
    <col min="12" max="12" width="46.88671875" customWidth="1"/>
    <col min="14" max="14" width="16.6640625" customWidth="1"/>
    <col min="15" max="15" width="47.21875" customWidth="1"/>
    <col min="17" max="17" width="16.6640625" bestFit="1" customWidth="1"/>
    <col min="18" max="18" width="48.44140625" bestFit="1" customWidth="1"/>
  </cols>
  <sheetData>
    <row r="1" spans="1:9" x14ac:dyDescent="0.3">
      <c r="A1" s="4" t="s">
        <v>365</v>
      </c>
      <c r="B1" s="4" t="s">
        <v>437</v>
      </c>
      <c r="C1" s="4"/>
      <c r="D1" s="4" t="s">
        <v>365</v>
      </c>
      <c r="E1" s="4" t="s">
        <v>438</v>
      </c>
      <c r="F1" s="4"/>
      <c r="G1" s="4" t="s">
        <v>365</v>
      </c>
      <c r="H1" s="4" t="s">
        <v>439</v>
      </c>
      <c r="I1" s="4"/>
    </row>
    <row r="2" spans="1:9" x14ac:dyDescent="0.3">
      <c r="A2" s="5">
        <v>2010</v>
      </c>
      <c r="B2" s="12"/>
      <c r="D2" s="5">
        <v>2010</v>
      </c>
      <c r="E2" s="6"/>
      <c r="G2" s="5">
        <v>2010</v>
      </c>
      <c r="H2" s="12"/>
    </row>
    <row r="3" spans="1:9" x14ac:dyDescent="0.3">
      <c r="A3" s="17" t="s">
        <v>419</v>
      </c>
      <c r="B3" s="12">
        <v>13311.246999999998</v>
      </c>
      <c r="D3" s="17" t="s">
        <v>419</v>
      </c>
      <c r="E3" s="6">
        <v>34</v>
      </c>
      <c r="G3" s="17" t="s">
        <v>419</v>
      </c>
      <c r="H3" s="12">
        <v>391.50726470588228</v>
      </c>
    </row>
    <row r="4" spans="1:9" x14ac:dyDescent="0.3">
      <c r="A4" s="17" t="s">
        <v>420</v>
      </c>
      <c r="B4" s="12">
        <v>2343.0680000000002</v>
      </c>
      <c r="D4" s="17" t="s">
        <v>420</v>
      </c>
      <c r="E4" s="6">
        <v>16</v>
      </c>
      <c r="G4" s="17" t="s">
        <v>420</v>
      </c>
      <c r="H4" s="12">
        <v>146.44175000000001</v>
      </c>
    </row>
    <row r="5" spans="1:9" x14ac:dyDescent="0.3">
      <c r="A5" s="17" t="s">
        <v>421</v>
      </c>
      <c r="B5" s="12">
        <v>4741.9389999999994</v>
      </c>
      <c r="D5" s="17" t="s">
        <v>421</v>
      </c>
      <c r="E5" s="6">
        <v>32</v>
      </c>
      <c r="G5" s="17" t="s">
        <v>421</v>
      </c>
      <c r="H5" s="12">
        <v>148.18559374999998</v>
      </c>
    </row>
    <row r="6" spans="1:9" x14ac:dyDescent="0.3">
      <c r="A6" s="17" t="s">
        <v>422</v>
      </c>
      <c r="B6" s="12">
        <v>21969.59499999999</v>
      </c>
      <c r="D6" s="17" t="s">
        <v>422</v>
      </c>
      <c r="E6" s="6">
        <v>32</v>
      </c>
      <c r="G6" s="17" t="s">
        <v>422</v>
      </c>
      <c r="H6" s="12">
        <v>686.5498437499997</v>
      </c>
    </row>
    <row r="7" spans="1:9" x14ac:dyDescent="0.3">
      <c r="A7" s="17" t="s">
        <v>423</v>
      </c>
      <c r="B7" s="12">
        <v>34972.047999999995</v>
      </c>
      <c r="D7" s="17" t="s">
        <v>423</v>
      </c>
      <c r="E7" s="6">
        <v>30</v>
      </c>
      <c r="G7" s="17" t="s">
        <v>423</v>
      </c>
      <c r="H7" s="12">
        <v>1165.7349333333332</v>
      </c>
    </row>
    <row r="8" spans="1:9" x14ac:dyDescent="0.3">
      <c r="A8" s="17" t="s">
        <v>424</v>
      </c>
      <c r="B8" s="12">
        <v>34895.793999999994</v>
      </c>
      <c r="D8" s="17" t="s">
        <v>424</v>
      </c>
      <c r="E8" s="6">
        <v>29</v>
      </c>
      <c r="G8" s="17" t="s">
        <v>424</v>
      </c>
      <c r="H8" s="12">
        <v>1203.3032413793101</v>
      </c>
    </row>
    <row r="9" spans="1:9" x14ac:dyDescent="0.3">
      <c r="A9" s="17" t="s">
        <v>425</v>
      </c>
      <c r="B9" s="12">
        <v>3667.9220000000005</v>
      </c>
      <c r="D9" s="17" t="s">
        <v>425</v>
      </c>
      <c r="E9" s="6">
        <v>28</v>
      </c>
      <c r="G9" s="17" t="s">
        <v>425</v>
      </c>
      <c r="H9" s="12">
        <v>130.99721428571431</v>
      </c>
    </row>
    <row r="10" spans="1:9" x14ac:dyDescent="0.3">
      <c r="A10" s="17" t="s">
        <v>426</v>
      </c>
      <c r="B10" s="12">
        <v>16701.603000000003</v>
      </c>
      <c r="D10" s="17" t="s">
        <v>426</v>
      </c>
      <c r="E10" s="6">
        <v>27</v>
      </c>
      <c r="G10" s="17" t="s">
        <v>426</v>
      </c>
      <c r="H10" s="12">
        <v>618.57788888888899</v>
      </c>
    </row>
    <row r="11" spans="1:9" x14ac:dyDescent="0.3">
      <c r="A11" s="17" t="s">
        <v>427</v>
      </c>
      <c r="B11" s="12">
        <v>48557.832999999999</v>
      </c>
      <c r="D11" s="17" t="s">
        <v>427</v>
      </c>
      <c r="E11" s="6">
        <v>29</v>
      </c>
      <c r="G11" s="17" t="s">
        <v>427</v>
      </c>
      <c r="H11" s="12">
        <v>1674.4080344827585</v>
      </c>
    </row>
    <row r="12" spans="1:9" x14ac:dyDescent="0.3">
      <c r="A12" s="17" t="s">
        <v>428</v>
      </c>
      <c r="B12" s="12">
        <v>507.52399999999994</v>
      </c>
      <c r="D12" s="17" t="s">
        <v>428</v>
      </c>
      <c r="E12" s="6">
        <v>10</v>
      </c>
      <c r="G12" s="17" t="s">
        <v>428</v>
      </c>
      <c r="H12" s="12">
        <v>50.752399999999994</v>
      </c>
    </row>
    <row r="13" spans="1:9" x14ac:dyDescent="0.3">
      <c r="A13" s="17" t="s">
        <v>429</v>
      </c>
      <c r="B13" s="12">
        <v>3781.2939999999999</v>
      </c>
      <c r="D13" s="17" t="s">
        <v>429</v>
      </c>
      <c r="E13" s="6">
        <v>41</v>
      </c>
      <c r="G13" s="17" t="s">
        <v>429</v>
      </c>
      <c r="H13" s="12">
        <v>92.22668292682927</v>
      </c>
    </row>
    <row r="14" spans="1:9" x14ac:dyDescent="0.3">
      <c r="A14" s="17" t="s">
        <v>430</v>
      </c>
      <c r="B14" s="12">
        <v>49218.00499999999</v>
      </c>
      <c r="D14" s="17" t="s">
        <v>430</v>
      </c>
      <c r="E14" s="6">
        <v>41</v>
      </c>
      <c r="G14" s="17" t="s">
        <v>430</v>
      </c>
      <c r="H14" s="12">
        <v>1200.4391463414631</v>
      </c>
    </row>
    <row r="15" spans="1:9" x14ac:dyDescent="0.3">
      <c r="A15" s="5" t="s">
        <v>367</v>
      </c>
      <c r="B15" s="12">
        <v>234667.87199999997</v>
      </c>
      <c r="D15" s="5" t="s">
        <v>367</v>
      </c>
      <c r="E15" s="6">
        <v>349</v>
      </c>
      <c r="G15" s="5" t="s">
        <v>367</v>
      </c>
      <c r="H15" s="12">
        <v>672.40077936962712</v>
      </c>
    </row>
    <row r="16" spans="1:9" x14ac:dyDescent="0.3">
      <c r="A16" s="5" t="s">
        <v>366</v>
      </c>
      <c r="B16" s="12">
        <v>234667.87199999997</v>
      </c>
      <c r="D16" s="5" t="s">
        <v>366</v>
      </c>
      <c r="E16" s="6">
        <v>349</v>
      </c>
      <c r="G16" s="5" t="s">
        <v>366</v>
      </c>
      <c r="H16" s="12">
        <v>672.40077936962712</v>
      </c>
    </row>
    <row r="19" spans="2:12" x14ac:dyDescent="0.3">
      <c r="B19" s="6"/>
      <c r="L19" s="6"/>
    </row>
    <row r="20" spans="2:12" x14ac:dyDescent="0.3">
      <c r="B20" s="6"/>
      <c r="L20" s="6"/>
    </row>
    <row r="21" spans="2:12" x14ac:dyDescent="0.3">
      <c r="B21" s="6"/>
      <c r="L21" s="6"/>
    </row>
    <row r="22" spans="2:12" x14ac:dyDescent="0.3">
      <c r="B22" s="6"/>
      <c r="L22" s="6"/>
    </row>
    <row r="23" spans="2:12" x14ac:dyDescent="0.3">
      <c r="B23" s="6"/>
      <c r="L23" s="6"/>
    </row>
    <row r="24" spans="2:12" x14ac:dyDescent="0.3">
      <c r="B24" s="6"/>
      <c r="L24" s="6"/>
    </row>
    <row r="25" spans="2:12" x14ac:dyDescent="0.3">
      <c r="B25" s="6"/>
      <c r="D25" s="1"/>
      <c r="L25" s="6"/>
    </row>
    <row r="26" spans="2:12" x14ac:dyDescent="0.3">
      <c r="B26" s="6"/>
      <c r="D26" s="1"/>
      <c r="L26" s="6"/>
    </row>
    <row r="27" spans="2:12" x14ac:dyDescent="0.3">
      <c r="B27" s="6"/>
      <c r="D27" s="1"/>
      <c r="L27" s="6"/>
    </row>
    <row r="28" spans="2:12" x14ac:dyDescent="0.3">
      <c r="B28" s="6"/>
      <c r="D28" s="1"/>
      <c r="L28" s="6"/>
    </row>
    <row r="29" spans="2:12" x14ac:dyDescent="0.3">
      <c r="B29" s="6"/>
      <c r="D29" s="1"/>
      <c r="L29" s="6"/>
    </row>
    <row r="30" spans="2:12" x14ac:dyDescent="0.3">
      <c r="B30" s="6"/>
      <c r="D30" s="1"/>
      <c r="L30" s="6"/>
    </row>
    <row r="31" spans="2:12" x14ac:dyDescent="0.3">
      <c r="B31" s="6"/>
      <c r="D31" s="1"/>
      <c r="L31" s="6"/>
    </row>
    <row r="32" spans="2:12" x14ac:dyDescent="0.3">
      <c r="B32" s="6"/>
      <c r="D32" s="1"/>
      <c r="L32" s="6"/>
    </row>
    <row r="33" spans="2:12" x14ac:dyDescent="0.3">
      <c r="B33" s="6"/>
      <c r="D33" s="1"/>
      <c r="L33" s="6"/>
    </row>
    <row r="34" spans="2:12" x14ac:dyDescent="0.3">
      <c r="B34" s="6"/>
      <c r="D34" s="1"/>
      <c r="L34" s="6"/>
    </row>
    <row r="35" spans="2:12" x14ac:dyDescent="0.3">
      <c r="B35" s="6"/>
      <c r="D35" s="15"/>
      <c r="L35" s="6"/>
    </row>
    <row r="36" spans="2:12" x14ac:dyDescent="0.3">
      <c r="B36" s="6"/>
      <c r="D36" s="15"/>
      <c r="L36" s="6"/>
    </row>
    <row r="37" spans="2:12" x14ac:dyDescent="0.3">
      <c r="B37" s="6"/>
      <c r="D37" s="15"/>
      <c r="L37" s="6"/>
    </row>
    <row r="38" spans="2:12" x14ac:dyDescent="0.3">
      <c r="B38" s="6"/>
      <c r="D38" s="15"/>
      <c r="L38" s="6"/>
    </row>
    <row r="39" spans="2:12" x14ac:dyDescent="0.3">
      <c r="B39" s="6"/>
      <c r="D39" s="15"/>
      <c r="L39" s="6"/>
    </row>
    <row r="40" spans="2:12" x14ac:dyDescent="0.3">
      <c r="B40" s="6"/>
      <c r="D40" s="15"/>
      <c r="L40" s="6"/>
    </row>
    <row r="41" spans="2:12" x14ac:dyDescent="0.3">
      <c r="B41" s="6"/>
      <c r="D41" s="15"/>
      <c r="L41" s="6"/>
    </row>
    <row r="42" spans="2:12" x14ac:dyDescent="0.3">
      <c r="B42" s="6"/>
      <c r="D42" s="15"/>
      <c r="L42" s="6"/>
    </row>
    <row r="43" spans="2:12" x14ac:dyDescent="0.3">
      <c r="B43" s="6"/>
      <c r="D43" s="15"/>
      <c r="L43" s="6"/>
    </row>
    <row r="44" spans="2:12" x14ac:dyDescent="0.3">
      <c r="B44" s="6"/>
      <c r="D44" s="15"/>
      <c r="L44" s="6"/>
    </row>
    <row r="45" spans="2:12" x14ac:dyDescent="0.3">
      <c r="B45" s="6"/>
      <c r="D45" s="15"/>
      <c r="L45" s="6"/>
    </row>
    <row r="46" spans="2:12" x14ac:dyDescent="0.3">
      <c r="B46" s="6"/>
      <c r="D46" s="15"/>
      <c r="L46" s="6"/>
    </row>
    <row r="47" spans="2:12" x14ac:dyDescent="0.3">
      <c r="B47" s="6"/>
      <c r="D47" s="15"/>
      <c r="L47" s="6"/>
    </row>
    <row r="48" spans="2:12" x14ac:dyDescent="0.3">
      <c r="B48" s="6"/>
      <c r="D48" s="15"/>
      <c r="L48" s="6"/>
    </row>
    <row r="49" spans="2:12" x14ac:dyDescent="0.3">
      <c r="B49" s="6"/>
      <c r="D49" s="15"/>
      <c r="L49" s="6"/>
    </row>
    <row r="50" spans="2:12" x14ac:dyDescent="0.3">
      <c r="B50" s="6"/>
      <c r="D50" s="15"/>
      <c r="L50" s="6"/>
    </row>
    <row r="51" spans="2:12" x14ac:dyDescent="0.3">
      <c r="B51" s="6"/>
      <c r="D51" s="15"/>
      <c r="L51" s="6"/>
    </row>
    <row r="52" spans="2:12" x14ac:dyDescent="0.3">
      <c r="B52" s="6"/>
      <c r="D52" s="15"/>
      <c r="L52" s="6"/>
    </row>
    <row r="53" spans="2:12" x14ac:dyDescent="0.3">
      <c r="B53" s="6"/>
      <c r="D53" s="15"/>
      <c r="L53" s="6"/>
    </row>
    <row r="54" spans="2:12" x14ac:dyDescent="0.3">
      <c r="B54" s="6"/>
      <c r="D54" s="15"/>
      <c r="L54" s="6"/>
    </row>
    <row r="55" spans="2:12" x14ac:dyDescent="0.3">
      <c r="B55" s="6"/>
      <c r="D55" s="15"/>
      <c r="L55" s="6"/>
    </row>
    <row r="56" spans="2:12" x14ac:dyDescent="0.3">
      <c r="B56" s="6"/>
      <c r="D56" s="15"/>
      <c r="L56" s="6"/>
    </row>
    <row r="57" spans="2:12" x14ac:dyDescent="0.3">
      <c r="B57" s="6"/>
      <c r="D57" s="15"/>
      <c r="L57" s="6"/>
    </row>
    <row r="58" spans="2:12" x14ac:dyDescent="0.3">
      <c r="B58" s="6"/>
      <c r="D58" s="15"/>
      <c r="L58" s="6"/>
    </row>
    <row r="59" spans="2:12" x14ac:dyDescent="0.3">
      <c r="B59" s="6"/>
      <c r="D59" s="15"/>
      <c r="L59" s="6"/>
    </row>
    <row r="60" spans="2:12" x14ac:dyDescent="0.3">
      <c r="B60" s="6"/>
      <c r="D60" s="15"/>
      <c r="L60" s="6"/>
    </row>
    <row r="61" spans="2:12" x14ac:dyDescent="0.3">
      <c r="B61" s="6"/>
      <c r="D61" s="15"/>
      <c r="L61" s="6"/>
    </row>
    <row r="62" spans="2:12" x14ac:dyDescent="0.3">
      <c r="B62" s="6"/>
      <c r="D62" s="15"/>
      <c r="L62" s="6"/>
    </row>
    <row r="63" spans="2:12" x14ac:dyDescent="0.3">
      <c r="B63" s="6"/>
      <c r="D63" s="15"/>
      <c r="L63" s="6"/>
    </row>
    <row r="64" spans="2:12" x14ac:dyDescent="0.3">
      <c r="B64" s="6"/>
      <c r="D64" s="15"/>
      <c r="L64" s="6"/>
    </row>
    <row r="65" spans="2:12" x14ac:dyDescent="0.3">
      <c r="B65" s="6"/>
      <c r="D65" s="15"/>
      <c r="L65" s="6"/>
    </row>
    <row r="66" spans="2:12" x14ac:dyDescent="0.3">
      <c r="B66" s="6"/>
      <c r="D66" s="15"/>
      <c r="L66" s="6"/>
    </row>
    <row r="67" spans="2:12" x14ac:dyDescent="0.3">
      <c r="B67" s="6"/>
      <c r="D67" s="15"/>
      <c r="L67" s="6"/>
    </row>
    <row r="68" spans="2:12" x14ac:dyDescent="0.3">
      <c r="B68" s="6"/>
      <c r="D68" s="15"/>
      <c r="L68" s="6"/>
    </row>
    <row r="69" spans="2:12" x14ac:dyDescent="0.3">
      <c r="B69" s="6"/>
      <c r="D69" s="15"/>
      <c r="L69" s="6"/>
    </row>
    <row r="70" spans="2:12" x14ac:dyDescent="0.3">
      <c r="B70" s="6"/>
      <c r="D70" s="15"/>
      <c r="L70" s="6"/>
    </row>
    <row r="71" spans="2:12" x14ac:dyDescent="0.3">
      <c r="B71" s="6"/>
      <c r="D71" s="15"/>
      <c r="L71" s="6"/>
    </row>
    <row r="72" spans="2:12" x14ac:dyDescent="0.3">
      <c r="B72" s="6"/>
      <c r="D72" s="15"/>
      <c r="L72" s="6"/>
    </row>
    <row r="73" spans="2:12" x14ac:dyDescent="0.3">
      <c r="B73" s="6"/>
      <c r="D73" s="15"/>
      <c r="L73" s="6"/>
    </row>
    <row r="74" spans="2:12" x14ac:dyDescent="0.3">
      <c r="B74" s="6"/>
      <c r="D74" s="15"/>
      <c r="L74" s="6"/>
    </row>
    <row r="75" spans="2:12" x14ac:dyDescent="0.3">
      <c r="B75" s="6"/>
      <c r="D75" s="15"/>
      <c r="L75" s="6"/>
    </row>
    <row r="76" spans="2:12" x14ac:dyDescent="0.3">
      <c r="B76" s="6"/>
      <c r="D76" s="15"/>
      <c r="L76" s="6"/>
    </row>
    <row r="77" spans="2:12" x14ac:dyDescent="0.3">
      <c r="B77" s="6"/>
      <c r="D77" s="15"/>
      <c r="L77" s="6"/>
    </row>
    <row r="78" spans="2:12" x14ac:dyDescent="0.3">
      <c r="B78" s="6"/>
      <c r="D78" s="15"/>
      <c r="L78" s="6"/>
    </row>
    <row r="79" spans="2:12" x14ac:dyDescent="0.3">
      <c r="B79" s="6"/>
      <c r="D79" s="15"/>
      <c r="L79" s="6"/>
    </row>
    <row r="80" spans="2:12" x14ac:dyDescent="0.3">
      <c r="B80" s="6"/>
      <c r="D80" s="15"/>
      <c r="L80" s="6"/>
    </row>
    <row r="81" spans="2:12" x14ac:dyDescent="0.3">
      <c r="B81" s="6"/>
      <c r="D81" s="15"/>
      <c r="L81" s="6"/>
    </row>
    <row r="82" spans="2:12" x14ac:dyDescent="0.3">
      <c r="B82" s="6"/>
      <c r="D82" s="15"/>
      <c r="L82" s="6"/>
    </row>
    <row r="83" spans="2:12" x14ac:dyDescent="0.3">
      <c r="B83" s="6"/>
      <c r="D83" s="15"/>
      <c r="L83" s="6"/>
    </row>
    <row r="84" spans="2:12" x14ac:dyDescent="0.3">
      <c r="B84" s="6"/>
      <c r="D84" s="15"/>
      <c r="L84" s="6"/>
    </row>
    <row r="85" spans="2:12" x14ac:dyDescent="0.3">
      <c r="B85" s="6"/>
      <c r="D85" s="15"/>
      <c r="L85" s="6"/>
    </row>
    <row r="86" spans="2:12" x14ac:dyDescent="0.3">
      <c r="B86" s="6"/>
      <c r="D86" s="15"/>
      <c r="L86" s="6"/>
    </row>
    <row r="87" spans="2:12" x14ac:dyDescent="0.3">
      <c r="B87" s="6"/>
      <c r="D87" s="15"/>
      <c r="I87" s="6"/>
    </row>
    <row r="88" spans="2:12" x14ac:dyDescent="0.3">
      <c r="B88" s="6"/>
      <c r="D88" s="15"/>
      <c r="I88" s="6"/>
    </row>
    <row r="89" spans="2:12" x14ac:dyDescent="0.3">
      <c r="B89" s="6"/>
      <c r="D89" s="15"/>
      <c r="I89" s="6"/>
    </row>
    <row r="90" spans="2:12" x14ac:dyDescent="0.3">
      <c r="B90" s="6"/>
      <c r="D90" s="15"/>
      <c r="I90" s="6"/>
    </row>
    <row r="91" spans="2:12" x14ac:dyDescent="0.3">
      <c r="B91" s="6"/>
      <c r="D91" s="15"/>
      <c r="I91" s="6"/>
    </row>
    <row r="92" spans="2:12" x14ac:dyDescent="0.3">
      <c r="B92" s="6"/>
      <c r="D92" s="15"/>
      <c r="I92" s="6"/>
    </row>
    <row r="93" spans="2:12" x14ac:dyDescent="0.3">
      <c r="B93" s="6"/>
      <c r="D93" s="15"/>
      <c r="I93" s="6"/>
    </row>
    <row r="94" spans="2:12" x14ac:dyDescent="0.3">
      <c r="B94" s="6"/>
      <c r="D94" s="15"/>
      <c r="I94" s="6"/>
    </row>
    <row r="95" spans="2:12" x14ac:dyDescent="0.3">
      <c r="B95" s="6"/>
      <c r="D95" s="15"/>
      <c r="I95" s="6"/>
    </row>
    <row r="96" spans="2:12" x14ac:dyDescent="0.3">
      <c r="B96" s="6"/>
      <c r="D96" s="15"/>
      <c r="I96" s="6"/>
    </row>
    <row r="97" spans="2:9" x14ac:dyDescent="0.3">
      <c r="B97" s="6"/>
      <c r="D97" s="15"/>
      <c r="I97" s="6"/>
    </row>
    <row r="98" spans="2:9" x14ac:dyDescent="0.3">
      <c r="B98" s="6"/>
      <c r="D98" s="15"/>
      <c r="I98" s="6"/>
    </row>
    <row r="99" spans="2:9" x14ac:dyDescent="0.3">
      <c r="B99" s="6"/>
      <c r="D99" s="15"/>
      <c r="I99" s="6"/>
    </row>
    <row r="100" spans="2:9" x14ac:dyDescent="0.3">
      <c r="B100" s="6"/>
      <c r="D100" s="15"/>
      <c r="I100" s="6"/>
    </row>
    <row r="101" spans="2:9" x14ac:dyDescent="0.3">
      <c r="B101" s="6"/>
      <c r="D101" s="15"/>
      <c r="I101" s="6"/>
    </row>
    <row r="102" spans="2:9" x14ac:dyDescent="0.3">
      <c r="B102" s="6"/>
      <c r="D102" s="15"/>
      <c r="I102" s="6"/>
    </row>
    <row r="103" spans="2:9" x14ac:dyDescent="0.3">
      <c r="B103" s="6"/>
      <c r="D103" s="15"/>
      <c r="I103" s="6"/>
    </row>
    <row r="104" spans="2:9" x14ac:dyDescent="0.3">
      <c r="B104" s="6"/>
      <c r="D104" s="15"/>
      <c r="I104" s="6"/>
    </row>
    <row r="105" spans="2:9" x14ac:dyDescent="0.3">
      <c r="B105" s="6"/>
      <c r="D105" s="15"/>
      <c r="I105" s="6"/>
    </row>
    <row r="106" spans="2:9" x14ac:dyDescent="0.3">
      <c r="B106" s="6"/>
      <c r="D106" s="15"/>
      <c r="I106" s="6"/>
    </row>
    <row r="107" spans="2:9" x14ac:dyDescent="0.3">
      <c r="B107" s="6"/>
      <c r="D107" s="15"/>
      <c r="I107" s="6"/>
    </row>
    <row r="108" spans="2:9" x14ac:dyDescent="0.3">
      <c r="B108" s="6"/>
      <c r="D108" s="15"/>
      <c r="I108" s="6"/>
    </row>
    <row r="109" spans="2:9" x14ac:dyDescent="0.3">
      <c r="B109" s="6"/>
      <c r="D109" s="15"/>
      <c r="I109" s="6"/>
    </row>
    <row r="110" spans="2:9" x14ac:dyDescent="0.3">
      <c r="B110" s="6"/>
      <c r="D110" s="15"/>
      <c r="I110" s="6"/>
    </row>
    <row r="111" spans="2:9" x14ac:dyDescent="0.3">
      <c r="B111" s="6"/>
      <c r="D111" s="15"/>
      <c r="I111" s="6"/>
    </row>
    <row r="112" spans="2:9" x14ac:dyDescent="0.3">
      <c r="B112" s="6"/>
      <c r="D112" s="15"/>
      <c r="I112" s="6"/>
    </row>
    <row r="113" spans="2:9" x14ac:dyDescent="0.3">
      <c r="B113" s="6"/>
      <c r="D113" s="15"/>
      <c r="I113" s="6"/>
    </row>
    <row r="114" spans="2:9" x14ac:dyDescent="0.3">
      <c r="B114" s="6"/>
      <c r="D114" s="15"/>
      <c r="I114" s="6"/>
    </row>
    <row r="115" spans="2:9" x14ac:dyDescent="0.3">
      <c r="B115" s="6"/>
      <c r="D115" s="15"/>
      <c r="I115" s="6"/>
    </row>
    <row r="116" spans="2:9" x14ac:dyDescent="0.3">
      <c r="B116" s="6"/>
      <c r="D116" s="15"/>
      <c r="I116" s="6"/>
    </row>
    <row r="117" spans="2:9" x14ac:dyDescent="0.3">
      <c r="B117" s="6"/>
      <c r="D117" s="15"/>
      <c r="I117" s="6"/>
    </row>
    <row r="118" spans="2:9" x14ac:dyDescent="0.3">
      <c r="B118" s="6"/>
      <c r="D118" s="15"/>
      <c r="I118" s="6"/>
    </row>
    <row r="119" spans="2:9" x14ac:dyDescent="0.3">
      <c r="B119" s="6"/>
      <c r="D119" s="15"/>
      <c r="I119" s="6"/>
    </row>
    <row r="120" spans="2:9" x14ac:dyDescent="0.3">
      <c r="B120" s="6"/>
      <c r="D120" s="15"/>
      <c r="I120" s="6"/>
    </row>
    <row r="121" spans="2:9" x14ac:dyDescent="0.3">
      <c r="B121" s="6"/>
      <c r="D121" s="15"/>
      <c r="I121" s="6"/>
    </row>
    <row r="122" spans="2:9" x14ac:dyDescent="0.3">
      <c r="B122" s="6"/>
      <c r="D122" s="15"/>
      <c r="I122" s="6"/>
    </row>
    <row r="123" spans="2:9" x14ac:dyDescent="0.3">
      <c r="B123" s="6"/>
      <c r="D123" s="15"/>
      <c r="I123" s="6"/>
    </row>
    <row r="124" spans="2:9" x14ac:dyDescent="0.3">
      <c r="B124" s="6"/>
      <c r="D124" s="15"/>
      <c r="I124" s="6"/>
    </row>
    <row r="125" spans="2:9" x14ac:dyDescent="0.3">
      <c r="B125" s="6"/>
      <c r="D125" s="15"/>
      <c r="I125" s="6"/>
    </row>
    <row r="126" spans="2:9" x14ac:dyDescent="0.3">
      <c r="B126" s="6"/>
      <c r="D126" s="15"/>
      <c r="I126" s="6"/>
    </row>
    <row r="127" spans="2:9" x14ac:dyDescent="0.3">
      <c r="B127" s="6"/>
      <c r="D127" s="15"/>
      <c r="I127" s="6"/>
    </row>
    <row r="128" spans="2:9" x14ac:dyDescent="0.3">
      <c r="B128" s="6"/>
      <c r="D128" s="15"/>
      <c r="I128" s="6"/>
    </row>
    <row r="129" spans="2:9" x14ac:dyDescent="0.3">
      <c r="B129" s="6"/>
      <c r="D129" s="15"/>
      <c r="I129" s="6"/>
    </row>
    <row r="130" spans="2:9" x14ac:dyDescent="0.3">
      <c r="B130" s="6"/>
      <c r="D130" s="15"/>
      <c r="I130" s="6"/>
    </row>
    <row r="131" spans="2:9" x14ac:dyDescent="0.3">
      <c r="B131" s="6"/>
      <c r="D131" s="15"/>
      <c r="I131" s="6"/>
    </row>
    <row r="132" spans="2:9" x14ac:dyDescent="0.3">
      <c r="B132" s="6"/>
      <c r="D132" s="15"/>
      <c r="I132" s="6"/>
    </row>
    <row r="133" spans="2:9" x14ac:dyDescent="0.3">
      <c r="B133" s="6"/>
      <c r="D133" s="15"/>
      <c r="I133" s="6"/>
    </row>
    <row r="134" spans="2:9" x14ac:dyDescent="0.3">
      <c r="B134" s="6"/>
      <c r="D134" s="15"/>
      <c r="I134" s="6"/>
    </row>
    <row r="135" spans="2:9" x14ac:dyDescent="0.3">
      <c r="B135" s="6"/>
      <c r="D135" s="15"/>
      <c r="I135" s="6"/>
    </row>
    <row r="136" spans="2:9" x14ac:dyDescent="0.3">
      <c r="B136" s="6"/>
      <c r="D136" s="15"/>
      <c r="I136" s="6"/>
    </row>
    <row r="137" spans="2:9" x14ac:dyDescent="0.3">
      <c r="B137" s="6"/>
      <c r="D137" s="15"/>
      <c r="I137" s="6"/>
    </row>
    <row r="138" spans="2:9" x14ac:dyDescent="0.3">
      <c r="B138" s="6"/>
      <c r="D138" s="15"/>
      <c r="I138" s="6"/>
    </row>
    <row r="139" spans="2:9" x14ac:dyDescent="0.3">
      <c r="B139" s="6"/>
      <c r="D139" s="15"/>
      <c r="I139" s="6"/>
    </row>
    <row r="140" spans="2:9" x14ac:dyDescent="0.3">
      <c r="B140" s="6"/>
      <c r="D140" s="15"/>
      <c r="I140" s="6"/>
    </row>
    <row r="141" spans="2:9" x14ac:dyDescent="0.3">
      <c r="B141" s="6"/>
      <c r="D141" s="15"/>
      <c r="I141" s="6"/>
    </row>
    <row r="142" spans="2:9" x14ac:dyDescent="0.3">
      <c r="B142" s="6"/>
      <c r="D142" s="15"/>
      <c r="I142" s="6"/>
    </row>
    <row r="143" spans="2:9" x14ac:dyDescent="0.3">
      <c r="B143" s="6"/>
      <c r="D143" s="15"/>
      <c r="I143" s="6"/>
    </row>
    <row r="144" spans="2:9" x14ac:dyDescent="0.3">
      <c r="B144" s="6"/>
      <c r="D144" s="15"/>
      <c r="I144" s="6"/>
    </row>
    <row r="145" spans="2:9" x14ac:dyDescent="0.3">
      <c r="B145" s="6"/>
      <c r="D145" s="15"/>
      <c r="I145" s="6"/>
    </row>
    <row r="146" spans="2:9" x14ac:dyDescent="0.3">
      <c r="B146" s="6"/>
      <c r="D146" s="15"/>
      <c r="I146" s="6"/>
    </row>
    <row r="147" spans="2:9" x14ac:dyDescent="0.3">
      <c r="B147" s="6"/>
      <c r="D147" s="15"/>
      <c r="I147" s="6"/>
    </row>
    <row r="148" spans="2:9" x14ac:dyDescent="0.3">
      <c r="B148" s="6"/>
      <c r="D148" s="15"/>
      <c r="I148" s="6"/>
    </row>
    <row r="149" spans="2:9" x14ac:dyDescent="0.3">
      <c r="B149" s="6"/>
      <c r="D149" s="15"/>
      <c r="I149" s="6"/>
    </row>
    <row r="150" spans="2:9" x14ac:dyDescent="0.3">
      <c r="B150" s="6"/>
      <c r="D150" s="15"/>
      <c r="I150" s="6"/>
    </row>
    <row r="151" spans="2:9" x14ac:dyDescent="0.3">
      <c r="B151" s="6"/>
      <c r="D151" s="15"/>
      <c r="I151" s="6"/>
    </row>
    <row r="152" spans="2:9" x14ac:dyDescent="0.3">
      <c r="B152" s="6"/>
      <c r="D152" s="15"/>
      <c r="I152" s="6"/>
    </row>
    <row r="153" spans="2:9" x14ac:dyDescent="0.3">
      <c r="B153" s="6"/>
      <c r="D153" s="15"/>
      <c r="I153" s="6"/>
    </row>
    <row r="154" spans="2:9" x14ac:dyDescent="0.3">
      <c r="B154" s="6"/>
      <c r="D154" s="15"/>
      <c r="I154" s="6"/>
    </row>
    <row r="155" spans="2:9" x14ac:dyDescent="0.3">
      <c r="B155" s="6"/>
      <c r="D155" s="15"/>
      <c r="I155" s="6"/>
    </row>
    <row r="156" spans="2:9" x14ac:dyDescent="0.3">
      <c r="B156" s="6"/>
      <c r="D156" s="15"/>
      <c r="I156" s="6"/>
    </row>
    <row r="157" spans="2:9" x14ac:dyDescent="0.3">
      <c r="B157" s="6"/>
      <c r="D157" s="15"/>
      <c r="I157" s="6"/>
    </row>
    <row r="158" spans="2:9" x14ac:dyDescent="0.3">
      <c r="B158" s="6"/>
      <c r="D158" s="15"/>
      <c r="I158" s="6"/>
    </row>
    <row r="159" spans="2:9" x14ac:dyDescent="0.3">
      <c r="B159" s="6"/>
      <c r="D159" s="15"/>
      <c r="I159" s="6"/>
    </row>
    <row r="160" spans="2:9" x14ac:dyDescent="0.3">
      <c r="B160" s="6"/>
      <c r="D160" s="15"/>
      <c r="I160" s="6"/>
    </row>
    <row r="161" spans="2:9" x14ac:dyDescent="0.3">
      <c r="B161" s="6"/>
      <c r="D161" s="15"/>
      <c r="I161" s="6"/>
    </row>
    <row r="162" spans="2:9" x14ac:dyDescent="0.3">
      <c r="B162" s="6"/>
      <c r="D162" s="15"/>
      <c r="I162" s="6"/>
    </row>
    <row r="163" spans="2:9" x14ac:dyDescent="0.3">
      <c r="B163" s="6"/>
      <c r="D163" s="15"/>
      <c r="I163" s="6"/>
    </row>
    <row r="164" spans="2:9" x14ac:dyDescent="0.3">
      <c r="B164" s="6"/>
      <c r="D164" s="15"/>
      <c r="I164" s="6"/>
    </row>
    <row r="165" spans="2:9" x14ac:dyDescent="0.3">
      <c r="B165" s="6"/>
      <c r="D165" s="15"/>
      <c r="I165" s="6"/>
    </row>
    <row r="166" spans="2:9" x14ac:dyDescent="0.3">
      <c r="B166" s="6"/>
      <c r="D166" s="15"/>
      <c r="I166" s="6"/>
    </row>
    <row r="167" spans="2:9" x14ac:dyDescent="0.3">
      <c r="B167" s="6"/>
      <c r="D167" s="15"/>
      <c r="I167" s="6"/>
    </row>
    <row r="168" spans="2:9" x14ac:dyDescent="0.3">
      <c r="B168" s="6"/>
      <c r="D168" s="15"/>
      <c r="I168" s="6"/>
    </row>
    <row r="169" spans="2:9" x14ac:dyDescent="0.3">
      <c r="B169" s="6"/>
      <c r="D169" s="15"/>
      <c r="I169" s="6"/>
    </row>
    <row r="170" spans="2:9" x14ac:dyDescent="0.3">
      <c r="B170" s="6"/>
      <c r="D170" s="15"/>
      <c r="I170" s="6"/>
    </row>
    <row r="171" spans="2:9" x14ac:dyDescent="0.3">
      <c r="B171" s="6"/>
      <c r="D171" s="15"/>
      <c r="I171" s="6"/>
    </row>
    <row r="172" spans="2:9" x14ac:dyDescent="0.3">
      <c r="B172" s="6"/>
      <c r="D172" s="15"/>
      <c r="I172" s="6"/>
    </row>
    <row r="173" spans="2:9" x14ac:dyDescent="0.3">
      <c r="B173" s="6"/>
      <c r="D173" s="15"/>
      <c r="I173" s="6"/>
    </row>
    <row r="174" spans="2:9" x14ac:dyDescent="0.3">
      <c r="B174" s="6"/>
      <c r="D174" s="15"/>
      <c r="I174" s="6"/>
    </row>
    <row r="175" spans="2:9" x14ac:dyDescent="0.3">
      <c r="B175" s="6"/>
      <c r="D175" s="15"/>
      <c r="I175" s="6"/>
    </row>
    <row r="176" spans="2:9" x14ac:dyDescent="0.3">
      <c r="B176" s="6"/>
      <c r="D176" s="15"/>
      <c r="I176" s="6"/>
    </row>
    <row r="177" spans="2:9" x14ac:dyDescent="0.3">
      <c r="B177" s="6"/>
      <c r="D177" s="15"/>
      <c r="I177" s="6"/>
    </row>
    <row r="178" spans="2:9" x14ac:dyDescent="0.3">
      <c r="B178" s="6"/>
      <c r="D178" s="15"/>
      <c r="I178" s="6"/>
    </row>
    <row r="179" spans="2:9" x14ac:dyDescent="0.3">
      <c r="B179" s="6"/>
      <c r="D179" s="15"/>
      <c r="I179" s="6"/>
    </row>
    <row r="180" spans="2:9" x14ac:dyDescent="0.3">
      <c r="B180" s="6"/>
      <c r="D180" s="15"/>
      <c r="I180" s="6"/>
    </row>
    <row r="181" spans="2:9" x14ac:dyDescent="0.3">
      <c r="B181" s="6"/>
      <c r="D181" s="15"/>
      <c r="I181" s="6"/>
    </row>
    <row r="182" spans="2:9" x14ac:dyDescent="0.3">
      <c r="B182" s="6"/>
      <c r="D182" s="15"/>
      <c r="I182" s="6"/>
    </row>
    <row r="183" spans="2:9" x14ac:dyDescent="0.3">
      <c r="B183" s="6"/>
      <c r="D183" s="15"/>
      <c r="I183" s="6"/>
    </row>
    <row r="184" spans="2:9" x14ac:dyDescent="0.3">
      <c r="B184" s="6"/>
      <c r="D184" s="15"/>
      <c r="I184" s="6"/>
    </row>
    <row r="185" spans="2:9" x14ac:dyDescent="0.3">
      <c r="B185" s="6"/>
      <c r="D185" s="15"/>
      <c r="I185" s="6"/>
    </row>
    <row r="186" spans="2:9" x14ac:dyDescent="0.3">
      <c r="B186" s="6"/>
      <c r="D186" s="15"/>
      <c r="I186" s="6"/>
    </row>
    <row r="187" spans="2:9" x14ac:dyDescent="0.3">
      <c r="B187" s="6"/>
      <c r="D187" s="15"/>
      <c r="I187" s="6"/>
    </row>
    <row r="188" spans="2:9" x14ac:dyDescent="0.3">
      <c r="B188" s="6"/>
      <c r="D188" s="15"/>
      <c r="I188" s="6"/>
    </row>
    <row r="189" spans="2:9" x14ac:dyDescent="0.3">
      <c r="B189" s="6"/>
      <c r="D189" s="15"/>
      <c r="I189" s="6"/>
    </row>
    <row r="190" spans="2:9" x14ac:dyDescent="0.3">
      <c r="B190" s="6"/>
      <c r="D190" s="15"/>
      <c r="I190" s="6"/>
    </row>
    <row r="191" spans="2:9" x14ac:dyDescent="0.3">
      <c r="B191" s="6"/>
      <c r="D191" s="15"/>
      <c r="I191" s="6"/>
    </row>
    <row r="192" spans="2:9" x14ac:dyDescent="0.3">
      <c r="B192" s="6"/>
      <c r="D192" s="15"/>
      <c r="I192" s="6"/>
    </row>
    <row r="193" spans="2:9" x14ac:dyDescent="0.3">
      <c r="B193" s="6"/>
      <c r="D193" s="15"/>
      <c r="I193" s="6"/>
    </row>
    <row r="194" spans="2:9" x14ac:dyDescent="0.3">
      <c r="B194" s="6"/>
      <c r="D194" s="15"/>
      <c r="I194" s="6"/>
    </row>
    <row r="195" spans="2:9" x14ac:dyDescent="0.3">
      <c r="B195" s="6"/>
      <c r="D195" s="15"/>
      <c r="I195" s="6"/>
    </row>
    <row r="196" spans="2:9" x14ac:dyDescent="0.3">
      <c r="B196" s="6"/>
      <c r="D196" s="15"/>
      <c r="I196" s="6"/>
    </row>
    <row r="197" spans="2:9" x14ac:dyDescent="0.3">
      <c r="B197" s="6"/>
      <c r="D197" s="15"/>
      <c r="I197" s="6"/>
    </row>
    <row r="198" spans="2:9" x14ac:dyDescent="0.3">
      <c r="B198" s="6"/>
      <c r="D198" s="15"/>
      <c r="I198" s="6"/>
    </row>
    <row r="199" spans="2:9" x14ac:dyDescent="0.3">
      <c r="B199" s="6"/>
      <c r="D199" s="15"/>
      <c r="I199" s="6"/>
    </row>
    <row r="200" spans="2:9" x14ac:dyDescent="0.3">
      <c r="B200" s="6"/>
      <c r="D200" s="15"/>
      <c r="I200" s="6"/>
    </row>
    <row r="201" spans="2:9" x14ac:dyDescent="0.3">
      <c r="B201" s="6"/>
      <c r="D201" s="15"/>
      <c r="I201" s="6"/>
    </row>
    <row r="202" spans="2:9" x14ac:dyDescent="0.3">
      <c r="B202" s="6"/>
      <c r="D202" s="15"/>
      <c r="I202" s="6"/>
    </row>
    <row r="203" spans="2:9" x14ac:dyDescent="0.3">
      <c r="B203" s="6"/>
      <c r="D203" s="15"/>
      <c r="I203" s="6"/>
    </row>
    <row r="204" spans="2:9" x14ac:dyDescent="0.3">
      <c r="B204" s="6"/>
      <c r="D204" s="15"/>
      <c r="I204" s="6"/>
    </row>
    <row r="205" spans="2:9" x14ac:dyDescent="0.3">
      <c r="B205" s="6"/>
      <c r="D205" s="15"/>
      <c r="I205" s="6"/>
    </row>
    <row r="206" spans="2:9" x14ac:dyDescent="0.3">
      <c r="B206" s="6"/>
      <c r="D206" s="15"/>
      <c r="I206" s="6"/>
    </row>
    <row r="207" spans="2:9" x14ac:dyDescent="0.3">
      <c r="B207" s="6"/>
      <c r="D207" s="15"/>
      <c r="I207" s="6"/>
    </row>
    <row r="208" spans="2:9" x14ac:dyDescent="0.3">
      <c r="B208" s="6"/>
      <c r="D208" s="15"/>
      <c r="I208" s="6"/>
    </row>
    <row r="209" spans="1:9" x14ac:dyDescent="0.3">
      <c r="B209" s="6"/>
      <c r="D209" s="15"/>
      <c r="I209" s="6"/>
    </row>
    <row r="210" spans="1:9" x14ac:dyDescent="0.3">
      <c r="B210" s="6"/>
      <c r="D210" s="15"/>
      <c r="I210" s="6"/>
    </row>
    <row r="211" spans="1:9" x14ac:dyDescent="0.3">
      <c r="B211" s="6"/>
      <c r="D211" s="15"/>
      <c r="I211" s="6"/>
    </row>
    <row r="212" spans="1:9" x14ac:dyDescent="0.3">
      <c r="B212" s="6"/>
      <c r="D212" s="15"/>
      <c r="I212" s="6"/>
    </row>
    <row r="213" spans="1:9" x14ac:dyDescent="0.3">
      <c r="B213" s="6"/>
      <c r="D213" s="15"/>
      <c r="I213" s="6"/>
    </row>
    <row r="214" spans="1:9" x14ac:dyDescent="0.3">
      <c r="B214" s="6"/>
      <c r="D214" s="15"/>
      <c r="I214" s="6"/>
    </row>
    <row r="215" spans="1:9" x14ac:dyDescent="0.3">
      <c r="B215" s="6"/>
      <c r="D215" s="15"/>
      <c r="I215" s="6"/>
    </row>
    <row r="216" spans="1:9" x14ac:dyDescent="0.3">
      <c r="B216" s="6"/>
      <c r="D216" s="15"/>
      <c r="I216" s="6"/>
    </row>
    <row r="217" spans="1:9" x14ac:dyDescent="0.3">
      <c r="B217" s="6"/>
      <c r="D217" s="15"/>
      <c r="I217" s="6"/>
    </row>
    <row r="218" spans="1:9" x14ac:dyDescent="0.3">
      <c r="B218" s="6"/>
      <c r="D218" s="15"/>
      <c r="I218" s="6"/>
    </row>
    <row r="219" spans="1:9" x14ac:dyDescent="0.3">
      <c r="B219" s="6"/>
      <c r="D219" s="15"/>
    </row>
    <row r="220" spans="1:9" x14ac:dyDescent="0.3">
      <c r="B220" s="6"/>
      <c r="D220" s="15"/>
    </row>
    <row r="221" spans="1:9" x14ac:dyDescent="0.3">
      <c r="A221" s="16"/>
      <c r="B221" s="6"/>
      <c r="D221" s="15"/>
    </row>
    <row r="222" spans="1:9" x14ac:dyDescent="0.3">
      <c r="A222" s="16"/>
      <c r="B222" s="6"/>
      <c r="D222" s="15"/>
    </row>
    <row r="223" spans="1:9" x14ac:dyDescent="0.3">
      <c r="A223" s="16"/>
      <c r="B223" s="6"/>
      <c r="D223" s="15"/>
    </row>
    <row r="224" spans="1:9" x14ac:dyDescent="0.3">
      <c r="A224" s="16"/>
      <c r="B224" s="6"/>
      <c r="D224" s="15"/>
    </row>
    <row r="225" spans="1:4" x14ac:dyDescent="0.3">
      <c r="A225" s="16"/>
      <c r="B225" s="6"/>
      <c r="D225" s="15"/>
    </row>
    <row r="226" spans="1:4" x14ac:dyDescent="0.3">
      <c r="A226" s="16"/>
      <c r="B226" s="6"/>
      <c r="D226" s="15"/>
    </row>
    <row r="227" spans="1:4" x14ac:dyDescent="0.3">
      <c r="A227" s="16"/>
      <c r="B227" s="6"/>
      <c r="D227" s="15"/>
    </row>
    <row r="228" spans="1:4" x14ac:dyDescent="0.3">
      <c r="A228" s="16"/>
      <c r="B228" s="6"/>
      <c r="D228" s="15"/>
    </row>
    <row r="229" spans="1:4" x14ac:dyDescent="0.3">
      <c r="A229" s="16"/>
      <c r="B229" s="6"/>
      <c r="D229" s="15"/>
    </row>
    <row r="230" spans="1:4" x14ac:dyDescent="0.3">
      <c r="A230" s="16"/>
      <c r="B230" s="6"/>
      <c r="D230" s="15"/>
    </row>
    <row r="231" spans="1:4" x14ac:dyDescent="0.3">
      <c r="A231" s="16"/>
      <c r="B231" s="6"/>
      <c r="D231" s="15"/>
    </row>
    <row r="232" spans="1:4" x14ac:dyDescent="0.3">
      <c r="A232" s="16"/>
      <c r="B232" s="6"/>
      <c r="D232" s="15"/>
    </row>
    <row r="233" spans="1:4" x14ac:dyDescent="0.3">
      <c r="A233" s="16"/>
      <c r="B233" s="6"/>
      <c r="D233" s="15"/>
    </row>
    <row r="234" spans="1:4" x14ac:dyDescent="0.3">
      <c r="A234" s="16"/>
      <c r="B234" s="6"/>
      <c r="D234" s="15"/>
    </row>
    <row r="235" spans="1:4" x14ac:dyDescent="0.3">
      <c r="A235" s="16"/>
      <c r="B235" s="6"/>
      <c r="D235" s="15"/>
    </row>
    <row r="236" spans="1:4" x14ac:dyDescent="0.3">
      <c r="A236" s="16"/>
      <c r="B236" s="6"/>
      <c r="D236" s="15"/>
    </row>
    <row r="237" spans="1:4" x14ac:dyDescent="0.3">
      <c r="A237" s="16"/>
      <c r="B237" s="6"/>
      <c r="D237" s="15"/>
    </row>
    <row r="238" spans="1:4" x14ac:dyDescent="0.3">
      <c r="A238" s="16"/>
      <c r="B238" s="6"/>
      <c r="D238" s="15"/>
    </row>
    <row r="239" spans="1:4" x14ac:dyDescent="0.3">
      <c r="A239" s="16"/>
      <c r="B239" s="6"/>
      <c r="D239" s="15"/>
    </row>
    <row r="240" spans="1:4" x14ac:dyDescent="0.3">
      <c r="A240" s="16"/>
      <c r="B240" s="6"/>
      <c r="D240" s="15"/>
    </row>
    <row r="241" spans="1:4" x14ac:dyDescent="0.3">
      <c r="A241" s="16"/>
      <c r="B241" s="6"/>
      <c r="D241" s="15"/>
    </row>
    <row r="242" spans="1:4" x14ac:dyDescent="0.3">
      <c r="A242" s="16"/>
      <c r="B242" s="6"/>
      <c r="D242" s="15"/>
    </row>
    <row r="243" spans="1:4" x14ac:dyDescent="0.3">
      <c r="A243" s="16"/>
      <c r="B243" s="6"/>
      <c r="D243" s="15"/>
    </row>
    <row r="244" spans="1:4" x14ac:dyDescent="0.3">
      <c r="A244" s="16"/>
      <c r="B244" s="6"/>
      <c r="D244" s="15"/>
    </row>
    <row r="245" spans="1:4" x14ac:dyDescent="0.3">
      <c r="A245" s="16"/>
      <c r="B245" s="6"/>
      <c r="D245" s="15"/>
    </row>
    <row r="246" spans="1:4" x14ac:dyDescent="0.3">
      <c r="A246" s="16"/>
      <c r="B246" s="6"/>
      <c r="D246" s="15"/>
    </row>
    <row r="247" spans="1:4" x14ac:dyDescent="0.3">
      <c r="A247" s="16"/>
      <c r="B247" s="6"/>
      <c r="D247" s="15"/>
    </row>
    <row r="248" spans="1:4" x14ac:dyDescent="0.3">
      <c r="A248" s="16"/>
      <c r="B248" s="6"/>
      <c r="D248" s="15"/>
    </row>
    <row r="249" spans="1:4" x14ac:dyDescent="0.3">
      <c r="A249" s="16"/>
      <c r="B249" s="6"/>
      <c r="D249" s="15"/>
    </row>
    <row r="250" spans="1:4" x14ac:dyDescent="0.3">
      <c r="A250" s="16"/>
      <c r="B250" s="6"/>
      <c r="D250" s="15"/>
    </row>
    <row r="251" spans="1:4" x14ac:dyDescent="0.3">
      <c r="A251" s="16"/>
      <c r="B251" s="6"/>
      <c r="D251" s="15"/>
    </row>
    <row r="252" spans="1:4" x14ac:dyDescent="0.3">
      <c r="A252" s="16"/>
      <c r="B252" s="6"/>
      <c r="D252" s="15"/>
    </row>
    <row r="253" spans="1:4" x14ac:dyDescent="0.3">
      <c r="A253" s="16"/>
      <c r="B253" s="6"/>
      <c r="D253" s="15"/>
    </row>
    <row r="254" spans="1:4" x14ac:dyDescent="0.3">
      <c r="A254" s="16"/>
      <c r="B254" s="6"/>
      <c r="D254" s="15"/>
    </row>
    <row r="255" spans="1:4" x14ac:dyDescent="0.3">
      <c r="A255" s="16"/>
      <c r="B255" s="6"/>
      <c r="D255" s="15"/>
    </row>
    <row r="256" spans="1:4" x14ac:dyDescent="0.3">
      <c r="A256" s="16"/>
      <c r="B256" s="6"/>
      <c r="D256" s="15"/>
    </row>
    <row r="257" spans="1:4" x14ac:dyDescent="0.3">
      <c r="A257" s="16"/>
      <c r="B257" s="6"/>
      <c r="D257" s="15"/>
    </row>
    <row r="258" spans="1:4" x14ac:dyDescent="0.3">
      <c r="A258" s="16"/>
      <c r="B258" s="6"/>
      <c r="D258" s="15"/>
    </row>
    <row r="259" spans="1:4" x14ac:dyDescent="0.3">
      <c r="A259" s="16"/>
      <c r="B259" s="6"/>
      <c r="D259" s="15"/>
    </row>
    <row r="260" spans="1:4" x14ac:dyDescent="0.3">
      <c r="A260" s="16"/>
      <c r="B260" s="6"/>
      <c r="D260" s="15"/>
    </row>
    <row r="261" spans="1:4" x14ac:dyDescent="0.3">
      <c r="A261" s="16"/>
      <c r="B261" s="6"/>
      <c r="D261" s="15"/>
    </row>
    <row r="262" spans="1:4" x14ac:dyDescent="0.3">
      <c r="A262" s="16"/>
      <c r="B262" s="6"/>
      <c r="D262" s="15"/>
    </row>
    <row r="263" spans="1:4" x14ac:dyDescent="0.3">
      <c r="A263" s="16"/>
      <c r="B263" s="6"/>
      <c r="D263" s="15"/>
    </row>
    <row r="264" spans="1:4" x14ac:dyDescent="0.3">
      <c r="A264" s="16"/>
      <c r="B264" s="6"/>
      <c r="D264" s="15"/>
    </row>
    <row r="265" spans="1:4" x14ac:dyDescent="0.3">
      <c r="A265" s="16"/>
      <c r="B265" s="6"/>
      <c r="D265" s="15"/>
    </row>
    <row r="266" spans="1:4" x14ac:dyDescent="0.3">
      <c r="A266" s="16"/>
      <c r="B266" s="6"/>
      <c r="D266" s="15"/>
    </row>
    <row r="267" spans="1:4" x14ac:dyDescent="0.3">
      <c r="A267" s="16"/>
      <c r="B267" s="6"/>
      <c r="D267" s="15"/>
    </row>
    <row r="268" spans="1:4" x14ac:dyDescent="0.3">
      <c r="A268" s="16"/>
      <c r="B268" s="6"/>
      <c r="D268" s="15"/>
    </row>
    <row r="269" spans="1:4" x14ac:dyDescent="0.3">
      <c r="A269" s="16"/>
      <c r="B269" s="6"/>
      <c r="D269" s="15"/>
    </row>
    <row r="270" spans="1:4" x14ac:dyDescent="0.3">
      <c r="A270" s="16"/>
      <c r="B270" s="6"/>
      <c r="D270" s="15"/>
    </row>
    <row r="271" spans="1:4" x14ac:dyDescent="0.3">
      <c r="A271" s="16"/>
      <c r="B271" s="6"/>
      <c r="D271" s="15"/>
    </row>
    <row r="272" spans="1:4" x14ac:dyDescent="0.3">
      <c r="A272" s="16"/>
      <c r="B272" s="6"/>
      <c r="D272" s="15"/>
    </row>
    <row r="273" spans="1:4" x14ac:dyDescent="0.3">
      <c r="A273" s="16"/>
      <c r="B273" s="6"/>
      <c r="D273" s="15"/>
    </row>
    <row r="274" spans="1:4" x14ac:dyDescent="0.3">
      <c r="A274" s="16"/>
      <c r="B274" s="6"/>
      <c r="D274" s="15"/>
    </row>
    <row r="275" spans="1:4" x14ac:dyDescent="0.3">
      <c r="A275" s="16"/>
      <c r="B275" s="6"/>
      <c r="D275" s="15"/>
    </row>
    <row r="276" spans="1:4" x14ac:dyDescent="0.3">
      <c r="A276" s="16"/>
      <c r="B276" s="6"/>
      <c r="D276" s="15"/>
    </row>
    <row r="277" spans="1:4" x14ac:dyDescent="0.3">
      <c r="A277" s="16"/>
      <c r="B277" s="6"/>
      <c r="D277" s="15"/>
    </row>
    <row r="278" spans="1:4" x14ac:dyDescent="0.3">
      <c r="A278" s="16"/>
      <c r="B278" s="6"/>
      <c r="D278" s="15"/>
    </row>
    <row r="279" spans="1:4" x14ac:dyDescent="0.3">
      <c r="A279" s="16"/>
      <c r="B279" s="6"/>
      <c r="D279" s="15"/>
    </row>
    <row r="280" spans="1:4" x14ac:dyDescent="0.3">
      <c r="A280" s="16"/>
      <c r="B280" s="6"/>
      <c r="D280" s="15"/>
    </row>
    <row r="281" spans="1:4" x14ac:dyDescent="0.3">
      <c r="A281" s="16"/>
      <c r="B281" s="6"/>
      <c r="D281" s="15"/>
    </row>
    <row r="282" spans="1:4" x14ac:dyDescent="0.3">
      <c r="A282" s="16"/>
      <c r="B282" s="6"/>
      <c r="D282" s="15"/>
    </row>
    <row r="283" spans="1:4" x14ac:dyDescent="0.3">
      <c r="A283" s="16"/>
      <c r="B283" s="6"/>
      <c r="D283" s="15"/>
    </row>
    <row r="284" spans="1:4" x14ac:dyDescent="0.3">
      <c r="A284" s="16"/>
      <c r="B284" s="6"/>
      <c r="D284" s="15"/>
    </row>
    <row r="285" spans="1:4" x14ac:dyDescent="0.3">
      <c r="A285" s="16"/>
      <c r="B285" s="6"/>
      <c r="D285" s="15"/>
    </row>
    <row r="286" spans="1:4" x14ac:dyDescent="0.3">
      <c r="A286" s="16"/>
      <c r="B286" s="6"/>
      <c r="D286" s="15"/>
    </row>
    <row r="287" spans="1:4" x14ac:dyDescent="0.3">
      <c r="A287" s="16"/>
      <c r="B287" s="6"/>
      <c r="D287" s="15"/>
    </row>
    <row r="288" spans="1:4" x14ac:dyDescent="0.3">
      <c r="A288" s="16"/>
      <c r="B288" s="6"/>
      <c r="D288" s="15"/>
    </row>
    <row r="289" spans="1:4" x14ac:dyDescent="0.3">
      <c r="A289" s="16"/>
      <c r="B289" s="6"/>
      <c r="D289" s="15"/>
    </row>
    <row r="290" spans="1:4" x14ac:dyDescent="0.3">
      <c r="A290" s="16"/>
      <c r="B290" s="6"/>
      <c r="D290" s="15"/>
    </row>
    <row r="291" spans="1:4" x14ac:dyDescent="0.3">
      <c r="A291" s="16"/>
      <c r="B291" s="6"/>
      <c r="D291" s="15"/>
    </row>
    <row r="292" spans="1:4" x14ac:dyDescent="0.3">
      <c r="A292" s="16"/>
      <c r="B292" s="6"/>
      <c r="D292" s="15"/>
    </row>
    <row r="293" spans="1:4" x14ac:dyDescent="0.3">
      <c r="A293" s="16"/>
      <c r="B293" s="6"/>
      <c r="D293" s="15"/>
    </row>
    <row r="294" spans="1:4" x14ac:dyDescent="0.3">
      <c r="A294" s="16"/>
      <c r="B294" s="6"/>
      <c r="D294" s="15"/>
    </row>
    <row r="295" spans="1:4" x14ac:dyDescent="0.3">
      <c r="A295" s="16"/>
      <c r="B295" s="6"/>
      <c r="D295" s="15"/>
    </row>
    <row r="296" spans="1:4" x14ac:dyDescent="0.3">
      <c r="A296" s="16"/>
      <c r="B296" s="6"/>
      <c r="D296" s="15"/>
    </row>
    <row r="297" spans="1:4" x14ac:dyDescent="0.3">
      <c r="A297" s="16"/>
      <c r="B297" s="6"/>
      <c r="D297" s="15"/>
    </row>
    <row r="298" spans="1:4" x14ac:dyDescent="0.3">
      <c r="A298" s="16"/>
      <c r="B298" s="6"/>
      <c r="D298" s="15"/>
    </row>
    <row r="299" spans="1:4" x14ac:dyDescent="0.3">
      <c r="A299" s="16"/>
      <c r="B299" s="6"/>
      <c r="D299" s="15"/>
    </row>
    <row r="300" spans="1:4" x14ac:dyDescent="0.3">
      <c r="A300" s="16"/>
      <c r="B300" s="6"/>
      <c r="D300" s="15"/>
    </row>
    <row r="301" spans="1:4" x14ac:dyDescent="0.3">
      <c r="A301" s="16"/>
      <c r="B301" s="6"/>
      <c r="D301" s="15"/>
    </row>
    <row r="302" spans="1:4" x14ac:dyDescent="0.3">
      <c r="A302" s="16"/>
      <c r="B302" s="6"/>
      <c r="D302" s="15"/>
    </row>
    <row r="303" spans="1:4" x14ac:dyDescent="0.3">
      <c r="A303" s="16"/>
      <c r="B303" s="6"/>
      <c r="D303" s="15"/>
    </row>
    <row r="304" spans="1:4" x14ac:dyDescent="0.3">
      <c r="A304" s="16"/>
      <c r="B304" s="6"/>
      <c r="D304" s="15"/>
    </row>
    <row r="305" spans="1:4" x14ac:dyDescent="0.3">
      <c r="A305" s="16"/>
      <c r="B305" s="6"/>
      <c r="D305" s="15"/>
    </row>
    <row r="306" spans="1:4" x14ac:dyDescent="0.3">
      <c r="A306" s="16"/>
      <c r="B306" s="6"/>
      <c r="D306" s="15"/>
    </row>
    <row r="307" spans="1:4" x14ac:dyDescent="0.3">
      <c r="A307" s="16"/>
      <c r="B307" s="6"/>
      <c r="D307" s="15"/>
    </row>
    <row r="308" spans="1:4" x14ac:dyDescent="0.3">
      <c r="A308" s="16"/>
      <c r="B308" s="6"/>
      <c r="D308" s="15"/>
    </row>
    <row r="309" spans="1:4" x14ac:dyDescent="0.3">
      <c r="A309" s="16"/>
      <c r="B309" s="6"/>
      <c r="D309" s="15"/>
    </row>
    <row r="310" spans="1:4" x14ac:dyDescent="0.3">
      <c r="A310" s="16"/>
      <c r="B310" s="6"/>
      <c r="D310" s="15"/>
    </row>
    <row r="311" spans="1:4" x14ac:dyDescent="0.3">
      <c r="A311" s="16"/>
      <c r="B311" s="6"/>
      <c r="D311" s="15"/>
    </row>
    <row r="312" spans="1:4" x14ac:dyDescent="0.3">
      <c r="A312" s="16"/>
      <c r="B312" s="6"/>
      <c r="D312" s="15"/>
    </row>
    <row r="313" spans="1:4" x14ac:dyDescent="0.3">
      <c r="A313" s="16"/>
      <c r="B313" s="6"/>
      <c r="D313" s="15"/>
    </row>
    <row r="314" spans="1:4" x14ac:dyDescent="0.3">
      <c r="A314" s="16"/>
      <c r="B314" s="6"/>
      <c r="D314" s="15"/>
    </row>
    <row r="315" spans="1:4" x14ac:dyDescent="0.3">
      <c r="A315" s="16"/>
      <c r="B315" s="6"/>
      <c r="D315" s="15"/>
    </row>
    <row r="316" spans="1:4" x14ac:dyDescent="0.3">
      <c r="A316" s="16"/>
      <c r="B316" s="6"/>
      <c r="D316" s="15"/>
    </row>
    <row r="317" spans="1:4" x14ac:dyDescent="0.3">
      <c r="A317" s="16"/>
      <c r="B317" s="6"/>
      <c r="D317" s="15"/>
    </row>
    <row r="318" spans="1:4" x14ac:dyDescent="0.3">
      <c r="A318" s="16"/>
      <c r="B318" s="6"/>
      <c r="D318" s="15"/>
    </row>
    <row r="319" spans="1:4" x14ac:dyDescent="0.3">
      <c r="A319" s="16"/>
      <c r="B319" s="6"/>
      <c r="D319" s="15"/>
    </row>
    <row r="320" spans="1:4" x14ac:dyDescent="0.3">
      <c r="A320" s="16"/>
      <c r="B320" s="6"/>
      <c r="D320" s="15"/>
    </row>
    <row r="321" spans="1:4" x14ac:dyDescent="0.3">
      <c r="A321" s="16"/>
      <c r="B321" s="6"/>
      <c r="D321" s="15"/>
    </row>
    <row r="322" spans="1:4" x14ac:dyDescent="0.3">
      <c r="A322" s="16"/>
      <c r="B322" s="6"/>
      <c r="D322" s="15"/>
    </row>
    <row r="323" spans="1:4" x14ac:dyDescent="0.3">
      <c r="A323" s="16"/>
      <c r="B323" s="6"/>
      <c r="D323" s="15"/>
    </row>
    <row r="324" spans="1:4" x14ac:dyDescent="0.3">
      <c r="A324" s="16"/>
      <c r="B324" s="6"/>
      <c r="D324" s="15"/>
    </row>
    <row r="325" spans="1:4" x14ac:dyDescent="0.3">
      <c r="A325" s="16"/>
      <c r="B325" s="6"/>
      <c r="D325" s="15"/>
    </row>
    <row r="326" spans="1:4" x14ac:dyDescent="0.3">
      <c r="A326" s="16"/>
      <c r="B326" s="6"/>
      <c r="D326" s="15"/>
    </row>
    <row r="327" spans="1:4" x14ac:dyDescent="0.3">
      <c r="A327" s="16"/>
      <c r="B327" s="6"/>
      <c r="D327" s="15"/>
    </row>
    <row r="328" spans="1:4" x14ac:dyDescent="0.3">
      <c r="A328" s="16"/>
      <c r="B328" s="6"/>
      <c r="D328" s="15"/>
    </row>
    <row r="329" spans="1:4" x14ac:dyDescent="0.3">
      <c r="A329" s="16"/>
      <c r="B329" s="6"/>
      <c r="D329" s="15"/>
    </row>
    <row r="330" spans="1:4" x14ac:dyDescent="0.3">
      <c r="A330" s="16"/>
      <c r="B330" s="6"/>
      <c r="D330" s="15"/>
    </row>
    <row r="331" spans="1:4" x14ac:dyDescent="0.3">
      <c r="A331" s="16"/>
      <c r="B331" s="6"/>
      <c r="D331" s="15"/>
    </row>
    <row r="332" spans="1:4" x14ac:dyDescent="0.3">
      <c r="A332" s="16"/>
      <c r="B332" s="6"/>
      <c r="D332" s="15"/>
    </row>
    <row r="333" spans="1:4" x14ac:dyDescent="0.3">
      <c r="A333" s="16"/>
      <c r="B333" s="6"/>
      <c r="D333" s="15"/>
    </row>
    <row r="334" spans="1:4" x14ac:dyDescent="0.3">
      <c r="A334" s="16"/>
      <c r="B334" s="6"/>
      <c r="D334" s="15"/>
    </row>
    <row r="335" spans="1:4" x14ac:dyDescent="0.3">
      <c r="A335" s="16"/>
      <c r="B335" s="6"/>
      <c r="D335" s="15"/>
    </row>
    <row r="336" spans="1:4" x14ac:dyDescent="0.3">
      <c r="A336" s="16"/>
      <c r="B336" s="6"/>
      <c r="D336" s="15"/>
    </row>
    <row r="337" spans="1:4" x14ac:dyDescent="0.3">
      <c r="A337" s="16"/>
      <c r="B337" s="6"/>
      <c r="D337" s="15"/>
    </row>
    <row r="338" spans="1:4" x14ac:dyDescent="0.3">
      <c r="A338" s="16"/>
      <c r="B338" s="6"/>
      <c r="D338" s="15"/>
    </row>
    <row r="339" spans="1:4" x14ac:dyDescent="0.3">
      <c r="A339" s="16"/>
      <c r="B339" s="6"/>
      <c r="D339" s="15"/>
    </row>
    <row r="340" spans="1:4" x14ac:dyDescent="0.3">
      <c r="A340" s="16"/>
      <c r="B340" s="6"/>
      <c r="D340" s="15"/>
    </row>
    <row r="341" spans="1:4" x14ac:dyDescent="0.3">
      <c r="A341" s="16"/>
      <c r="B341" s="6"/>
      <c r="D341" s="15"/>
    </row>
    <row r="342" spans="1:4" x14ac:dyDescent="0.3">
      <c r="A342" s="16"/>
      <c r="B342" s="6"/>
      <c r="D342" s="15"/>
    </row>
    <row r="343" spans="1:4" x14ac:dyDescent="0.3">
      <c r="A343" s="16"/>
      <c r="B343" s="6"/>
      <c r="D343" s="15"/>
    </row>
    <row r="344" spans="1:4" x14ac:dyDescent="0.3">
      <c r="A344" s="16"/>
      <c r="B344" s="6"/>
      <c r="D344" s="15"/>
    </row>
    <row r="345" spans="1:4" x14ac:dyDescent="0.3">
      <c r="A345" s="16"/>
      <c r="B345" s="6"/>
      <c r="D345" s="15"/>
    </row>
    <row r="346" spans="1:4" x14ac:dyDescent="0.3">
      <c r="A346" s="16"/>
      <c r="B346" s="6"/>
      <c r="D346" s="15"/>
    </row>
    <row r="347" spans="1:4" x14ac:dyDescent="0.3">
      <c r="A347" s="16"/>
      <c r="B347" s="6"/>
      <c r="D347" s="15"/>
    </row>
    <row r="348" spans="1:4" x14ac:dyDescent="0.3">
      <c r="A348" s="16"/>
      <c r="B348" s="6"/>
      <c r="D348" s="15"/>
    </row>
    <row r="349" spans="1:4" x14ac:dyDescent="0.3">
      <c r="A349" s="16"/>
      <c r="B349" s="6"/>
      <c r="D349" s="15"/>
    </row>
    <row r="350" spans="1:4" x14ac:dyDescent="0.3">
      <c r="A350" s="16"/>
      <c r="B350" s="6"/>
      <c r="D350" s="15"/>
    </row>
    <row r="351" spans="1:4" x14ac:dyDescent="0.3">
      <c r="A351" s="16"/>
      <c r="B351" s="6"/>
    </row>
    <row r="352" spans="1:4" x14ac:dyDescent="0.3">
      <c r="A352" s="16"/>
      <c r="B352" s="6"/>
    </row>
    <row r="353" spans="1:2" x14ac:dyDescent="0.3">
      <c r="A353" s="5"/>
      <c r="B353" s="6"/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zoomScaleNormal="100" workbookViewId="0">
      <selection activeCell="C21" sqref="C21"/>
    </sheetView>
  </sheetViews>
  <sheetFormatPr defaultRowHeight="14.4" x14ac:dyDescent="0.3"/>
  <cols>
    <col min="1" max="1" width="15.88671875" customWidth="1"/>
    <col min="2" max="2" width="21.6640625" customWidth="1"/>
    <col min="3" max="3" width="21.44140625" customWidth="1"/>
    <col min="4" max="4" width="37.33203125" customWidth="1"/>
    <col min="5" max="5" width="21.33203125" customWidth="1"/>
    <col min="6" max="6" width="28.88671875" customWidth="1"/>
    <col min="7" max="7" width="31.109375" customWidth="1"/>
    <col min="8" max="8" width="50.44140625" customWidth="1"/>
    <col min="9" max="9" width="31.5546875" customWidth="1"/>
  </cols>
  <sheetData>
    <row r="1" spans="1:12" ht="18" x14ac:dyDescent="0.35">
      <c r="A1" s="3" t="s">
        <v>360</v>
      </c>
      <c r="B1" s="3" t="s">
        <v>361</v>
      </c>
      <c r="C1" s="3" t="s">
        <v>418</v>
      </c>
      <c r="D1" s="3" t="s">
        <v>417</v>
      </c>
      <c r="E1" s="3" t="s">
        <v>362</v>
      </c>
      <c r="F1" s="3" t="s">
        <v>364</v>
      </c>
      <c r="G1" s="3" t="s">
        <v>363</v>
      </c>
      <c r="H1" s="3" t="s">
        <v>435</v>
      </c>
      <c r="I1" s="3" t="s">
        <v>436</v>
      </c>
      <c r="J1" s="3"/>
      <c r="K1" s="3"/>
      <c r="L1" s="3"/>
    </row>
    <row r="2" spans="1:12" x14ac:dyDescent="0.3">
      <c r="A2">
        <v>2010</v>
      </c>
      <c r="B2" s="14">
        <f>DATE(2010,1,1)</f>
        <v>40179</v>
      </c>
      <c r="C2">
        <v>32109</v>
      </c>
      <c r="D2" t="s">
        <v>0</v>
      </c>
      <c r="E2" t="s">
        <v>82</v>
      </c>
      <c r="F2" t="s">
        <v>316</v>
      </c>
      <c r="G2" s="2">
        <v>21</v>
      </c>
      <c r="H2">
        <v>1.627</v>
      </c>
      <c r="I2">
        <v>1627</v>
      </c>
      <c r="K2" s="2"/>
    </row>
    <row r="3" spans="1:12" x14ac:dyDescent="0.3">
      <c r="A3">
        <v>2010</v>
      </c>
      <c r="B3" s="14">
        <f>DATE(2010,1,4)</f>
        <v>40182</v>
      </c>
      <c r="C3">
        <v>15786</v>
      </c>
      <c r="D3" t="s">
        <v>1</v>
      </c>
      <c r="E3" t="s">
        <v>83</v>
      </c>
      <c r="F3" t="s">
        <v>317</v>
      </c>
      <c r="G3" s="2">
        <v>0</v>
      </c>
      <c r="H3">
        <v>4.008</v>
      </c>
      <c r="I3">
        <v>4008</v>
      </c>
      <c r="K3" s="2"/>
    </row>
    <row r="4" spans="1:12" x14ac:dyDescent="0.3">
      <c r="A4">
        <v>2010</v>
      </c>
      <c r="B4" s="14">
        <f>DATE(2010,1,5)</f>
        <v>40183</v>
      </c>
      <c r="C4">
        <v>20160</v>
      </c>
      <c r="D4" t="s">
        <v>2</v>
      </c>
      <c r="E4" t="s">
        <v>84</v>
      </c>
      <c r="F4" t="s">
        <v>317</v>
      </c>
      <c r="G4" s="2">
        <v>2</v>
      </c>
      <c r="H4">
        <v>0.2</v>
      </c>
      <c r="I4">
        <v>200</v>
      </c>
      <c r="K4" s="2"/>
    </row>
    <row r="5" spans="1:12" x14ac:dyDescent="0.3">
      <c r="A5">
        <v>2010</v>
      </c>
      <c r="B5" s="14">
        <v>6</v>
      </c>
      <c r="C5">
        <v>11169</v>
      </c>
      <c r="D5" t="s">
        <v>3</v>
      </c>
      <c r="E5" t="s">
        <v>85</v>
      </c>
      <c r="F5" t="s">
        <v>318</v>
      </c>
      <c r="G5" s="2">
        <v>0</v>
      </c>
      <c r="H5">
        <v>11.54</v>
      </c>
      <c r="I5">
        <v>11540</v>
      </c>
      <c r="K5" s="2"/>
    </row>
    <row r="6" spans="1:12" x14ac:dyDescent="0.3">
      <c r="A6">
        <v>2010</v>
      </c>
      <c r="B6" s="14">
        <f>DATE(2010,1,7)</f>
        <v>40185</v>
      </c>
      <c r="C6">
        <v>300</v>
      </c>
      <c r="D6" t="s">
        <v>4</v>
      </c>
      <c r="E6" t="s">
        <v>87</v>
      </c>
      <c r="F6" t="s">
        <v>319</v>
      </c>
      <c r="G6" s="2">
        <v>2</v>
      </c>
      <c r="H6">
        <v>29.65</v>
      </c>
      <c r="I6">
        <v>29650</v>
      </c>
      <c r="K6" s="2"/>
    </row>
    <row r="7" spans="1:12" x14ac:dyDescent="0.3">
      <c r="A7">
        <v>2010</v>
      </c>
      <c r="B7" s="14">
        <f>DATE(2010,1,8)</f>
        <v>40186</v>
      </c>
      <c r="C7">
        <v>11169</v>
      </c>
      <c r="D7" t="s">
        <v>3</v>
      </c>
      <c r="E7" t="s">
        <v>88</v>
      </c>
      <c r="F7" t="s">
        <v>317</v>
      </c>
      <c r="G7" s="2">
        <v>2237</v>
      </c>
      <c r="H7">
        <v>4194.7150000000001</v>
      </c>
      <c r="I7">
        <v>4194715</v>
      </c>
      <c r="K7" s="2"/>
    </row>
    <row r="8" spans="1:12" x14ac:dyDescent="0.3">
      <c r="A8">
        <v>2010</v>
      </c>
      <c r="B8" s="14">
        <f>DATE(2010,1,9)</f>
        <v>40187</v>
      </c>
      <c r="C8">
        <v>26041</v>
      </c>
      <c r="D8" t="s">
        <v>5</v>
      </c>
      <c r="E8" t="s">
        <v>89</v>
      </c>
      <c r="F8" t="s">
        <v>317</v>
      </c>
      <c r="G8" s="2">
        <v>5</v>
      </c>
      <c r="H8">
        <v>70.400000000000006</v>
      </c>
      <c r="I8">
        <v>70400</v>
      </c>
      <c r="K8" s="2"/>
    </row>
    <row r="9" spans="1:12" x14ac:dyDescent="0.3">
      <c r="A9">
        <v>2010</v>
      </c>
      <c r="B9" s="14">
        <f>DATE(2010,1,9)</f>
        <v>40187</v>
      </c>
      <c r="C9">
        <v>12624</v>
      </c>
      <c r="D9" t="s">
        <v>6</v>
      </c>
      <c r="E9" t="s">
        <v>90</v>
      </c>
      <c r="F9" t="s">
        <v>318</v>
      </c>
      <c r="G9" s="2" t="s">
        <v>323</v>
      </c>
      <c r="H9">
        <v>0.41299999999999998</v>
      </c>
      <c r="I9">
        <v>413</v>
      </c>
      <c r="K9" s="2"/>
    </row>
    <row r="10" spans="1:12" x14ac:dyDescent="0.3">
      <c r="A10">
        <v>2010</v>
      </c>
      <c r="B10" s="14">
        <f>DATE(2010,1,10)</f>
        <v>40188</v>
      </c>
      <c r="C10">
        <v>26041</v>
      </c>
      <c r="D10" t="s">
        <v>5</v>
      </c>
      <c r="F10" t="s">
        <v>317</v>
      </c>
      <c r="G10" s="2">
        <v>0</v>
      </c>
      <c r="H10">
        <v>40.335999999999999</v>
      </c>
      <c r="I10">
        <v>40336</v>
      </c>
      <c r="K10" s="2"/>
    </row>
    <row r="11" spans="1:12" x14ac:dyDescent="0.3">
      <c r="A11">
        <v>2010</v>
      </c>
      <c r="B11" s="14">
        <f>DATE(2010,1,11)</f>
        <v>40189</v>
      </c>
      <c r="C11">
        <v>31684</v>
      </c>
      <c r="D11" t="s">
        <v>7</v>
      </c>
      <c r="E11" t="s">
        <v>91</v>
      </c>
      <c r="F11" t="s">
        <v>320</v>
      </c>
      <c r="G11" s="2">
        <v>0</v>
      </c>
      <c r="H11">
        <v>30.05</v>
      </c>
      <c r="I11">
        <v>30050</v>
      </c>
      <c r="K11" s="2"/>
    </row>
    <row r="12" spans="1:12" x14ac:dyDescent="0.3">
      <c r="A12">
        <v>2010</v>
      </c>
      <c r="B12" s="14">
        <f>DATE(2010,1,11)</f>
        <v>40189</v>
      </c>
      <c r="C12">
        <v>32296</v>
      </c>
      <c r="D12" t="s">
        <v>8</v>
      </c>
      <c r="E12" t="s">
        <v>92</v>
      </c>
      <c r="F12" t="s">
        <v>318</v>
      </c>
      <c r="G12" s="2">
        <v>2237</v>
      </c>
      <c r="H12">
        <v>165.59299999999999</v>
      </c>
      <c r="I12">
        <v>165593</v>
      </c>
      <c r="K12" s="2"/>
    </row>
    <row r="13" spans="1:12" x14ac:dyDescent="0.3">
      <c r="A13">
        <v>2010</v>
      </c>
      <c r="B13" s="14">
        <f>DATE(2010,1,11)</f>
        <v>40189</v>
      </c>
      <c r="C13">
        <v>31454</v>
      </c>
      <c r="D13" t="s">
        <v>9</v>
      </c>
      <c r="E13" t="s">
        <v>93</v>
      </c>
      <c r="F13" t="s">
        <v>317</v>
      </c>
      <c r="G13" s="2">
        <v>0</v>
      </c>
      <c r="H13">
        <v>357.26900000000001</v>
      </c>
      <c r="I13">
        <v>357269</v>
      </c>
      <c r="K13" s="2"/>
    </row>
    <row r="14" spans="1:12" x14ac:dyDescent="0.3">
      <c r="A14">
        <v>2010</v>
      </c>
      <c r="B14" s="14">
        <f>DATE(2010,1,11)</f>
        <v>40189</v>
      </c>
      <c r="C14">
        <v>9175</v>
      </c>
      <c r="D14" t="s">
        <v>10</v>
      </c>
      <c r="E14" t="s">
        <v>94</v>
      </c>
      <c r="F14" t="s">
        <v>321</v>
      </c>
      <c r="G14" s="2">
        <v>1</v>
      </c>
      <c r="H14">
        <v>12.15</v>
      </c>
      <c r="I14">
        <v>12150</v>
      </c>
      <c r="K14" s="2"/>
    </row>
    <row r="15" spans="1:12" x14ac:dyDescent="0.3">
      <c r="A15">
        <v>2010</v>
      </c>
      <c r="B15" s="14">
        <f>DATE(2010,1,11)</f>
        <v>40189</v>
      </c>
      <c r="C15">
        <v>31684</v>
      </c>
      <c r="D15" t="s">
        <v>7</v>
      </c>
      <c r="E15" t="s">
        <v>95</v>
      </c>
      <c r="F15" t="s">
        <v>318</v>
      </c>
      <c r="G15" s="2">
        <v>2</v>
      </c>
      <c r="H15">
        <v>37.85</v>
      </c>
      <c r="I15">
        <v>37850</v>
      </c>
      <c r="K15" s="2"/>
    </row>
    <row r="16" spans="1:12" x14ac:dyDescent="0.3">
      <c r="A16">
        <v>2010</v>
      </c>
      <c r="B16" s="14">
        <f>DATE(2010,1,12)</f>
        <v>40190</v>
      </c>
      <c r="C16">
        <v>26085</v>
      </c>
      <c r="D16" t="s">
        <v>11</v>
      </c>
      <c r="E16" t="s">
        <v>95</v>
      </c>
      <c r="F16" t="s">
        <v>321</v>
      </c>
      <c r="G16" s="2">
        <v>0</v>
      </c>
      <c r="H16">
        <v>20.332999999999998</v>
      </c>
      <c r="I16">
        <v>20333</v>
      </c>
      <c r="K16" s="2"/>
    </row>
    <row r="17" spans="1:11" x14ac:dyDescent="0.3">
      <c r="A17">
        <v>2010</v>
      </c>
      <c r="B17" s="14">
        <f>DATE(2010,1,12)</f>
        <v>40190</v>
      </c>
      <c r="C17">
        <v>32080</v>
      </c>
      <c r="D17" t="s">
        <v>12</v>
      </c>
      <c r="E17" t="s">
        <v>97</v>
      </c>
      <c r="F17" t="s">
        <v>316</v>
      </c>
      <c r="G17" s="2">
        <v>0</v>
      </c>
      <c r="H17">
        <v>32.5</v>
      </c>
      <c r="I17">
        <v>32500</v>
      </c>
      <c r="K17" s="2"/>
    </row>
    <row r="18" spans="1:11" x14ac:dyDescent="0.3">
      <c r="A18">
        <v>2010</v>
      </c>
      <c r="B18" s="14">
        <f>DATE(2010,1,12)</f>
        <v>40190</v>
      </c>
      <c r="C18">
        <v>12105</v>
      </c>
      <c r="D18" t="s">
        <v>13</v>
      </c>
      <c r="E18" t="s">
        <v>98</v>
      </c>
      <c r="F18" t="s">
        <v>317</v>
      </c>
      <c r="G18" s="2">
        <v>445</v>
      </c>
      <c r="H18">
        <v>2517.6149999999998</v>
      </c>
      <c r="I18">
        <v>2517615</v>
      </c>
      <c r="K18" s="2"/>
    </row>
    <row r="19" spans="1:11" x14ac:dyDescent="0.3">
      <c r="A19">
        <v>2010</v>
      </c>
      <c r="B19" s="14">
        <f>DATE(2010,1,13)</f>
        <v>40191</v>
      </c>
      <c r="C19">
        <v>31174</v>
      </c>
      <c r="D19" t="s">
        <v>14</v>
      </c>
      <c r="E19" t="s">
        <v>99</v>
      </c>
      <c r="F19" t="s">
        <v>318</v>
      </c>
      <c r="G19" s="2">
        <v>17958</v>
      </c>
      <c r="H19">
        <v>0.254</v>
      </c>
      <c r="I19">
        <v>254</v>
      </c>
      <c r="K19" s="2"/>
    </row>
    <row r="20" spans="1:11" x14ac:dyDescent="0.3">
      <c r="A20">
        <v>2010</v>
      </c>
      <c r="B20" s="14">
        <f>DATE(2010,1,13)</f>
        <v>40191</v>
      </c>
      <c r="C20">
        <v>26041</v>
      </c>
      <c r="D20" t="s">
        <v>5</v>
      </c>
      <c r="E20" t="s">
        <v>89</v>
      </c>
      <c r="F20" t="s">
        <v>317</v>
      </c>
      <c r="G20" s="2">
        <v>0</v>
      </c>
      <c r="H20">
        <v>30.504000000000001</v>
      </c>
      <c r="I20">
        <v>30504</v>
      </c>
      <c r="K20" s="2"/>
    </row>
    <row r="21" spans="1:11" x14ac:dyDescent="0.3">
      <c r="A21">
        <v>2010</v>
      </c>
      <c r="B21" s="14">
        <f>DATE(2010,1,13)</f>
        <v>40191</v>
      </c>
      <c r="C21">
        <v>22855</v>
      </c>
      <c r="D21" t="s">
        <v>15</v>
      </c>
      <c r="E21" t="s">
        <v>100</v>
      </c>
      <c r="F21" t="s">
        <v>316</v>
      </c>
      <c r="G21" s="2" t="s">
        <v>324</v>
      </c>
      <c r="H21">
        <v>66.679000000000002</v>
      </c>
      <c r="I21">
        <v>66679</v>
      </c>
      <c r="K21" s="2"/>
    </row>
    <row r="22" spans="1:11" x14ac:dyDescent="0.3">
      <c r="A22">
        <v>2010</v>
      </c>
      <c r="B22" s="14">
        <f>DATE(2010,1,14)</f>
        <v>40192</v>
      </c>
      <c r="C22">
        <v>10250</v>
      </c>
      <c r="D22" t="s">
        <v>16</v>
      </c>
      <c r="E22" t="s">
        <v>101</v>
      </c>
      <c r="F22" t="s">
        <v>318</v>
      </c>
      <c r="G22" s="2" t="s">
        <v>325</v>
      </c>
      <c r="H22">
        <v>75.016999999999996</v>
      </c>
      <c r="I22">
        <v>75017</v>
      </c>
      <c r="K22" s="2"/>
    </row>
    <row r="23" spans="1:11" x14ac:dyDescent="0.3">
      <c r="A23">
        <v>2010</v>
      </c>
      <c r="B23" s="1">
        <f>DATE(2010,1,15)</f>
        <v>40193</v>
      </c>
      <c r="C23">
        <v>31325</v>
      </c>
      <c r="D23" t="s">
        <v>17</v>
      </c>
      <c r="E23" t="s">
        <v>102</v>
      </c>
      <c r="F23" t="s">
        <v>322</v>
      </c>
      <c r="G23" s="2">
        <v>0</v>
      </c>
      <c r="H23">
        <v>4575</v>
      </c>
      <c r="I23">
        <v>4575000</v>
      </c>
      <c r="K23" s="2"/>
    </row>
    <row r="24" spans="1:11" x14ac:dyDescent="0.3">
      <c r="A24">
        <v>2010</v>
      </c>
      <c r="B24" s="1">
        <f>DATE(2010,1,15)</f>
        <v>40193</v>
      </c>
      <c r="C24">
        <v>9175</v>
      </c>
      <c r="D24" t="s">
        <v>10</v>
      </c>
      <c r="E24" t="s">
        <v>103</v>
      </c>
      <c r="F24" t="s">
        <v>321</v>
      </c>
      <c r="G24" s="2">
        <v>3</v>
      </c>
      <c r="H24">
        <v>3.88</v>
      </c>
      <c r="I24">
        <v>3880</v>
      </c>
      <c r="K24" s="2"/>
    </row>
    <row r="25" spans="1:11" x14ac:dyDescent="0.3">
      <c r="A25">
        <v>2010</v>
      </c>
      <c r="B25" s="1">
        <f>DATE(2010,1,18)</f>
        <v>40196</v>
      </c>
      <c r="C25">
        <v>19237</v>
      </c>
      <c r="D25" t="s">
        <v>18</v>
      </c>
      <c r="E25" t="s">
        <v>104</v>
      </c>
      <c r="F25" t="s">
        <v>317</v>
      </c>
      <c r="G25" s="2">
        <v>2</v>
      </c>
      <c r="H25">
        <v>1.1000000000000001</v>
      </c>
      <c r="I25">
        <v>1100</v>
      </c>
      <c r="K25" s="2"/>
    </row>
    <row r="26" spans="1:11" x14ac:dyDescent="0.3">
      <c r="A26">
        <v>2010</v>
      </c>
      <c r="B26" s="1">
        <f>DATE(2010,1,19)</f>
        <v>40197</v>
      </c>
      <c r="C26">
        <v>22610</v>
      </c>
      <c r="D26" t="s">
        <v>19</v>
      </c>
      <c r="E26" t="s">
        <v>105</v>
      </c>
      <c r="F26" t="s">
        <v>317</v>
      </c>
      <c r="G26" s="2" t="s">
        <v>326</v>
      </c>
      <c r="H26">
        <v>26</v>
      </c>
      <c r="I26">
        <v>26000</v>
      </c>
      <c r="K26" s="2"/>
    </row>
    <row r="27" spans="1:11" x14ac:dyDescent="0.3">
      <c r="A27">
        <v>2010</v>
      </c>
      <c r="B27" s="1">
        <f>DATE(2010,1,19)</f>
        <v>40197</v>
      </c>
      <c r="C27">
        <v>4805</v>
      </c>
      <c r="D27" t="s">
        <v>20</v>
      </c>
      <c r="E27" t="s">
        <v>106</v>
      </c>
      <c r="F27" t="s">
        <v>317</v>
      </c>
      <c r="G27" s="2">
        <v>1</v>
      </c>
      <c r="H27">
        <v>46.185000000000002</v>
      </c>
      <c r="I27">
        <v>46185</v>
      </c>
      <c r="K27" s="2"/>
    </row>
    <row r="28" spans="1:11" x14ac:dyDescent="0.3">
      <c r="A28">
        <v>2010</v>
      </c>
      <c r="B28" s="1">
        <f>DATE(2010,1,21)</f>
        <v>40199</v>
      </c>
      <c r="C28">
        <v>31325</v>
      </c>
      <c r="D28" t="s">
        <v>17</v>
      </c>
      <c r="E28" t="s">
        <v>93</v>
      </c>
      <c r="F28" t="s">
        <v>317</v>
      </c>
      <c r="G28" s="2">
        <v>0</v>
      </c>
      <c r="H28">
        <v>7.8070000000000004</v>
      </c>
      <c r="I28">
        <v>7807</v>
      </c>
      <c r="K28" s="2"/>
    </row>
    <row r="29" spans="1:11" x14ac:dyDescent="0.3">
      <c r="A29">
        <v>2010</v>
      </c>
      <c r="B29" s="1">
        <f>DATE(2010,1,21)</f>
        <v>40199</v>
      </c>
      <c r="C29">
        <v>15674</v>
      </c>
      <c r="D29" t="s">
        <v>21</v>
      </c>
      <c r="E29" t="s">
        <v>107</v>
      </c>
      <c r="F29" t="s">
        <v>318</v>
      </c>
      <c r="G29" s="2">
        <v>0</v>
      </c>
      <c r="H29">
        <v>200.57</v>
      </c>
      <c r="I29">
        <v>200570</v>
      </c>
      <c r="K29" s="2"/>
    </row>
    <row r="30" spans="1:11" x14ac:dyDescent="0.3">
      <c r="A30">
        <v>2010</v>
      </c>
      <c r="B30" s="1">
        <f>DATE(2010,1,21)</f>
        <v>40199</v>
      </c>
      <c r="C30">
        <v>15674</v>
      </c>
      <c r="D30" t="s">
        <v>21</v>
      </c>
      <c r="E30" t="s">
        <v>108</v>
      </c>
      <c r="F30" t="s">
        <v>317</v>
      </c>
      <c r="G30" s="2">
        <v>0</v>
      </c>
      <c r="H30">
        <v>2.8</v>
      </c>
      <c r="I30">
        <v>2800</v>
      </c>
      <c r="K30" s="2"/>
    </row>
    <row r="31" spans="1:11" x14ac:dyDescent="0.3">
      <c r="A31">
        <v>2010</v>
      </c>
      <c r="B31" s="1">
        <f>DATE(2010,1,22)</f>
        <v>40200</v>
      </c>
      <c r="C31">
        <v>10012</v>
      </c>
      <c r="D31" t="s">
        <v>22</v>
      </c>
      <c r="E31" t="s">
        <v>109</v>
      </c>
      <c r="F31" t="s">
        <v>316</v>
      </c>
      <c r="G31" s="2">
        <v>0</v>
      </c>
      <c r="H31">
        <v>8.8670000000000009</v>
      </c>
      <c r="I31">
        <v>8867</v>
      </c>
      <c r="K31" s="2"/>
    </row>
    <row r="32" spans="1:11" x14ac:dyDescent="0.3">
      <c r="A32">
        <v>2010</v>
      </c>
      <c r="B32" s="1">
        <f>DATE(2010,1,24)</f>
        <v>40202</v>
      </c>
      <c r="C32">
        <v>19237</v>
      </c>
      <c r="D32" t="s">
        <v>18</v>
      </c>
      <c r="E32" t="s">
        <v>104</v>
      </c>
      <c r="F32" t="s">
        <v>317</v>
      </c>
      <c r="G32" s="2">
        <v>1</v>
      </c>
      <c r="H32">
        <v>2.1</v>
      </c>
      <c r="I32">
        <v>2100</v>
      </c>
      <c r="K32" s="2"/>
    </row>
    <row r="33" spans="1:11" x14ac:dyDescent="0.3">
      <c r="A33">
        <v>2010</v>
      </c>
      <c r="B33" s="1">
        <f>DATE(2010,1,25)</f>
        <v>40203</v>
      </c>
      <c r="C33">
        <v>11733</v>
      </c>
      <c r="D33" t="s">
        <v>23</v>
      </c>
      <c r="E33" t="s">
        <v>110</v>
      </c>
      <c r="F33" t="s">
        <v>317</v>
      </c>
      <c r="G33" s="2">
        <v>0</v>
      </c>
      <c r="H33">
        <v>667</v>
      </c>
      <c r="I33">
        <v>667000</v>
      </c>
      <c r="K33" s="2"/>
    </row>
    <row r="34" spans="1:11" x14ac:dyDescent="0.3">
      <c r="A34">
        <v>2010</v>
      </c>
      <c r="B34" s="1">
        <f>DATE(2010,1,27)</f>
        <v>40205</v>
      </c>
      <c r="C34">
        <v>31174</v>
      </c>
      <c r="D34" t="s">
        <v>14</v>
      </c>
      <c r="E34" t="s">
        <v>111</v>
      </c>
      <c r="F34" t="s">
        <v>320</v>
      </c>
      <c r="G34" s="2" t="s">
        <v>327</v>
      </c>
      <c r="H34">
        <v>60.064999999999998</v>
      </c>
      <c r="I34">
        <v>60065</v>
      </c>
      <c r="K34" s="2"/>
    </row>
    <row r="35" spans="1:11" x14ac:dyDescent="0.3">
      <c r="A35">
        <v>2010</v>
      </c>
      <c r="B35" s="1">
        <f>DATE(2010,1,28)</f>
        <v>40206</v>
      </c>
      <c r="C35">
        <v>1248</v>
      </c>
      <c r="D35" t="s">
        <v>24</v>
      </c>
      <c r="E35" t="s">
        <v>112</v>
      </c>
      <c r="F35" t="s">
        <v>322</v>
      </c>
      <c r="G35" s="2">
        <v>7</v>
      </c>
      <c r="H35">
        <v>11.17</v>
      </c>
      <c r="I35">
        <v>11170</v>
      </c>
      <c r="K35" s="2"/>
    </row>
    <row r="36" spans="1:11" x14ac:dyDescent="0.3">
      <c r="A36">
        <v>2010</v>
      </c>
      <c r="B36" s="15">
        <f>DATE(2010,2,2)</f>
        <v>40211</v>
      </c>
      <c r="C36">
        <v>31476</v>
      </c>
      <c r="D36" t="s">
        <v>25</v>
      </c>
      <c r="E36" t="s">
        <v>113</v>
      </c>
      <c r="F36" t="s">
        <v>317</v>
      </c>
      <c r="G36" s="2">
        <v>5</v>
      </c>
      <c r="H36">
        <v>6.5</v>
      </c>
      <c r="I36">
        <v>6500</v>
      </c>
      <c r="K36" s="2"/>
    </row>
    <row r="37" spans="1:11" x14ac:dyDescent="0.3">
      <c r="A37">
        <v>2010</v>
      </c>
      <c r="B37" s="15">
        <f>DATE(2010,2,4)</f>
        <v>40213</v>
      </c>
      <c r="C37">
        <v>22430</v>
      </c>
      <c r="D37" t="s">
        <v>26</v>
      </c>
      <c r="E37" t="s">
        <v>114</v>
      </c>
      <c r="F37" t="s">
        <v>318</v>
      </c>
      <c r="G37" s="2" t="s">
        <v>328</v>
      </c>
      <c r="H37">
        <v>4.5209999999999999</v>
      </c>
      <c r="I37">
        <v>4521</v>
      </c>
      <c r="K37" s="2"/>
    </row>
    <row r="38" spans="1:11" x14ac:dyDescent="0.3">
      <c r="A38">
        <v>2010</v>
      </c>
      <c r="B38" s="15">
        <f>DATE(2010,2,6)</f>
        <v>40215</v>
      </c>
      <c r="C38">
        <v>22610</v>
      </c>
      <c r="D38" t="s">
        <v>19</v>
      </c>
      <c r="E38" t="s">
        <v>109</v>
      </c>
      <c r="F38" t="s">
        <v>317</v>
      </c>
      <c r="G38" s="2">
        <v>12055</v>
      </c>
      <c r="H38">
        <v>4.8</v>
      </c>
      <c r="I38">
        <v>4800</v>
      </c>
      <c r="K38" s="2"/>
    </row>
    <row r="39" spans="1:11" x14ac:dyDescent="0.3">
      <c r="A39">
        <v>2010</v>
      </c>
      <c r="B39" s="15">
        <f>DATE(2010,2,8)</f>
        <v>40217</v>
      </c>
      <c r="C39">
        <v>31174</v>
      </c>
      <c r="D39" t="s">
        <v>14</v>
      </c>
      <c r="E39" t="s">
        <v>115</v>
      </c>
      <c r="F39" t="s">
        <v>317</v>
      </c>
      <c r="G39" s="2">
        <v>5</v>
      </c>
      <c r="H39">
        <v>380.4</v>
      </c>
      <c r="I39">
        <v>380400</v>
      </c>
      <c r="K39" s="2"/>
    </row>
    <row r="40" spans="1:11" x14ac:dyDescent="0.3">
      <c r="A40">
        <v>2010</v>
      </c>
      <c r="B40" s="15">
        <f>DATE(2010,2,9)</f>
        <v>40218</v>
      </c>
      <c r="C40">
        <v>15674</v>
      </c>
      <c r="D40" t="s">
        <v>21</v>
      </c>
      <c r="E40" t="s">
        <v>116</v>
      </c>
      <c r="F40" t="s">
        <v>317</v>
      </c>
      <c r="G40" s="2">
        <v>0</v>
      </c>
      <c r="H40">
        <v>0.95</v>
      </c>
      <c r="I40">
        <v>950</v>
      </c>
      <c r="K40" s="2"/>
    </row>
    <row r="41" spans="1:11" x14ac:dyDescent="0.3">
      <c r="A41">
        <v>2010</v>
      </c>
      <c r="B41" s="15">
        <f>DATE(2010,2,9)</f>
        <v>40218</v>
      </c>
      <c r="C41">
        <v>1845</v>
      </c>
      <c r="D41" t="s">
        <v>27</v>
      </c>
      <c r="E41" t="s">
        <v>96</v>
      </c>
      <c r="F41" t="s">
        <v>318</v>
      </c>
      <c r="G41" s="2">
        <v>0</v>
      </c>
      <c r="H41">
        <v>5.3769999999999998</v>
      </c>
      <c r="I41">
        <v>5377</v>
      </c>
      <c r="K41" s="2"/>
    </row>
    <row r="42" spans="1:11" x14ac:dyDescent="0.3">
      <c r="A42">
        <v>2010</v>
      </c>
      <c r="B42" s="15">
        <f>DATE(2010,2,16)</f>
        <v>40225</v>
      </c>
      <c r="C42">
        <v>22610</v>
      </c>
      <c r="D42" t="s">
        <v>19</v>
      </c>
      <c r="E42" t="s">
        <v>117</v>
      </c>
      <c r="F42" t="s">
        <v>317</v>
      </c>
      <c r="G42" s="2">
        <v>0</v>
      </c>
      <c r="H42">
        <v>30.515000000000001</v>
      </c>
      <c r="I42">
        <v>30515</v>
      </c>
      <c r="K42" s="2"/>
    </row>
    <row r="43" spans="1:11" x14ac:dyDescent="0.3">
      <c r="A43">
        <v>2010</v>
      </c>
      <c r="B43" s="15">
        <f>DATE(2010,2,17)</f>
        <v>40226</v>
      </c>
      <c r="C43">
        <v>22610</v>
      </c>
      <c r="D43" t="s">
        <v>19</v>
      </c>
      <c r="E43" t="s">
        <v>118</v>
      </c>
      <c r="F43" t="s">
        <v>317</v>
      </c>
      <c r="G43" s="2">
        <v>0</v>
      </c>
      <c r="H43">
        <v>1.514</v>
      </c>
      <c r="I43">
        <v>1514</v>
      </c>
      <c r="K43" s="2"/>
    </row>
    <row r="44" spans="1:11" x14ac:dyDescent="0.3">
      <c r="A44">
        <v>2010</v>
      </c>
      <c r="B44" s="15">
        <f>DATE(2010,2,19)</f>
        <v>40228</v>
      </c>
      <c r="C44">
        <v>1845</v>
      </c>
      <c r="D44" t="s">
        <v>27</v>
      </c>
      <c r="E44" t="s">
        <v>119</v>
      </c>
      <c r="F44" t="s">
        <v>317</v>
      </c>
      <c r="G44" s="2">
        <v>0</v>
      </c>
      <c r="H44">
        <v>17.100000000000001</v>
      </c>
      <c r="I44">
        <v>17100</v>
      </c>
      <c r="K44" s="2"/>
    </row>
    <row r="45" spans="1:11" x14ac:dyDescent="0.3">
      <c r="A45">
        <v>2010</v>
      </c>
      <c r="B45" s="15">
        <f>DATE(2010,2,20)</f>
        <v>40229</v>
      </c>
      <c r="C45">
        <v>18718</v>
      </c>
      <c r="D45" t="s">
        <v>28</v>
      </c>
      <c r="E45" t="s">
        <v>120</v>
      </c>
      <c r="F45" t="s">
        <v>317</v>
      </c>
      <c r="G45" s="2">
        <v>2</v>
      </c>
      <c r="H45">
        <v>93.513000000000005</v>
      </c>
      <c r="I45">
        <v>93513</v>
      </c>
      <c r="K45" s="2"/>
    </row>
    <row r="46" spans="1:11" x14ac:dyDescent="0.3">
      <c r="A46">
        <v>2010</v>
      </c>
      <c r="B46" s="15">
        <f>DATE(2010,2,21)</f>
        <v>40230</v>
      </c>
      <c r="C46">
        <v>300</v>
      </c>
      <c r="D46" t="s">
        <v>4</v>
      </c>
      <c r="E46" t="s">
        <v>121</v>
      </c>
      <c r="F46" t="s">
        <v>321</v>
      </c>
      <c r="G46" s="2">
        <v>0</v>
      </c>
      <c r="H46">
        <v>17.484999999999999</v>
      </c>
      <c r="I46">
        <v>17485</v>
      </c>
      <c r="K46" s="2"/>
    </row>
    <row r="47" spans="1:11" x14ac:dyDescent="0.3">
      <c r="A47">
        <v>2010</v>
      </c>
      <c r="B47" s="15">
        <f>DATE(2010,2,22)</f>
        <v>40231</v>
      </c>
      <c r="C47">
        <v>32035</v>
      </c>
      <c r="D47" t="s">
        <v>29</v>
      </c>
      <c r="E47" t="s">
        <v>122</v>
      </c>
      <c r="F47" t="s">
        <v>321</v>
      </c>
      <c r="G47" s="2">
        <v>1</v>
      </c>
      <c r="H47">
        <v>26.86</v>
      </c>
      <c r="I47">
        <v>26860</v>
      </c>
      <c r="K47" s="2"/>
    </row>
    <row r="48" spans="1:11" x14ac:dyDescent="0.3">
      <c r="A48">
        <v>2010</v>
      </c>
      <c r="B48" s="15">
        <f>DATE(2010,2,22)</f>
        <v>40231</v>
      </c>
      <c r="C48">
        <v>31684</v>
      </c>
      <c r="D48" t="s">
        <v>7</v>
      </c>
      <c r="E48" t="s">
        <v>123</v>
      </c>
      <c r="F48" t="s">
        <v>316</v>
      </c>
      <c r="G48" s="2" t="s">
        <v>329</v>
      </c>
      <c r="H48">
        <v>8.7899999999999991</v>
      </c>
      <c r="I48">
        <v>8790</v>
      </c>
      <c r="K48" s="2"/>
    </row>
    <row r="49" spans="1:11" x14ac:dyDescent="0.3">
      <c r="A49">
        <v>2010</v>
      </c>
      <c r="B49" s="15">
        <f>DATE(2010,2,23)</f>
        <v>40232</v>
      </c>
      <c r="C49">
        <v>32109</v>
      </c>
      <c r="D49" t="s">
        <v>0</v>
      </c>
      <c r="E49" t="s">
        <v>124</v>
      </c>
      <c r="F49" t="s">
        <v>316</v>
      </c>
      <c r="G49" s="2">
        <v>28</v>
      </c>
      <c r="H49">
        <v>129.00700000000001</v>
      </c>
      <c r="I49">
        <v>129007</v>
      </c>
      <c r="K49" s="2"/>
    </row>
    <row r="50" spans="1:11" x14ac:dyDescent="0.3">
      <c r="A50">
        <v>2010</v>
      </c>
      <c r="B50" s="15">
        <f>DATE(2010,2,25)</f>
        <v>40234</v>
      </c>
      <c r="C50">
        <v>32109</v>
      </c>
      <c r="D50" t="s">
        <v>0</v>
      </c>
      <c r="E50" t="s">
        <v>125</v>
      </c>
      <c r="F50" t="s">
        <v>316</v>
      </c>
      <c r="G50" s="2">
        <v>13718</v>
      </c>
      <c r="H50">
        <v>1599.7860000000001</v>
      </c>
      <c r="I50">
        <v>1599786</v>
      </c>
      <c r="K50" s="2"/>
    </row>
    <row r="51" spans="1:11" x14ac:dyDescent="0.3">
      <c r="A51">
        <v>2010</v>
      </c>
      <c r="B51" s="15">
        <f>DATE(2010,2,25)</f>
        <v>40234</v>
      </c>
      <c r="C51">
        <v>2552</v>
      </c>
      <c r="D51" t="s">
        <v>30</v>
      </c>
      <c r="F51" t="s">
        <v>317</v>
      </c>
      <c r="G51" s="2">
        <v>0</v>
      </c>
      <c r="H51">
        <v>15.95</v>
      </c>
      <c r="I51">
        <v>15950</v>
      </c>
      <c r="K51" s="2"/>
    </row>
    <row r="52" spans="1:11" x14ac:dyDescent="0.3">
      <c r="A52">
        <v>2010</v>
      </c>
      <c r="B52" s="15">
        <f>DATE(2010,3,1)</f>
        <v>40238</v>
      </c>
      <c r="C52">
        <v>12470</v>
      </c>
      <c r="D52" t="s">
        <v>77</v>
      </c>
      <c r="E52" t="s">
        <v>120</v>
      </c>
      <c r="F52" t="s">
        <v>321</v>
      </c>
      <c r="G52" s="2">
        <v>2</v>
      </c>
      <c r="H52">
        <v>16.018000000000001</v>
      </c>
      <c r="I52">
        <v>16018</v>
      </c>
      <c r="K52" s="2"/>
    </row>
    <row r="53" spans="1:11" x14ac:dyDescent="0.3">
      <c r="A53">
        <v>2010</v>
      </c>
      <c r="B53" s="15">
        <f>DATE(2010,3,1)</f>
        <v>40238</v>
      </c>
      <c r="C53">
        <v>15774</v>
      </c>
      <c r="D53" t="s">
        <v>31</v>
      </c>
      <c r="E53" t="s">
        <v>126</v>
      </c>
      <c r="F53" t="s">
        <v>316</v>
      </c>
      <c r="G53" s="2">
        <v>0</v>
      </c>
      <c r="H53">
        <v>19.079999999999998</v>
      </c>
      <c r="I53">
        <v>19080</v>
      </c>
      <c r="K53" s="2"/>
    </row>
    <row r="54" spans="1:11" x14ac:dyDescent="0.3">
      <c r="A54">
        <v>2010</v>
      </c>
      <c r="B54" s="15">
        <f>DATE(2010,3,1)</f>
        <v>40238</v>
      </c>
      <c r="C54">
        <v>31672</v>
      </c>
      <c r="D54" t="s">
        <v>32</v>
      </c>
      <c r="E54" t="s">
        <v>127</v>
      </c>
      <c r="F54" t="s">
        <v>320</v>
      </c>
      <c r="G54" s="2">
        <v>36192</v>
      </c>
      <c r="H54">
        <v>3.51</v>
      </c>
      <c r="I54">
        <v>3510</v>
      </c>
      <c r="K54" s="2"/>
    </row>
    <row r="55" spans="1:11" x14ac:dyDescent="0.3">
      <c r="A55">
        <v>2010</v>
      </c>
      <c r="B55" s="15">
        <f>DATE(2010,3,3)</f>
        <v>40240</v>
      </c>
      <c r="C55">
        <v>31618</v>
      </c>
      <c r="D55" t="s">
        <v>33</v>
      </c>
      <c r="F55" t="s">
        <v>317</v>
      </c>
      <c r="G55" s="2" t="s">
        <v>330</v>
      </c>
      <c r="H55">
        <v>0.77300000000000002</v>
      </c>
      <c r="I55">
        <v>773</v>
      </c>
      <c r="K55" s="2"/>
    </row>
    <row r="56" spans="1:11" x14ac:dyDescent="0.3">
      <c r="A56">
        <v>2010</v>
      </c>
      <c r="B56" s="15">
        <f>DATE(2010,3,4)</f>
        <v>40241</v>
      </c>
      <c r="C56">
        <v>2552</v>
      </c>
      <c r="D56" t="s">
        <v>30</v>
      </c>
      <c r="E56" t="s">
        <v>128</v>
      </c>
      <c r="F56" t="s">
        <v>317</v>
      </c>
      <c r="G56" s="2" t="s">
        <v>331</v>
      </c>
      <c r="H56">
        <v>65</v>
      </c>
      <c r="I56">
        <v>65000</v>
      </c>
      <c r="K56" s="2"/>
    </row>
    <row r="57" spans="1:11" x14ac:dyDescent="0.3">
      <c r="A57">
        <v>2010</v>
      </c>
      <c r="B57" s="15">
        <f>DATE(2010,3,4)</f>
        <v>40241</v>
      </c>
      <c r="C57">
        <v>4906</v>
      </c>
      <c r="D57" t="s">
        <v>34</v>
      </c>
      <c r="E57" t="s">
        <v>99</v>
      </c>
      <c r="F57" t="s">
        <v>317</v>
      </c>
      <c r="G57" s="2" t="s">
        <v>332</v>
      </c>
      <c r="H57">
        <v>13.593999999999999</v>
      </c>
      <c r="I57">
        <v>13594</v>
      </c>
      <c r="K57" s="2"/>
    </row>
    <row r="58" spans="1:11" x14ac:dyDescent="0.3">
      <c r="A58">
        <v>2010</v>
      </c>
      <c r="B58" s="15">
        <f>DATE(2010,3,8)</f>
        <v>40245</v>
      </c>
      <c r="C58">
        <v>15156</v>
      </c>
      <c r="D58" t="s">
        <v>35</v>
      </c>
      <c r="E58" t="s">
        <v>129</v>
      </c>
      <c r="F58" t="s">
        <v>317</v>
      </c>
      <c r="G58" s="2">
        <v>1</v>
      </c>
      <c r="H58">
        <v>11.287000000000001</v>
      </c>
      <c r="I58">
        <v>11287</v>
      </c>
      <c r="K58" s="2"/>
    </row>
    <row r="59" spans="1:11" x14ac:dyDescent="0.3">
      <c r="A59">
        <v>2010</v>
      </c>
      <c r="B59" s="15">
        <f>DATE(2010,3,8)</f>
        <v>40245</v>
      </c>
      <c r="C59">
        <v>22610</v>
      </c>
      <c r="D59" t="s">
        <v>19</v>
      </c>
      <c r="E59" t="s">
        <v>118</v>
      </c>
      <c r="F59" t="s">
        <v>318</v>
      </c>
      <c r="G59" s="2">
        <v>93</v>
      </c>
      <c r="H59">
        <v>85.62</v>
      </c>
      <c r="I59">
        <v>85620</v>
      </c>
      <c r="K59" s="2"/>
    </row>
    <row r="60" spans="1:11" x14ac:dyDescent="0.3">
      <c r="A60">
        <v>2010</v>
      </c>
      <c r="B60" s="15">
        <f>DATE(2010,3,9)</f>
        <v>40246</v>
      </c>
      <c r="C60">
        <v>18718</v>
      </c>
      <c r="D60" t="s">
        <v>28</v>
      </c>
      <c r="E60" t="s">
        <v>120</v>
      </c>
      <c r="F60" t="s">
        <v>317</v>
      </c>
      <c r="G60" s="2" t="s">
        <v>330</v>
      </c>
      <c r="H60">
        <v>5.0389999999999997</v>
      </c>
      <c r="I60">
        <v>5039</v>
      </c>
      <c r="K60" s="2"/>
    </row>
    <row r="61" spans="1:11" x14ac:dyDescent="0.3">
      <c r="A61">
        <v>2010</v>
      </c>
      <c r="B61" s="15">
        <f>DATE(2010,3,9)</f>
        <v>40246</v>
      </c>
      <c r="C61">
        <v>18718</v>
      </c>
      <c r="D61" t="s">
        <v>28</v>
      </c>
      <c r="E61" t="s">
        <v>130</v>
      </c>
      <c r="F61" t="s">
        <v>317</v>
      </c>
      <c r="G61" s="2" t="s">
        <v>333</v>
      </c>
      <c r="H61">
        <v>26.064</v>
      </c>
      <c r="I61">
        <v>26064</v>
      </c>
      <c r="K61" s="2"/>
    </row>
    <row r="62" spans="1:11" x14ac:dyDescent="0.3">
      <c r="A62">
        <v>2010</v>
      </c>
      <c r="B62" s="15">
        <f>DATE(2010,3,11)</f>
        <v>40248</v>
      </c>
      <c r="C62">
        <v>11169</v>
      </c>
      <c r="D62" t="s">
        <v>3</v>
      </c>
      <c r="E62" t="s">
        <v>85</v>
      </c>
      <c r="F62" t="s">
        <v>318</v>
      </c>
      <c r="G62" s="2">
        <v>0</v>
      </c>
      <c r="H62">
        <v>8.06</v>
      </c>
      <c r="I62">
        <v>8060</v>
      </c>
      <c r="K62" s="2"/>
    </row>
    <row r="63" spans="1:11" x14ac:dyDescent="0.3">
      <c r="A63">
        <v>2010</v>
      </c>
      <c r="B63" s="15">
        <f>DATE(2010,3,14)</f>
        <v>40251</v>
      </c>
      <c r="C63">
        <v>22610</v>
      </c>
      <c r="D63" t="s">
        <v>19</v>
      </c>
      <c r="E63" t="s">
        <v>131</v>
      </c>
      <c r="F63" t="s">
        <v>318</v>
      </c>
      <c r="G63" s="2">
        <v>70</v>
      </c>
      <c r="H63">
        <v>511.55</v>
      </c>
      <c r="I63">
        <v>511550</v>
      </c>
      <c r="K63" s="2"/>
    </row>
    <row r="64" spans="1:11" x14ac:dyDescent="0.3">
      <c r="A64">
        <v>2010</v>
      </c>
      <c r="B64" s="15">
        <f>DATE(2010,3,15)</f>
        <v>40252</v>
      </c>
      <c r="C64">
        <v>18718</v>
      </c>
      <c r="D64" t="s">
        <v>28</v>
      </c>
      <c r="E64" t="s">
        <v>132</v>
      </c>
      <c r="F64" t="s">
        <v>317</v>
      </c>
      <c r="G64" s="2" t="s">
        <v>334</v>
      </c>
      <c r="H64">
        <v>0.76500000000000001</v>
      </c>
      <c r="I64">
        <v>765</v>
      </c>
      <c r="K64" s="2"/>
    </row>
    <row r="65" spans="1:11" x14ac:dyDescent="0.3">
      <c r="A65">
        <v>2010</v>
      </c>
      <c r="B65" s="15">
        <f>DATE(2010,3,15)</f>
        <v>40252</v>
      </c>
      <c r="C65">
        <v>30829</v>
      </c>
      <c r="D65" t="s">
        <v>36</v>
      </c>
      <c r="E65" t="s">
        <v>133</v>
      </c>
      <c r="F65" t="s">
        <v>317</v>
      </c>
      <c r="G65" s="2">
        <v>0</v>
      </c>
      <c r="H65">
        <v>1.1599999999999999</v>
      </c>
      <c r="I65">
        <v>1160</v>
      </c>
      <c r="K65" s="2"/>
    </row>
    <row r="66" spans="1:11" x14ac:dyDescent="0.3">
      <c r="A66">
        <v>2010</v>
      </c>
      <c r="B66" s="15">
        <f>DATE(2010,3,15)</f>
        <v>40252</v>
      </c>
      <c r="C66">
        <v>18718</v>
      </c>
      <c r="D66" t="s">
        <v>28</v>
      </c>
      <c r="E66" t="s">
        <v>134</v>
      </c>
      <c r="F66" t="s">
        <v>317</v>
      </c>
      <c r="G66" s="2" t="s">
        <v>327</v>
      </c>
      <c r="H66">
        <v>11.497</v>
      </c>
      <c r="I66">
        <v>11497</v>
      </c>
      <c r="K66" s="2"/>
    </row>
    <row r="67" spans="1:11" x14ac:dyDescent="0.3">
      <c r="A67">
        <v>2010</v>
      </c>
      <c r="B67" s="15">
        <f>DATE(2010,3,16)</f>
        <v>40253</v>
      </c>
      <c r="C67">
        <v>18092</v>
      </c>
      <c r="D67" t="s">
        <v>37</v>
      </c>
      <c r="E67" t="s">
        <v>135</v>
      </c>
      <c r="F67" t="s">
        <v>321</v>
      </c>
      <c r="G67" s="2" t="s">
        <v>335</v>
      </c>
      <c r="H67">
        <v>480</v>
      </c>
      <c r="I67">
        <v>480000</v>
      </c>
      <c r="K67" s="2"/>
    </row>
    <row r="68" spans="1:11" x14ac:dyDescent="0.3">
      <c r="A68">
        <v>2010</v>
      </c>
      <c r="B68" s="15">
        <f>DATE(2010,3,18)</f>
        <v>40255</v>
      </c>
      <c r="C68">
        <v>31947</v>
      </c>
      <c r="D68" t="s">
        <v>38</v>
      </c>
      <c r="E68" t="s">
        <v>95</v>
      </c>
      <c r="F68" t="s">
        <v>321</v>
      </c>
      <c r="G68" s="2">
        <v>0</v>
      </c>
      <c r="H68">
        <v>54</v>
      </c>
      <c r="I68">
        <v>54000</v>
      </c>
      <c r="K68" s="2"/>
    </row>
    <row r="69" spans="1:11" x14ac:dyDescent="0.3">
      <c r="A69">
        <v>2010</v>
      </c>
      <c r="B69" s="15">
        <f>DATE(2010,3,20)</f>
        <v>40257</v>
      </c>
      <c r="C69">
        <v>31325</v>
      </c>
      <c r="D69" t="s">
        <v>17</v>
      </c>
      <c r="E69" t="s">
        <v>136</v>
      </c>
      <c r="F69" t="s">
        <v>321</v>
      </c>
      <c r="G69" s="2">
        <v>0</v>
      </c>
      <c r="H69">
        <v>16.8</v>
      </c>
      <c r="I69">
        <v>16800</v>
      </c>
      <c r="K69" s="2"/>
    </row>
    <row r="70" spans="1:11" x14ac:dyDescent="0.3">
      <c r="A70">
        <v>2010</v>
      </c>
      <c r="B70" s="15">
        <f>DATE(2010,3,21)</f>
        <v>40258</v>
      </c>
      <c r="C70">
        <v>31189</v>
      </c>
      <c r="D70" t="s">
        <v>39</v>
      </c>
      <c r="E70" t="s">
        <v>137</v>
      </c>
      <c r="F70" t="s">
        <v>317</v>
      </c>
      <c r="G70" s="2">
        <v>0</v>
      </c>
      <c r="H70">
        <v>158.5</v>
      </c>
      <c r="I70">
        <v>158500</v>
      </c>
      <c r="K70" s="2"/>
    </row>
    <row r="71" spans="1:11" x14ac:dyDescent="0.3">
      <c r="A71">
        <v>2010</v>
      </c>
      <c r="B71" s="15">
        <f>DATE(2010,3,22)</f>
        <v>40259</v>
      </c>
      <c r="C71">
        <v>31189</v>
      </c>
      <c r="D71" t="s">
        <v>39</v>
      </c>
      <c r="E71" t="s">
        <v>138</v>
      </c>
      <c r="F71" t="s">
        <v>317</v>
      </c>
      <c r="G71" s="2">
        <v>0</v>
      </c>
      <c r="H71">
        <v>106.03</v>
      </c>
      <c r="I71">
        <v>106030</v>
      </c>
      <c r="K71" s="2"/>
    </row>
    <row r="72" spans="1:11" x14ac:dyDescent="0.3">
      <c r="A72">
        <v>2010</v>
      </c>
      <c r="B72" s="15">
        <f>DATE(2010,3,23)</f>
        <v>40260</v>
      </c>
      <c r="C72">
        <v>2552</v>
      </c>
      <c r="D72" t="s">
        <v>30</v>
      </c>
      <c r="E72" t="s">
        <v>139</v>
      </c>
      <c r="F72" t="s">
        <v>321</v>
      </c>
      <c r="G72" s="2">
        <v>0</v>
      </c>
      <c r="H72">
        <v>4.7729999999999997</v>
      </c>
      <c r="I72">
        <v>4773</v>
      </c>
      <c r="K72" s="2"/>
    </row>
    <row r="73" spans="1:11" x14ac:dyDescent="0.3">
      <c r="A73">
        <v>2010</v>
      </c>
      <c r="B73" s="15">
        <f>DATE(2010,3,23)</f>
        <v>40260</v>
      </c>
      <c r="C73">
        <v>31684</v>
      </c>
      <c r="D73" t="s">
        <v>7</v>
      </c>
      <c r="E73" t="s">
        <v>140</v>
      </c>
      <c r="F73" t="s">
        <v>317</v>
      </c>
      <c r="G73" s="2">
        <v>0</v>
      </c>
      <c r="H73">
        <v>3.52</v>
      </c>
      <c r="I73">
        <v>3520</v>
      </c>
      <c r="K73" s="2"/>
    </row>
    <row r="74" spans="1:11" x14ac:dyDescent="0.3">
      <c r="A74">
        <v>2010</v>
      </c>
      <c r="B74" s="15">
        <f>DATE(2010,3,24)</f>
        <v>40261</v>
      </c>
      <c r="C74">
        <v>31947</v>
      </c>
      <c r="D74" t="s">
        <v>38</v>
      </c>
      <c r="E74" t="s">
        <v>95</v>
      </c>
      <c r="F74" t="s">
        <v>317</v>
      </c>
      <c r="G74" s="2">
        <v>0</v>
      </c>
      <c r="H74">
        <v>1.35</v>
      </c>
      <c r="I74">
        <v>1350</v>
      </c>
      <c r="K74" s="2"/>
    </row>
    <row r="75" spans="1:11" x14ac:dyDescent="0.3">
      <c r="A75">
        <v>2010</v>
      </c>
      <c r="B75" s="15">
        <f>DATE(2010,3,24)</f>
        <v>40261</v>
      </c>
      <c r="C75">
        <v>15674</v>
      </c>
      <c r="D75" t="s">
        <v>21</v>
      </c>
      <c r="E75" t="s">
        <v>116</v>
      </c>
      <c r="F75" t="s">
        <v>317</v>
      </c>
      <c r="G75" s="2">
        <v>0</v>
      </c>
      <c r="H75">
        <v>4.2149999999999999</v>
      </c>
      <c r="I75">
        <v>4215</v>
      </c>
      <c r="K75" s="2"/>
    </row>
    <row r="76" spans="1:11" x14ac:dyDescent="0.3">
      <c r="A76">
        <v>2010</v>
      </c>
      <c r="B76" s="15">
        <f>DATE(2010,3,25)</f>
        <v>40262</v>
      </c>
      <c r="C76">
        <v>18779</v>
      </c>
      <c r="D76" t="s">
        <v>40</v>
      </c>
      <c r="E76" t="s">
        <v>141</v>
      </c>
      <c r="F76" t="s">
        <v>317</v>
      </c>
      <c r="G76" s="2">
        <v>1</v>
      </c>
      <c r="H76">
        <v>100</v>
      </c>
      <c r="I76">
        <v>100000</v>
      </c>
      <c r="K76" s="2"/>
    </row>
    <row r="77" spans="1:11" x14ac:dyDescent="0.3">
      <c r="A77">
        <v>2010</v>
      </c>
      <c r="B77" s="15">
        <f>DATE(2010,3,25)</f>
        <v>40262</v>
      </c>
      <c r="C77">
        <v>31563</v>
      </c>
      <c r="D77" t="s">
        <v>41</v>
      </c>
      <c r="F77" t="s">
        <v>322</v>
      </c>
      <c r="G77" s="2">
        <v>42921</v>
      </c>
      <c r="H77">
        <v>2201.2600000000002</v>
      </c>
      <c r="I77">
        <v>2201260</v>
      </c>
      <c r="K77" s="2"/>
    </row>
    <row r="78" spans="1:11" x14ac:dyDescent="0.3">
      <c r="A78">
        <v>2010</v>
      </c>
      <c r="B78" s="15">
        <f>DATE(2010,3,26)</f>
        <v>40263</v>
      </c>
      <c r="C78">
        <v>31684</v>
      </c>
      <c r="D78" t="s">
        <v>7</v>
      </c>
      <c r="E78" t="s">
        <v>142</v>
      </c>
      <c r="F78" t="s">
        <v>316</v>
      </c>
      <c r="G78" s="2" t="s">
        <v>336</v>
      </c>
      <c r="H78">
        <v>30.058</v>
      </c>
      <c r="I78">
        <v>30058</v>
      </c>
      <c r="K78" s="2"/>
    </row>
    <row r="79" spans="1:11" x14ac:dyDescent="0.3">
      <c r="A79">
        <v>2010</v>
      </c>
      <c r="B79" s="15">
        <f>DATE(2010,3,27)</f>
        <v>40264</v>
      </c>
      <c r="C79">
        <v>5320</v>
      </c>
      <c r="D79" t="s">
        <v>42</v>
      </c>
      <c r="E79" t="s">
        <v>143</v>
      </c>
      <c r="F79" t="s">
        <v>316</v>
      </c>
      <c r="G79" s="2">
        <v>95</v>
      </c>
      <c r="H79">
        <v>437</v>
      </c>
      <c r="I79">
        <v>437000</v>
      </c>
      <c r="K79" s="2"/>
    </row>
    <row r="80" spans="1:11" x14ac:dyDescent="0.3">
      <c r="A80">
        <v>2010</v>
      </c>
      <c r="B80" s="15">
        <f>DATE(2010,3,29)</f>
        <v>40266</v>
      </c>
      <c r="C80">
        <v>31684</v>
      </c>
      <c r="D80" t="s">
        <v>7</v>
      </c>
      <c r="E80" t="s">
        <v>128</v>
      </c>
      <c r="F80" t="s">
        <v>321</v>
      </c>
      <c r="G80" s="2">
        <v>0</v>
      </c>
      <c r="H80">
        <v>16.13</v>
      </c>
      <c r="I80">
        <v>16130</v>
      </c>
      <c r="K80" s="2"/>
    </row>
    <row r="81" spans="1:11" x14ac:dyDescent="0.3">
      <c r="A81">
        <v>2010</v>
      </c>
      <c r="B81" s="15">
        <f>DATE(2010,3,29)</f>
        <v>40266</v>
      </c>
      <c r="C81">
        <v>1845</v>
      </c>
      <c r="D81" t="s">
        <v>27</v>
      </c>
      <c r="E81" t="s">
        <v>144</v>
      </c>
      <c r="F81" t="s">
        <v>319</v>
      </c>
      <c r="G81" s="2">
        <v>0</v>
      </c>
      <c r="H81">
        <v>115.29</v>
      </c>
      <c r="I81">
        <v>115290</v>
      </c>
      <c r="K81" s="2"/>
    </row>
    <row r="82" spans="1:11" x14ac:dyDescent="0.3">
      <c r="A82">
        <v>2010</v>
      </c>
      <c r="B82" s="15">
        <f>DATE(2010,3,30)</f>
        <v>40267</v>
      </c>
      <c r="C82">
        <v>31618</v>
      </c>
      <c r="D82" t="s">
        <v>33</v>
      </c>
      <c r="E82" t="s">
        <v>145</v>
      </c>
      <c r="F82" t="s">
        <v>318</v>
      </c>
      <c r="G82" s="2">
        <v>656</v>
      </c>
      <c r="H82">
        <v>110.6</v>
      </c>
      <c r="I82">
        <v>110600</v>
      </c>
      <c r="K82" s="2"/>
    </row>
    <row r="83" spans="1:11" x14ac:dyDescent="0.3">
      <c r="A83">
        <v>2010</v>
      </c>
      <c r="B83" s="15">
        <f>DATE(2010,3,31)</f>
        <v>40268</v>
      </c>
      <c r="C83">
        <v>2552</v>
      </c>
      <c r="D83" t="s">
        <v>30</v>
      </c>
      <c r="E83" t="s">
        <v>146</v>
      </c>
      <c r="F83" t="s">
        <v>318</v>
      </c>
      <c r="G83" s="2">
        <v>0</v>
      </c>
      <c r="H83">
        <v>123.396</v>
      </c>
      <c r="I83">
        <v>123396</v>
      </c>
      <c r="K83" s="2"/>
    </row>
    <row r="84" spans="1:11" x14ac:dyDescent="0.3">
      <c r="A84">
        <v>2010</v>
      </c>
      <c r="B84" s="15">
        <f>DATE(2010,4,3)</f>
        <v>40271</v>
      </c>
      <c r="C84">
        <v>31720</v>
      </c>
      <c r="D84" t="s">
        <v>43</v>
      </c>
      <c r="E84" t="s">
        <v>147</v>
      </c>
      <c r="F84" t="s">
        <v>321</v>
      </c>
      <c r="G84" s="2">
        <v>0</v>
      </c>
      <c r="H84">
        <v>189.24</v>
      </c>
      <c r="I84">
        <v>189240</v>
      </c>
      <c r="K84" s="2"/>
    </row>
    <row r="85" spans="1:11" x14ac:dyDescent="0.3">
      <c r="A85">
        <v>2010</v>
      </c>
      <c r="B85" s="15">
        <f>DATE(2010,4,5)</f>
        <v>40273</v>
      </c>
      <c r="C85">
        <v>22610</v>
      </c>
      <c r="D85" t="s">
        <v>19</v>
      </c>
      <c r="E85" t="s">
        <v>148</v>
      </c>
      <c r="F85" t="s">
        <v>317</v>
      </c>
      <c r="G85" s="2">
        <v>0</v>
      </c>
      <c r="H85">
        <v>8.0120000000000005</v>
      </c>
      <c r="I85">
        <v>8012</v>
      </c>
      <c r="K85" s="2"/>
    </row>
    <row r="86" spans="1:11" x14ac:dyDescent="0.3">
      <c r="A86">
        <v>2010</v>
      </c>
      <c r="B86" s="15">
        <f>DATE(2010,4,5)</f>
        <v>40273</v>
      </c>
      <c r="C86">
        <v>32483</v>
      </c>
      <c r="D86" t="s">
        <v>44</v>
      </c>
      <c r="E86" t="s">
        <v>149</v>
      </c>
      <c r="F86" t="s">
        <v>316</v>
      </c>
      <c r="G86" s="2">
        <v>0</v>
      </c>
      <c r="H86">
        <v>4000</v>
      </c>
      <c r="I86">
        <v>4000000</v>
      </c>
      <c r="K86" s="2"/>
    </row>
    <row r="87" spans="1:11" x14ac:dyDescent="0.3">
      <c r="A87">
        <v>2010</v>
      </c>
      <c r="B87" s="15">
        <f>DATE(2010,4,5)</f>
        <v>40273</v>
      </c>
      <c r="C87">
        <v>18718</v>
      </c>
      <c r="D87" t="s">
        <v>28</v>
      </c>
      <c r="E87" t="s">
        <v>150</v>
      </c>
      <c r="F87" t="s">
        <v>317</v>
      </c>
      <c r="G87" s="2">
        <v>0</v>
      </c>
      <c r="H87">
        <v>7.8150000000000004</v>
      </c>
      <c r="I87">
        <v>7815</v>
      </c>
      <c r="K87" s="2"/>
    </row>
    <row r="88" spans="1:11" x14ac:dyDescent="0.3">
      <c r="A88">
        <v>2010</v>
      </c>
      <c r="B88" s="15">
        <f>DATE(2010,4,5)</f>
        <v>40273</v>
      </c>
      <c r="C88">
        <v>2731</v>
      </c>
      <c r="D88" t="s">
        <v>45</v>
      </c>
      <c r="E88" t="s">
        <v>151</v>
      </c>
      <c r="F88" t="s">
        <v>319</v>
      </c>
      <c r="G88" s="2">
        <v>215</v>
      </c>
      <c r="H88">
        <v>13933.6</v>
      </c>
      <c r="I88">
        <v>13933600</v>
      </c>
      <c r="K88" s="2"/>
    </row>
    <row r="89" spans="1:11" x14ac:dyDescent="0.3">
      <c r="A89">
        <v>2010</v>
      </c>
      <c r="B89" s="15">
        <f>DATE(2010,4,7)</f>
        <v>40275</v>
      </c>
      <c r="C89">
        <v>2730</v>
      </c>
      <c r="D89" t="s">
        <v>46</v>
      </c>
      <c r="E89" t="s">
        <v>153</v>
      </c>
      <c r="F89" t="s">
        <v>317</v>
      </c>
      <c r="G89" s="2">
        <v>0</v>
      </c>
      <c r="H89">
        <v>100.504</v>
      </c>
      <c r="I89">
        <v>100504</v>
      </c>
      <c r="K89" s="2"/>
    </row>
    <row r="90" spans="1:11" x14ac:dyDescent="0.3">
      <c r="A90">
        <v>2010</v>
      </c>
      <c r="B90" s="15">
        <f>DATE(2010,4,8)</f>
        <v>40276</v>
      </c>
      <c r="C90">
        <v>22610</v>
      </c>
      <c r="D90" t="s">
        <v>19</v>
      </c>
      <c r="E90" t="s">
        <v>154</v>
      </c>
      <c r="F90" t="s">
        <v>317</v>
      </c>
      <c r="G90" s="2">
        <v>0</v>
      </c>
      <c r="H90">
        <v>36.590000000000003</v>
      </c>
      <c r="I90">
        <v>36590</v>
      </c>
      <c r="K90" s="2"/>
    </row>
    <row r="91" spans="1:11" x14ac:dyDescent="0.3">
      <c r="A91">
        <v>2010</v>
      </c>
      <c r="B91" s="15">
        <f>DATE(2010,4,9)</f>
        <v>40277</v>
      </c>
      <c r="C91">
        <v>31684</v>
      </c>
      <c r="D91" t="s">
        <v>7</v>
      </c>
      <c r="E91" t="s">
        <v>155</v>
      </c>
      <c r="F91" t="s">
        <v>318</v>
      </c>
      <c r="G91" s="2" t="s">
        <v>337</v>
      </c>
      <c r="H91">
        <v>2.7E-2</v>
      </c>
      <c r="I91">
        <v>27</v>
      </c>
      <c r="K91" s="2"/>
    </row>
    <row r="92" spans="1:11" x14ac:dyDescent="0.3">
      <c r="A92">
        <v>2010</v>
      </c>
      <c r="B92" s="15">
        <f>DATE(2010,4,9)</f>
        <v>40277</v>
      </c>
      <c r="C92">
        <v>300</v>
      </c>
      <c r="D92" t="s">
        <v>4</v>
      </c>
      <c r="E92" t="s">
        <v>156</v>
      </c>
      <c r="F92" t="s">
        <v>317</v>
      </c>
      <c r="G92" s="2">
        <v>0</v>
      </c>
      <c r="H92">
        <v>1.78</v>
      </c>
      <c r="I92">
        <v>1780</v>
      </c>
      <c r="K92" s="2"/>
    </row>
    <row r="93" spans="1:11" x14ac:dyDescent="0.3">
      <c r="A93">
        <v>2010</v>
      </c>
      <c r="B93" s="15">
        <f>DATE(2010,4,10)</f>
        <v>40278</v>
      </c>
      <c r="C93">
        <v>18718</v>
      </c>
      <c r="D93" t="s">
        <v>28</v>
      </c>
      <c r="E93" t="s">
        <v>157</v>
      </c>
      <c r="F93" t="s">
        <v>317</v>
      </c>
      <c r="G93" s="2" t="s">
        <v>338</v>
      </c>
      <c r="H93">
        <v>167.904</v>
      </c>
      <c r="I93">
        <v>167904</v>
      </c>
      <c r="K93" s="2"/>
    </row>
    <row r="94" spans="1:11" x14ac:dyDescent="0.3">
      <c r="A94">
        <v>2010</v>
      </c>
      <c r="B94" s="15">
        <f>DATE(2010,4,12)</f>
        <v>40280</v>
      </c>
      <c r="C94">
        <v>15674</v>
      </c>
      <c r="D94" t="s">
        <v>21</v>
      </c>
      <c r="E94" t="s">
        <v>158</v>
      </c>
      <c r="F94" t="s">
        <v>317</v>
      </c>
      <c r="G94" s="2">
        <v>0</v>
      </c>
      <c r="H94">
        <v>31.018999999999998</v>
      </c>
      <c r="I94">
        <v>31019</v>
      </c>
      <c r="K94" s="2"/>
    </row>
    <row r="95" spans="1:11" x14ac:dyDescent="0.3">
      <c r="A95">
        <v>2010</v>
      </c>
      <c r="B95" s="15">
        <f>DATE(2010,4,13)</f>
        <v>40281</v>
      </c>
      <c r="C95">
        <v>19237</v>
      </c>
      <c r="D95" t="s">
        <v>18</v>
      </c>
      <c r="E95" t="s">
        <v>159</v>
      </c>
      <c r="F95" t="s">
        <v>316</v>
      </c>
      <c r="G95" s="2">
        <v>0</v>
      </c>
      <c r="H95">
        <v>35.228999999999999</v>
      </c>
      <c r="I95">
        <v>35229</v>
      </c>
      <c r="K95" s="2"/>
    </row>
    <row r="96" spans="1:11" x14ac:dyDescent="0.3">
      <c r="A96">
        <v>2010</v>
      </c>
      <c r="B96" s="15">
        <f>DATE(2010,4,13)</f>
        <v>40281</v>
      </c>
      <c r="C96">
        <v>4805</v>
      </c>
      <c r="D96" t="s">
        <v>20</v>
      </c>
      <c r="E96" t="s">
        <v>111</v>
      </c>
      <c r="F96" t="s">
        <v>317</v>
      </c>
      <c r="G96" s="2">
        <v>0</v>
      </c>
      <c r="H96">
        <v>102.96899999999999</v>
      </c>
      <c r="I96">
        <v>102969</v>
      </c>
      <c r="K96" s="2"/>
    </row>
    <row r="97" spans="1:11" x14ac:dyDescent="0.3">
      <c r="A97">
        <v>2010</v>
      </c>
      <c r="B97" s="15">
        <f>DATE(2010,4,14)</f>
        <v>40282</v>
      </c>
      <c r="C97">
        <v>4906</v>
      </c>
      <c r="D97" t="s">
        <v>34</v>
      </c>
      <c r="E97" t="s">
        <v>120</v>
      </c>
      <c r="F97" t="s">
        <v>321</v>
      </c>
      <c r="G97" s="2">
        <v>0</v>
      </c>
      <c r="H97">
        <v>5.0860000000000003</v>
      </c>
      <c r="I97">
        <v>5086</v>
      </c>
      <c r="K97" s="2"/>
    </row>
    <row r="98" spans="1:11" x14ac:dyDescent="0.3">
      <c r="A98">
        <v>2010</v>
      </c>
      <c r="B98" s="15">
        <f>DATE(2010,4,15)</f>
        <v>40283</v>
      </c>
      <c r="C98">
        <v>4430</v>
      </c>
      <c r="D98" t="s">
        <v>47</v>
      </c>
      <c r="E98" t="s">
        <v>160</v>
      </c>
      <c r="F98" t="s">
        <v>321</v>
      </c>
      <c r="G98" s="2">
        <v>0</v>
      </c>
      <c r="H98">
        <v>20.3</v>
      </c>
      <c r="I98">
        <v>20300</v>
      </c>
      <c r="K98" s="2"/>
    </row>
    <row r="99" spans="1:11" x14ac:dyDescent="0.3">
      <c r="A99">
        <v>2010</v>
      </c>
      <c r="B99" s="15">
        <f>DATE(2010,4,16)</f>
        <v>40284</v>
      </c>
      <c r="C99">
        <v>19237</v>
      </c>
      <c r="D99" t="s">
        <v>18</v>
      </c>
      <c r="E99" t="s">
        <v>161</v>
      </c>
      <c r="F99" t="s">
        <v>317</v>
      </c>
      <c r="G99" s="2">
        <v>0</v>
      </c>
      <c r="H99">
        <v>5</v>
      </c>
      <c r="I99">
        <v>5000</v>
      </c>
      <c r="K99" s="2"/>
    </row>
    <row r="100" spans="1:11" x14ac:dyDescent="0.3">
      <c r="A100">
        <v>2010</v>
      </c>
      <c r="B100" s="15">
        <f>DATE(2010,4,16)</f>
        <v>40284</v>
      </c>
      <c r="C100">
        <v>22855</v>
      </c>
      <c r="D100" t="s">
        <v>15</v>
      </c>
      <c r="E100" t="s">
        <v>162</v>
      </c>
      <c r="F100" t="s">
        <v>317</v>
      </c>
      <c r="G100" s="2" t="s">
        <v>334</v>
      </c>
      <c r="H100">
        <v>2.5089999999999999</v>
      </c>
      <c r="I100">
        <v>2509</v>
      </c>
      <c r="K100" s="2"/>
    </row>
    <row r="101" spans="1:11" x14ac:dyDescent="0.3">
      <c r="A101">
        <v>2010</v>
      </c>
      <c r="B101" s="15">
        <f>DATE(2010,4,17)</f>
        <v>40285</v>
      </c>
      <c r="C101">
        <v>11169</v>
      </c>
      <c r="D101" t="s">
        <v>3</v>
      </c>
      <c r="E101" t="s">
        <v>163</v>
      </c>
      <c r="F101" t="s">
        <v>317</v>
      </c>
      <c r="G101" s="2">
        <v>1</v>
      </c>
      <c r="H101">
        <v>966.35</v>
      </c>
      <c r="I101">
        <v>966350</v>
      </c>
      <c r="K101" s="2"/>
    </row>
    <row r="102" spans="1:11" x14ac:dyDescent="0.3">
      <c r="A102">
        <v>2010</v>
      </c>
      <c r="B102" s="15">
        <f>DATE(2010,4,20)</f>
        <v>40288</v>
      </c>
      <c r="C102">
        <v>22610</v>
      </c>
      <c r="D102" t="s">
        <v>19</v>
      </c>
      <c r="E102" t="s">
        <v>164</v>
      </c>
      <c r="F102" t="s">
        <v>317</v>
      </c>
      <c r="G102" s="2">
        <v>0</v>
      </c>
      <c r="H102">
        <v>142.67500000000001</v>
      </c>
      <c r="I102">
        <v>142675</v>
      </c>
      <c r="K102" s="2"/>
    </row>
    <row r="103" spans="1:11" x14ac:dyDescent="0.3">
      <c r="A103">
        <v>2010</v>
      </c>
      <c r="B103" s="15">
        <f>DATE(2010,4,23)</f>
        <v>40291</v>
      </c>
      <c r="C103">
        <v>31618</v>
      </c>
      <c r="D103" t="s">
        <v>33</v>
      </c>
      <c r="E103" t="s">
        <v>165</v>
      </c>
      <c r="F103" t="s">
        <v>319</v>
      </c>
      <c r="G103" s="2">
        <v>1659</v>
      </c>
      <c r="H103">
        <v>575.40899999999999</v>
      </c>
      <c r="I103">
        <v>575409</v>
      </c>
      <c r="K103" s="2"/>
    </row>
    <row r="104" spans="1:11" x14ac:dyDescent="0.3">
      <c r="A104">
        <v>2010</v>
      </c>
      <c r="B104" s="15">
        <f>DATE(2010,4,24)</f>
        <v>40292</v>
      </c>
      <c r="C104">
        <v>32147</v>
      </c>
      <c r="D104" t="s">
        <v>48</v>
      </c>
      <c r="E104" t="s">
        <v>139</v>
      </c>
      <c r="F104" t="s">
        <v>322</v>
      </c>
      <c r="G104" s="2">
        <v>0</v>
      </c>
      <c r="H104">
        <v>47.283999999999999</v>
      </c>
      <c r="I104">
        <v>47284</v>
      </c>
      <c r="K104" s="2"/>
    </row>
    <row r="105" spans="1:11" x14ac:dyDescent="0.3">
      <c r="A105">
        <v>2010</v>
      </c>
      <c r="B105" s="15">
        <f>DATE(2010,4,25)</f>
        <v>40293</v>
      </c>
      <c r="C105">
        <v>32147</v>
      </c>
      <c r="D105" t="s">
        <v>48</v>
      </c>
      <c r="E105" t="s">
        <v>166</v>
      </c>
      <c r="F105" t="s">
        <v>317</v>
      </c>
      <c r="G105" s="2">
        <v>12</v>
      </c>
      <c r="H105">
        <v>1103.9670000000001</v>
      </c>
      <c r="I105">
        <v>1103967</v>
      </c>
      <c r="K105" s="2"/>
    </row>
    <row r="106" spans="1:11" x14ac:dyDescent="0.3">
      <c r="A106">
        <v>2010</v>
      </c>
      <c r="B106" s="15">
        <f>DATE(2010,4,26)</f>
        <v>40294</v>
      </c>
      <c r="C106">
        <v>22610</v>
      </c>
      <c r="D106" t="s">
        <v>19</v>
      </c>
      <c r="E106" t="s">
        <v>167</v>
      </c>
      <c r="F106" t="s">
        <v>317</v>
      </c>
      <c r="G106" s="2" t="s">
        <v>339</v>
      </c>
      <c r="H106">
        <v>13.11</v>
      </c>
      <c r="I106">
        <v>13110</v>
      </c>
      <c r="K106" s="2"/>
    </row>
    <row r="107" spans="1:11" x14ac:dyDescent="0.3">
      <c r="A107">
        <v>2010</v>
      </c>
      <c r="B107" s="15">
        <f>DATE(2010,4,26)</f>
        <v>40294</v>
      </c>
      <c r="C107">
        <v>2731</v>
      </c>
      <c r="D107" t="s">
        <v>45</v>
      </c>
      <c r="E107" t="s">
        <v>168</v>
      </c>
      <c r="F107" t="s">
        <v>321</v>
      </c>
      <c r="G107" s="2">
        <v>1</v>
      </c>
      <c r="H107">
        <v>92.855999999999995</v>
      </c>
      <c r="I107">
        <v>92856</v>
      </c>
      <c r="K107" s="2"/>
    </row>
    <row r="108" spans="1:11" x14ac:dyDescent="0.3">
      <c r="A108">
        <v>2010</v>
      </c>
      <c r="B108" s="15">
        <f>DATE(2010,4,26)</f>
        <v>40294</v>
      </c>
      <c r="C108">
        <v>12105</v>
      </c>
      <c r="D108" t="s">
        <v>13</v>
      </c>
      <c r="E108" t="s">
        <v>82</v>
      </c>
      <c r="F108" t="s">
        <v>317</v>
      </c>
      <c r="G108" s="2">
        <v>2</v>
      </c>
      <c r="H108">
        <v>117.65300000000001</v>
      </c>
      <c r="I108">
        <v>117653</v>
      </c>
      <c r="K108" s="2"/>
    </row>
    <row r="109" spans="1:11" x14ac:dyDescent="0.3">
      <c r="A109">
        <v>2010</v>
      </c>
      <c r="B109" s="15">
        <f>DATE(2010,4,26)</f>
        <v>40294</v>
      </c>
      <c r="C109">
        <v>2552</v>
      </c>
      <c r="D109" t="s">
        <v>30</v>
      </c>
      <c r="E109" t="s">
        <v>169</v>
      </c>
      <c r="F109" t="s">
        <v>321</v>
      </c>
      <c r="G109" s="2">
        <v>0</v>
      </c>
      <c r="H109">
        <v>28.88</v>
      </c>
      <c r="I109">
        <v>28880</v>
      </c>
      <c r="K109" s="2"/>
    </row>
    <row r="110" spans="1:11" x14ac:dyDescent="0.3">
      <c r="A110">
        <v>2010</v>
      </c>
      <c r="B110" s="15">
        <f>DATE(2010,4,27)</f>
        <v>40295</v>
      </c>
      <c r="C110">
        <v>30003</v>
      </c>
      <c r="D110" t="s">
        <v>49</v>
      </c>
      <c r="E110" t="s">
        <v>170</v>
      </c>
      <c r="F110" t="s">
        <v>317</v>
      </c>
      <c r="G110" s="2" t="s">
        <v>340</v>
      </c>
      <c r="H110">
        <v>78.188000000000002</v>
      </c>
      <c r="I110">
        <v>78188</v>
      </c>
      <c r="K110" s="2"/>
    </row>
    <row r="111" spans="1:11" x14ac:dyDescent="0.3">
      <c r="A111">
        <v>2010</v>
      </c>
      <c r="B111" s="15">
        <f>DATE(2010,4,28)</f>
        <v>40296</v>
      </c>
      <c r="C111">
        <v>31174</v>
      </c>
      <c r="D111" t="s">
        <v>14</v>
      </c>
      <c r="E111" t="s">
        <v>91</v>
      </c>
      <c r="F111" t="s">
        <v>321</v>
      </c>
      <c r="G111" s="2" t="s">
        <v>327</v>
      </c>
      <c r="H111">
        <v>4.5750000000000002</v>
      </c>
      <c r="I111">
        <v>4575</v>
      </c>
      <c r="K111" s="2"/>
    </row>
    <row r="112" spans="1:11" x14ac:dyDescent="0.3">
      <c r="A112">
        <v>2010</v>
      </c>
      <c r="B112" s="15">
        <f>DATE(2010,4,28)</f>
        <v>40296</v>
      </c>
      <c r="C112">
        <v>12105</v>
      </c>
      <c r="D112" t="s">
        <v>13</v>
      </c>
      <c r="E112" t="s">
        <v>171</v>
      </c>
      <c r="F112" t="s">
        <v>317</v>
      </c>
      <c r="G112" s="2" t="s">
        <v>341</v>
      </c>
      <c r="H112">
        <v>32.03</v>
      </c>
      <c r="I112">
        <v>32030</v>
      </c>
      <c r="K112" s="2"/>
    </row>
    <row r="113" spans="1:11" x14ac:dyDescent="0.3">
      <c r="A113">
        <v>2010</v>
      </c>
      <c r="B113" s="15">
        <f>DATE(2010,4,29)</f>
        <v>40297</v>
      </c>
      <c r="C113">
        <v>32109</v>
      </c>
      <c r="D113" t="s">
        <v>0</v>
      </c>
      <c r="E113" t="s">
        <v>172</v>
      </c>
      <c r="F113" t="s">
        <v>319</v>
      </c>
      <c r="G113" s="2">
        <v>770</v>
      </c>
      <c r="H113">
        <v>93.626999999999995</v>
      </c>
      <c r="I113">
        <v>93627</v>
      </c>
      <c r="K113" s="2"/>
    </row>
    <row r="114" spans="1:11" x14ac:dyDescent="0.3">
      <c r="A114">
        <v>2010</v>
      </c>
      <c r="B114" s="15">
        <f>DATE(2010,4,29)</f>
        <v>40297</v>
      </c>
      <c r="C114">
        <v>1845</v>
      </c>
      <c r="D114" t="s">
        <v>27</v>
      </c>
      <c r="E114" t="s">
        <v>119</v>
      </c>
      <c r="F114" t="s">
        <v>317</v>
      </c>
      <c r="G114" s="2">
        <v>0</v>
      </c>
      <c r="H114">
        <v>23.606999999999999</v>
      </c>
      <c r="I114">
        <v>23607</v>
      </c>
      <c r="K114" s="2"/>
    </row>
    <row r="115" spans="1:11" x14ac:dyDescent="0.3">
      <c r="A115">
        <v>2010</v>
      </c>
      <c r="B115" s="15">
        <f>DATE(2010,4,30)</f>
        <v>40298</v>
      </c>
      <c r="C115">
        <v>19237</v>
      </c>
      <c r="D115" t="s">
        <v>18</v>
      </c>
      <c r="E115" t="s">
        <v>111</v>
      </c>
      <c r="F115" t="s">
        <v>316</v>
      </c>
      <c r="G115" s="2" t="s">
        <v>328</v>
      </c>
      <c r="H115">
        <v>1.8</v>
      </c>
      <c r="I115">
        <v>1800</v>
      </c>
      <c r="K115" s="2"/>
    </row>
    <row r="116" spans="1:11" x14ac:dyDescent="0.3">
      <c r="A116">
        <v>2010</v>
      </c>
      <c r="B116" s="15">
        <f>DATE(2010,5,4)</f>
        <v>40302</v>
      </c>
      <c r="C116">
        <v>26134</v>
      </c>
      <c r="D116" t="s">
        <v>78</v>
      </c>
      <c r="E116" t="s">
        <v>173</v>
      </c>
      <c r="F116" t="s">
        <v>317</v>
      </c>
      <c r="G116" s="2">
        <v>0</v>
      </c>
      <c r="H116">
        <v>18.375</v>
      </c>
      <c r="I116">
        <v>18375</v>
      </c>
      <c r="K116" s="2"/>
    </row>
    <row r="117" spans="1:11" x14ac:dyDescent="0.3">
      <c r="A117">
        <v>2010</v>
      </c>
      <c r="B117" s="15">
        <f>DATE(2010,5,7)</f>
        <v>40305</v>
      </c>
      <c r="C117">
        <v>26125</v>
      </c>
      <c r="D117" t="s">
        <v>50</v>
      </c>
      <c r="E117" t="s">
        <v>174</v>
      </c>
      <c r="F117" t="s">
        <v>321</v>
      </c>
      <c r="G117" s="2">
        <v>0</v>
      </c>
      <c r="H117">
        <v>39.518000000000001</v>
      </c>
      <c r="I117">
        <v>39518</v>
      </c>
      <c r="K117" s="2"/>
    </row>
    <row r="118" spans="1:11" x14ac:dyDescent="0.3">
      <c r="A118">
        <v>2010</v>
      </c>
      <c r="B118" s="15">
        <f>DATE(2010,5,10)</f>
        <v>40308</v>
      </c>
      <c r="C118">
        <v>31570</v>
      </c>
      <c r="D118" t="s">
        <v>79</v>
      </c>
      <c r="E118" t="s">
        <v>175</v>
      </c>
      <c r="F118" t="s">
        <v>317</v>
      </c>
      <c r="G118" s="2">
        <v>0</v>
      </c>
      <c r="H118">
        <v>5.0999999999999996</v>
      </c>
      <c r="I118">
        <v>5100</v>
      </c>
      <c r="K118" s="2"/>
    </row>
    <row r="119" spans="1:11" x14ac:dyDescent="0.3">
      <c r="A119">
        <v>2010</v>
      </c>
      <c r="B119" s="15">
        <f>DATE(2010,5,10)</f>
        <v>40308</v>
      </c>
      <c r="C119">
        <v>30829</v>
      </c>
      <c r="D119" t="s">
        <v>36</v>
      </c>
      <c r="E119" t="s">
        <v>133</v>
      </c>
      <c r="F119" t="s">
        <v>321</v>
      </c>
      <c r="G119" s="2">
        <v>18994</v>
      </c>
      <c r="H119">
        <v>51.1</v>
      </c>
      <c r="I119">
        <v>51100</v>
      </c>
      <c r="K119" s="2"/>
    </row>
    <row r="120" spans="1:11" x14ac:dyDescent="0.3">
      <c r="A120">
        <v>2010</v>
      </c>
      <c r="B120" s="15">
        <f>DATE(2010,5,12)</f>
        <v>40310</v>
      </c>
      <c r="C120">
        <v>31555</v>
      </c>
      <c r="D120" t="s">
        <v>51</v>
      </c>
      <c r="E120" t="s">
        <v>176</v>
      </c>
      <c r="F120" t="s">
        <v>317</v>
      </c>
      <c r="G120" s="2" t="s">
        <v>342</v>
      </c>
      <c r="H120">
        <v>0.82299999999999995</v>
      </c>
      <c r="I120">
        <v>823</v>
      </c>
      <c r="K120" s="2"/>
    </row>
    <row r="121" spans="1:11" x14ac:dyDescent="0.3">
      <c r="A121">
        <v>2010</v>
      </c>
      <c r="B121" s="15">
        <f>DATE(2010,5,16)</f>
        <v>40314</v>
      </c>
      <c r="C121">
        <v>300</v>
      </c>
      <c r="D121" t="s">
        <v>4</v>
      </c>
      <c r="E121" t="s">
        <v>177</v>
      </c>
      <c r="F121" t="s">
        <v>317</v>
      </c>
      <c r="G121" s="2">
        <v>0</v>
      </c>
      <c r="H121">
        <v>11.375</v>
      </c>
      <c r="I121">
        <v>11375</v>
      </c>
      <c r="K121" s="2"/>
    </row>
    <row r="122" spans="1:11" x14ac:dyDescent="0.3">
      <c r="A122">
        <v>2010</v>
      </c>
      <c r="B122" s="15">
        <f>DATE(2010,5,16)</f>
        <v>40314</v>
      </c>
      <c r="C122">
        <v>31174</v>
      </c>
      <c r="D122" t="s">
        <v>14</v>
      </c>
      <c r="E122" t="s">
        <v>178</v>
      </c>
      <c r="F122" t="s">
        <v>318</v>
      </c>
      <c r="G122" s="2">
        <v>0</v>
      </c>
      <c r="H122">
        <v>1879.337</v>
      </c>
      <c r="I122">
        <v>1879337</v>
      </c>
      <c r="K122" s="2"/>
    </row>
    <row r="123" spans="1:11" x14ac:dyDescent="0.3">
      <c r="A123">
        <v>2010</v>
      </c>
      <c r="B123" s="15">
        <f>DATE(2010,5,16)</f>
        <v>40314</v>
      </c>
      <c r="C123">
        <v>31684</v>
      </c>
      <c r="D123" t="s">
        <v>7</v>
      </c>
      <c r="E123" t="s">
        <v>179</v>
      </c>
      <c r="F123" t="s">
        <v>317</v>
      </c>
      <c r="G123" s="2">
        <v>1</v>
      </c>
      <c r="H123">
        <v>23.574999999999999</v>
      </c>
      <c r="I123">
        <v>23575</v>
      </c>
      <c r="K123" s="2"/>
    </row>
    <row r="124" spans="1:11" x14ac:dyDescent="0.3">
      <c r="A124">
        <v>2010</v>
      </c>
      <c r="B124" s="15">
        <f>DATE(2010,5,16)</f>
        <v>40314</v>
      </c>
      <c r="C124">
        <v>30829</v>
      </c>
      <c r="D124" t="s">
        <v>36</v>
      </c>
      <c r="E124" t="s">
        <v>138</v>
      </c>
      <c r="F124" t="s">
        <v>317</v>
      </c>
      <c r="G124" s="2">
        <v>1</v>
      </c>
      <c r="H124">
        <v>194.58600000000001</v>
      </c>
      <c r="I124">
        <v>194586</v>
      </c>
      <c r="K124" s="2"/>
    </row>
    <row r="125" spans="1:11" x14ac:dyDescent="0.3">
      <c r="A125">
        <v>2010</v>
      </c>
      <c r="B125" s="15">
        <f>DATE(2010,5,17)</f>
        <v>40315</v>
      </c>
      <c r="C125">
        <v>30829</v>
      </c>
      <c r="D125" t="s">
        <v>36</v>
      </c>
      <c r="E125" t="s">
        <v>138</v>
      </c>
      <c r="F125" t="s">
        <v>317</v>
      </c>
      <c r="G125" s="2" t="s">
        <v>330</v>
      </c>
      <c r="H125">
        <v>1.4</v>
      </c>
      <c r="I125">
        <v>1400</v>
      </c>
      <c r="K125" s="2"/>
    </row>
    <row r="126" spans="1:11" x14ac:dyDescent="0.3">
      <c r="A126">
        <v>2010</v>
      </c>
      <c r="B126" s="15">
        <f>DATE(2010,5,19)</f>
        <v>40317</v>
      </c>
      <c r="C126">
        <v>18718</v>
      </c>
      <c r="D126" t="s">
        <v>28</v>
      </c>
      <c r="E126" t="s">
        <v>120</v>
      </c>
      <c r="F126" t="s">
        <v>317</v>
      </c>
      <c r="G126" s="2">
        <v>1</v>
      </c>
      <c r="H126">
        <v>6.8680000000000003</v>
      </c>
      <c r="I126">
        <v>6868</v>
      </c>
      <c r="K126" s="2"/>
    </row>
    <row r="127" spans="1:11" x14ac:dyDescent="0.3">
      <c r="A127">
        <v>2010</v>
      </c>
      <c r="B127" s="15">
        <f>DATE(2010,5,19)</f>
        <v>40317</v>
      </c>
      <c r="C127">
        <v>2552</v>
      </c>
      <c r="D127" t="s">
        <v>30</v>
      </c>
      <c r="E127" t="s">
        <v>180</v>
      </c>
      <c r="F127" t="s">
        <v>317</v>
      </c>
      <c r="G127" s="2" t="s">
        <v>341</v>
      </c>
      <c r="H127">
        <v>20.05</v>
      </c>
      <c r="I127">
        <v>20050</v>
      </c>
      <c r="K127" s="2"/>
    </row>
    <row r="128" spans="1:11" x14ac:dyDescent="0.3">
      <c r="A128">
        <v>2010</v>
      </c>
      <c r="B128" s="15">
        <f>DATE(2010,5,20)</f>
        <v>40318</v>
      </c>
      <c r="C128">
        <v>2731</v>
      </c>
      <c r="D128" t="s">
        <v>45</v>
      </c>
      <c r="E128" t="s">
        <v>181</v>
      </c>
      <c r="F128" t="s">
        <v>321</v>
      </c>
      <c r="G128" s="2">
        <v>42739</v>
      </c>
      <c r="H128">
        <v>70</v>
      </c>
      <c r="I128">
        <v>70000</v>
      </c>
      <c r="K128" s="2"/>
    </row>
    <row r="129" spans="1:11" x14ac:dyDescent="0.3">
      <c r="A129">
        <v>2010</v>
      </c>
      <c r="B129" s="15">
        <f>DATE(2010,5,20)</f>
        <v>40318</v>
      </c>
      <c r="C129">
        <v>1845</v>
      </c>
      <c r="D129" t="s">
        <v>27</v>
      </c>
      <c r="E129" t="s">
        <v>119</v>
      </c>
      <c r="F129" t="s">
        <v>321</v>
      </c>
      <c r="G129" s="2">
        <v>0</v>
      </c>
      <c r="H129">
        <v>305.19499999999999</v>
      </c>
      <c r="I129">
        <v>305195</v>
      </c>
      <c r="K129" s="2"/>
    </row>
    <row r="130" spans="1:11" x14ac:dyDescent="0.3">
      <c r="A130">
        <v>2010</v>
      </c>
      <c r="B130" s="15">
        <f>DATE(2010,5,20)</f>
        <v>40318</v>
      </c>
      <c r="C130">
        <v>31476</v>
      </c>
      <c r="D130" t="s">
        <v>25</v>
      </c>
      <c r="E130" t="s">
        <v>182</v>
      </c>
      <c r="F130" t="s">
        <v>321</v>
      </c>
      <c r="G130" s="2" t="s">
        <v>334</v>
      </c>
      <c r="H130">
        <v>11.012</v>
      </c>
      <c r="I130">
        <v>11012</v>
      </c>
      <c r="K130" s="2"/>
    </row>
    <row r="131" spans="1:11" x14ac:dyDescent="0.3">
      <c r="A131">
        <v>2010</v>
      </c>
      <c r="B131" s="15">
        <f>DATE(2010,5,20)</f>
        <v>40318</v>
      </c>
      <c r="C131">
        <v>32147</v>
      </c>
      <c r="D131" t="s">
        <v>48</v>
      </c>
      <c r="E131" t="s">
        <v>183</v>
      </c>
      <c r="F131" t="s">
        <v>317</v>
      </c>
      <c r="G131" s="2">
        <v>0</v>
      </c>
      <c r="H131">
        <v>1053.057</v>
      </c>
      <c r="I131">
        <v>1053057</v>
      </c>
      <c r="K131" s="2"/>
    </row>
    <row r="132" spans="1:11" x14ac:dyDescent="0.3">
      <c r="A132">
        <v>2010</v>
      </c>
      <c r="B132" s="15">
        <f>DATE(2010,5,21)</f>
        <v>40319</v>
      </c>
      <c r="C132">
        <v>32334</v>
      </c>
      <c r="D132" t="s">
        <v>52</v>
      </c>
      <c r="E132" t="s">
        <v>184</v>
      </c>
      <c r="F132" t="s">
        <v>317</v>
      </c>
      <c r="G132" s="2" t="s">
        <v>336</v>
      </c>
      <c r="H132">
        <v>207.50800000000001</v>
      </c>
      <c r="I132">
        <v>207508</v>
      </c>
      <c r="K132" s="2"/>
    </row>
    <row r="133" spans="1:11" x14ac:dyDescent="0.3">
      <c r="A133">
        <v>2010</v>
      </c>
      <c r="B133" s="15">
        <f>DATE(2010,5,23)</f>
        <v>40321</v>
      </c>
      <c r="C133">
        <v>300</v>
      </c>
      <c r="D133" t="s">
        <v>4</v>
      </c>
      <c r="E133" t="s">
        <v>185</v>
      </c>
      <c r="F133" t="s">
        <v>321</v>
      </c>
      <c r="G133" s="2">
        <v>0</v>
      </c>
      <c r="H133">
        <v>9.9649999999999999</v>
      </c>
      <c r="I133">
        <v>9965</v>
      </c>
      <c r="K133" s="2"/>
    </row>
    <row r="134" spans="1:11" x14ac:dyDescent="0.3">
      <c r="A134">
        <v>2010</v>
      </c>
      <c r="B134" s="15">
        <f>DATE(2010,5,24)</f>
        <v>40322</v>
      </c>
      <c r="C134">
        <v>31580</v>
      </c>
      <c r="D134" t="s">
        <v>53</v>
      </c>
      <c r="E134" t="s">
        <v>91</v>
      </c>
      <c r="F134" t="s">
        <v>317</v>
      </c>
      <c r="G134" s="2">
        <v>0</v>
      </c>
      <c r="H134">
        <v>25.5</v>
      </c>
      <c r="I134">
        <v>25500</v>
      </c>
      <c r="K134" s="2"/>
    </row>
    <row r="135" spans="1:11" x14ac:dyDescent="0.3">
      <c r="A135">
        <v>2010</v>
      </c>
      <c r="B135" s="15">
        <f>DATE(2010,5,25)</f>
        <v>40323</v>
      </c>
      <c r="C135">
        <v>26149</v>
      </c>
      <c r="D135" t="s">
        <v>54</v>
      </c>
      <c r="E135" t="s">
        <v>186</v>
      </c>
      <c r="F135" t="s">
        <v>316</v>
      </c>
      <c r="G135" s="2">
        <v>1119</v>
      </c>
      <c r="H135">
        <v>28938</v>
      </c>
      <c r="I135">
        <v>28938000</v>
      </c>
      <c r="K135" s="2"/>
    </row>
    <row r="136" spans="1:11" x14ac:dyDescent="0.3">
      <c r="A136">
        <v>2010</v>
      </c>
      <c r="B136" s="15">
        <f>DATE(2010,5,26)</f>
        <v>40324</v>
      </c>
      <c r="C136">
        <v>31666</v>
      </c>
      <c r="D136" t="s">
        <v>55</v>
      </c>
      <c r="E136" t="s">
        <v>187</v>
      </c>
      <c r="F136" t="s">
        <v>317</v>
      </c>
      <c r="G136" s="2">
        <v>42739</v>
      </c>
      <c r="H136">
        <v>5.0659999999999998</v>
      </c>
      <c r="I136">
        <v>5066</v>
      </c>
      <c r="K136" s="2"/>
    </row>
    <row r="137" spans="1:11" x14ac:dyDescent="0.3">
      <c r="A137">
        <v>2010</v>
      </c>
      <c r="B137" s="15">
        <f>DATE(2010,5,27)</f>
        <v>40325</v>
      </c>
      <c r="C137">
        <v>20160</v>
      </c>
      <c r="D137" t="s">
        <v>2</v>
      </c>
      <c r="E137" t="s">
        <v>152</v>
      </c>
      <c r="F137" t="s">
        <v>317</v>
      </c>
      <c r="G137" s="2">
        <v>11324</v>
      </c>
      <c r="H137">
        <v>5.22</v>
      </c>
      <c r="I137">
        <v>5220</v>
      </c>
      <c r="K137" s="2"/>
    </row>
    <row r="138" spans="1:11" x14ac:dyDescent="0.3">
      <c r="A138">
        <v>2010</v>
      </c>
      <c r="B138" s="15">
        <f>DATE(2010,5,27)</f>
        <v>40325</v>
      </c>
      <c r="C138">
        <v>31684</v>
      </c>
      <c r="D138" t="s">
        <v>7</v>
      </c>
      <c r="E138" t="s">
        <v>118</v>
      </c>
      <c r="F138" t="s">
        <v>317</v>
      </c>
      <c r="G138" s="2">
        <v>5</v>
      </c>
      <c r="H138">
        <v>11.7</v>
      </c>
      <c r="I138">
        <v>11700</v>
      </c>
      <c r="K138" s="2"/>
    </row>
    <row r="139" spans="1:11" x14ac:dyDescent="0.3">
      <c r="A139">
        <v>2010</v>
      </c>
      <c r="B139" s="15">
        <f>DATE(2010,5,27)</f>
        <v>40325</v>
      </c>
      <c r="C139">
        <v>18718</v>
      </c>
      <c r="D139" t="s">
        <v>28</v>
      </c>
      <c r="E139" t="s">
        <v>130</v>
      </c>
      <c r="F139" t="s">
        <v>321</v>
      </c>
      <c r="G139" s="2" t="s">
        <v>341</v>
      </c>
      <c r="H139">
        <v>9.4990000000000006</v>
      </c>
      <c r="I139">
        <v>9499</v>
      </c>
      <c r="K139" s="2"/>
    </row>
    <row r="140" spans="1:11" x14ac:dyDescent="0.3">
      <c r="A140">
        <v>2010</v>
      </c>
      <c r="B140" s="15">
        <f>DATE(2010,5,27)</f>
        <v>40325</v>
      </c>
      <c r="C140">
        <v>9175</v>
      </c>
      <c r="D140" t="s">
        <v>10</v>
      </c>
      <c r="F140" t="s">
        <v>319</v>
      </c>
      <c r="G140" s="2">
        <v>1</v>
      </c>
      <c r="H140">
        <v>4.7649999999999997</v>
      </c>
      <c r="I140">
        <v>4765</v>
      </c>
      <c r="K140" s="2"/>
    </row>
    <row r="141" spans="1:11" x14ac:dyDescent="0.3">
      <c r="A141">
        <v>2010</v>
      </c>
      <c r="B141" s="15">
        <f>DATE(2010,5,27)</f>
        <v>40325</v>
      </c>
      <c r="C141">
        <v>2552</v>
      </c>
      <c r="D141" t="s">
        <v>30</v>
      </c>
      <c r="F141" t="s">
        <v>317</v>
      </c>
      <c r="G141" s="2">
        <v>0</v>
      </c>
      <c r="H141">
        <v>5</v>
      </c>
      <c r="I141">
        <v>5000</v>
      </c>
      <c r="K141" s="2"/>
    </row>
    <row r="142" spans="1:11" x14ac:dyDescent="0.3">
      <c r="A142">
        <v>2010</v>
      </c>
      <c r="B142" s="15">
        <f>DATE(2010,5,29)</f>
        <v>40327</v>
      </c>
      <c r="C142">
        <v>395</v>
      </c>
      <c r="D142" t="s">
        <v>56</v>
      </c>
      <c r="E142" t="s">
        <v>188</v>
      </c>
      <c r="F142" t="s">
        <v>317</v>
      </c>
      <c r="G142" s="2">
        <v>1120</v>
      </c>
      <c r="H142">
        <v>1965.2460000000001</v>
      </c>
      <c r="I142">
        <v>1965246</v>
      </c>
      <c r="K142" s="2"/>
    </row>
    <row r="143" spans="1:11" x14ac:dyDescent="0.3">
      <c r="A143">
        <v>2010</v>
      </c>
      <c r="B143" s="15">
        <f>DATE(2010,5,29)</f>
        <v>40327</v>
      </c>
      <c r="C143">
        <v>30003</v>
      </c>
      <c r="D143" t="s">
        <v>49</v>
      </c>
      <c r="E143" t="s">
        <v>170</v>
      </c>
      <c r="F143" t="s">
        <v>317</v>
      </c>
      <c r="G143" s="2" t="s">
        <v>343</v>
      </c>
      <c r="H143">
        <v>0.15</v>
      </c>
      <c r="I143">
        <v>150</v>
      </c>
      <c r="K143" s="2"/>
    </row>
    <row r="144" spans="1:11" x14ac:dyDescent="0.3">
      <c r="A144">
        <v>2010</v>
      </c>
      <c r="B144" s="15">
        <f>DATE(2010,5,29)</f>
        <v>40327</v>
      </c>
      <c r="C144">
        <v>300</v>
      </c>
      <c r="D144" t="s">
        <v>4</v>
      </c>
      <c r="E144" t="s">
        <v>95</v>
      </c>
      <c r="F144" t="s">
        <v>317</v>
      </c>
      <c r="G144" s="2">
        <v>0</v>
      </c>
      <c r="H144">
        <v>71</v>
      </c>
      <c r="I144">
        <v>71000</v>
      </c>
      <c r="K144" s="2"/>
    </row>
    <row r="145" spans="1:11" x14ac:dyDescent="0.3">
      <c r="A145">
        <v>2010</v>
      </c>
      <c r="B145" s="15">
        <f>DATE(2010,5,31)</f>
        <v>40329</v>
      </c>
      <c r="C145">
        <v>2552</v>
      </c>
      <c r="D145" t="s">
        <v>30</v>
      </c>
      <c r="E145" t="s">
        <v>189</v>
      </c>
      <c r="F145" t="s">
        <v>321</v>
      </c>
      <c r="G145" s="2">
        <v>0</v>
      </c>
      <c r="H145">
        <v>22.058</v>
      </c>
      <c r="I145">
        <v>22058</v>
      </c>
      <c r="K145" s="2"/>
    </row>
    <row r="146" spans="1:11" x14ac:dyDescent="0.3">
      <c r="A146">
        <v>2010</v>
      </c>
      <c r="B146" s="15">
        <f>DATE(2010,6,1)</f>
        <v>40330</v>
      </c>
      <c r="C146">
        <v>2731</v>
      </c>
      <c r="D146" t="s">
        <v>45</v>
      </c>
      <c r="E146" t="s">
        <v>190</v>
      </c>
      <c r="F146" t="s">
        <v>321</v>
      </c>
      <c r="G146" s="2">
        <v>8</v>
      </c>
      <c r="H146">
        <v>150</v>
      </c>
      <c r="I146">
        <v>150000</v>
      </c>
      <c r="K146" s="2"/>
    </row>
    <row r="147" spans="1:11" x14ac:dyDescent="0.3">
      <c r="A147">
        <v>2010</v>
      </c>
      <c r="B147" s="15">
        <f>DATE(2010,6,1)</f>
        <v>40330</v>
      </c>
      <c r="C147">
        <v>31618</v>
      </c>
      <c r="D147" t="s">
        <v>33</v>
      </c>
      <c r="E147" t="s">
        <v>191</v>
      </c>
      <c r="F147" t="s">
        <v>319</v>
      </c>
      <c r="G147" s="2">
        <v>1</v>
      </c>
      <c r="H147">
        <v>0.15</v>
      </c>
      <c r="I147">
        <v>150</v>
      </c>
      <c r="K147" s="2"/>
    </row>
    <row r="148" spans="1:11" x14ac:dyDescent="0.3">
      <c r="A148">
        <v>2010</v>
      </c>
      <c r="B148" s="15">
        <f>DATE(2010,6,3)</f>
        <v>40332</v>
      </c>
      <c r="C148">
        <v>31684</v>
      </c>
      <c r="D148" t="s">
        <v>7</v>
      </c>
      <c r="E148" t="s">
        <v>192</v>
      </c>
      <c r="F148" t="s">
        <v>321</v>
      </c>
      <c r="G148" s="2">
        <v>4618</v>
      </c>
      <c r="H148">
        <v>304.262</v>
      </c>
      <c r="I148">
        <v>304262</v>
      </c>
      <c r="K148" s="2"/>
    </row>
    <row r="149" spans="1:11" x14ac:dyDescent="0.3">
      <c r="A149">
        <v>2010</v>
      </c>
      <c r="B149" s="15">
        <f>DATE(2010,6,3)</f>
        <v>40332</v>
      </c>
      <c r="C149">
        <v>32109</v>
      </c>
      <c r="D149" t="s">
        <v>0</v>
      </c>
      <c r="E149" t="s">
        <v>193</v>
      </c>
      <c r="F149" t="s">
        <v>317</v>
      </c>
      <c r="G149" s="2">
        <v>11</v>
      </c>
      <c r="H149">
        <v>1.8540000000000001</v>
      </c>
      <c r="I149">
        <v>1854</v>
      </c>
      <c r="K149" s="2"/>
    </row>
    <row r="150" spans="1:11" x14ac:dyDescent="0.3">
      <c r="A150">
        <v>2010</v>
      </c>
      <c r="B150" s="15">
        <f>DATE(2010,6,4)</f>
        <v>40333</v>
      </c>
      <c r="C150">
        <v>22855</v>
      </c>
      <c r="D150" t="s">
        <v>15</v>
      </c>
      <c r="E150" t="s">
        <v>194</v>
      </c>
      <c r="F150" t="s">
        <v>317</v>
      </c>
      <c r="G150" s="2">
        <v>42979</v>
      </c>
      <c r="H150">
        <v>13.741</v>
      </c>
      <c r="I150">
        <v>13741</v>
      </c>
      <c r="K150" s="2"/>
    </row>
    <row r="151" spans="1:11" x14ac:dyDescent="0.3">
      <c r="A151">
        <v>2010</v>
      </c>
      <c r="B151" s="15">
        <f>DATE(2010,6,5)</f>
        <v>40334</v>
      </c>
      <c r="C151">
        <v>30755</v>
      </c>
      <c r="D151" t="s">
        <v>57</v>
      </c>
      <c r="E151" t="s">
        <v>195</v>
      </c>
      <c r="F151" t="s">
        <v>317</v>
      </c>
      <c r="G151" s="2">
        <v>0</v>
      </c>
      <c r="H151">
        <v>150.75800000000001</v>
      </c>
      <c r="I151">
        <v>150758</v>
      </c>
      <c r="K151" s="2"/>
    </row>
    <row r="152" spans="1:11" x14ac:dyDescent="0.3">
      <c r="A152">
        <v>2010</v>
      </c>
      <c r="B152" s="15">
        <f>DATE(2010,6,7)</f>
        <v>40336</v>
      </c>
      <c r="C152">
        <v>15774</v>
      </c>
      <c r="D152" t="s">
        <v>31</v>
      </c>
      <c r="E152" t="s">
        <v>196</v>
      </c>
      <c r="F152" t="s">
        <v>317</v>
      </c>
      <c r="G152" s="2">
        <v>0</v>
      </c>
      <c r="H152">
        <v>10.07</v>
      </c>
      <c r="I152">
        <v>10070</v>
      </c>
      <c r="K152" s="2"/>
    </row>
    <row r="153" spans="1:11" x14ac:dyDescent="0.3">
      <c r="A153">
        <v>2010</v>
      </c>
      <c r="B153" s="15">
        <f>DATE(2010,6,7)</f>
        <v>40336</v>
      </c>
      <c r="C153">
        <v>32147</v>
      </c>
      <c r="D153" t="s">
        <v>48</v>
      </c>
      <c r="E153" t="s">
        <v>197</v>
      </c>
      <c r="F153" t="s">
        <v>317</v>
      </c>
      <c r="G153" s="2">
        <v>0</v>
      </c>
      <c r="H153">
        <v>287.06400000000002</v>
      </c>
      <c r="I153">
        <v>287064</v>
      </c>
      <c r="K153" s="2"/>
    </row>
    <row r="154" spans="1:11" x14ac:dyDescent="0.3">
      <c r="A154">
        <v>2010</v>
      </c>
      <c r="B154" s="15">
        <f>DATE(2010,6,8)</f>
        <v>40337</v>
      </c>
      <c r="C154">
        <v>31174</v>
      </c>
      <c r="D154" t="s">
        <v>14</v>
      </c>
      <c r="E154" t="s">
        <v>198</v>
      </c>
      <c r="F154" t="s">
        <v>317</v>
      </c>
      <c r="G154" s="2">
        <v>42926</v>
      </c>
      <c r="H154">
        <v>0.78400000000000003</v>
      </c>
      <c r="I154">
        <v>784</v>
      </c>
      <c r="K154" s="2"/>
    </row>
    <row r="155" spans="1:11" x14ac:dyDescent="0.3">
      <c r="A155">
        <v>2010</v>
      </c>
      <c r="B155" s="15">
        <f>DATE(2010,6,8)</f>
        <v>40337</v>
      </c>
      <c r="C155">
        <v>11169</v>
      </c>
      <c r="D155" t="s">
        <v>3</v>
      </c>
      <c r="E155" t="s">
        <v>199</v>
      </c>
      <c r="F155" t="s">
        <v>317</v>
      </c>
      <c r="G155" s="2">
        <v>0</v>
      </c>
      <c r="H155">
        <v>330</v>
      </c>
      <c r="I155">
        <v>330000</v>
      </c>
      <c r="K155" s="2"/>
    </row>
    <row r="156" spans="1:11" x14ac:dyDescent="0.3">
      <c r="A156">
        <v>2010</v>
      </c>
      <c r="B156" s="15">
        <f>DATE(2010,6,8)</f>
        <v>40337</v>
      </c>
      <c r="C156">
        <v>31684</v>
      </c>
      <c r="D156" t="s">
        <v>7</v>
      </c>
      <c r="E156" t="s">
        <v>140</v>
      </c>
      <c r="F156" t="s">
        <v>317</v>
      </c>
      <c r="G156" s="2" t="s">
        <v>344</v>
      </c>
      <c r="H156">
        <v>76.269000000000005</v>
      </c>
      <c r="I156">
        <v>76269</v>
      </c>
      <c r="K156" s="2"/>
    </row>
    <row r="157" spans="1:11" x14ac:dyDescent="0.3">
      <c r="A157">
        <v>2010</v>
      </c>
      <c r="B157" s="15">
        <f>DATE(2010,6,9)</f>
        <v>40338</v>
      </c>
      <c r="C157">
        <v>2552</v>
      </c>
      <c r="D157" t="s">
        <v>30</v>
      </c>
      <c r="E157" t="s">
        <v>200</v>
      </c>
      <c r="F157" t="s">
        <v>317</v>
      </c>
      <c r="G157" s="2">
        <v>19238</v>
      </c>
      <c r="H157">
        <v>26.885000000000002</v>
      </c>
      <c r="I157">
        <v>26885</v>
      </c>
      <c r="K157" s="2"/>
    </row>
    <row r="158" spans="1:11" x14ac:dyDescent="0.3">
      <c r="A158">
        <v>2010</v>
      </c>
      <c r="B158" s="15">
        <f>DATE(2010,6,9)</f>
        <v>40338</v>
      </c>
      <c r="C158">
        <v>18718</v>
      </c>
      <c r="D158" t="s">
        <v>28</v>
      </c>
      <c r="E158" t="s">
        <v>170</v>
      </c>
      <c r="F158" t="s">
        <v>317</v>
      </c>
      <c r="G158" s="2">
        <v>3</v>
      </c>
      <c r="H158">
        <v>16.533999999999999</v>
      </c>
      <c r="I158">
        <v>16534</v>
      </c>
      <c r="K158" s="2"/>
    </row>
    <row r="159" spans="1:11" x14ac:dyDescent="0.3">
      <c r="A159">
        <v>2010</v>
      </c>
      <c r="B159" s="15">
        <f>DATE(2010,6,10)</f>
        <v>40339</v>
      </c>
      <c r="C159">
        <v>18718</v>
      </c>
      <c r="D159" t="s">
        <v>28</v>
      </c>
      <c r="E159" t="s">
        <v>86</v>
      </c>
      <c r="F159" t="s">
        <v>317</v>
      </c>
      <c r="G159" s="2" t="s">
        <v>330</v>
      </c>
      <c r="H159">
        <v>2.536</v>
      </c>
      <c r="I159">
        <v>2536</v>
      </c>
      <c r="K159" s="2"/>
    </row>
    <row r="160" spans="1:11" x14ac:dyDescent="0.3">
      <c r="A160">
        <v>2010</v>
      </c>
      <c r="B160" s="15">
        <f>DATE(2010,6,11)</f>
        <v>40340</v>
      </c>
      <c r="C160">
        <v>1248</v>
      </c>
      <c r="D160" t="s">
        <v>24</v>
      </c>
      <c r="F160" t="s">
        <v>321</v>
      </c>
      <c r="G160" s="2" t="s">
        <v>334</v>
      </c>
      <c r="H160">
        <v>7.5</v>
      </c>
      <c r="I160">
        <v>7500</v>
      </c>
      <c r="K160" s="2"/>
    </row>
    <row r="161" spans="1:11" x14ac:dyDescent="0.3">
      <c r="A161">
        <v>2010</v>
      </c>
      <c r="B161" s="15">
        <f>DATE(2010,6,11)</f>
        <v>40340</v>
      </c>
      <c r="C161">
        <v>12624</v>
      </c>
      <c r="D161" t="s">
        <v>6</v>
      </c>
      <c r="E161" t="s">
        <v>160</v>
      </c>
      <c r="F161" t="s">
        <v>321</v>
      </c>
      <c r="G161" s="2">
        <v>0</v>
      </c>
      <c r="H161">
        <v>26.581</v>
      </c>
      <c r="I161">
        <v>26581</v>
      </c>
      <c r="K161" s="2"/>
    </row>
    <row r="162" spans="1:11" x14ac:dyDescent="0.3">
      <c r="A162">
        <v>2010</v>
      </c>
      <c r="B162" s="15">
        <f>DATE(2010,6,12)</f>
        <v>40341</v>
      </c>
      <c r="C162">
        <v>2731</v>
      </c>
      <c r="D162" t="s">
        <v>45</v>
      </c>
      <c r="E162" t="s">
        <v>201</v>
      </c>
      <c r="F162" t="s">
        <v>322</v>
      </c>
      <c r="G162" s="2">
        <v>22</v>
      </c>
      <c r="H162">
        <v>32233.74</v>
      </c>
      <c r="I162">
        <v>32233740</v>
      </c>
      <c r="K162" s="2"/>
    </row>
    <row r="163" spans="1:11" x14ac:dyDescent="0.3">
      <c r="A163">
        <v>2010</v>
      </c>
      <c r="B163" s="15">
        <f>DATE(2010,6,12)</f>
        <v>40341</v>
      </c>
      <c r="C163">
        <v>31684</v>
      </c>
      <c r="D163" t="s">
        <v>7</v>
      </c>
      <c r="E163" t="s">
        <v>95</v>
      </c>
      <c r="F163" t="s">
        <v>317</v>
      </c>
      <c r="G163" s="2">
        <v>2</v>
      </c>
      <c r="H163">
        <v>10.18</v>
      </c>
      <c r="I163">
        <v>10180</v>
      </c>
      <c r="K163" s="2"/>
    </row>
    <row r="164" spans="1:11" x14ac:dyDescent="0.3">
      <c r="A164">
        <v>2010</v>
      </c>
      <c r="B164" s="15">
        <f>DATE(2010,6,14)</f>
        <v>40343</v>
      </c>
      <c r="C164">
        <v>30829</v>
      </c>
      <c r="D164" t="s">
        <v>36</v>
      </c>
      <c r="E164" t="s">
        <v>95</v>
      </c>
      <c r="F164" t="s">
        <v>320</v>
      </c>
      <c r="G164" s="2" t="s">
        <v>345</v>
      </c>
      <c r="H164">
        <v>11.598000000000001</v>
      </c>
      <c r="I164">
        <v>11598</v>
      </c>
      <c r="K164" s="2"/>
    </row>
    <row r="165" spans="1:11" x14ac:dyDescent="0.3">
      <c r="A165">
        <v>2010</v>
      </c>
      <c r="B165" s="15">
        <f>DATE(2010,6,14)</f>
        <v>40343</v>
      </c>
      <c r="C165">
        <v>31822</v>
      </c>
      <c r="D165" t="s">
        <v>58</v>
      </c>
      <c r="E165" t="s">
        <v>202</v>
      </c>
      <c r="F165" t="s">
        <v>316</v>
      </c>
      <c r="G165" s="2">
        <v>5</v>
      </c>
      <c r="H165">
        <v>45.375</v>
      </c>
      <c r="I165">
        <v>45375</v>
      </c>
      <c r="K165" s="2"/>
    </row>
    <row r="166" spans="1:11" x14ac:dyDescent="0.3">
      <c r="A166">
        <v>2010</v>
      </c>
      <c r="B166" s="15">
        <f>DATE(2010,6,16)</f>
        <v>40345</v>
      </c>
      <c r="C166">
        <v>10012</v>
      </c>
      <c r="D166" t="s">
        <v>22</v>
      </c>
      <c r="F166" t="s">
        <v>320</v>
      </c>
      <c r="G166" s="2" t="s">
        <v>346</v>
      </c>
      <c r="H166">
        <v>0</v>
      </c>
      <c r="I166">
        <v>0</v>
      </c>
      <c r="K166" s="2"/>
    </row>
    <row r="167" spans="1:11" x14ac:dyDescent="0.3">
      <c r="A167">
        <v>2010</v>
      </c>
      <c r="B167" s="15">
        <f>DATE(2010,6,16)</f>
        <v>40345</v>
      </c>
      <c r="C167">
        <v>18718</v>
      </c>
      <c r="D167" t="s">
        <v>28</v>
      </c>
      <c r="E167" t="s">
        <v>203</v>
      </c>
      <c r="F167" t="s">
        <v>317</v>
      </c>
      <c r="G167" s="2" t="s">
        <v>347</v>
      </c>
      <c r="H167">
        <v>5.0110000000000001</v>
      </c>
      <c r="I167">
        <v>5011</v>
      </c>
      <c r="K167" s="2"/>
    </row>
    <row r="168" spans="1:11" x14ac:dyDescent="0.3">
      <c r="A168">
        <v>2010</v>
      </c>
      <c r="B168" s="15">
        <f>DATE(2010,6,23)</f>
        <v>40352</v>
      </c>
      <c r="C168">
        <v>32334</v>
      </c>
      <c r="D168" t="s">
        <v>52</v>
      </c>
      <c r="E168" t="s">
        <v>204</v>
      </c>
      <c r="F168" t="s">
        <v>317</v>
      </c>
      <c r="G168" s="2">
        <v>0</v>
      </c>
      <c r="H168">
        <v>30.417000000000002</v>
      </c>
      <c r="I168">
        <v>30417</v>
      </c>
      <c r="K168" s="2"/>
    </row>
    <row r="169" spans="1:11" x14ac:dyDescent="0.3">
      <c r="A169">
        <v>2010</v>
      </c>
      <c r="B169" s="15">
        <f>DATE(2010,6,23)</f>
        <v>40352</v>
      </c>
      <c r="C169">
        <v>31174</v>
      </c>
      <c r="D169" t="s">
        <v>14</v>
      </c>
      <c r="E169" t="s">
        <v>205</v>
      </c>
      <c r="F169" t="s">
        <v>317</v>
      </c>
      <c r="G169" s="2" t="s">
        <v>323</v>
      </c>
      <c r="H169">
        <v>79.03</v>
      </c>
      <c r="I169">
        <v>79030</v>
      </c>
      <c r="K169" s="2"/>
    </row>
    <row r="170" spans="1:11" x14ac:dyDescent="0.3">
      <c r="A170">
        <v>2010</v>
      </c>
      <c r="B170" s="15">
        <f>DATE(2010,6,23)</f>
        <v>40352</v>
      </c>
      <c r="C170">
        <v>32147</v>
      </c>
      <c r="D170" t="s">
        <v>48</v>
      </c>
      <c r="E170" t="s">
        <v>206</v>
      </c>
      <c r="F170" t="s">
        <v>317</v>
      </c>
      <c r="G170" s="2">
        <v>0</v>
      </c>
      <c r="H170">
        <v>42.796999999999997</v>
      </c>
      <c r="I170">
        <v>42797</v>
      </c>
      <c r="K170" s="2"/>
    </row>
    <row r="171" spans="1:11" x14ac:dyDescent="0.3">
      <c r="A171">
        <v>2010</v>
      </c>
      <c r="B171" s="15">
        <f>DATE(2010,6,25)</f>
        <v>40354</v>
      </c>
      <c r="C171">
        <v>22442</v>
      </c>
      <c r="D171" t="s">
        <v>59</v>
      </c>
      <c r="E171" t="s">
        <v>156</v>
      </c>
      <c r="F171" t="s">
        <v>321</v>
      </c>
      <c r="G171" s="2">
        <v>2</v>
      </c>
      <c r="H171">
        <v>22.411999999999999</v>
      </c>
      <c r="I171">
        <v>22412</v>
      </c>
      <c r="K171" s="2"/>
    </row>
    <row r="172" spans="1:11" x14ac:dyDescent="0.3">
      <c r="A172">
        <v>2010</v>
      </c>
      <c r="B172" s="15">
        <f>DATE(2010,6,28)</f>
        <v>40357</v>
      </c>
      <c r="C172">
        <v>4805</v>
      </c>
      <c r="D172" t="s">
        <v>20</v>
      </c>
      <c r="E172" t="s">
        <v>207</v>
      </c>
      <c r="F172" t="s">
        <v>321</v>
      </c>
      <c r="G172" s="2">
        <v>0</v>
      </c>
      <c r="H172">
        <v>135</v>
      </c>
      <c r="I172">
        <v>135000</v>
      </c>
      <c r="K172" s="2"/>
    </row>
    <row r="173" spans="1:11" x14ac:dyDescent="0.3">
      <c r="A173">
        <v>2010</v>
      </c>
      <c r="B173" s="15">
        <f>DATE(2010,6,30)</f>
        <v>40359</v>
      </c>
      <c r="C173">
        <v>22610</v>
      </c>
      <c r="D173" t="s">
        <v>19</v>
      </c>
      <c r="E173" t="s">
        <v>209</v>
      </c>
      <c r="F173" t="s">
        <v>321</v>
      </c>
      <c r="G173" s="2" t="s">
        <v>348</v>
      </c>
      <c r="H173">
        <v>807.09400000000005</v>
      </c>
      <c r="I173">
        <v>807094</v>
      </c>
      <c r="K173" s="2"/>
    </row>
    <row r="174" spans="1:11" x14ac:dyDescent="0.3">
      <c r="A174">
        <v>2010</v>
      </c>
      <c r="B174" s="15">
        <f>DATE(2010,6,30)</f>
        <v>40359</v>
      </c>
      <c r="C174">
        <v>12105</v>
      </c>
      <c r="D174" t="s">
        <v>13</v>
      </c>
      <c r="E174" t="s">
        <v>210</v>
      </c>
      <c r="F174" t="s">
        <v>317</v>
      </c>
      <c r="G174" s="2">
        <v>2</v>
      </c>
      <c r="H174">
        <v>68.152000000000001</v>
      </c>
      <c r="I174">
        <v>68152</v>
      </c>
      <c r="K174" s="2"/>
    </row>
    <row r="175" spans="1:11" x14ac:dyDescent="0.3">
      <c r="A175">
        <v>2010</v>
      </c>
      <c r="B175" s="15">
        <f>DATE(2010,7,2)</f>
        <v>40361</v>
      </c>
      <c r="C175">
        <v>11169</v>
      </c>
      <c r="D175" t="s">
        <v>3</v>
      </c>
      <c r="E175" t="s">
        <v>163</v>
      </c>
      <c r="F175" t="s">
        <v>317</v>
      </c>
      <c r="G175" s="2">
        <v>0</v>
      </c>
      <c r="H175">
        <v>137</v>
      </c>
      <c r="I175">
        <v>137000</v>
      </c>
      <c r="K175" s="2"/>
    </row>
    <row r="176" spans="1:11" x14ac:dyDescent="0.3">
      <c r="A176">
        <v>2010</v>
      </c>
      <c r="B176" s="15">
        <f>DATE(2010,7,2)</f>
        <v>40361</v>
      </c>
      <c r="C176">
        <v>32147</v>
      </c>
      <c r="D176" t="s">
        <v>48</v>
      </c>
      <c r="F176" t="s">
        <v>317</v>
      </c>
      <c r="G176" s="2" t="s">
        <v>349</v>
      </c>
      <c r="H176">
        <v>1036.94</v>
      </c>
      <c r="I176">
        <v>1036940</v>
      </c>
      <c r="K176" s="2"/>
    </row>
    <row r="177" spans="1:11" x14ac:dyDescent="0.3">
      <c r="A177">
        <v>2010</v>
      </c>
      <c r="B177" s="15">
        <f>DATE(2010,7,4)</f>
        <v>40363</v>
      </c>
      <c r="C177">
        <v>18718</v>
      </c>
      <c r="D177" t="s">
        <v>28</v>
      </c>
      <c r="E177" t="s">
        <v>211</v>
      </c>
      <c r="F177" t="s">
        <v>321</v>
      </c>
      <c r="G177" s="2" t="s">
        <v>350</v>
      </c>
      <c r="H177">
        <v>29.411000000000001</v>
      </c>
      <c r="I177">
        <v>29411</v>
      </c>
      <c r="K177" s="2"/>
    </row>
    <row r="178" spans="1:11" x14ac:dyDescent="0.3">
      <c r="A178">
        <v>2010</v>
      </c>
      <c r="B178" s="15">
        <f>DATE(2010,7,5)</f>
        <v>40364</v>
      </c>
      <c r="C178">
        <v>3445</v>
      </c>
      <c r="D178" t="s">
        <v>60</v>
      </c>
      <c r="E178" t="s">
        <v>212</v>
      </c>
      <c r="F178" t="s">
        <v>319</v>
      </c>
      <c r="G178" s="2">
        <v>3104</v>
      </c>
      <c r="H178">
        <v>524.27499999999998</v>
      </c>
      <c r="I178">
        <v>524275</v>
      </c>
      <c r="K178" s="2"/>
    </row>
    <row r="179" spans="1:11" x14ac:dyDescent="0.3">
      <c r="A179">
        <v>2010</v>
      </c>
      <c r="B179" s="15">
        <f>DATE(2010,7,6)</f>
        <v>40365</v>
      </c>
      <c r="C179">
        <v>32602</v>
      </c>
      <c r="D179" t="s">
        <v>61</v>
      </c>
      <c r="E179" t="s">
        <v>213</v>
      </c>
      <c r="F179" t="s">
        <v>321</v>
      </c>
      <c r="G179" s="2">
        <v>0</v>
      </c>
      <c r="H179">
        <v>13.9</v>
      </c>
      <c r="I179">
        <v>13900</v>
      </c>
      <c r="K179" s="2"/>
    </row>
    <row r="180" spans="1:11" x14ac:dyDescent="0.3">
      <c r="A180">
        <v>2010</v>
      </c>
      <c r="B180" s="15">
        <f>DATE(2010,7,6)</f>
        <v>40365</v>
      </c>
      <c r="C180">
        <v>32288</v>
      </c>
      <c r="D180" t="s">
        <v>62</v>
      </c>
      <c r="E180" t="s">
        <v>95</v>
      </c>
      <c r="F180" t="s">
        <v>317</v>
      </c>
      <c r="G180" s="2" t="s">
        <v>330</v>
      </c>
      <c r="H180">
        <v>2.2799999999999998</v>
      </c>
      <c r="I180">
        <v>2280</v>
      </c>
      <c r="K180" s="2"/>
    </row>
    <row r="181" spans="1:11" x14ac:dyDescent="0.3">
      <c r="A181">
        <v>2010</v>
      </c>
      <c r="B181" s="15">
        <f>DATE(2010,7,7)</f>
        <v>40366</v>
      </c>
      <c r="C181">
        <v>4906</v>
      </c>
      <c r="D181" t="s">
        <v>34</v>
      </c>
      <c r="E181" t="s">
        <v>91</v>
      </c>
      <c r="F181" t="s">
        <v>317</v>
      </c>
      <c r="G181" s="2">
        <v>42856</v>
      </c>
      <c r="H181">
        <v>6.25</v>
      </c>
      <c r="I181">
        <v>6250</v>
      </c>
      <c r="K181" s="2"/>
    </row>
    <row r="182" spans="1:11" x14ac:dyDescent="0.3">
      <c r="A182">
        <v>2010</v>
      </c>
      <c r="B182" s="15">
        <f>DATE(2010,7,8)</f>
        <v>40367</v>
      </c>
      <c r="C182">
        <v>31618</v>
      </c>
      <c r="D182" t="s">
        <v>33</v>
      </c>
      <c r="E182" t="s">
        <v>91</v>
      </c>
      <c r="F182" t="s">
        <v>320</v>
      </c>
      <c r="G182" s="2">
        <v>19176</v>
      </c>
      <c r="H182">
        <v>261.31700000000001</v>
      </c>
      <c r="I182">
        <v>261317</v>
      </c>
      <c r="K182" s="2"/>
    </row>
    <row r="183" spans="1:11" x14ac:dyDescent="0.3">
      <c r="A183">
        <v>2010</v>
      </c>
      <c r="B183" s="15">
        <f>DATE(2010,7,11)</f>
        <v>40370</v>
      </c>
      <c r="C183">
        <v>18718</v>
      </c>
      <c r="D183" t="s">
        <v>28</v>
      </c>
      <c r="E183" t="s">
        <v>214</v>
      </c>
      <c r="F183" t="s">
        <v>321</v>
      </c>
      <c r="G183" s="2">
        <v>6</v>
      </c>
      <c r="H183">
        <v>43.360999999999997</v>
      </c>
      <c r="I183">
        <v>43361</v>
      </c>
      <c r="K183" s="2"/>
    </row>
    <row r="184" spans="1:11" x14ac:dyDescent="0.3">
      <c r="A184">
        <v>2010</v>
      </c>
      <c r="B184" s="15">
        <f>DATE(2010,7,12)</f>
        <v>40371</v>
      </c>
      <c r="C184">
        <v>4906</v>
      </c>
      <c r="D184" t="s">
        <v>34</v>
      </c>
      <c r="E184" t="s">
        <v>120</v>
      </c>
      <c r="F184" t="s">
        <v>321</v>
      </c>
      <c r="G184" s="2">
        <v>0</v>
      </c>
      <c r="H184">
        <v>10.035</v>
      </c>
      <c r="I184">
        <v>10035</v>
      </c>
      <c r="K184" s="2"/>
    </row>
    <row r="185" spans="1:11" x14ac:dyDescent="0.3">
      <c r="A185">
        <v>2010</v>
      </c>
      <c r="B185" s="15">
        <f>DATE(2010,7,12)</f>
        <v>40371</v>
      </c>
      <c r="C185">
        <v>15674</v>
      </c>
      <c r="D185" t="s">
        <v>21</v>
      </c>
      <c r="E185" t="s">
        <v>215</v>
      </c>
      <c r="F185" t="s">
        <v>317</v>
      </c>
      <c r="G185" s="2">
        <v>0</v>
      </c>
      <c r="H185">
        <v>5.3</v>
      </c>
      <c r="I185">
        <v>5300</v>
      </c>
      <c r="K185" s="2"/>
    </row>
    <row r="186" spans="1:11" x14ac:dyDescent="0.3">
      <c r="A186">
        <v>2010</v>
      </c>
      <c r="B186" s="15">
        <f>DATE(2010,7,14)</f>
        <v>40373</v>
      </c>
      <c r="C186">
        <v>32109</v>
      </c>
      <c r="D186" t="s">
        <v>0</v>
      </c>
      <c r="F186" t="s">
        <v>317</v>
      </c>
      <c r="G186" s="2">
        <v>42856</v>
      </c>
      <c r="H186">
        <v>4.9000000000000002E-2</v>
      </c>
      <c r="I186">
        <v>49</v>
      </c>
      <c r="K186" s="2"/>
    </row>
    <row r="187" spans="1:11" x14ac:dyDescent="0.3">
      <c r="A187">
        <v>2010</v>
      </c>
      <c r="B187" s="15">
        <f>DATE(2010,7,14)</f>
        <v>40373</v>
      </c>
      <c r="C187">
        <v>22855</v>
      </c>
      <c r="D187" t="s">
        <v>15</v>
      </c>
      <c r="E187" t="s">
        <v>216</v>
      </c>
      <c r="F187" t="s">
        <v>317</v>
      </c>
      <c r="G187" s="2" t="s">
        <v>351</v>
      </c>
      <c r="H187">
        <v>1.294</v>
      </c>
      <c r="I187">
        <v>1294</v>
      </c>
      <c r="K187" s="2"/>
    </row>
    <row r="188" spans="1:11" x14ac:dyDescent="0.3">
      <c r="A188">
        <v>2010</v>
      </c>
      <c r="B188" s="15">
        <f>DATE(2010,7,14)</f>
        <v>40373</v>
      </c>
      <c r="C188">
        <v>32147</v>
      </c>
      <c r="D188" t="s">
        <v>48</v>
      </c>
      <c r="E188" t="s">
        <v>217</v>
      </c>
      <c r="F188" t="s">
        <v>316</v>
      </c>
      <c r="G188" s="2">
        <v>0</v>
      </c>
      <c r="H188">
        <v>25.957999999999998</v>
      </c>
      <c r="I188">
        <v>25958</v>
      </c>
      <c r="K188" s="2"/>
    </row>
    <row r="189" spans="1:11" x14ac:dyDescent="0.3">
      <c r="A189">
        <v>2010</v>
      </c>
      <c r="B189" s="15">
        <f>DATE(2010,7,14)</f>
        <v>40373</v>
      </c>
      <c r="C189">
        <v>32109</v>
      </c>
      <c r="D189" t="s">
        <v>0</v>
      </c>
      <c r="F189" t="s">
        <v>321</v>
      </c>
      <c r="G189" s="2">
        <v>30</v>
      </c>
      <c r="H189">
        <v>8.7270000000000003</v>
      </c>
      <c r="I189">
        <v>8727</v>
      </c>
      <c r="K189" s="2"/>
    </row>
    <row r="190" spans="1:11" x14ac:dyDescent="0.3">
      <c r="A190">
        <v>2010</v>
      </c>
      <c r="B190" s="15">
        <f>DATE(2010,7,14)</f>
        <v>40373</v>
      </c>
      <c r="C190">
        <v>32109</v>
      </c>
      <c r="D190" t="s">
        <v>0</v>
      </c>
      <c r="F190" t="s">
        <v>317</v>
      </c>
      <c r="G190" s="2">
        <v>43040</v>
      </c>
      <c r="H190">
        <v>0.16</v>
      </c>
      <c r="I190">
        <v>160</v>
      </c>
      <c r="K190" s="2"/>
    </row>
    <row r="191" spans="1:11" x14ac:dyDescent="0.3">
      <c r="A191">
        <v>2010</v>
      </c>
      <c r="B191" s="15">
        <f>DATE(2010,7,17)</f>
        <v>40376</v>
      </c>
      <c r="C191">
        <v>32147</v>
      </c>
      <c r="D191" t="s">
        <v>48</v>
      </c>
      <c r="E191" t="s">
        <v>218</v>
      </c>
      <c r="F191" t="s">
        <v>317</v>
      </c>
      <c r="G191" s="2">
        <v>0</v>
      </c>
      <c r="H191">
        <v>21.404</v>
      </c>
      <c r="I191">
        <v>21404</v>
      </c>
      <c r="K191" s="2"/>
    </row>
    <row r="192" spans="1:11" x14ac:dyDescent="0.3">
      <c r="A192">
        <v>2010</v>
      </c>
      <c r="B192" s="15">
        <f>DATE(2010,7,17)</f>
        <v>40376</v>
      </c>
      <c r="C192">
        <v>26041</v>
      </c>
      <c r="D192" t="s">
        <v>5</v>
      </c>
      <c r="E192" t="s">
        <v>219</v>
      </c>
      <c r="F192" t="s">
        <v>318</v>
      </c>
      <c r="G192" s="2">
        <v>0</v>
      </c>
      <c r="H192">
        <v>27.3</v>
      </c>
      <c r="I192">
        <v>27300</v>
      </c>
      <c r="K192" s="2"/>
    </row>
    <row r="193" spans="1:15" x14ac:dyDescent="0.3">
      <c r="A193">
        <v>2010</v>
      </c>
      <c r="B193" s="15">
        <f>DATE(2010,7,19)</f>
        <v>40378</v>
      </c>
      <c r="C193">
        <v>18092</v>
      </c>
      <c r="D193" t="s">
        <v>37</v>
      </c>
      <c r="E193" t="s">
        <v>220</v>
      </c>
      <c r="F193" t="s">
        <v>317</v>
      </c>
      <c r="G193" s="2">
        <v>0</v>
      </c>
      <c r="H193">
        <v>49.5</v>
      </c>
      <c r="I193">
        <v>49500</v>
      </c>
      <c r="K193" s="2"/>
    </row>
    <row r="194" spans="1:15" x14ac:dyDescent="0.3">
      <c r="A194">
        <v>2010</v>
      </c>
      <c r="B194" s="15">
        <f>DATE(2010,7,21)</f>
        <v>40380</v>
      </c>
      <c r="C194">
        <v>32109</v>
      </c>
      <c r="D194" t="s">
        <v>0</v>
      </c>
      <c r="F194" t="s">
        <v>317</v>
      </c>
      <c r="G194" s="2">
        <v>42769</v>
      </c>
      <c r="H194">
        <v>0.20100000000000001</v>
      </c>
      <c r="I194">
        <v>201</v>
      </c>
      <c r="K194" s="2"/>
    </row>
    <row r="195" spans="1:15" x14ac:dyDescent="0.3">
      <c r="A195">
        <v>2010</v>
      </c>
      <c r="B195" s="15">
        <f>DATE(2010,7,23)</f>
        <v>40382</v>
      </c>
      <c r="C195">
        <v>12105</v>
      </c>
      <c r="D195" t="s">
        <v>13</v>
      </c>
      <c r="E195" t="s">
        <v>221</v>
      </c>
      <c r="F195" t="s">
        <v>317</v>
      </c>
      <c r="G195" s="2" t="s">
        <v>341</v>
      </c>
      <c r="H195">
        <v>163.161</v>
      </c>
      <c r="I195">
        <v>163161</v>
      </c>
      <c r="K195" s="2"/>
    </row>
    <row r="196" spans="1:15" x14ac:dyDescent="0.3">
      <c r="A196">
        <v>2010</v>
      </c>
      <c r="B196" s="15">
        <f>DATE(2010,7,26)</f>
        <v>40385</v>
      </c>
      <c r="C196">
        <v>2387</v>
      </c>
      <c r="D196" t="s">
        <v>63</v>
      </c>
      <c r="E196" t="s">
        <v>222</v>
      </c>
      <c r="F196" t="s">
        <v>317</v>
      </c>
      <c r="G196" s="2" t="s">
        <v>327</v>
      </c>
      <c r="H196">
        <v>24.952000000000002</v>
      </c>
      <c r="I196">
        <v>24952</v>
      </c>
      <c r="O196" s="2"/>
    </row>
    <row r="197" spans="1:15" x14ac:dyDescent="0.3">
      <c r="A197">
        <v>2010</v>
      </c>
      <c r="B197" s="15">
        <f>DATE(2010,7,27)</f>
        <v>40386</v>
      </c>
      <c r="C197">
        <v>4805</v>
      </c>
      <c r="D197" t="s">
        <v>20</v>
      </c>
      <c r="E197" t="s">
        <v>106</v>
      </c>
      <c r="F197" t="s">
        <v>321</v>
      </c>
      <c r="G197" s="2">
        <v>0</v>
      </c>
      <c r="H197">
        <v>362.04500000000002</v>
      </c>
      <c r="I197">
        <v>362045</v>
      </c>
      <c r="O197" s="2"/>
    </row>
    <row r="198" spans="1:15" x14ac:dyDescent="0.3">
      <c r="A198">
        <v>2010</v>
      </c>
      <c r="B198" s="15">
        <f>DATE(2010,7,28)</f>
        <v>40387</v>
      </c>
      <c r="C198">
        <v>11169</v>
      </c>
      <c r="D198" t="s">
        <v>3</v>
      </c>
      <c r="E198" t="s">
        <v>223</v>
      </c>
      <c r="F198" t="s">
        <v>317</v>
      </c>
      <c r="G198" s="2">
        <v>0</v>
      </c>
      <c r="H198">
        <v>18.352</v>
      </c>
      <c r="I198">
        <v>18352</v>
      </c>
      <c r="O198" s="2"/>
    </row>
    <row r="199" spans="1:15" x14ac:dyDescent="0.3">
      <c r="A199">
        <v>2010</v>
      </c>
      <c r="B199" s="15">
        <f>DATE(2010,7,29)</f>
        <v>40388</v>
      </c>
      <c r="C199">
        <v>2170</v>
      </c>
      <c r="D199" t="s">
        <v>64</v>
      </c>
      <c r="E199" t="s">
        <v>224</v>
      </c>
      <c r="F199" t="s">
        <v>317</v>
      </c>
      <c r="G199" s="2" t="s">
        <v>352</v>
      </c>
      <c r="H199">
        <v>0.52300000000000002</v>
      </c>
      <c r="I199">
        <v>523</v>
      </c>
      <c r="O199" s="2"/>
    </row>
    <row r="200" spans="1:15" x14ac:dyDescent="0.3">
      <c r="A200">
        <v>2010</v>
      </c>
      <c r="B200" s="15">
        <f>DATE(2010,7,29)</f>
        <v>40388</v>
      </c>
      <c r="C200">
        <v>11169</v>
      </c>
      <c r="D200" t="s">
        <v>3</v>
      </c>
      <c r="E200" t="s">
        <v>223</v>
      </c>
      <c r="F200" t="s">
        <v>317</v>
      </c>
      <c r="G200" s="2">
        <v>0</v>
      </c>
      <c r="H200">
        <v>830</v>
      </c>
      <c r="I200">
        <v>830000</v>
      </c>
      <c r="O200" s="2"/>
    </row>
    <row r="201" spans="1:15" x14ac:dyDescent="0.3">
      <c r="A201">
        <v>2010</v>
      </c>
      <c r="B201" s="15">
        <f>DATE(2010,7,29)</f>
        <v>40388</v>
      </c>
      <c r="C201">
        <v>31476</v>
      </c>
      <c r="D201" t="s">
        <v>25</v>
      </c>
      <c r="E201" t="s">
        <v>225</v>
      </c>
      <c r="F201" t="s">
        <v>321</v>
      </c>
      <c r="G201" s="2">
        <v>8</v>
      </c>
      <c r="H201">
        <v>45</v>
      </c>
      <c r="I201">
        <v>45000</v>
      </c>
      <c r="O201" s="2"/>
    </row>
    <row r="202" spans="1:15" x14ac:dyDescent="0.3">
      <c r="A202">
        <v>2010</v>
      </c>
      <c r="B202" s="15">
        <f>DATE(2010,7,31)</f>
        <v>40390</v>
      </c>
      <c r="C202">
        <v>18718</v>
      </c>
      <c r="D202" t="s">
        <v>28</v>
      </c>
      <c r="E202" t="s">
        <v>130</v>
      </c>
      <c r="F202" t="s">
        <v>321</v>
      </c>
      <c r="G202" s="2">
        <v>42857</v>
      </c>
      <c r="H202">
        <v>19.227</v>
      </c>
      <c r="I202">
        <v>19227</v>
      </c>
      <c r="O202" s="2"/>
    </row>
    <row r="203" spans="1:15" x14ac:dyDescent="0.3">
      <c r="A203">
        <v>2010</v>
      </c>
      <c r="B203" s="15">
        <f>DATE(2010,8,2)</f>
        <v>40392</v>
      </c>
      <c r="C203">
        <v>31666</v>
      </c>
      <c r="D203" t="s">
        <v>55</v>
      </c>
      <c r="E203" t="s">
        <v>226</v>
      </c>
      <c r="F203" t="s">
        <v>318</v>
      </c>
      <c r="G203" s="2">
        <v>0</v>
      </c>
      <c r="H203">
        <v>0.56699999999999995</v>
      </c>
      <c r="I203">
        <v>567</v>
      </c>
      <c r="O203" s="2"/>
    </row>
    <row r="204" spans="1:15" x14ac:dyDescent="0.3">
      <c r="A204">
        <v>2010</v>
      </c>
      <c r="B204" s="15">
        <f>DATE(2010,8,3)</f>
        <v>40393</v>
      </c>
      <c r="C204">
        <v>22442</v>
      </c>
      <c r="D204" t="s">
        <v>59</v>
      </c>
      <c r="E204" t="s">
        <v>227</v>
      </c>
      <c r="F204" t="s">
        <v>317</v>
      </c>
      <c r="G204" s="2">
        <v>0</v>
      </c>
      <c r="H204">
        <v>1.2090000000000001</v>
      </c>
      <c r="I204">
        <v>1209</v>
      </c>
      <c r="O204" s="2"/>
    </row>
    <row r="205" spans="1:15" x14ac:dyDescent="0.3">
      <c r="A205">
        <v>2010</v>
      </c>
      <c r="B205" s="15">
        <f>DATE(2010,8,5)</f>
        <v>40395</v>
      </c>
      <c r="C205">
        <v>18779</v>
      </c>
      <c r="D205" t="s">
        <v>40</v>
      </c>
      <c r="E205" t="s">
        <v>228</v>
      </c>
      <c r="F205" t="s">
        <v>317</v>
      </c>
      <c r="G205" s="2">
        <v>0</v>
      </c>
      <c r="H205">
        <v>1</v>
      </c>
      <c r="I205">
        <v>1000</v>
      </c>
      <c r="O205" s="2"/>
    </row>
    <row r="206" spans="1:15" x14ac:dyDescent="0.3">
      <c r="A206">
        <v>2010</v>
      </c>
      <c r="B206" s="15">
        <f>DATE(2010,8,5)</f>
        <v>40395</v>
      </c>
      <c r="C206">
        <v>12470</v>
      </c>
      <c r="D206" t="s">
        <v>77</v>
      </c>
      <c r="E206" t="s">
        <v>229</v>
      </c>
      <c r="F206" t="s">
        <v>317</v>
      </c>
      <c r="G206" s="2">
        <v>1</v>
      </c>
      <c r="H206">
        <v>21.238</v>
      </c>
      <c r="I206">
        <v>21238</v>
      </c>
      <c r="O206" s="2"/>
    </row>
    <row r="207" spans="1:15" x14ac:dyDescent="0.3">
      <c r="A207">
        <v>2010</v>
      </c>
      <c r="B207" s="15">
        <f>DATE(2010,8,5)</f>
        <v>40395</v>
      </c>
      <c r="C207">
        <v>30829</v>
      </c>
      <c r="D207" t="s">
        <v>36</v>
      </c>
      <c r="E207" t="s">
        <v>177</v>
      </c>
      <c r="F207" t="s">
        <v>321</v>
      </c>
      <c r="G207" s="2" t="s">
        <v>330</v>
      </c>
      <c r="H207">
        <v>11.044</v>
      </c>
      <c r="I207">
        <v>11044</v>
      </c>
      <c r="O207" s="2"/>
    </row>
    <row r="208" spans="1:15" x14ac:dyDescent="0.3">
      <c r="A208">
        <v>2010</v>
      </c>
      <c r="B208" s="15">
        <f>DATE(2010,8,5)</f>
        <v>40395</v>
      </c>
      <c r="C208">
        <v>22610</v>
      </c>
      <c r="D208" t="s">
        <v>19</v>
      </c>
      <c r="E208" t="s">
        <v>230</v>
      </c>
      <c r="F208" t="s">
        <v>319</v>
      </c>
      <c r="G208" s="2">
        <v>0</v>
      </c>
      <c r="H208">
        <v>240.3</v>
      </c>
      <c r="I208">
        <v>240300</v>
      </c>
      <c r="O208" s="2"/>
    </row>
    <row r="209" spans="1:15" x14ac:dyDescent="0.3">
      <c r="A209">
        <v>2010</v>
      </c>
      <c r="B209" s="15">
        <f>DATE(2010,8,9)</f>
        <v>40399</v>
      </c>
      <c r="C209">
        <v>31555</v>
      </c>
      <c r="D209" t="s">
        <v>51</v>
      </c>
      <c r="F209" t="s">
        <v>320</v>
      </c>
      <c r="G209" s="2" t="s">
        <v>353</v>
      </c>
      <c r="H209">
        <v>0.6</v>
      </c>
      <c r="I209">
        <v>600</v>
      </c>
      <c r="O209" s="2"/>
    </row>
    <row r="210" spans="1:15" x14ac:dyDescent="0.3">
      <c r="A210">
        <v>2010</v>
      </c>
      <c r="B210" s="15">
        <f>DATE(2010,8,11)</f>
        <v>40401</v>
      </c>
      <c r="C210">
        <v>300</v>
      </c>
      <c r="D210" t="s">
        <v>4</v>
      </c>
      <c r="E210" t="s">
        <v>231</v>
      </c>
      <c r="F210" t="s">
        <v>317</v>
      </c>
      <c r="G210" s="2">
        <v>0</v>
      </c>
      <c r="H210">
        <v>9.59</v>
      </c>
      <c r="I210">
        <v>9590</v>
      </c>
      <c r="O210" s="2"/>
    </row>
    <row r="211" spans="1:15" x14ac:dyDescent="0.3">
      <c r="A211">
        <v>2010</v>
      </c>
      <c r="B211" s="15">
        <f>DATE(2010,8,11)</f>
        <v>40401</v>
      </c>
      <c r="C211">
        <v>26041</v>
      </c>
      <c r="D211" t="s">
        <v>5</v>
      </c>
      <c r="E211" t="s">
        <v>91</v>
      </c>
      <c r="F211" t="s">
        <v>317</v>
      </c>
      <c r="G211" s="2">
        <v>0</v>
      </c>
      <c r="H211">
        <v>20.242999999999999</v>
      </c>
      <c r="I211">
        <v>20243</v>
      </c>
      <c r="O211" s="2"/>
    </row>
    <row r="212" spans="1:15" x14ac:dyDescent="0.3">
      <c r="A212">
        <v>2010</v>
      </c>
      <c r="B212" s="15">
        <f>DATE(2010,8,12)</f>
        <v>40402</v>
      </c>
      <c r="C212">
        <v>31189</v>
      </c>
      <c r="D212" t="s">
        <v>39</v>
      </c>
      <c r="E212" t="s">
        <v>216</v>
      </c>
      <c r="F212" t="s">
        <v>317</v>
      </c>
      <c r="G212" s="2">
        <v>3</v>
      </c>
      <c r="H212">
        <v>295.60000000000002</v>
      </c>
      <c r="I212">
        <v>295600</v>
      </c>
      <c r="O212" s="2"/>
    </row>
    <row r="213" spans="1:15" x14ac:dyDescent="0.3">
      <c r="A213">
        <v>2010</v>
      </c>
      <c r="B213" s="15">
        <f>DATE(2010,8,17)</f>
        <v>40407</v>
      </c>
      <c r="C213">
        <v>1845</v>
      </c>
      <c r="D213" t="s">
        <v>27</v>
      </c>
      <c r="E213" t="s">
        <v>232</v>
      </c>
      <c r="F213" t="s">
        <v>321</v>
      </c>
      <c r="G213" s="2">
        <v>0</v>
      </c>
      <c r="H213">
        <v>499.33499999999998</v>
      </c>
      <c r="I213">
        <v>499335</v>
      </c>
      <c r="O213" s="2"/>
    </row>
    <row r="214" spans="1:15" x14ac:dyDescent="0.3">
      <c r="A214">
        <v>2010</v>
      </c>
      <c r="B214" s="15">
        <f>DATE(2010,8,17)</f>
        <v>40407</v>
      </c>
      <c r="C214">
        <v>395</v>
      </c>
      <c r="D214" t="s">
        <v>56</v>
      </c>
      <c r="E214" t="s">
        <v>233</v>
      </c>
      <c r="F214" t="s">
        <v>321</v>
      </c>
      <c r="G214" s="2">
        <v>121</v>
      </c>
      <c r="H214">
        <v>13184</v>
      </c>
      <c r="I214">
        <v>13184000</v>
      </c>
      <c r="O214" s="2"/>
    </row>
    <row r="215" spans="1:15" x14ac:dyDescent="0.3">
      <c r="A215">
        <v>2010</v>
      </c>
      <c r="B215" s="15">
        <f>DATE(2010,8,17)</f>
        <v>40407</v>
      </c>
      <c r="C215">
        <v>300</v>
      </c>
      <c r="D215" t="s">
        <v>4</v>
      </c>
      <c r="E215" t="s">
        <v>234</v>
      </c>
      <c r="F215" t="s">
        <v>321</v>
      </c>
      <c r="G215" s="2">
        <v>0</v>
      </c>
      <c r="H215">
        <v>5.08</v>
      </c>
      <c r="I215">
        <v>5080</v>
      </c>
      <c r="O215" s="2"/>
    </row>
    <row r="216" spans="1:15" x14ac:dyDescent="0.3">
      <c r="A216">
        <v>2010</v>
      </c>
      <c r="B216" s="15">
        <f>DATE(2010,8,18)</f>
        <v>40408</v>
      </c>
      <c r="C216">
        <v>32109</v>
      </c>
      <c r="D216" t="s">
        <v>0</v>
      </c>
      <c r="E216" t="s">
        <v>235</v>
      </c>
      <c r="F216" t="s">
        <v>317</v>
      </c>
      <c r="G216" s="2">
        <v>2</v>
      </c>
      <c r="H216">
        <v>0.17299999999999999</v>
      </c>
      <c r="I216">
        <v>173</v>
      </c>
      <c r="O216" s="2"/>
    </row>
    <row r="217" spans="1:15" x14ac:dyDescent="0.3">
      <c r="A217">
        <v>2010</v>
      </c>
      <c r="B217" s="15">
        <f>DATE(2010,8,19)</f>
        <v>40409</v>
      </c>
      <c r="C217">
        <v>32334</v>
      </c>
      <c r="D217" t="s">
        <v>52</v>
      </c>
      <c r="E217" t="s">
        <v>236</v>
      </c>
      <c r="F217" t="s">
        <v>317</v>
      </c>
      <c r="G217" s="2">
        <v>0</v>
      </c>
      <c r="H217">
        <v>33.018000000000001</v>
      </c>
      <c r="I217">
        <v>33018</v>
      </c>
      <c r="O217" s="2"/>
    </row>
    <row r="218" spans="1:15" x14ac:dyDescent="0.3">
      <c r="A218">
        <v>2010</v>
      </c>
      <c r="B218" s="15">
        <f>DATE(2010,8,19)</f>
        <v>40409</v>
      </c>
      <c r="C218">
        <v>26094</v>
      </c>
      <c r="D218" t="s">
        <v>65</v>
      </c>
      <c r="E218" t="s">
        <v>178</v>
      </c>
      <c r="F218" t="s">
        <v>321</v>
      </c>
      <c r="G218" s="2">
        <v>0</v>
      </c>
      <c r="H218">
        <v>28.5</v>
      </c>
      <c r="I218">
        <v>28500</v>
      </c>
      <c r="O218" s="2"/>
    </row>
    <row r="219" spans="1:15" x14ac:dyDescent="0.3">
      <c r="A219">
        <v>2010</v>
      </c>
      <c r="B219" s="15">
        <f>DATE(2010,8,20)</f>
        <v>40410</v>
      </c>
      <c r="C219">
        <v>31580</v>
      </c>
      <c r="D219" t="s">
        <v>53</v>
      </c>
      <c r="E219" t="s">
        <v>237</v>
      </c>
      <c r="F219" t="s">
        <v>316</v>
      </c>
      <c r="G219" s="2">
        <v>0</v>
      </c>
      <c r="H219">
        <v>20</v>
      </c>
      <c r="I219">
        <v>20000</v>
      </c>
      <c r="O219" s="2"/>
    </row>
    <row r="220" spans="1:15" x14ac:dyDescent="0.3">
      <c r="A220">
        <v>2010</v>
      </c>
      <c r="B220" s="15">
        <f>DATE(2010,8,20)</f>
        <v>40410</v>
      </c>
      <c r="C220">
        <v>15774</v>
      </c>
      <c r="D220" t="s">
        <v>31</v>
      </c>
      <c r="E220" t="s">
        <v>238</v>
      </c>
      <c r="F220" t="s">
        <v>321</v>
      </c>
      <c r="G220" s="2">
        <v>0</v>
      </c>
      <c r="H220">
        <v>11.025</v>
      </c>
      <c r="I220">
        <v>11025</v>
      </c>
      <c r="O220" s="2"/>
    </row>
    <row r="221" spans="1:15" x14ac:dyDescent="0.3">
      <c r="A221">
        <v>2010</v>
      </c>
      <c r="B221" s="15">
        <f>DATE(2010,8,22)</f>
        <v>40412</v>
      </c>
      <c r="C221">
        <v>18718</v>
      </c>
      <c r="D221" t="s">
        <v>28</v>
      </c>
      <c r="E221" t="s">
        <v>130</v>
      </c>
      <c r="F221" t="s">
        <v>321</v>
      </c>
      <c r="G221" s="2">
        <v>98</v>
      </c>
      <c r="H221">
        <v>398.03899999999999</v>
      </c>
      <c r="I221">
        <v>398039</v>
      </c>
      <c r="O221" s="2"/>
    </row>
    <row r="222" spans="1:15" x14ac:dyDescent="0.3">
      <c r="A222">
        <v>2010</v>
      </c>
      <c r="B222" s="15">
        <f>DATE(2010,8,23)</f>
        <v>40413</v>
      </c>
      <c r="C222">
        <v>4805</v>
      </c>
      <c r="D222" t="s">
        <v>20</v>
      </c>
      <c r="E222" t="s">
        <v>239</v>
      </c>
      <c r="F222" t="s">
        <v>320</v>
      </c>
      <c r="G222" s="2">
        <v>0</v>
      </c>
      <c r="H222">
        <v>2.7989999999999999</v>
      </c>
      <c r="I222">
        <v>2799</v>
      </c>
      <c r="O222" s="2"/>
    </row>
    <row r="223" spans="1:15" x14ac:dyDescent="0.3">
      <c r="A223">
        <v>2010</v>
      </c>
      <c r="B223" s="15">
        <f>DATE(2010,8,24)</f>
        <v>40414</v>
      </c>
      <c r="C223">
        <v>31947</v>
      </c>
      <c r="D223" t="s">
        <v>38</v>
      </c>
      <c r="E223" t="s">
        <v>240</v>
      </c>
      <c r="F223" t="s">
        <v>321</v>
      </c>
      <c r="G223" s="2">
        <v>0</v>
      </c>
      <c r="H223">
        <v>15</v>
      </c>
      <c r="I223">
        <v>15000</v>
      </c>
      <c r="O223" s="2"/>
    </row>
    <row r="224" spans="1:15" x14ac:dyDescent="0.3">
      <c r="A224">
        <v>2010</v>
      </c>
      <c r="B224" s="15">
        <f>DATE(2010,8,25)</f>
        <v>40415</v>
      </c>
      <c r="C224">
        <v>32246</v>
      </c>
      <c r="D224" t="s">
        <v>66</v>
      </c>
      <c r="E224" t="s">
        <v>241</v>
      </c>
      <c r="F224" t="s">
        <v>319</v>
      </c>
      <c r="G224" s="2">
        <v>6</v>
      </c>
      <c r="H224">
        <v>5</v>
      </c>
      <c r="I224">
        <v>5000</v>
      </c>
      <c r="O224" s="2"/>
    </row>
    <row r="225" spans="1:15" x14ac:dyDescent="0.3">
      <c r="A225">
        <v>2010</v>
      </c>
      <c r="B225" s="15">
        <f>DATE(2010,8,26)</f>
        <v>40416</v>
      </c>
      <c r="C225">
        <v>4472</v>
      </c>
      <c r="D225" t="s">
        <v>67</v>
      </c>
      <c r="E225" t="s">
        <v>241</v>
      </c>
      <c r="F225" t="s">
        <v>317</v>
      </c>
      <c r="G225" s="2">
        <v>1</v>
      </c>
      <c r="H225">
        <v>18.677</v>
      </c>
      <c r="I225">
        <v>18677</v>
      </c>
      <c r="O225" s="2"/>
    </row>
    <row r="226" spans="1:15" x14ac:dyDescent="0.3">
      <c r="A226">
        <v>2010</v>
      </c>
      <c r="B226" s="15">
        <f>DATE(2010,8,27)</f>
        <v>40417</v>
      </c>
      <c r="C226">
        <v>2731</v>
      </c>
      <c r="D226" t="s">
        <v>45</v>
      </c>
      <c r="E226" t="s">
        <v>242</v>
      </c>
      <c r="F226" t="s">
        <v>320</v>
      </c>
      <c r="G226" s="2" t="s">
        <v>338</v>
      </c>
      <c r="H226">
        <v>2.5</v>
      </c>
      <c r="I226">
        <v>2500</v>
      </c>
      <c r="O226" s="2"/>
    </row>
    <row r="227" spans="1:15" x14ac:dyDescent="0.3">
      <c r="A227">
        <v>2010</v>
      </c>
      <c r="B227" s="15">
        <f>DATE(2010,8,27)</f>
        <v>40417</v>
      </c>
      <c r="C227">
        <v>31684</v>
      </c>
      <c r="D227" t="s">
        <v>7</v>
      </c>
      <c r="E227" t="s">
        <v>243</v>
      </c>
      <c r="F227" t="s">
        <v>316</v>
      </c>
      <c r="G227" s="2">
        <v>10</v>
      </c>
      <c r="H227">
        <v>16.260000000000002</v>
      </c>
      <c r="I227">
        <v>16260</v>
      </c>
      <c r="O227" s="2"/>
    </row>
    <row r="228" spans="1:15" x14ac:dyDescent="0.3">
      <c r="A228">
        <v>2010</v>
      </c>
      <c r="B228" s="15">
        <f>DATE(2010,8,27)</f>
        <v>40417</v>
      </c>
      <c r="C228">
        <v>31618</v>
      </c>
      <c r="D228" t="s">
        <v>33</v>
      </c>
      <c r="E228" t="s">
        <v>244</v>
      </c>
      <c r="F228" t="s">
        <v>317</v>
      </c>
      <c r="G228" s="2">
        <v>3283</v>
      </c>
      <c r="H228">
        <v>1811.7560000000001</v>
      </c>
      <c r="I228">
        <v>1811756</v>
      </c>
      <c r="O228" s="2"/>
    </row>
    <row r="229" spans="1:15" x14ac:dyDescent="0.3">
      <c r="A229">
        <v>2010</v>
      </c>
      <c r="B229" s="15">
        <f>DATE(2010,8,31)</f>
        <v>40421</v>
      </c>
      <c r="C229">
        <v>4906</v>
      </c>
      <c r="D229" t="s">
        <v>34</v>
      </c>
      <c r="E229" t="s">
        <v>242</v>
      </c>
      <c r="F229" t="s">
        <v>317</v>
      </c>
      <c r="G229" s="2">
        <v>0</v>
      </c>
      <c r="H229">
        <v>49.05</v>
      </c>
      <c r="I229">
        <v>49050</v>
      </c>
      <c r="O229" s="2"/>
    </row>
    <row r="230" spans="1:15" x14ac:dyDescent="0.3">
      <c r="A230">
        <v>2010</v>
      </c>
      <c r="B230" s="15">
        <f>DATE(2010,9,1)</f>
        <v>40422</v>
      </c>
      <c r="C230">
        <v>2731</v>
      </c>
      <c r="D230" t="s">
        <v>45</v>
      </c>
      <c r="E230" t="s">
        <v>245</v>
      </c>
      <c r="F230" t="s">
        <v>320</v>
      </c>
      <c r="G230" s="2">
        <v>16893</v>
      </c>
      <c r="H230">
        <v>45.8</v>
      </c>
      <c r="I230">
        <v>45800</v>
      </c>
      <c r="O230" s="2"/>
    </row>
    <row r="231" spans="1:15" x14ac:dyDescent="0.3">
      <c r="A231">
        <v>2010</v>
      </c>
      <c r="B231" s="15">
        <f>DATE(2010,9,2)</f>
        <v>40423</v>
      </c>
      <c r="C231">
        <v>31454</v>
      </c>
      <c r="D231" t="s">
        <v>9</v>
      </c>
      <c r="E231" t="s">
        <v>246</v>
      </c>
      <c r="F231" t="s">
        <v>317</v>
      </c>
      <c r="G231" s="2">
        <v>3</v>
      </c>
      <c r="H231">
        <v>2.222</v>
      </c>
      <c r="I231">
        <v>2222</v>
      </c>
      <c r="O231" s="2"/>
    </row>
    <row r="232" spans="1:15" x14ac:dyDescent="0.3">
      <c r="A232">
        <v>2010</v>
      </c>
      <c r="B232" s="15">
        <f>DATE(2010,9,3)</f>
        <v>40424</v>
      </c>
      <c r="C232">
        <v>9175</v>
      </c>
      <c r="D232" t="s">
        <v>10</v>
      </c>
      <c r="E232" t="s">
        <v>247</v>
      </c>
      <c r="F232" t="s">
        <v>321</v>
      </c>
      <c r="G232" s="2">
        <v>2</v>
      </c>
      <c r="H232">
        <v>4.12</v>
      </c>
      <c r="I232">
        <v>4120</v>
      </c>
      <c r="O232" s="2"/>
    </row>
    <row r="233" spans="1:15" x14ac:dyDescent="0.3">
      <c r="A233">
        <v>2010</v>
      </c>
      <c r="B233" s="15">
        <f>DATE(2010,9,5)</f>
        <v>40426</v>
      </c>
      <c r="C233">
        <v>12105</v>
      </c>
      <c r="D233" t="s">
        <v>13</v>
      </c>
      <c r="F233" t="s">
        <v>317</v>
      </c>
      <c r="G233" s="2" t="s">
        <v>329</v>
      </c>
      <c r="H233">
        <v>45.06</v>
      </c>
      <c r="I233">
        <v>45060</v>
      </c>
      <c r="O233" s="2"/>
    </row>
    <row r="234" spans="1:15" x14ac:dyDescent="0.3">
      <c r="A234">
        <v>2010</v>
      </c>
      <c r="B234" s="15">
        <f>DATE(2010,9,5)</f>
        <v>40426</v>
      </c>
      <c r="C234">
        <v>4906</v>
      </c>
      <c r="D234" t="s">
        <v>34</v>
      </c>
      <c r="F234" t="s">
        <v>316</v>
      </c>
      <c r="G234" s="2">
        <v>0</v>
      </c>
      <c r="H234">
        <v>0</v>
      </c>
      <c r="I234">
        <v>0</v>
      </c>
      <c r="O234" s="2"/>
    </row>
    <row r="235" spans="1:15" x14ac:dyDescent="0.3">
      <c r="A235">
        <v>2010</v>
      </c>
      <c r="B235" s="15">
        <f>DATE(2010,9,7)</f>
        <v>40428</v>
      </c>
      <c r="C235">
        <v>2170</v>
      </c>
      <c r="D235" t="s">
        <v>64</v>
      </c>
      <c r="E235" t="s">
        <v>248</v>
      </c>
      <c r="F235" t="s">
        <v>317</v>
      </c>
      <c r="G235" s="2">
        <v>42889</v>
      </c>
      <c r="H235">
        <v>10.5</v>
      </c>
      <c r="I235">
        <v>10500</v>
      </c>
      <c r="O235" s="2"/>
    </row>
    <row r="236" spans="1:15" x14ac:dyDescent="0.3">
      <c r="A236">
        <v>2010</v>
      </c>
      <c r="B236" s="15">
        <f>DATE(2010,9,7)</f>
        <v>40428</v>
      </c>
      <c r="C236">
        <v>26149</v>
      </c>
      <c r="D236" t="s">
        <v>54</v>
      </c>
      <c r="E236" t="s">
        <v>249</v>
      </c>
      <c r="F236" t="s">
        <v>317</v>
      </c>
      <c r="G236" s="2">
        <v>0</v>
      </c>
      <c r="H236">
        <v>4.1280000000000001</v>
      </c>
      <c r="I236">
        <v>4128</v>
      </c>
      <c r="O236" s="2"/>
    </row>
    <row r="237" spans="1:15" x14ac:dyDescent="0.3">
      <c r="A237">
        <v>2010</v>
      </c>
      <c r="B237" s="15">
        <f>DATE(2010,9,8)</f>
        <v>40429</v>
      </c>
      <c r="C237">
        <v>10012</v>
      </c>
      <c r="D237" t="s">
        <v>22</v>
      </c>
      <c r="E237" t="s">
        <v>250</v>
      </c>
      <c r="F237" t="s">
        <v>317</v>
      </c>
      <c r="G237" s="2">
        <v>0</v>
      </c>
      <c r="H237">
        <v>6.22</v>
      </c>
      <c r="I237">
        <v>6220</v>
      </c>
      <c r="O237" s="2"/>
    </row>
    <row r="238" spans="1:15" x14ac:dyDescent="0.3">
      <c r="A238">
        <v>2010</v>
      </c>
      <c r="B238" s="15">
        <f>DATE(2010,9,8)</f>
        <v>40429</v>
      </c>
      <c r="C238">
        <v>3445</v>
      </c>
      <c r="D238" t="s">
        <v>60</v>
      </c>
      <c r="E238" t="s">
        <v>251</v>
      </c>
      <c r="F238" t="s">
        <v>316</v>
      </c>
      <c r="G238" s="2">
        <v>382</v>
      </c>
      <c r="H238">
        <v>17.327999999999999</v>
      </c>
      <c r="I238">
        <v>17328</v>
      </c>
      <c r="O238" s="2"/>
    </row>
    <row r="239" spans="1:15" x14ac:dyDescent="0.3">
      <c r="A239">
        <v>2010</v>
      </c>
      <c r="B239" s="15">
        <f>DATE(2010,9,8)</f>
        <v>40429</v>
      </c>
      <c r="C239">
        <v>32109</v>
      </c>
      <c r="D239" t="s">
        <v>0</v>
      </c>
      <c r="E239" t="s">
        <v>252</v>
      </c>
      <c r="F239" t="s">
        <v>316</v>
      </c>
      <c r="G239" s="2" t="s">
        <v>354</v>
      </c>
      <c r="H239">
        <v>0.06</v>
      </c>
      <c r="I239">
        <v>60</v>
      </c>
      <c r="O239" s="2"/>
    </row>
    <row r="240" spans="1:15" x14ac:dyDescent="0.3">
      <c r="A240">
        <v>2010</v>
      </c>
      <c r="B240" s="15">
        <f>DATE(2010,9,8)</f>
        <v>40429</v>
      </c>
      <c r="C240">
        <v>32109</v>
      </c>
      <c r="D240" t="s">
        <v>0</v>
      </c>
      <c r="E240" t="s">
        <v>252</v>
      </c>
      <c r="F240" t="s">
        <v>316</v>
      </c>
      <c r="G240" s="2" t="s">
        <v>354</v>
      </c>
      <c r="H240">
        <v>0.06</v>
      </c>
      <c r="I240">
        <v>60</v>
      </c>
      <c r="O240" s="2"/>
    </row>
    <row r="241" spans="1:15" x14ac:dyDescent="0.3">
      <c r="A241">
        <v>2010</v>
      </c>
      <c r="B241" s="15">
        <f>DATE(2010,9,9)</f>
        <v>40430</v>
      </c>
      <c r="C241">
        <v>12624</v>
      </c>
      <c r="D241" t="s">
        <v>6</v>
      </c>
      <c r="F241" t="s">
        <v>317</v>
      </c>
      <c r="G241" s="2">
        <v>0</v>
      </c>
      <c r="H241">
        <v>47.442999999999998</v>
      </c>
      <c r="I241">
        <v>47443</v>
      </c>
      <c r="O241" s="2"/>
    </row>
    <row r="242" spans="1:15" x14ac:dyDescent="0.3">
      <c r="A242">
        <v>2010</v>
      </c>
      <c r="B242" s="15">
        <f>DATE(2010,9,9)</f>
        <v>40430</v>
      </c>
      <c r="C242">
        <v>11169</v>
      </c>
      <c r="D242" t="s">
        <v>3</v>
      </c>
      <c r="E242" t="s">
        <v>253</v>
      </c>
      <c r="F242" t="s">
        <v>322</v>
      </c>
      <c r="G242" s="2">
        <v>0</v>
      </c>
      <c r="H242">
        <v>47393.565999999999</v>
      </c>
      <c r="I242">
        <v>47393566</v>
      </c>
      <c r="O242" s="2"/>
    </row>
    <row r="243" spans="1:15" x14ac:dyDescent="0.3">
      <c r="A243">
        <v>2010</v>
      </c>
      <c r="B243" s="15">
        <f>DATE(2010,9,11)</f>
        <v>40432</v>
      </c>
      <c r="C243">
        <v>11169</v>
      </c>
      <c r="D243" t="s">
        <v>3</v>
      </c>
      <c r="E243" t="s">
        <v>254</v>
      </c>
      <c r="F243" t="s">
        <v>316</v>
      </c>
      <c r="G243" s="2">
        <v>0</v>
      </c>
      <c r="H243">
        <v>25</v>
      </c>
      <c r="I243">
        <v>25000</v>
      </c>
      <c r="O243" s="2"/>
    </row>
    <row r="244" spans="1:15" x14ac:dyDescent="0.3">
      <c r="A244">
        <v>2010</v>
      </c>
      <c r="B244" s="15">
        <f>DATE(2010,9,12)</f>
        <v>40433</v>
      </c>
      <c r="C244">
        <v>31947</v>
      </c>
      <c r="D244" t="s">
        <v>38</v>
      </c>
      <c r="E244" t="s">
        <v>109</v>
      </c>
      <c r="F244" t="s">
        <v>321</v>
      </c>
      <c r="G244" s="2">
        <v>0</v>
      </c>
      <c r="H244">
        <v>80</v>
      </c>
      <c r="I244">
        <v>80000</v>
      </c>
      <c r="O244" s="2"/>
    </row>
    <row r="245" spans="1:15" x14ac:dyDescent="0.3">
      <c r="A245">
        <v>2010</v>
      </c>
      <c r="B245" s="15">
        <f>DATE(2010,9,12)</f>
        <v>40433</v>
      </c>
      <c r="C245">
        <v>26085</v>
      </c>
      <c r="D245" t="s">
        <v>11</v>
      </c>
      <c r="E245" t="s">
        <v>255</v>
      </c>
      <c r="F245" t="s">
        <v>317</v>
      </c>
      <c r="G245" s="2">
        <v>0</v>
      </c>
      <c r="H245">
        <v>177.922</v>
      </c>
      <c r="I245">
        <v>177922</v>
      </c>
      <c r="O245" s="2"/>
    </row>
    <row r="246" spans="1:15" x14ac:dyDescent="0.3">
      <c r="A246">
        <v>2010</v>
      </c>
      <c r="B246" s="15">
        <f>DATE(2010,9,13)</f>
        <v>40434</v>
      </c>
      <c r="C246">
        <v>4805</v>
      </c>
      <c r="D246" t="s">
        <v>20</v>
      </c>
      <c r="E246" t="s">
        <v>170</v>
      </c>
      <c r="F246" t="s">
        <v>316</v>
      </c>
      <c r="G246" s="2">
        <v>0</v>
      </c>
      <c r="H246">
        <v>364.15699999999998</v>
      </c>
      <c r="I246">
        <v>364157</v>
      </c>
      <c r="O246" s="2"/>
    </row>
    <row r="247" spans="1:15" x14ac:dyDescent="0.3">
      <c r="A247">
        <v>2010</v>
      </c>
      <c r="B247" s="15">
        <f>DATE(2010,9,16)</f>
        <v>40437</v>
      </c>
      <c r="C247">
        <v>18718</v>
      </c>
      <c r="D247" t="s">
        <v>28</v>
      </c>
      <c r="E247" t="s">
        <v>256</v>
      </c>
      <c r="F247" t="s">
        <v>317</v>
      </c>
      <c r="G247" s="2" t="s">
        <v>330</v>
      </c>
      <c r="H247">
        <v>18.864999999999998</v>
      </c>
      <c r="I247">
        <v>18865</v>
      </c>
      <c r="O247" s="2"/>
    </row>
    <row r="248" spans="1:15" x14ac:dyDescent="0.3">
      <c r="A248">
        <v>2010</v>
      </c>
      <c r="B248" s="15">
        <f>DATE(2010,9,16)</f>
        <v>40437</v>
      </c>
      <c r="C248">
        <v>31618</v>
      </c>
      <c r="D248" t="s">
        <v>33</v>
      </c>
      <c r="E248" t="s">
        <v>257</v>
      </c>
      <c r="F248" t="s">
        <v>320</v>
      </c>
      <c r="G248" s="2">
        <v>42917</v>
      </c>
      <c r="H248">
        <v>116.35599999999999</v>
      </c>
      <c r="I248">
        <v>116356</v>
      </c>
      <c r="O248" s="2"/>
    </row>
    <row r="249" spans="1:15" x14ac:dyDescent="0.3">
      <c r="A249">
        <v>2010</v>
      </c>
      <c r="B249" s="15">
        <f>DATE(2010,9,16)</f>
        <v>40437</v>
      </c>
      <c r="C249">
        <v>22610</v>
      </c>
      <c r="D249" t="s">
        <v>19</v>
      </c>
      <c r="E249" t="s">
        <v>258</v>
      </c>
      <c r="F249" t="s">
        <v>317</v>
      </c>
      <c r="G249" s="2">
        <v>0</v>
      </c>
      <c r="H249">
        <v>40.1</v>
      </c>
      <c r="I249">
        <v>40100</v>
      </c>
      <c r="O249" s="2"/>
    </row>
    <row r="250" spans="1:15" x14ac:dyDescent="0.3">
      <c r="A250">
        <v>2010</v>
      </c>
      <c r="B250" s="15">
        <f>DATE(2010,9,16)</f>
        <v>40437</v>
      </c>
      <c r="C250">
        <v>1845</v>
      </c>
      <c r="D250" t="s">
        <v>27</v>
      </c>
      <c r="E250" t="s">
        <v>259</v>
      </c>
      <c r="F250" t="s">
        <v>317</v>
      </c>
      <c r="G250" s="2">
        <v>0</v>
      </c>
      <c r="H250">
        <v>0.94</v>
      </c>
      <c r="I250">
        <v>940</v>
      </c>
      <c r="O250" s="2"/>
    </row>
    <row r="251" spans="1:15" x14ac:dyDescent="0.3">
      <c r="A251">
        <v>2010</v>
      </c>
      <c r="B251" s="15">
        <f>DATE(2010,9,17)</f>
        <v>40438</v>
      </c>
      <c r="C251">
        <v>2731</v>
      </c>
      <c r="D251" t="s">
        <v>45</v>
      </c>
      <c r="E251" t="s">
        <v>260</v>
      </c>
      <c r="F251" t="s">
        <v>317</v>
      </c>
      <c r="G251" s="2">
        <v>87</v>
      </c>
      <c r="H251">
        <v>60.25</v>
      </c>
      <c r="I251">
        <v>60250</v>
      </c>
      <c r="O251" s="2"/>
    </row>
    <row r="252" spans="1:15" x14ac:dyDescent="0.3">
      <c r="A252">
        <v>2010</v>
      </c>
      <c r="B252" s="15">
        <f>DATE(2010,9,19)</f>
        <v>40440</v>
      </c>
      <c r="C252">
        <v>31618</v>
      </c>
      <c r="D252" t="s">
        <v>33</v>
      </c>
      <c r="E252" t="s">
        <v>261</v>
      </c>
      <c r="F252" t="s">
        <v>317</v>
      </c>
      <c r="G252" s="2">
        <v>200</v>
      </c>
      <c r="H252">
        <v>27.4</v>
      </c>
      <c r="I252">
        <v>27400</v>
      </c>
      <c r="O252" s="2"/>
    </row>
    <row r="253" spans="1:15" x14ac:dyDescent="0.3">
      <c r="A253">
        <v>2010</v>
      </c>
      <c r="B253" s="15">
        <f>DATE(2010,9,22)</f>
        <v>40443</v>
      </c>
      <c r="C253">
        <v>22442</v>
      </c>
      <c r="D253" t="s">
        <v>59</v>
      </c>
      <c r="E253" t="s">
        <v>222</v>
      </c>
      <c r="F253" t="s">
        <v>317</v>
      </c>
      <c r="G253" s="2">
        <v>2</v>
      </c>
      <c r="H253">
        <v>21.084</v>
      </c>
      <c r="I253">
        <v>21084</v>
      </c>
      <c r="O253" s="2"/>
    </row>
    <row r="254" spans="1:15" x14ac:dyDescent="0.3">
      <c r="A254">
        <v>2010</v>
      </c>
      <c r="B254" s="15">
        <f>DATE(2010,9,23)</f>
        <v>40444</v>
      </c>
      <c r="C254">
        <v>11169</v>
      </c>
      <c r="D254" t="s">
        <v>3</v>
      </c>
      <c r="E254" t="s">
        <v>163</v>
      </c>
      <c r="F254" t="s">
        <v>316</v>
      </c>
      <c r="G254" s="2">
        <v>0</v>
      </c>
      <c r="H254">
        <v>35.1</v>
      </c>
      <c r="I254">
        <v>35100</v>
      </c>
      <c r="O254" s="2"/>
    </row>
    <row r="255" spans="1:15" x14ac:dyDescent="0.3">
      <c r="A255">
        <v>2010</v>
      </c>
      <c r="B255" s="15">
        <f>DATE(2010,9,24)</f>
        <v>40445</v>
      </c>
      <c r="C255">
        <v>18718</v>
      </c>
      <c r="D255" t="s">
        <v>28</v>
      </c>
      <c r="E255" t="s">
        <v>262</v>
      </c>
      <c r="F255" t="s">
        <v>316</v>
      </c>
      <c r="G255" s="2">
        <v>1</v>
      </c>
      <c r="H255">
        <v>0.23699999999999999</v>
      </c>
      <c r="I255">
        <v>237</v>
      </c>
      <c r="O255" s="2"/>
    </row>
    <row r="256" spans="1:15" x14ac:dyDescent="0.3">
      <c r="A256">
        <v>2010</v>
      </c>
      <c r="B256" s="15">
        <f>DATE(2010,9,27)</f>
        <v>40448</v>
      </c>
      <c r="C256">
        <v>18718</v>
      </c>
      <c r="D256" t="s">
        <v>28</v>
      </c>
      <c r="E256" t="s">
        <v>160</v>
      </c>
      <c r="F256" t="s">
        <v>316</v>
      </c>
      <c r="G256" s="2" t="s">
        <v>337</v>
      </c>
      <c r="H256">
        <v>8.9130000000000003</v>
      </c>
      <c r="I256">
        <v>8913</v>
      </c>
      <c r="O256" s="2"/>
    </row>
    <row r="257" spans="1:15" x14ac:dyDescent="0.3">
      <c r="A257">
        <v>2010</v>
      </c>
      <c r="B257" s="15">
        <f>DATE(2010,9,28)</f>
        <v>40449</v>
      </c>
      <c r="C257">
        <v>18718</v>
      </c>
      <c r="D257" t="s">
        <v>28</v>
      </c>
      <c r="E257" t="s">
        <v>160</v>
      </c>
      <c r="F257" t="s">
        <v>319</v>
      </c>
      <c r="G257" s="2">
        <v>0</v>
      </c>
      <c r="H257">
        <v>1.02</v>
      </c>
      <c r="I257">
        <v>1020</v>
      </c>
      <c r="O257" s="2"/>
    </row>
    <row r="258" spans="1:15" x14ac:dyDescent="0.3">
      <c r="A258">
        <v>2010</v>
      </c>
      <c r="B258" s="15">
        <f>DATE(2010,9,30)</f>
        <v>40451</v>
      </c>
      <c r="C258">
        <v>18718</v>
      </c>
      <c r="D258" t="s">
        <v>28</v>
      </c>
      <c r="E258" t="s">
        <v>214</v>
      </c>
      <c r="F258" t="s">
        <v>317</v>
      </c>
      <c r="G258" s="2">
        <v>1</v>
      </c>
      <c r="H258">
        <v>3.9820000000000002</v>
      </c>
      <c r="I258">
        <v>3982</v>
      </c>
      <c r="O258" s="2"/>
    </row>
    <row r="259" spans="1:15" x14ac:dyDescent="0.3">
      <c r="A259">
        <v>2010</v>
      </c>
      <c r="B259" s="15">
        <f>DATE(2010,10,5)</f>
        <v>40456</v>
      </c>
      <c r="C259">
        <v>31618</v>
      </c>
      <c r="D259" t="s">
        <v>33</v>
      </c>
      <c r="E259" t="s">
        <v>263</v>
      </c>
      <c r="F259" t="s">
        <v>317</v>
      </c>
      <c r="G259" s="2">
        <v>1</v>
      </c>
      <c r="H259">
        <v>35.15</v>
      </c>
      <c r="I259">
        <v>35150</v>
      </c>
      <c r="O259" s="2"/>
    </row>
    <row r="260" spans="1:15" x14ac:dyDescent="0.3">
      <c r="A260">
        <v>2010</v>
      </c>
      <c r="B260" s="15">
        <f>DATE(2010,10,6)</f>
        <v>40457</v>
      </c>
      <c r="C260">
        <v>18718</v>
      </c>
      <c r="D260" t="s">
        <v>28</v>
      </c>
      <c r="E260" t="s">
        <v>264</v>
      </c>
      <c r="F260" t="s">
        <v>321</v>
      </c>
      <c r="G260" s="2">
        <v>0</v>
      </c>
      <c r="H260">
        <v>75</v>
      </c>
      <c r="I260">
        <v>75000</v>
      </c>
      <c r="O260" s="2"/>
    </row>
    <row r="261" spans="1:15" x14ac:dyDescent="0.3">
      <c r="A261">
        <v>2010</v>
      </c>
      <c r="B261" s="15">
        <f>DATE(2010,10,8)</f>
        <v>40459</v>
      </c>
      <c r="C261">
        <v>31618</v>
      </c>
      <c r="D261" t="s">
        <v>33</v>
      </c>
      <c r="E261" t="s">
        <v>160</v>
      </c>
      <c r="F261" t="s">
        <v>317</v>
      </c>
      <c r="G261" s="2">
        <v>20</v>
      </c>
      <c r="H261">
        <v>262.51900000000001</v>
      </c>
      <c r="I261">
        <v>262519</v>
      </c>
      <c r="O261" s="2"/>
    </row>
    <row r="262" spans="1:15" x14ac:dyDescent="0.3">
      <c r="A262">
        <v>2010</v>
      </c>
      <c r="B262" s="15">
        <f>DATE(2010,10,11)</f>
        <v>40462</v>
      </c>
      <c r="C262">
        <v>31888</v>
      </c>
      <c r="D262" t="s">
        <v>68</v>
      </c>
      <c r="E262" t="s">
        <v>265</v>
      </c>
      <c r="F262" t="s">
        <v>317</v>
      </c>
      <c r="G262" s="2">
        <v>250</v>
      </c>
      <c r="H262">
        <v>64.13</v>
      </c>
      <c r="I262">
        <v>64130</v>
      </c>
      <c r="O262" s="2"/>
    </row>
    <row r="263" spans="1:15" x14ac:dyDescent="0.3">
      <c r="A263">
        <v>2010</v>
      </c>
      <c r="B263" s="15">
        <f>DATE(2010,10,11)</f>
        <v>40462</v>
      </c>
      <c r="C263">
        <v>26041</v>
      </c>
      <c r="D263" t="s">
        <v>5</v>
      </c>
      <c r="E263" t="s">
        <v>266</v>
      </c>
      <c r="F263" t="s">
        <v>316</v>
      </c>
      <c r="G263" s="2">
        <v>0</v>
      </c>
      <c r="H263">
        <v>7.2</v>
      </c>
      <c r="I263">
        <v>7200</v>
      </c>
      <c r="O263" s="2"/>
    </row>
    <row r="264" spans="1:15" x14ac:dyDescent="0.3">
      <c r="A264">
        <v>2010</v>
      </c>
      <c r="B264" s="15">
        <f>DATE(2010,10,11)</f>
        <v>40462</v>
      </c>
      <c r="C264">
        <v>7063</v>
      </c>
      <c r="D264" t="s">
        <v>69</v>
      </c>
      <c r="E264" t="s">
        <v>267</v>
      </c>
      <c r="F264" t="s">
        <v>316</v>
      </c>
      <c r="G264" s="2">
        <v>0</v>
      </c>
      <c r="H264">
        <v>0</v>
      </c>
      <c r="I264">
        <v>0</v>
      </c>
      <c r="O264" s="2"/>
    </row>
    <row r="265" spans="1:15" x14ac:dyDescent="0.3">
      <c r="A265">
        <v>2010</v>
      </c>
      <c r="B265" s="15">
        <f>DATE(2010,10,21)</f>
        <v>40472</v>
      </c>
      <c r="C265">
        <v>31555</v>
      </c>
      <c r="D265" t="s">
        <v>51</v>
      </c>
      <c r="F265" t="s">
        <v>320</v>
      </c>
      <c r="G265" s="2">
        <v>299</v>
      </c>
      <c r="H265">
        <v>1.5249999999999999</v>
      </c>
      <c r="I265">
        <v>1525</v>
      </c>
      <c r="O265" s="2"/>
    </row>
    <row r="266" spans="1:15" x14ac:dyDescent="0.3">
      <c r="A266">
        <v>2010</v>
      </c>
      <c r="B266" s="15">
        <f>DATE(2010,10,23)</f>
        <v>40474</v>
      </c>
      <c r="C266">
        <v>2731</v>
      </c>
      <c r="D266" t="s">
        <v>45</v>
      </c>
      <c r="E266" t="s">
        <v>268</v>
      </c>
      <c r="F266" t="s">
        <v>317</v>
      </c>
      <c r="G266" s="2">
        <v>42772</v>
      </c>
      <c r="H266">
        <v>29.15</v>
      </c>
      <c r="I266">
        <v>29150</v>
      </c>
      <c r="O266" s="2"/>
    </row>
    <row r="267" spans="1:15" x14ac:dyDescent="0.3">
      <c r="A267">
        <v>2010</v>
      </c>
      <c r="B267" s="15">
        <f>DATE(2010,10,26)</f>
        <v>40477</v>
      </c>
      <c r="C267">
        <v>30829</v>
      </c>
      <c r="D267" t="s">
        <v>70</v>
      </c>
      <c r="E267" t="s">
        <v>269</v>
      </c>
      <c r="F267" t="s">
        <v>317</v>
      </c>
      <c r="G267" s="2">
        <v>0</v>
      </c>
      <c r="H267">
        <v>5.05</v>
      </c>
      <c r="I267">
        <v>5050</v>
      </c>
      <c r="O267" s="2"/>
    </row>
    <row r="268" spans="1:15" x14ac:dyDescent="0.3">
      <c r="A268">
        <v>2010</v>
      </c>
      <c r="B268" s="15">
        <f>DATE(2010,10,27)</f>
        <v>40478</v>
      </c>
      <c r="C268">
        <v>30829</v>
      </c>
      <c r="D268" t="s">
        <v>70</v>
      </c>
      <c r="E268" t="s">
        <v>270</v>
      </c>
      <c r="F268" t="s">
        <v>317</v>
      </c>
      <c r="G268" s="2">
        <v>8</v>
      </c>
      <c r="H268">
        <v>27.8</v>
      </c>
      <c r="I268">
        <v>27800</v>
      </c>
      <c r="O268" s="2"/>
    </row>
    <row r="269" spans="1:15" x14ac:dyDescent="0.3">
      <c r="A269">
        <v>2010</v>
      </c>
      <c r="B269" s="15">
        <f>DATE(2010,11,1)</f>
        <v>40483</v>
      </c>
      <c r="C269">
        <v>32147</v>
      </c>
      <c r="D269" t="s">
        <v>48</v>
      </c>
      <c r="E269" t="s">
        <v>271</v>
      </c>
      <c r="F269" t="s">
        <v>317</v>
      </c>
      <c r="G269" s="2">
        <v>0</v>
      </c>
      <c r="H269">
        <v>1.99</v>
      </c>
      <c r="I269">
        <v>1990</v>
      </c>
      <c r="O269" s="2"/>
    </row>
    <row r="270" spans="1:15" x14ac:dyDescent="0.3">
      <c r="A270">
        <v>2010</v>
      </c>
      <c r="B270" s="15">
        <f>DATE(2010,11,1)</f>
        <v>40483</v>
      </c>
      <c r="C270">
        <v>32109</v>
      </c>
      <c r="D270" t="s">
        <v>0</v>
      </c>
      <c r="E270" t="s">
        <v>272</v>
      </c>
      <c r="F270" t="s">
        <v>321</v>
      </c>
      <c r="G270" s="2">
        <v>241</v>
      </c>
      <c r="H270">
        <v>250.358</v>
      </c>
      <c r="I270">
        <v>250358</v>
      </c>
      <c r="O270" s="2"/>
    </row>
    <row r="271" spans="1:15" x14ac:dyDescent="0.3">
      <c r="A271">
        <v>2010</v>
      </c>
      <c r="B271" s="15">
        <f>DATE(2010,11,2)</f>
        <v>40484</v>
      </c>
      <c r="C271">
        <v>22610</v>
      </c>
      <c r="D271" t="s">
        <v>19</v>
      </c>
      <c r="E271" t="s">
        <v>170</v>
      </c>
      <c r="F271" t="s">
        <v>317</v>
      </c>
      <c r="G271" s="2">
        <v>0</v>
      </c>
      <c r="H271">
        <v>4</v>
      </c>
      <c r="I271">
        <v>4000</v>
      </c>
      <c r="O271" s="2"/>
    </row>
    <row r="272" spans="1:15" x14ac:dyDescent="0.3">
      <c r="A272">
        <v>2010</v>
      </c>
      <c r="B272" s="15">
        <f>DATE(2010,11,3)</f>
        <v>40485</v>
      </c>
      <c r="C272">
        <v>2552</v>
      </c>
      <c r="D272" t="s">
        <v>30</v>
      </c>
      <c r="E272" t="s">
        <v>160</v>
      </c>
      <c r="F272" t="s">
        <v>317</v>
      </c>
      <c r="G272" s="2">
        <v>0</v>
      </c>
      <c r="H272">
        <v>35</v>
      </c>
      <c r="I272">
        <v>35000</v>
      </c>
      <c r="O272" s="2"/>
    </row>
    <row r="273" spans="1:15" x14ac:dyDescent="0.3">
      <c r="A273">
        <v>2010</v>
      </c>
      <c r="B273" s="15">
        <f>DATE(2010,11,4)</f>
        <v>40486</v>
      </c>
      <c r="C273">
        <v>2552</v>
      </c>
      <c r="D273" t="s">
        <v>30</v>
      </c>
      <c r="E273" t="s">
        <v>111</v>
      </c>
      <c r="F273" t="s">
        <v>317</v>
      </c>
      <c r="G273" s="2">
        <v>0</v>
      </c>
      <c r="H273">
        <v>21</v>
      </c>
      <c r="I273">
        <v>21000</v>
      </c>
      <c r="O273" s="2"/>
    </row>
    <row r="274" spans="1:15" x14ac:dyDescent="0.3">
      <c r="A274">
        <v>2010</v>
      </c>
      <c r="B274" s="15">
        <f>DATE(2010,11,4)</f>
        <v>40486</v>
      </c>
      <c r="C274">
        <v>18092</v>
      </c>
      <c r="D274" t="s">
        <v>37</v>
      </c>
      <c r="E274" t="s">
        <v>273</v>
      </c>
      <c r="F274" t="s">
        <v>317</v>
      </c>
      <c r="G274" s="2">
        <v>0</v>
      </c>
      <c r="H274">
        <v>64.963999999999999</v>
      </c>
      <c r="I274">
        <v>64964</v>
      </c>
      <c r="O274" s="2"/>
    </row>
    <row r="275" spans="1:15" x14ac:dyDescent="0.3">
      <c r="A275">
        <v>2010</v>
      </c>
      <c r="B275" s="15">
        <f>DATE(2010,11,5)</f>
        <v>40487</v>
      </c>
      <c r="C275">
        <v>300</v>
      </c>
      <c r="D275" t="s">
        <v>4</v>
      </c>
      <c r="E275" t="s">
        <v>274</v>
      </c>
      <c r="F275" t="s">
        <v>321</v>
      </c>
      <c r="G275" s="2">
        <v>0</v>
      </c>
      <c r="H275">
        <v>8.5399999999999991</v>
      </c>
      <c r="I275">
        <v>8540</v>
      </c>
      <c r="O275" s="2"/>
    </row>
    <row r="276" spans="1:15" x14ac:dyDescent="0.3">
      <c r="A276">
        <v>2010</v>
      </c>
      <c r="B276" s="15">
        <f>DATE(2010,11,6)</f>
        <v>40488</v>
      </c>
      <c r="C276">
        <v>32109</v>
      </c>
      <c r="D276" t="s">
        <v>0</v>
      </c>
      <c r="E276" t="s">
        <v>275</v>
      </c>
      <c r="F276" t="s">
        <v>317</v>
      </c>
      <c r="G276" s="2">
        <v>19419</v>
      </c>
      <c r="H276">
        <v>0.159</v>
      </c>
      <c r="I276">
        <v>159</v>
      </c>
      <c r="O276" s="2"/>
    </row>
    <row r="277" spans="1:15" x14ac:dyDescent="0.3">
      <c r="A277">
        <v>2010</v>
      </c>
      <c r="B277" s="15">
        <f>DATE(2010,11,7)</f>
        <v>40489</v>
      </c>
      <c r="C277">
        <v>30829</v>
      </c>
      <c r="D277" t="s">
        <v>70</v>
      </c>
      <c r="E277" t="s">
        <v>276</v>
      </c>
      <c r="F277" t="s">
        <v>321</v>
      </c>
      <c r="G277" s="2">
        <v>10</v>
      </c>
      <c r="H277">
        <v>65.099999999999994</v>
      </c>
      <c r="I277">
        <v>65100</v>
      </c>
      <c r="O277" s="2"/>
    </row>
    <row r="278" spans="1:15" x14ac:dyDescent="0.3">
      <c r="A278">
        <v>2010</v>
      </c>
      <c r="B278" s="15">
        <f>DATE(2010,11,8)</f>
        <v>40490</v>
      </c>
      <c r="C278">
        <v>26041</v>
      </c>
      <c r="D278" t="s">
        <v>5</v>
      </c>
      <c r="E278" t="s">
        <v>277</v>
      </c>
      <c r="F278" t="s">
        <v>317</v>
      </c>
      <c r="G278" s="2">
        <v>0</v>
      </c>
      <c r="H278">
        <v>1.76</v>
      </c>
      <c r="I278">
        <v>1760</v>
      </c>
      <c r="O278" s="2"/>
    </row>
    <row r="279" spans="1:15" x14ac:dyDescent="0.3">
      <c r="A279">
        <v>2010</v>
      </c>
      <c r="B279" s="15">
        <f>DATE(2010,11,8)</f>
        <v>40490</v>
      </c>
      <c r="C279">
        <v>2552</v>
      </c>
      <c r="D279" t="s">
        <v>30</v>
      </c>
      <c r="E279" t="s">
        <v>278</v>
      </c>
      <c r="F279" t="s">
        <v>317</v>
      </c>
      <c r="G279" s="2" t="s">
        <v>334</v>
      </c>
      <c r="H279">
        <v>80</v>
      </c>
      <c r="I279">
        <v>80000</v>
      </c>
      <c r="O279" s="2"/>
    </row>
    <row r="280" spans="1:15" x14ac:dyDescent="0.3">
      <c r="A280">
        <v>2010</v>
      </c>
      <c r="B280" s="15">
        <f>DATE(2010,11,9)</f>
        <v>40491</v>
      </c>
      <c r="C280">
        <v>31476</v>
      </c>
      <c r="D280" t="s">
        <v>25</v>
      </c>
      <c r="E280" t="s">
        <v>225</v>
      </c>
      <c r="F280" t="s">
        <v>321</v>
      </c>
      <c r="G280" s="2">
        <v>5</v>
      </c>
      <c r="H280">
        <v>91.95</v>
      </c>
      <c r="I280">
        <v>91950</v>
      </c>
      <c r="O280" s="2"/>
    </row>
    <row r="281" spans="1:15" x14ac:dyDescent="0.3">
      <c r="A281">
        <v>2010</v>
      </c>
      <c r="B281" s="15">
        <f>DATE(2010,11,9)</f>
        <v>40491</v>
      </c>
      <c r="C281">
        <v>31174</v>
      </c>
      <c r="D281" t="s">
        <v>14</v>
      </c>
      <c r="E281" t="s">
        <v>102</v>
      </c>
      <c r="F281" t="s">
        <v>317</v>
      </c>
      <c r="G281" s="2">
        <v>5</v>
      </c>
      <c r="H281">
        <v>8.5299999999999994</v>
      </c>
      <c r="I281">
        <v>8530</v>
      </c>
      <c r="O281" s="2"/>
    </row>
    <row r="282" spans="1:15" x14ac:dyDescent="0.3">
      <c r="A282">
        <v>2010</v>
      </c>
      <c r="B282" s="15">
        <f>DATE(2010,11,10)</f>
        <v>40492</v>
      </c>
      <c r="C282">
        <v>30829</v>
      </c>
      <c r="D282" t="s">
        <v>70</v>
      </c>
      <c r="E282" t="s">
        <v>279</v>
      </c>
      <c r="F282" t="s">
        <v>317</v>
      </c>
      <c r="G282" s="2">
        <v>2</v>
      </c>
      <c r="H282">
        <v>3.7</v>
      </c>
      <c r="I282">
        <v>3700</v>
      </c>
      <c r="O282" s="2"/>
    </row>
    <row r="283" spans="1:15" x14ac:dyDescent="0.3">
      <c r="A283">
        <v>2010</v>
      </c>
      <c r="B283" s="15">
        <f>DATE(2010,11,11)</f>
        <v>40493</v>
      </c>
      <c r="C283">
        <v>11169</v>
      </c>
      <c r="D283" t="s">
        <v>3</v>
      </c>
      <c r="E283" t="s">
        <v>280</v>
      </c>
      <c r="F283" t="s">
        <v>317</v>
      </c>
      <c r="G283" s="2">
        <v>0</v>
      </c>
      <c r="H283">
        <v>31</v>
      </c>
      <c r="I283">
        <v>31000</v>
      </c>
      <c r="O283" s="2"/>
    </row>
    <row r="284" spans="1:15" x14ac:dyDescent="0.3">
      <c r="A284">
        <v>2010</v>
      </c>
      <c r="B284" s="15">
        <f>DATE(2010,11,11)</f>
        <v>40493</v>
      </c>
      <c r="C284">
        <v>31610</v>
      </c>
      <c r="D284" t="s">
        <v>71</v>
      </c>
      <c r="E284" t="s">
        <v>281</v>
      </c>
      <c r="F284" t="s">
        <v>319</v>
      </c>
      <c r="G284" s="2">
        <v>79</v>
      </c>
      <c r="H284">
        <v>765</v>
      </c>
      <c r="I284">
        <v>765000</v>
      </c>
      <c r="O284" s="2"/>
    </row>
    <row r="285" spans="1:15" x14ac:dyDescent="0.3">
      <c r="A285">
        <v>2010</v>
      </c>
      <c r="B285" s="15">
        <f>DATE(2010,11,12)</f>
        <v>40494</v>
      </c>
      <c r="C285">
        <v>22610</v>
      </c>
      <c r="D285" t="s">
        <v>19</v>
      </c>
      <c r="E285" t="s">
        <v>282</v>
      </c>
      <c r="F285" t="s">
        <v>317</v>
      </c>
      <c r="G285" s="2">
        <v>0</v>
      </c>
      <c r="H285">
        <v>393.5</v>
      </c>
      <c r="I285">
        <v>393500</v>
      </c>
      <c r="O285" s="2"/>
    </row>
    <row r="286" spans="1:15" x14ac:dyDescent="0.3">
      <c r="A286">
        <v>2010</v>
      </c>
      <c r="B286" s="15">
        <f>DATE(2010,11,12)</f>
        <v>40494</v>
      </c>
      <c r="C286">
        <v>18718</v>
      </c>
      <c r="D286" t="s">
        <v>28</v>
      </c>
      <c r="E286" t="s">
        <v>283</v>
      </c>
      <c r="F286" t="s">
        <v>316</v>
      </c>
      <c r="G286" s="2" t="s">
        <v>324</v>
      </c>
      <c r="H286">
        <v>7.3680000000000003</v>
      </c>
      <c r="I286">
        <v>7368</v>
      </c>
      <c r="O286" s="2"/>
    </row>
    <row r="287" spans="1:15" x14ac:dyDescent="0.3">
      <c r="A287">
        <v>2010</v>
      </c>
      <c r="B287" s="15">
        <f>DATE(2010,11,15)</f>
        <v>40497</v>
      </c>
      <c r="C287">
        <v>30829</v>
      </c>
      <c r="D287" t="s">
        <v>70</v>
      </c>
      <c r="E287" t="s">
        <v>279</v>
      </c>
      <c r="F287" t="s">
        <v>317</v>
      </c>
      <c r="G287" s="2">
        <v>5</v>
      </c>
      <c r="H287">
        <v>47</v>
      </c>
      <c r="I287">
        <v>47000</v>
      </c>
      <c r="O287" s="2"/>
    </row>
    <row r="288" spans="1:15" x14ac:dyDescent="0.3">
      <c r="A288">
        <v>2010</v>
      </c>
      <c r="B288" s="15">
        <f>DATE(2010,11,15)</f>
        <v>40497</v>
      </c>
      <c r="C288">
        <v>9175</v>
      </c>
      <c r="D288" t="s">
        <v>10</v>
      </c>
      <c r="E288" t="s">
        <v>284</v>
      </c>
      <c r="F288" t="s">
        <v>317</v>
      </c>
      <c r="G288" s="2">
        <v>0</v>
      </c>
      <c r="H288">
        <v>0.3</v>
      </c>
      <c r="I288">
        <v>300</v>
      </c>
      <c r="O288" s="2"/>
    </row>
    <row r="289" spans="1:15" x14ac:dyDescent="0.3">
      <c r="A289">
        <v>2010</v>
      </c>
      <c r="B289" s="15">
        <f>DATE(2010,11,15)</f>
        <v>40497</v>
      </c>
      <c r="C289">
        <v>12105</v>
      </c>
      <c r="D289" t="s">
        <v>13</v>
      </c>
      <c r="E289" t="s">
        <v>285</v>
      </c>
      <c r="F289" t="s">
        <v>317</v>
      </c>
      <c r="G289" s="2">
        <v>22859</v>
      </c>
      <c r="H289">
        <v>67.430999999999997</v>
      </c>
      <c r="I289">
        <v>67431</v>
      </c>
      <c r="O289" s="2"/>
    </row>
    <row r="290" spans="1:15" x14ac:dyDescent="0.3">
      <c r="A290">
        <v>2010</v>
      </c>
      <c r="B290" s="15">
        <f>DATE(2010,11,15)</f>
        <v>40497</v>
      </c>
      <c r="C290">
        <v>18718</v>
      </c>
      <c r="D290" t="s">
        <v>28</v>
      </c>
      <c r="E290" t="s">
        <v>286</v>
      </c>
      <c r="F290" t="s">
        <v>316</v>
      </c>
      <c r="G290" s="2">
        <v>5</v>
      </c>
      <c r="H290">
        <v>19.434000000000001</v>
      </c>
      <c r="I290">
        <v>19434</v>
      </c>
      <c r="O290" s="2"/>
    </row>
    <row r="291" spans="1:15" x14ac:dyDescent="0.3">
      <c r="A291">
        <v>2010</v>
      </c>
      <c r="B291" s="15">
        <f>DATE(2010,11,16)</f>
        <v>40498</v>
      </c>
      <c r="C291">
        <v>30829</v>
      </c>
      <c r="D291" t="s">
        <v>70</v>
      </c>
      <c r="E291" t="s">
        <v>287</v>
      </c>
      <c r="F291" t="s">
        <v>317</v>
      </c>
      <c r="G291" s="2" t="s">
        <v>329</v>
      </c>
      <c r="H291">
        <v>29.184999999999999</v>
      </c>
      <c r="I291">
        <v>29185</v>
      </c>
      <c r="O291" s="2"/>
    </row>
    <row r="292" spans="1:15" x14ac:dyDescent="0.3">
      <c r="A292">
        <v>2010</v>
      </c>
      <c r="B292" s="15">
        <f>DATE(2010,11,16)</f>
        <v>40498</v>
      </c>
      <c r="C292">
        <v>31618</v>
      </c>
      <c r="D292" t="s">
        <v>33</v>
      </c>
      <c r="E292" t="s">
        <v>261</v>
      </c>
      <c r="F292" t="s">
        <v>319</v>
      </c>
      <c r="G292" s="2">
        <v>25</v>
      </c>
      <c r="H292">
        <v>45</v>
      </c>
      <c r="I292">
        <v>45000</v>
      </c>
      <c r="O292" s="2"/>
    </row>
    <row r="293" spans="1:15" x14ac:dyDescent="0.3">
      <c r="A293">
        <v>2010</v>
      </c>
      <c r="B293" s="15">
        <f>DATE(2010,11,16)</f>
        <v>40498</v>
      </c>
      <c r="C293">
        <v>31174</v>
      </c>
      <c r="D293" t="s">
        <v>14</v>
      </c>
      <c r="E293" t="s">
        <v>288</v>
      </c>
      <c r="F293" t="s">
        <v>321</v>
      </c>
      <c r="G293" s="2">
        <v>535</v>
      </c>
      <c r="H293">
        <v>989</v>
      </c>
      <c r="I293">
        <v>989000</v>
      </c>
      <c r="O293" s="2"/>
    </row>
    <row r="294" spans="1:15" x14ac:dyDescent="0.3">
      <c r="A294">
        <v>2010</v>
      </c>
      <c r="B294" s="15">
        <f>DATE(2010,11,18)</f>
        <v>40500</v>
      </c>
      <c r="C294">
        <v>2552</v>
      </c>
      <c r="D294" t="s">
        <v>30</v>
      </c>
      <c r="E294" t="s">
        <v>289</v>
      </c>
      <c r="F294" t="s">
        <v>321</v>
      </c>
      <c r="G294" s="2">
        <v>0</v>
      </c>
      <c r="H294">
        <v>13.25</v>
      </c>
      <c r="I294">
        <v>13250</v>
      </c>
      <c r="O294" s="2"/>
    </row>
    <row r="295" spans="1:15" x14ac:dyDescent="0.3">
      <c r="A295">
        <v>2010</v>
      </c>
      <c r="B295" s="15">
        <f>DATE(2010,11,20)</f>
        <v>40502</v>
      </c>
      <c r="C295">
        <v>18718</v>
      </c>
      <c r="D295" t="s">
        <v>28</v>
      </c>
      <c r="E295" t="s">
        <v>290</v>
      </c>
      <c r="F295" t="s">
        <v>317</v>
      </c>
      <c r="G295" s="2">
        <v>100</v>
      </c>
      <c r="H295">
        <v>438.06</v>
      </c>
      <c r="I295">
        <v>438060</v>
      </c>
      <c r="O295" s="2"/>
    </row>
    <row r="296" spans="1:15" x14ac:dyDescent="0.3">
      <c r="A296">
        <v>2010</v>
      </c>
      <c r="B296" s="15">
        <f>DATE(2010,11,20)</f>
        <v>40502</v>
      </c>
      <c r="C296">
        <v>26041</v>
      </c>
      <c r="D296" t="s">
        <v>5</v>
      </c>
      <c r="E296" t="s">
        <v>219</v>
      </c>
      <c r="F296" t="s">
        <v>316</v>
      </c>
      <c r="G296" s="2">
        <v>2</v>
      </c>
      <c r="H296">
        <v>11.7</v>
      </c>
      <c r="I296">
        <v>11700</v>
      </c>
      <c r="O296" s="2"/>
    </row>
    <row r="297" spans="1:15" x14ac:dyDescent="0.3">
      <c r="A297">
        <v>2010</v>
      </c>
      <c r="B297" s="15">
        <f>DATE(2010,11,22)</f>
        <v>40504</v>
      </c>
      <c r="C297">
        <v>9175</v>
      </c>
      <c r="D297" t="s">
        <v>10</v>
      </c>
      <c r="E297" t="s">
        <v>291</v>
      </c>
      <c r="F297" t="s">
        <v>317</v>
      </c>
      <c r="G297" s="2" t="s">
        <v>355</v>
      </c>
      <c r="H297">
        <v>1.0549999999999999</v>
      </c>
      <c r="I297">
        <v>1055</v>
      </c>
      <c r="O297" s="2"/>
    </row>
    <row r="298" spans="1:15" x14ac:dyDescent="0.3">
      <c r="A298">
        <v>2010</v>
      </c>
      <c r="B298" s="15">
        <f>DATE(2010,11,22)</f>
        <v>40504</v>
      </c>
      <c r="C298">
        <v>30829</v>
      </c>
      <c r="D298" t="s">
        <v>70</v>
      </c>
      <c r="E298" t="s">
        <v>292</v>
      </c>
      <c r="F298" t="s">
        <v>317</v>
      </c>
      <c r="G298" s="2">
        <v>2</v>
      </c>
      <c r="H298">
        <v>18</v>
      </c>
      <c r="I298">
        <v>18000</v>
      </c>
      <c r="O298" s="2"/>
    </row>
    <row r="299" spans="1:15" x14ac:dyDescent="0.3">
      <c r="A299">
        <v>2010</v>
      </c>
      <c r="B299" s="15">
        <f>DATE(2010,11,23)</f>
        <v>40505</v>
      </c>
      <c r="C299">
        <v>2731</v>
      </c>
      <c r="D299" t="s">
        <v>45</v>
      </c>
      <c r="E299" t="s">
        <v>93</v>
      </c>
      <c r="F299" t="s">
        <v>321</v>
      </c>
      <c r="G299" s="2">
        <v>0</v>
      </c>
      <c r="H299">
        <v>5.0650000000000004</v>
      </c>
      <c r="I299">
        <v>5065</v>
      </c>
      <c r="O299" s="2"/>
    </row>
    <row r="300" spans="1:15" x14ac:dyDescent="0.3">
      <c r="A300">
        <v>2010</v>
      </c>
      <c r="B300" s="15">
        <f>DATE(2010,11,23)</f>
        <v>40505</v>
      </c>
      <c r="C300">
        <v>31720</v>
      </c>
      <c r="D300" t="s">
        <v>43</v>
      </c>
      <c r="F300" t="s">
        <v>317</v>
      </c>
      <c r="G300" s="2">
        <v>0</v>
      </c>
      <c r="H300">
        <v>187.5</v>
      </c>
      <c r="I300">
        <v>187500</v>
      </c>
      <c r="O300" s="2"/>
    </row>
    <row r="301" spans="1:15" x14ac:dyDescent="0.3">
      <c r="A301">
        <v>2010</v>
      </c>
      <c r="B301" s="15">
        <f>DATE(2010,11,23)</f>
        <v>40505</v>
      </c>
      <c r="C301">
        <v>3445</v>
      </c>
      <c r="D301" t="s">
        <v>60</v>
      </c>
      <c r="E301" t="s">
        <v>241</v>
      </c>
      <c r="F301" t="s">
        <v>317</v>
      </c>
      <c r="G301" s="2">
        <v>3</v>
      </c>
      <c r="H301">
        <v>1.27</v>
      </c>
      <c r="I301">
        <v>1270</v>
      </c>
      <c r="O301" s="2"/>
    </row>
    <row r="302" spans="1:15" x14ac:dyDescent="0.3">
      <c r="A302">
        <v>2010</v>
      </c>
      <c r="B302" s="15">
        <f>DATE(2010,11,24)</f>
        <v>40506</v>
      </c>
      <c r="C302">
        <v>2552</v>
      </c>
      <c r="D302" t="s">
        <v>30</v>
      </c>
      <c r="F302" t="s">
        <v>317</v>
      </c>
      <c r="G302" s="2">
        <v>0</v>
      </c>
      <c r="H302">
        <v>3.0870000000000002</v>
      </c>
      <c r="I302">
        <v>3087</v>
      </c>
      <c r="O302" s="2"/>
    </row>
    <row r="303" spans="1:15" x14ac:dyDescent="0.3">
      <c r="A303">
        <v>2010</v>
      </c>
      <c r="B303" s="15">
        <f>DATE(2010,11,27)</f>
        <v>40509</v>
      </c>
      <c r="C303">
        <v>2731</v>
      </c>
      <c r="D303" t="s">
        <v>45</v>
      </c>
      <c r="E303" t="s">
        <v>190</v>
      </c>
      <c r="F303" t="s">
        <v>317</v>
      </c>
      <c r="G303" s="2">
        <v>0</v>
      </c>
      <c r="H303">
        <v>5</v>
      </c>
      <c r="I303">
        <v>5000</v>
      </c>
      <c r="O303" s="2"/>
    </row>
    <row r="304" spans="1:15" x14ac:dyDescent="0.3">
      <c r="A304">
        <v>2010</v>
      </c>
      <c r="B304" s="15">
        <f>DATE(2010,11,27)</f>
        <v>40509</v>
      </c>
      <c r="C304">
        <v>10012</v>
      </c>
      <c r="D304" t="s">
        <v>22</v>
      </c>
      <c r="E304" t="s">
        <v>293</v>
      </c>
      <c r="F304" t="s">
        <v>317</v>
      </c>
      <c r="G304" s="2">
        <v>42796</v>
      </c>
      <c r="H304">
        <v>31.01</v>
      </c>
      <c r="I304">
        <v>31010</v>
      </c>
      <c r="O304" s="2"/>
    </row>
    <row r="305" spans="1:15" x14ac:dyDescent="0.3">
      <c r="A305">
        <v>2010</v>
      </c>
      <c r="B305" s="15">
        <f>DATE(2010,11,28)</f>
        <v>40510</v>
      </c>
      <c r="C305">
        <v>2552</v>
      </c>
      <c r="D305" t="s">
        <v>30</v>
      </c>
      <c r="E305" t="s">
        <v>180</v>
      </c>
      <c r="F305" t="s">
        <v>317</v>
      </c>
      <c r="G305" s="2">
        <v>0</v>
      </c>
      <c r="H305">
        <v>20</v>
      </c>
      <c r="I305">
        <v>20000</v>
      </c>
      <c r="O305" s="2"/>
    </row>
    <row r="306" spans="1:15" x14ac:dyDescent="0.3">
      <c r="A306">
        <v>2010</v>
      </c>
      <c r="B306" s="15">
        <f>DATE(2010,11,28)</f>
        <v>40510</v>
      </c>
      <c r="C306">
        <v>31610</v>
      </c>
      <c r="D306" t="s">
        <v>71</v>
      </c>
      <c r="E306" t="s">
        <v>294</v>
      </c>
      <c r="F306" t="s">
        <v>317</v>
      </c>
      <c r="G306" s="2">
        <v>0</v>
      </c>
      <c r="H306">
        <v>2</v>
      </c>
      <c r="I306">
        <v>2000</v>
      </c>
      <c r="O306" s="2"/>
    </row>
    <row r="307" spans="1:15" x14ac:dyDescent="0.3">
      <c r="A307">
        <v>2010</v>
      </c>
      <c r="B307" s="15">
        <f>DATE(2010,11,29)</f>
        <v>40511</v>
      </c>
      <c r="C307">
        <v>31555</v>
      </c>
      <c r="D307" t="s">
        <v>51</v>
      </c>
      <c r="E307" t="s">
        <v>295</v>
      </c>
      <c r="F307" t="s">
        <v>317</v>
      </c>
      <c r="G307" s="2">
        <v>26</v>
      </c>
      <c r="H307">
        <v>0.41799999999999998</v>
      </c>
      <c r="I307">
        <v>418</v>
      </c>
      <c r="O307" s="2"/>
    </row>
    <row r="308" spans="1:15" x14ac:dyDescent="0.3">
      <c r="A308">
        <v>2010</v>
      </c>
      <c r="B308" s="15">
        <f>DATE(2010,11,29)</f>
        <v>40511</v>
      </c>
      <c r="C308">
        <v>22610</v>
      </c>
      <c r="D308" t="s">
        <v>19</v>
      </c>
      <c r="E308" t="s">
        <v>177</v>
      </c>
      <c r="F308" t="s">
        <v>317</v>
      </c>
      <c r="G308" s="2">
        <v>0</v>
      </c>
      <c r="H308">
        <v>2.11</v>
      </c>
      <c r="I308">
        <v>2110</v>
      </c>
      <c r="O308" s="2"/>
    </row>
    <row r="309" spans="1:15" x14ac:dyDescent="0.3">
      <c r="A309">
        <v>2010</v>
      </c>
      <c r="B309" s="15">
        <f>DATE(2010,11,30)</f>
        <v>40512</v>
      </c>
      <c r="C309">
        <v>31618</v>
      </c>
      <c r="D309" t="s">
        <v>33</v>
      </c>
      <c r="E309" t="s">
        <v>109</v>
      </c>
      <c r="F309" t="s">
        <v>317</v>
      </c>
      <c r="G309" s="2">
        <v>0</v>
      </c>
      <c r="H309">
        <v>10.5</v>
      </c>
      <c r="I309">
        <v>10500</v>
      </c>
      <c r="O309" s="2"/>
    </row>
    <row r="310" spans="1:15" x14ac:dyDescent="0.3">
      <c r="A310">
        <v>2010</v>
      </c>
      <c r="B310" s="15">
        <f>DATE(2010,12,1)</f>
        <v>40513</v>
      </c>
      <c r="C310">
        <v>11169</v>
      </c>
      <c r="D310" t="s">
        <v>3</v>
      </c>
      <c r="E310" t="s">
        <v>296</v>
      </c>
      <c r="F310" t="s">
        <v>317</v>
      </c>
      <c r="G310" s="2">
        <v>0</v>
      </c>
      <c r="H310">
        <v>10.050000000000001</v>
      </c>
      <c r="I310">
        <v>10050</v>
      </c>
      <c r="O310" s="2"/>
    </row>
    <row r="311" spans="1:15" x14ac:dyDescent="0.3">
      <c r="A311">
        <v>2010</v>
      </c>
      <c r="B311" s="15">
        <f>DATE(2010,12,1)</f>
        <v>40513</v>
      </c>
      <c r="C311">
        <v>32109</v>
      </c>
      <c r="D311" t="s">
        <v>0</v>
      </c>
      <c r="E311" t="s">
        <v>241</v>
      </c>
      <c r="F311" t="s">
        <v>317</v>
      </c>
      <c r="G311" s="2">
        <v>83</v>
      </c>
      <c r="H311">
        <v>128.86199999999999</v>
      </c>
      <c r="I311">
        <v>128862</v>
      </c>
      <c r="O311" s="2"/>
    </row>
    <row r="312" spans="1:15" x14ac:dyDescent="0.3">
      <c r="A312">
        <v>2010</v>
      </c>
      <c r="B312" s="15">
        <f>DATE(2010,12,1)</f>
        <v>40513</v>
      </c>
      <c r="C312">
        <v>2731</v>
      </c>
      <c r="D312" t="s">
        <v>45</v>
      </c>
      <c r="E312" t="s">
        <v>201</v>
      </c>
      <c r="F312" t="s">
        <v>316</v>
      </c>
      <c r="G312" s="2">
        <v>250</v>
      </c>
      <c r="H312">
        <v>20833.924999999999</v>
      </c>
      <c r="I312">
        <v>20833925</v>
      </c>
      <c r="O312" s="2"/>
    </row>
    <row r="313" spans="1:15" x14ac:dyDescent="0.3">
      <c r="A313">
        <v>2010</v>
      </c>
      <c r="B313" s="15">
        <f>DATE(2010,12,2)</f>
        <v>40514</v>
      </c>
      <c r="C313">
        <v>1845</v>
      </c>
      <c r="D313" t="s">
        <v>27</v>
      </c>
      <c r="E313" t="s">
        <v>297</v>
      </c>
      <c r="F313" t="s">
        <v>322</v>
      </c>
      <c r="G313" s="2" t="s">
        <v>356</v>
      </c>
      <c r="H313">
        <v>4709.5659999999998</v>
      </c>
      <c r="I313">
        <v>4709566</v>
      </c>
      <c r="O313" s="2"/>
    </row>
    <row r="314" spans="1:15" x14ac:dyDescent="0.3">
      <c r="A314">
        <v>2010</v>
      </c>
      <c r="B314" s="15">
        <f>DATE(2010,12,3)</f>
        <v>40515</v>
      </c>
      <c r="C314">
        <v>31684</v>
      </c>
      <c r="D314" t="s">
        <v>7</v>
      </c>
      <c r="E314" t="s">
        <v>246</v>
      </c>
      <c r="F314" t="s">
        <v>321</v>
      </c>
      <c r="G314" s="2">
        <v>0</v>
      </c>
      <c r="H314">
        <v>16.675000000000001</v>
      </c>
      <c r="I314">
        <v>16675</v>
      </c>
      <c r="O314" s="2"/>
    </row>
    <row r="315" spans="1:15" x14ac:dyDescent="0.3">
      <c r="A315">
        <v>2010</v>
      </c>
      <c r="B315" s="15">
        <f>DATE(2010,12,4)</f>
        <v>40516</v>
      </c>
      <c r="C315">
        <v>18718</v>
      </c>
      <c r="D315" t="s">
        <v>28</v>
      </c>
      <c r="E315" t="s">
        <v>208</v>
      </c>
      <c r="F315" t="s">
        <v>321</v>
      </c>
      <c r="G315" s="2">
        <v>45</v>
      </c>
      <c r="H315">
        <v>155.34</v>
      </c>
      <c r="I315">
        <v>155340</v>
      </c>
      <c r="O315" s="2"/>
    </row>
    <row r="316" spans="1:15" x14ac:dyDescent="0.3">
      <c r="A316">
        <v>2010</v>
      </c>
      <c r="B316" s="15">
        <f>DATE(2010,12,5)</f>
        <v>40517</v>
      </c>
      <c r="C316">
        <v>300</v>
      </c>
      <c r="D316" t="s">
        <v>4</v>
      </c>
      <c r="E316" t="s">
        <v>156</v>
      </c>
      <c r="F316" t="s">
        <v>321</v>
      </c>
      <c r="G316" s="2">
        <v>0</v>
      </c>
      <c r="H316">
        <v>21.5</v>
      </c>
      <c r="I316">
        <v>21500</v>
      </c>
      <c r="O316" s="2"/>
    </row>
    <row r="317" spans="1:15" x14ac:dyDescent="0.3">
      <c r="A317">
        <v>2010</v>
      </c>
      <c r="B317" s="15">
        <f>DATE(2010,12,5)</f>
        <v>40517</v>
      </c>
      <c r="C317">
        <v>10012</v>
      </c>
      <c r="D317" t="s">
        <v>22</v>
      </c>
      <c r="E317" t="s">
        <v>298</v>
      </c>
      <c r="F317" t="s">
        <v>317</v>
      </c>
      <c r="G317" s="2" t="s">
        <v>357</v>
      </c>
      <c r="H317">
        <v>1.8660000000000001</v>
      </c>
      <c r="I317">
        <v>1866</v>
      </c>
      <c r="O317" s="2"/>
    </row>
    <row r="318" spans="1:15" x14ac:dyDescent="0.3">
      <c r="A318">
        <v>2010</v>
      </c>
      <c r="B318" s="15">
        <f>DATE(2010,12,5)</f>
        <v>40517</v>
      </c>
      <c r="C318">
        <v>22610</v>
      </c>
      <c r="D318" t="s">
        <v>19</v>
      </c>
      <c r="E318" t="s">
        <v>118</v>
      </c>
      <c r="F318" t="s">
        <v>317</v>
      </c>
      <c r="G318" s="2">
        <v>0</v>
      </c>
      <c r="H318">
        <v>0.375</v>
      </c>
      <c r="I318">
        <v>375</v>
      </c>
      <c r="O318" s="2"/>
    </row>
    <row r="319" spans="1:15" x14ac:dyDescent="0.3">
      <c r="A319">
        <v>2010</v>
      </c>
      <c r="B319" s="15">
        <f>DATE(2010,12,6)</f>
        <v>40518</v>
      </c>
      <c r="C319">
        <v>22610</v>
      </c>
      <c r="D319" t="s">
        <v>19</v>
      </c>
      <c r="E319" t="s">
        <v>148</v>
      </c>
      <c r="F319" t="s">
        <v>317</v>
      </c>
      <c r="G319" s="2">
        <v>0</v>
      </c>
      <c r="H319">
        <v>0.53</v>
      </c>
      <c r="I319">
        <v>530</v>
      </c>
      <c r="O319" s="2"/>
    </row>
    <row r="320" spans="1:15" x14ac:dyDescent="0.3">
      <c r="A320">
        <v>2010</v>
      </c>
      <c r="B320" s="15">
        <f>DATE(2010,12,6)</f>
        <v>40518</v>
      </c>
      <c r="C320">
        <v>2552</v>
      </c>
      <c r="D320" t="s">
        <v>30</v>
      </c>
      <c r="E320" t="s">
        <v>299</v>
      </c>
      <c r="F320" t="s">
        <v>316</v>
      </c>
      <c r="G320" s="2" t="s">
        <v>337</v>
      </c>
      <c r="H320">
        <v>10.395</v>
      </c>
      <c r="I320">
        <v>10395</v>
      </c>
      <c r="O320" s="2"/>
    </row>
    <row r="321" spans="1:15" x14ac:dyDescent="0.3">
      <c r="A321">
        <v>2010</v>
      </c>
      <c r="B321" s="15">
        <f>DATE(2010,12,6)</f>
        <v>40518</v>
      </c>
      <c r="C321">
        <v>1845</v>
      </c>
      <c r="D321" t="s">
        <v>27</v>
      </c>
      <c r="E321" t="s">
        <v>119</v>
      </c>
      <c r="F321" t="s">
        <v>321</v>
      </c>
      <c r="G321" s="2">
        <v>0</v>
      </c>
      <c r="H321">
        <v>67.599999999999994</v>
      </c>
      <c r="I321">
        <v>67600</v>
      </c>
      <c r="O321" s="2"/>
    </row>
    <row r="322" spans="1:15" x14ac:dyDescent="0.3">
      <c r="A322">
        <v>2010</v>
      </c>
      <c r="B322" s="15">
        <f>DATE(2010,12,6)</f>
        <v>40518</v>
      </c>
      <c r="C322">
        <v>26303</v>
      </c>
      <c r="D322" t="s">
        <v>80</v>
      </c>
      <c r="E322" t="s">
        <v>300</v>
      </c>
      <c r="F322" t="s">
        <v>321</v>
      </c>
      <c r="G322" s="2">
        <v>0</v>
      </c>
      <c r="H322">
        <v>250</v>
      </c>
      <c r="I322">
        <v>250000</v>
      </c>
      <c r="O322" s="2"/>
    </row>
    <row r="323" spans="1:15" x14ac:dyDescent="0.3">
      <c r="A323">
        <v>2010</v>
      </c>
      <c r="B323" s="15">
        <f>DATE(2010,12,6)</f>
        <v>40518</v>
      </c>
      <c r="C323">
        <v>31618</v>
      </c>
      <c r="D323" t="s">
        <v>33</v>
      </c>
      <c r="E323" t="s">
        <v>261</v>
      </c>
      <c r="F323" t="s">
        <v>317</v>
      </c>
      <c r="G323" s="2">
        <v>1</v>
      </c>
      <c r="H323">
        <v>1.05</v>
      </c>
      <c r="I323">
        <v>1050</v>
      </c>
      <c r="O323" s="2"/>
    </row>
    <row r="324" spans="1:15" x14ac:dyDescent="0.3">
      <c r="A324">
        <v>2010</v>
      </c>
      <c r="B324" s="15">
        <f>DATE(2010,12,7)</f>
        <v>40519</v>
      </c>
      <c r="C324">
        <v>22610</v>
      </c>
      <c r="D324" t="s">
        <v>19</v>
      </c>
      <c r="E324" t="s">
        <v>301</v>
      </c>
      <c r="F324" t="s">
        <v>318</v>
      </c>
      <c r="G324" s="2" t="s">
        <v>358</v>
      </c>
      <c r="H324">
        <v>5.7</v>
      </c>
      <c r="I324">
        <v>5700</v>
      </c>
      <c r="O324" s="2"/>
    </row>
    <row r="325" spans="1:15" x14ac:dyDescent="0.3">
      <c r="A325">
        <v>2010</v>
      </c>
      <c r="B325" s="15">
        <f>DATE(2010,12,9)</f>
        <v>40521</v>
      </c>
      <c r="C325">
        <v>395</v>
      </c>
      <c r="D325" t="s">
        <v>56</v>
      </c>
      <c r="E325" t="s">
        <v>302</v>
      </c>
      <c r="F325" t="s">
        <v>317</v>
      </c>
      <c r="G325" s="2">
        <v>0</v>
      </c>
      <c r="H325">
        <v>3.45</v>
      </c>
      <c r="I325">
        <v>3450</v>
      </c>
      <c r="O325" s="2"/>
    </row>
    <row r="326" spans="1:15" x14ac:dyDescent="0.3">
      <c r="A326">
        <v>2010</v>
      </c>
      <c r="B326" s="15">
        <f>DATE(2010,12,9)</f>
        <v>40521</v>
      </c>
      <c r="C326">
        <v>4805</v>
      </c>
      <c r="D326" t="s">
        <v>20</v>
      </c>
      <c r="E326" t="s">
        <v>111</v>
      </c>
      <c r="F326" t="s">
        <v>321</v>
      </c>
      <c r="G326" s="2">
        <v>0</v>
      </c>
      <c r="H326">
        <v>575.02499999999998</v>
      </c>
      <c r="I326">
        <v>575025</v>
      </c>
      <c r="O326" s="2"/>
    </row>
    <row r="327" spans="1:15" x14ac:dyDescent="0.3">
      <c r="A327">
        <v>2010</v>
      </c>
      <c r="B327" s="15">
        <f>DATE(2010,12,9)</f>
        <v>40521</v>
      </c>
      <c r="C327">
        <v>32109</v>
      </c>
      <c r="D327" t="s">
        <v>0</v>
      </c>
      <c r="E327" t="s">
        <v>303</v>
      </c>
      <c r="F327" t="s">
        <v>319</v>
      </c>
      <c r="G327" s="2">
        <v>286</v>
      </c>
      <c r="H327">
        <v>86.986999999999995</v>
      </c>
      <c r="I327">
        <v>86987</v>
      </c>
      <c r="O327" s="2"/>
    </row>
    <row r="328" spans="1:15" x14ac:dyDescent="0.3">
      <c r="A328">
        <v>2010</v>
      </c>
      <c r="B328" s="15">
        <f>DATE(2010,12,9)</f>
        <v>40521</v>
      </c>
      <c r="C328">
        <v>32109</v>
      </c>
      <c r="D328" t="s">
        <v>0</v>
      </c>
      <c r="E328" t="s">
        <v>107</v>
      </c>
      <c r="F328" t="s">
        <v>319</v>
      </c>
      <c r="G328" s="2">
        <v>3415</v>
      </c>
      <c r="H328">
        <v>216.07499999999999</v>
      </c>
      <c r="I328">
        <v>216075</v>
      </c>
      <c r="O328" s="2"/>
    </row>
    <row r="329" spans="1:15" x14ac:dyDescent="0.3">
      <c r="A329">
        <v>2010</v>
      </c>
      <c r="B329" s="15">
        <f>DATE(2010,12,9)</f>
        <v>40521</v>
      </c>
      <c r="C329">
        <v>5081</v>
      </c>
      <c r="D329" t="s">
        <v>72</v>
      </c>
      <c r="E329" t="s">
        <v>304</v>
      </c>
      <c r="F329" t="s">
        <v>321</v>
      </c>
      <c r="G329" s="2">
        <v>4</v>
      </c>
      <c r="H329">
        <v>456.24</v>
      </c>
      <c r="I329">
        <v>456240</v>
      </c>
      <c r="O329" s="2"/>
    </row>
    <row r="330" spans="1:15" x14ac:dyDescent="0.3">
      <c r="A330">
        <v>2010</v>
      </c>
      <c r="B330" s="15">
        <f>DATE(2010,12,10)</f>
        <v>40522</v>
      </c>
      <c r="C330">
        <v>31618</v>
      </c>
      <c r="D330" t="s">
        <v>33</v>
      </c>
      <c r="E330" t="s">
        <v>305</v>
      </c>
      <c r="F330" t="s">
        <v>319</v>
      </c>
      <c r="G330" s="2">
        <v>4544</v>
      </c>
      <c r="H330">
        <v>362.12900000000002</v>
      </c>
      <c r="I330">
        <v>362129</v>
      </c>
      <c r="O330" s="2"/>
    </row>
    <row r="331" spans="1:15" x14ac:dyDescent="0.3">
      <c r="A331">
        <v>2010</v>
      </c>
      <c r="B331" s="15">
        <f>DATE(2010,12,11)</f>
        <v>40523</v>
      </c>
      <c r="C331">
        <v>1845</v>
      </c>
      <c r="D331" t="s">
        <v>27</v>
      </c>
      <c r="E331" t="s">
        <v>306</v>
      </c>
      <c r="F331" t="s">
        <v>317</v>
      </c>
      <c r="G331" s="2">
        <v>0</v>
      </c>
      <c r="H331">
        <v>9.5139999999999993</v>
      </c>
      <c r="I331">
        <v>9514</v>
      </c>
      <c r="O331" s="2"/>
    </row>
    <row r="332" spans="1:15" x14ac:dyDescent="0.3">
      <c r="A332">
        <v>2010</v>
      </c>
      <c r="B332" s="15">
        <f>DATE(2010,12,12)</f>
        <v>40524</v>
      </c>
      <c r="C332">
        <v>10012</v>
      </c>
      <c r="D332" t="s">
        <v>22</v>
      </c>
      <c r="E332" t="s">
        <v>82</v>
      </c>
      <c r="F332" t="s">
        <v>317</v>
      </c>
      <c r="G332" s="2" t="s">
        <v>341</v>
      </c>
      <c r="H332">
        <v>2.762</v>
      </c>
      <c r="I332">
        <v>2762</v>
      </c>
      <c r="O332" s="2"/>
    </row>
    <row r="333" spans="1:15" x14ac:dyDescent="0.3">
      <c r="A333">
        <v>2010</v>
      </c>
      <c r="B333" s="15">
        <f>DATE(2010,12,13)</f>
        <v>40525</v>
      </c>
      <c r="C333">
        <v>9175</v>
      </c>
      <c r="D333" t="s">
        <v>10</v>
      </c>
      <c r="E333" t="s">
        <v>291</v>
      </c>
      <c r="F333" t="s">
        <v>317</v>
      </c>
      <c r="G333" s="2" t="s">
        <v>328</v>
      </c>
      <c r="H333">
        <v>0.62</v>
      </c>
      <c r="I333">
        <v>620</v>
      </c>
      <c r="O333" s="2"/>
    </row>
    <row r="334" spans="1:15" x14ac:dyDescent="0.3">
      <c r="A334">
        <v>2010</v>
      </c>
      <c r="B334" s="15">
        <f>DATE(2010,12,13)</f>
        <v>40525</v>
      </c>
      <c r="C334">
        <v>22855</v>
      </c>
      <c r="D334" t="s">
        <v>15</v>
      </c>
      <c r="E334" t="s">
        <v>307</v>
      </c>
      <c r="F334" t="s">
        <v>317</v>
      </c>
      <c r="G334" s="2" t="s">
        <v>323</v>
      </c>
      <c r="H334">
        <v>20.021000000000001</v>
      </c>
      <c r="I334">
        <v>20021</v>
      </c>
      <c r="O334" s="2"/>
    </row>
    <row r="335" spans="1:15" x14ac:dyDescent="0.3">
      <c r="A335">
        <v>2010</v>
      </c>
      <c r="B335" s="15">
        <f>DATE(2010,12,14)</f>
        <v>40526</v>
      </c>
      <c r="C335">
        <v>22430</v>
      </c>
      <c r="D335" t="s">
        <v>26</v>
      </c>
      <c r="E335" t="s">
        <v>308</v>
      </c>
      <c r="F335" t="s">
        <v>322</v>
      </c>
      <c r="G335" s="2">
        <v>0</v>
      </c>
      <c r="H335">
        <v>19495.904999999999</v>
      </c>
      <c r="I335">
        <v>19495905</v>
      </c>
      <c r="O335" s="2"/>
    </row>
    <row r="336" spans="1:15" x14ac:dyDescent="0.3">
      <c r="A336">
        <v>2010</v>
      </c>
      <c r="B336" s="15">
        <f>DATE(2010,12,14)</f>
        <v>40526</v>
      </c>
      <c r="C336">
        <v>32450</v>
      </c>
      <c r="D336" t="s">
        <v>73</v>
      </c>
      <c r="E336" t="s">
        <v>309</v>
      </c>
      <c r="F336" t="s">
        <v>317</v>
      </c>
      <c r="G336" s="2">
        <v>1</v>
      </c>
      <c r="H336">
        <v>0.2</v>
      </c>
      <c r="I336">
        <v>200</v>
      </c>
      <c r="O336" s="2"/>
    </row>
    <row r="337" spans="1:15" x14ac:dyDescent="0.3">
      <c r="A337">
        <v>2010</v>
      </c>
      <c r="B337" s="15">
        <f>DATE(2010,12,15)</f>
        <v>40527</v>
      </c>
      <c r="C337">
        <v>31684</v>
      </c>
      <c r="D337" t="s">
        <v>7</v>
      </c>
      <c r="E337" t="s">
        <v>310</v>
      </c>
      <c r="F337" t="s">
        <v>316</v>
      </c>
      <c r="G337" s="2" t="s">
        <v>330</v>
      </c>
      <c r="H337">
        <v>0.06</v>
      </c>
      <c r="I337">
        <v>60</v>
      </c>
      <c r="O337" s="2"/>
    </row>
    <row r="338" spans="1:15" x14ac:dyDescent="0.3">
      <c r="A338">
        <v>2010</v>
      </c>
      <c r="B338" s="15">
        <f>DATE(2010,12,15)</f>
        <v>40527</v>
      </c>
      <c r="C338">
        <v>15674</v>
      </c>
      <c r="D338" t="s">
        <v>21</v>
      </c>
      <c r="E338" t="s">
        <v>189</v>
      </c>
      <c r="F338" t="s">
        <v>317</v>
      </c>
      <c r="G338" s="2">
        <v>0</v>
      </c>
      <c r="H338">
        <v>2.84</v>
      </c>
      <c r="I338">
        <v>2840</v>
      </c>
      <c r="O338" s="2"/>
    </row>
    <row r="339" spans="1:15" x14ac:dyDescent="0.3">
      <c r="A339">
        <v>2010</v>
      </c>
      <c r="B339" s="15">
        <f>DATE(2010,12,16)</f>
        <v>40528</v>
      </c>
      <c r="C339">
        <v>12470</v>
      </c>
      <c r="D339" t="s">
        <v>77</v>
      </c>
      <c r="E339" t="s">
        <v>311</v>
      </c>
      <c r="F339" t="s">
        <v>321</v>
      </c>
      <c r="G339" s="2">
        <v>17</v>
      </c>
      <c r="H339">
        <v>150.53200000000001</v>
      </c>
      <c r="I339">
        <v>150532</v>
      </c>
      <c r="O339" s="2"/>
    </row>
    <row r="340" spans="1:15" x14ac:dyDescent="0.3">
      <c r="A340">
        <v>2010</v>
      </c>
      <c r="B340" s="15">
        <f>DATE(2010,12,16)</f>
        <v>40528</v>
      </c>
      <c r="C340">
        <v>26094</v>
      </c>
      <c r="D340" t="s">
        <v>65</v>
      </c>
      <c r="E340" t="s">
        <v>119</v>
      </c>
      <c r="F340" t="s">
        <v>321</v>
      </c>
      <c r="G340" s="2">
        <v>0</v>
      </c>
      <c r="H340">
        <v>20.742000000000001</v>
      </c>
      <c r="I340">
        <v>20742</v>
      </c>
      <c r="O340" s="2"/>
    </row>
    <row r="341" spans="1:15" x14ac:dyDescent="0.3">
      <c r="A341">
        <v>2010</v>
      </c>
      <c r="B341" s="15">
        <f>DATE(2010,12,17)</f>
        <v>40529</v>
      </c>
      <c r="C341">
        <v>4906</v>
      </c>
      <c r="D341" t="s">
        <v>34</v>
      </c>
      <c r="E341" t="s">
        <v>138</v>
      </c>
      <c r="F341" t="s">
        <v>317</v>
      </c>
      <c r="G341" s="2">
        <v>0</v>
      </c>
      <c r="H341">
        <v>4.0549999999999997</v>
      </c>
      <c r="I341">
        <v>4055</v>
      </c>
      <c r="O341" s="2"/>
    </row>
    <row r="342" spans="1:15" x14ac:dyDescent="0.3">
      <c r="A342">
        <v>2010</v>
      </c>
      <c r="B342" s="15">
        <f>DATE(2010,12,20)</f>
        <v>40532</v>
      </c>
      <c r="C342">
        <v>31627</v>
      </c>
      <c r="D342" t="s">
        <v>74</v>
      </c>
      <c r="E342" t="s">
        <v>312</v>
      </c>
      <c r="F342" t="s">
        <v>317</v>
      </c>
      <c r="G342" s="2" t="s">
        <v>359</v>
      </c>
      <c r="H342">
        <v>205.64500000000001</v>
      </c>
      <c r="I342">
        <v>205645</v>
      </c>
      <c r="O342" s="2"/>
    </row>
    <row r="343" spans="1:15" x14ac:dyDescent="0.3">
      <c r="A343">
        <v>2010</v>
      </c>
      <c r="B343" s="15">
        <f>DATE(2010,12,21)</f>
        <v>40533</v>
      </c>
      <c r="C343">
        <v>10012</v>
      </c>
      <c r="D343" t="s">
        <v>22</v>
      </c>
      <c r="E343" t="s">
        <v>313</v>
      </c>
      <c r="F343" t="s">
        <v>321</v>
      </c>
      <c r="G343" s="2">
        <v>0</v>
      </c>
      <c r="H343">
        <v>28.762</v>
      </c>
      <c r="I343">
        <v>28762</v>
      </c>
      <c r="O343" s="2"/>
    </row>
    <row r="344" spans="1:15" x14ac:dyDescent="0.3">
      <c r="A344">
        <v>2010</v>
      </c>
      <c r="B344" s="15">
        <f>DATE(2010,12,24)</f>
        <v>40536</v>
      </c>
      <c r="C344">
        <v>32109</v>
      </c>
      <c r="D344" t="s">
        <v>0</v>
      </c>
      <c r="E344" t="s">
        <v>314</v>
      </c>
      <c r="F344" t="s">
        <v>317</v>
      </c>
      <c r="G344" s="2">
        <v>7</v>
      </c>
      <c r="H344">
        <v>125.355</v>
      </c>
      <c r="I344">
        <v>125355</v>
      </c>
      <c r="O344" s="2"/>
    </row>
    <row r="345" spans="1:15" x14ac:dyDescent="0.3">
      <c r="A345">
        <v>2010</v>
      </c>
      <c r="B345" s="15">
        <f>DATE(2010,12,28)</f>
        <v>40540</v>
      </c>
      <c r="C345">
        <v>14194</v>
      </c>
      <c r="D345" t="s">
        <v>75</v>
      </c>
      <c r="E345" t="s">
        <v>170</v>
      </c>
      <c r="F345" t="s">
        <v>321</v>
      </c>
      <c r="G345" s="2" t="s">
        <v>324</v>
      </c>
      <c r="H345">
        <v>17.55</v>
      </c>
      <c r="I345">
        <v>17550</v>
      </c>
      <c r="O345" s="2"/>
    </row>
    <row r="346" spans="1:15" x14ac:dyDescent="0.3">
      <c r="A346">
        <v>2010</v>
      </c>
      <c r="B346" s="15">
        <f>DATE(2010,12,28)</f>
        <v>40540</v>
      </c>
      <c r="C346">
        <v>31610</v>
      </c>
      <c r="D346" t="s">
        <v>71</v>
      </c>
      <c r="E346" t="s">
        <v>294</v>
      </c>
      <c r="F346" t="s">
        <v>321</v>
      </c>
      <c r="G346" s="2">
        <v>28</v>
      </c>
      <c r="H346">
        <v>860.7</v>
      </c>
      <c r="I346">
        <v>860700</v>
      </c>
      <c r="O346" s="2"/>
    </row>
    <row r="347" spans="1:15" x14ac:dyDescent="0.3">
      <c r="A347">
        <v>2010</v>
      </c>
      <c r="B347" s="15">
        <f>DATE(2010,12,30)</f>
        <v>40542</v>
      </c>
      <c r="C347">
        <v>12105</v>
      </c>
      <c r="D347" t="s">
        <v>13</v>
      </c>
      <c r="E347" t="s">
        <v>315</v>
      </c>
      <c r="F347" t="s">
        <v>321</v>
      </c>
      <c r="G347" s="2">
        <v>21033</v>
      </c>
      <c r="H347">
        <v>64.515000000000001</v>
      </c>
      <c r="I347">
        <v>64515</v>
      </c>
      <c r="O347" s="2"/>
    </row>
    <row r="348" spans="1:15" x14ac:dyDescent="0.3">
      <c r="A348">
        <v>2010</v>
      </c>
      <c r="B348" s="15">
        <f>DATE(2010,12,31)</f>
        <v>40543</v>
      </c>
      <c r="C348">
        <v>31816</v>
      </c>
      <c r="D348" t="s">
        <v>81</v>
      </c>
      <c r="E348" t="s">
        <v>82</v>
      </c>
      <c r="F348" t="s">
        <v>316</v>
      </c>
      <c r="G348" s="2">
        <v>42859</v>
      </c>
      <c r="H348">
        <v>0.38700000000000001</v>
      </c>
      <c r="I348">
        <v>387</v>
      </c>
      <c r="O348" s="2"/>
    </row>
    <row r="349" spans="1:15" x14ac:dyDescent="0.3">
      <c r="A349">
        <v>2010</v>
      </c>
      <c r="B349" s="15">
        <f>DATE(2010,12,31)</f>
        <v>40543</v>
      </c>
      <c r="C349">
        <v>300</v>
      </c>
      <c r="D349" t="s">
        <v>4</v>
      </c>
      <c r="E349" t="s">
        <v>231</v>
      </c>
      <c r="F349" t="s">
        <v>317</v>
      </c>
      <c r="G349" s="2">
        <v>0</v>
      </c>
      <c r="H349">
        <v>44.15</v>
      </c>
      <c r="I349">
        <v>44150</v>
      </c>
      <c r="O349" s="2"/>
    </row>
    <row r="350" spans="1:15" x14ac:dyDescent="0.3">
      <c r="A350">
        <v>2010</v>
      </c>
      <c r="B350" s="15">
        <f>DATE(2010,12,31)</f>
        <v>40543</v>
      </c>
      <c r="C350">
        <v>31166</v>
      </c>
      <c r="D350" t="s">
        <v>76</v>
      </c>
      <c r="E350" t="s">
        <v>308</v>
      </c>
      <c r="F350" t="s">
        <v>317</v>
      </c>
      <c r="G350" s="2">
        <v>0</v>
      </c>
      <c r="H350">
        <v>250.35</v>
      </c>
      <c r="I350">
        <v>250350</v>
      </c>
      <c r="O350" s="2"/>
    </row>
    <row r="351" spans="1:15" x14ac:dyDescent="0.3">
      <c r="B351" s="15"/>
      <c r="G351" s="2"/>
      <c r="K351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50"/>
  <sheetViews>
    <sheetView tabSelected="1" topLeftCell="A9" zoomScaleNormal="100" workbookViewId="0">
      <selection activeCell="H25" sqref="H25"/>
    </sheetView>
  </sheetViews>
  <sheetFormatPr defaultRowHeight="14.4" x14ac:dyDescent="0.3"/>
  <cols>
    <col min="1" max="1" width="17.6640625" customWidth="1"/>
    <col min="2" max="2" width="51.33203125" customWidth="1"/>
    <col min="3" max="3" width="52.109375" customWidth="1"/>
    <col min="5" max="5" width="31.88671875" customWidth="1"/>
    <col min="6" max="6" width="15.44140625" customWidth="1"/>
    <col min="7" max="7" width="11.44140625" customWidth="1"/>
    <col min="8" max="8" width="12.6640625" customWidth="1"/>
    <col min="11" max="11" width="18.6640625" customWidth="1"/>
    <col min="12" max="12" width="21.6640625" customWidth="1"/>
    <col min="13" max="13" width="14.33203125" customWidth="1"/>
    <col min="15" max="15" width="18.6640625" customWidth="1"/>
    <col min="16" max="16" width="20.21875" customWidth="1"/>
    <col min="17" max="17" width="10.109375" customWidth="1"/>
    <col min="19" max="19" width="19.77734375" customWidth="1"/>
    <col min="20" max="20" width="16.5546875" customWidth="1"/>
  </cols>
  <sheetData>
    <row r="1" spans="1:21" ht="37.950000000000003" customHeight="1" x14ac:dyDescent="0.3">
      <c r="A1" s="7" t="s">
        <v>361</v>
      </c>
      <c r="B1" s="8" t="s">
        <v>435</v>
      </c>
      <c r="C1" s="23" t="s">
        <v>431</v>
      </c>
    </row>
    <row r="2" spans="1:21" x14ac:dyDescent="0.3">
      <c r="A2" s="14">
        <f>DATE(2010,1,1)</f>
        <v>40179</v>
      </c>
      <c r="B2">
        <f>Tabela1[[#This Row],[Całkowity koszt pokrycia strat ( w dolarach)]]/$D$2</f>
        <v>1.627</v>
      </c>
      <c r="C2">
        <v>1627</v>
      </c>
      <c r="D2">
        <v>1000</v>
      </c>
      <c r="E2" s="9" t="s">
        <v>432</v>
      </c>
      <c r="F2" t="s">
        <v>433</v>
      </c>
      <c r="G2" t="s">
        <v>409</v>
      </c>
      <c r="H2" t="s">
        <v>410</v>
      </c>
      <c r="K2" t="s">
        <v>383</v>
      </c>
      <c r="L2" t="s">
        <v>434</v>
      </c>
      <c r="M2" t="s">
        <v>410</v>
      </c>
    </row>
    <row r="3" spans="1:21" x14ac:dyDescent="0.3">
      <c r="A3" s="14">
        <f>DATE(2010,1,4)</f>
        <v>40182</v>
      </c>
      <c r="B3">
        <f>Tabela1[[#This Row],[Całkowity koszt pokrycia strat ( w dolarach)]]/$D$2</f>
        <v>4.008</v>
      </c>
      <c r="C3">
        <v>4008</v>
      </c>
      <c r="G3" s="13"/>
      <c r="K3" t="s">
        <v>416</v>
      </c>
      <c r="L3" s="12">
        <f>AVERAGE(Tabela1[Całkowity koszt pokrycia strat (w tys dolarów)])</f>
        <v>672.40077936962712</v>
      </c>
      <c r="M3" s="12"/>
      <c r="P3" s="12"/>
      <c r="T3" s="12"/>
    </row>
    <row r="4" spans="1:21" x14ac:dyDescent="0.3">
      <c r="A4" s="14">
        <f>DATE(2010,1,5)</f>
        <v>40183</v>
      </c>
      <c r="B4">
        <f>Tabela1[[#This Row],[Całkowity koszt pokrycia strat ( w dolarach)]]/$D$2</f>
        <v>0.2</v>
      </c>
      <c r="C4">
        <v>200</v>
      </c>
      <c r="E4" t="s">
        <v>368</v>
      </c>
      <c r="F4">
        <f>AVERAGE(Tabela1[Całkowity koszt pokrycia strat (w tys dolarów)])</f>
        <v>672.40077936962712</v>
      </c>
      <c r="G4" s="13" t="s">
        <v>416</v>
      </c>
      <c r="K4" t="s">
        <v>415</v>
      </c>
      <c r="L4" s="12">
        <v>15075957.112310769</v>
      </c>
      <c r="M4" s="12"/>
      <c r="P4" s="12"/>
      <c r="Q4" s="12"/>
      <c r="T4" s="12"/>
    </row>
    <row r="5" spans="1:21" x14ac:dyDescent="0.3">
      <c r="A5" s="14">
        <v>6</v>
      </c>
      <c r="B5">
        <f>Tabela1[[#This Row],[Całkowity koszt pokrycia strat ( w dolarach)]]/$D$2</f>
        <v>11.54</v>
      </c>
      <c r="C5">
        <v>11540</v>
      </c>
      <c r="E5" t="s">
        <v>369</v>
      </c>
      <c r="F5">
        <f>_xlfn.VAR.P(Tabela1[Całkowity koszt pokrycia strat (w tys dolarów)])</f>
        <v>15075957.112310769</v>
      </c>
      <c r="G5" s="13" t="s">
        <v>415</v>
      </c>
      <c r="K5" t="s">
        <v>384</v>
      </c>
      <c r="L5" s="12">
        <f>_xlfn.STDEV.P(Tabela1[Całkowity koszt pokrycia strat (w tys dolarów)])</f>
        <v>3882.776984622059</v>
      </c>
      <c r="M5" s="12"/>
      <c r="P5" s="18"/>
      <c r="Q5" s="12"/>
      <c r="S5" s="12"/>
      <c r="T5" s="12"/>
    </row>
    <row r="6" spans="1:21" x14ac:dyDescent="0.3">
      <c r="A6" s="14">
        <f>DATE(2010,1,7)</f>
        <v>40185</v>
      </c>
      <c r="B6">
        <f>Tabela1[[#This Row],[Całkowity koszt pokrycia strat ( w dolarach)]]/$D$2</f>
        <v>29.65</v>
      </c>
      <c r="C6">
        <v>29650</v>
      </c>
      <c r="E6" t="s">
        <v>370</v>
      </c>
      <c r="F6">
        <f>_xlfn.STDEV.P(Tabela1[Całkowity koszt pokrycia strat (w tys dolarów)])</f>
        <v>3882.776984622059</v>
      </c>
      <c r="G6" s="13" t="s">
        <v>384</v>
      </c>
      <c r="K6" t="s">
        <v>385</v>
      </c>
      <c r="L6" s="18">
        <f>(L5/L3)</f>
        <v>5.7744980430601913</v>
      </c>
      <c r="M6" s="12"/>
      <c r="P6" s="12"/>
      <c r="Q6" s="12"/>
      <c r="S6" s="12"/>
      <c r="T6" s="12"/>
    </row>
    <row r="7" spans="1:21" ht="29.4" customHeight="1" x14ac:dyDescent="0.3">
      <c r="A7" s="14">
        <f>DATE(2010,1,8)</f>
        <v>40186</v>
      </c>
      <c r="B7">
        <f>Tabela1[[#This Row],[Całkowity koszt pokrycia strat ( w dolarach)]]/$D$2</f>
        <v>4194.7150000000001</v>
      </c>
      <c r="C7">
        <v>4194715</v>
      </c>
      <c r="E7" s="10" t="s">
        <v>372</v>
      </c>
      <c r="F7" s="18">
        <f>(F6/F4)</f>
        <v>5.7744980430601913</v>
      </c>
      <c r="G7" s="13" t="s">
        <v>385</v>
      </c>
      <c r="K7" t="s">
        <v>386</v>
      </c>
      <c r="L7" s="12">
        <v>0</v>
      </c>
      <c r="M7" s="12">
        <v>4555.1777639916863</v>
      </c>
      <c r="P7" s="12"/>
      <c r="Q7" s="12"/>
      <c r="S7" s="12"/>
      <c r="T7" s="12"/>
    </row>
    <row r="8" spans="1:21" x14ac:dyDescent="0.3">
      <c r="A8" s="14">
        <f>DATE(2010,1,9)</f>
        <v>40187</v>
      </c>
      <c r="B8">
        <f>Tabela1[[#This Row],[Całkowity koszt pokrycia strat ( w dolarach)]]/$D$2</f>
        <v>70.400000000000006</v>
      </c>
      <c r="C8">
        <v>70400</v>
      </c>
      <c r="E8" t="s">
        <v>371</v>
      </c>
      <c r="F8">
        <v>0</v>
      </c>
      <c r="G8" s="13" t="s">
        <v>373</v>
      </c>
      <c r="H8">
        <f>F4+F6</f>
        <v>4555.1777639916863</v>
      </c>
      <c r="K8" t="s">
        <v>387</v>
      </c>
      <c r="L8" s="12">
        <f>SKEW(Tabela1[Całkowity koszt pokrycia strat (w tys dolarów)])</f>
        <v>8.6182267643011379</v>
      </c>
      <c r="M8" s="12"/>
      <c r="P8" s="12"/>
      <c r="Q8" s="12"/>
      <c r="S8" s="12"/>
      <c r="T8" s="12"/>
    </row>
    <row r="9" spans="1:21" ht="28.8" x14ac:dyDescent="0.3">
      <c r="A9" s="14">
        <f>DATE(2010,1,9)</f>
        <v>40187</v>
      </c>
      <c r="B9">
        <f>Tabela1[[#This Row],[Całkowity koszt pokrycia strat ( w dolarach)]]/$D$2</f>
        <v>0.41299999999999998</v>
      </c>
      <c r="C9">
        <v>413</v>
      </c>
      <c r="E9" s="11" t="s">
        <v>374</v>
      </c>
      <c r="F9">
        <f>SKEW(Tabela1[Całkowity koszt pokrycia strat (w tys dolarów)])</f>
        <v>8.6182267643011379</v>
      </c>
      <c r="G9" s="13" t="s">
        <v>387</v>
      </c>
      <c r="H9" t="s">
        <v>377</v>
      </c>
      <c r="K9" t="s">
        <v>388</v>
      </c>
      <c r="L9" s="12">
        <f>KURT(Tabela1[Całkowity koszt pokrycia strat (w tys dolarów)])</f>
        <v>83.206158445535792</v>
      </c>
      <c r="M9" s="12"/>
      <c r="P9" s="12"/>
      <c r="Q9" s="12"/>
      <c r="S9" s="12"/>
      <c r="T9" s="12"/>
      <c r="U9" s="12"/>
    </row>
    <row r="10" spans="1:21" ht="28.8" x14ac:dyDescent="0.3">
      <c r="A10" s="14">
        <f>DATE(2010,1,10)</f>
        <v>40188</v>
      </c>
      <c r="B10">
        <f>Tabela1[[#This Row],[Całkowity koszt pokrycia strat ( w dolarach)]]/$D$2</f>
        <v>40.335999999999999</v>
      </c>
      <c r="C10">
        <v>40336</v>
      </c>
      <c r="E10" s="11" t="s">
        <v>375</v>
      </c>
      <c r="F10">
        <f>KURT(Tabela1[Całkowity koszt pokrycia strat (w tys dolarów)])</f>
        <v>83.206158445535792</v>
      </c>
      <c r="G10" s="13" t="s">
        <v>388</v>
      </c>
      <c r="H10" t="s">
        <v>376</v>
      </c>
      <c r="K10" t="s">
        <v>389</v>
      </c>
      <c r="L10" s="12">
        <f>MAX(Tabela1[Całkowity koszt pokrycia strat (w tys dolarów)])</f>
        <v>47393.565999999999</v>
      </c>
      <c r="M10" s="12"/>
      <c r="P10" s="12"/>
      <c r="Q10" s="12"/>
      <c r="S10" s="12"/>
      <c r="T10" s="24"/>
    </row>
    <row r="11" spans="1:21" x14ac:dyDescent="0.3">
      <c r="A11" s="14">
        <f>DATE(2010,1,11)</f>
        <v>40189</v>
      </c>
      <c r="B11">
        <f>Tabela1[[#This Row],[Całkowity koszt pokrycia strat ( w dolarach)]]/$D$2</f>
        <v>30.05</v>
      </c>
      <c r="C11">
        <v>30050</v>
      </c>
      <c r="E11" t="s">
        <v>378</v>
      </c>
      <c r="F11">
        <f>MAX(B2:B350)</f>
        <v>47393.565999999999</v>
      </c>
      <c r="G11" s="13" t="s">
        <v>389</v>
      </c>
      <c r="K11" t="s">
        <v>390</v>
      </c>
      <c r="L11" s="12">
        <v>0</v>
      </c>
      <c r="M11" s="12"/>
      <c r="P11" s="12"/>
      <c r="Q11" s="12"/>
      <c r="S11" s="12"/>
      <c r="T11" s="12"/>
    </row>
    <row r="12" spans="1:21" x14ac:dyDescent="0.3">
      <c r="A12" s="14">
        <f>DATE(2010,1,11)</f>
        <v>40189</v>
      </c>
      <c r="B12">
        <f>Tabela1[[#This Row],[Całkowity koszt pokrycia strat ( w dolarach)]]/$D$2</f>
        <v>165.59299999999999</v>
      </c>
      <c r="C12">
        <v>165593</v>
      </c>
      <c r="E12" t="s">
        <v>379</v>
      </c>
      <c r="F12">
        <f>MIN(Tabela1[Całkowity koszt pokrycia strat (w tys dolarów)])</f>
        <v>0</v>
      </c>
      <c r="G12" s="13" t="s">
        <v>390</v>
      </c>
      <c r="K12" t="s">
        <v>391</v>
      </c>
      <c r="L12" s="12">
        <f>SUM(Tabela1[Całkowity koszt pokrycia strat (w tys dolarów)])</f>
        <v>234667.87199999986</v>
      </c>
      <c r="M12" s="12"/>
      <c r="P12" s="12"/>
      <c r="Q12" s="12"/>
    </row>
    <row r="13" spans="1:21" x14ac:dyDescent="0.3">
      <c r="A13" s="14">
        <f>DATE(2010,1,11)</f>
        <v>40189</v>
      </c>
      <c r="B13">
        <f>Tabela1[[#This Row],[Całkowity koszt pokrycia strat ( w dolarach)]]/$D$2</f>
        <v>357.26900000000001</v>
      </c>
      <c r="C13">
        <v>357269</v>
      </c>
      <c r="E13" t="s">
        <v>380</v>
      </c>
      <c r="F13">
        <f>SUM(Tabela1[Całkowity koszt pokrycia strat (w tys dolarów)])</f>
        <v>234667.87199999986</v>
      </c>
      <c r="G13" s="13" t="s">
        <v>391</v>
      </c>
      <c r="K13" t="s">
        <v>392</v>
      </c>
      <c r="L13" s="12">
        <v>349</v>
      </c>
      <c r="M13" s="12"/>
      <c r="Q13" s="12"/>
    </row>
    <row r="14" spans="1:21" x14ac:dyDescent="0.3">
      <c r="A14" s="14">
        <f>DATE(2010,1,11)</f>
        <v>40189</v>
      </c>
      <c r="B14">
        <f>Tabela1[[#This Row],[Całkowity koszt pokrycia strat ( w dolarach)]]/$D$2</f>
        <v>12.15</v>
      </c>
      <c r="C14">
        <v>12150</v>
      </c>
      <c r="E14" t="s">
        <v>381</v>
      </c>
      <c r="F14">
        <f>COUNT(Tabela1[Całkowity koszt pokrycia strat (w tys dolarów)])</f>
        <v>349</v>
      </c>
      <c r="G14" s="13" t="s">
        <v>392</v>
      </c>
      <c r="K14" t="s">
        <v>393</v>
      </c>
      <c r="L14">
        <f>L10-L11</f>
        <v>47393.565999999999</v>
      </c>
      <c r="M14" s="12"/>
    </row>
    <row r="15" spans="1:21" x14ac:dyDescent="0.3">
      <c r="A15" s="14">
        <f>DATE(2010,1,11)</f>
        <v>40189</v>
      </c>
      <c r="B15">
        <f>Tabela1[[#This Row],[Całkowity koszt pokrycia strat ( w dolarach)]]/$D$2</f>
        <v>37.85</v>
      </c>
      <c r="C15">
        <v>37850</v>
      </c>
      <c r="E15" t="s">
        <v>382</v>
      </c>
      <c r="F15">
        <f>F11-F12</f>
        <v>47393.565999999999</v>
      </c>
      <c r="G15" s="13" t="s">
        <v>393</v>
      </c>
      <c r="L15" s="12"/>
    </row>
    <row r="16" spans="1:21" x14ac:dyDescent="0.3">
      <c r="A16" s="14">
        <f>DATE(2010,1,12)</f>
        <v>40190</v>
      </c>
      <c r="B16">
        <f>Tabela1[[#This Row],[Całkowity koszt pokrycia strat ( w dolarach)]]/$D$2</f>
        <v>20.332999999999998</v>
      </c>
      <c r="C16">
        <v>20333</v>
      </c>
      <c r="G16" s="13"/>
      <c r="L16" s="12"/>
    </row>
    <row r="17" spans="1:17" x14ac:dyDescent="0.3">
      <c r="A17" s="14">
        <f>DATE(2010,1,12)</f>
        <v>40190</v>
      </c>
      <c r="B17">
        <f>Tabela1[[#This Row],[Całkowity koszt pokrycia strat ( w dolarach)]]/$D$2</f>
        <v>32.5</v>
      </c>
      <c r="C17">
        <v>32500</v>
      </c>
      <c r="E17" t="s">
        <v>395</v>
      </c>
      <c r="F17">
        <f>MEDIAN(Tabela1[Całkowity koszt pokrycia strat (w tys dolarów)])</f>
        <v>21.084</v>
      </c>
      <c r="G17" s="13" t="s">
        <v>411</v>
      </c>
      <c r="K17" t="s">
        <v>403</v>
      </c>
      <c r="L17" s="12" t="s">
        <v>434</v>
      </c>
      <c r="M17" t="s">
        <v>410</v>
      </c>
    </row>
    <row r="18" spans="1:17" x14ac:dyDescent="0.3">
      <c r="A18" s="14">
        <f>DATE(2010,1,12)</f>
        <v>40190</v>
      </c>
      <c r="B18">
        <f>Tabela1[[#This Row],[Całkowity koszt pokrycia strat ( w dolarach)]]/$D$2</f>
        <v>2517.6149999999998</v>
      </c>
      <c r="C18">
        <v>2517615</v>
      </c>
      <c r="E18" t="s">
        <v>394</v>
      </c>
      <c r="F18">
        <f>_xlfn.QUARTILE.INC(Tabela1[Całkowity koszt pokrycia strat (w tys dolarów)],1)</f>
        <v>5</v>
      </c>
      <c r="G18" s="13" t="s">
        <v>404</v>
      </c>
      <c r="K18" t="s">
        <v>404</v>
      </c>
      <c r="L18" s="12">
        <f>_xlfn.QUARTILE.INC(Tabela1[Całkowity koszt pokrycia strat (w tys dolarów)],1)</f>
        <v>5</v>
      </c>
      <c r="P18" s="12"/>
    </row>
    <row r="19" spans="1:17" x14ac:dyDescent="0.3">
      <c r="A19" s="14">
        <f>DATE(2010,1,13)</f>
        <v>40191</v>
      </c>
      <c r="B19">
        <f>Tabela1[[#This Row],[Całkowity koszt pokrycia strat ( w dolarach)]]/$D$2</f>
        <v>0.254</v>
      </c>
      <c r="C19">
        <v>254</v>
      </c>
      <c r="E19" t="s">
        <v>396</v>
      </c>
      <c r="F19">
        <f>_xlfn.QUARTILE.INC(Tabela1[Całkowity koszt pokrycia strat (w tys dolarów)],3)</f>
        <v>92.855999999999995</v>
      </c>
      <c r="G19" s="13" t="s">
        <v>405</v>
      </c>
      <c r="K19" t="s">
        <v>411</v>
      </c>
      <c r="L19" s="12">
        <v>21.084</v>
      </c>
      <c r="P19" s="12"/>
    </row>
    <row r="20" spans="1:17" x14ac:dyDescent="0.3">
      <c r="A20" s="14">
        <f>DATE(2010,1,13)</f>
        <v>40191</v>
      </c>
      <c r="B20">
        <f>Tabela1[[#This Row],[Całkowity koszt pokrycia strat ( w dolarach)]]/$D$2</f>
        <v>30.504000000000001</v>
      </c>
      <c r="C20">
        <v>30504</v>
      </c>
      <c r="E20" t="s">
        <v>397</v>
      </c>
      <c r="F20">
        <f>(F19-F18)/2</f>
        <v>43.927999999999997</v>
      </c>
      <c r="G20" s="13" t="s">
        <v>406</v>
      </c>
      <c r="K20" t="s">
        <v>405</v>
      </c>
      <c r="L20" s="12">
        <v>92.855999999999995</v>
      </c>
      <c r="O20" s="12"/>
      <c r="P20" s="12"/>
    </row>
    <row r="21" spans="1:17" ht="28.8" x14ac:dyDescent="0.3">
      <c r="A21" s="14">
        <f>DATE(2010,1,13)</f>
        <v>40191</v>
      </c>
      <c r="B21">
        <f>Tabela1[[#This Row],[Całkowity koszt pokrycia strat ( w dolarach)]]/$D$2</f>
        <v>66.679000000000002</v>
      </c>
      <c r="C21">
        <v>66679</v>
      </c>
      <c r="E21" s="11" t="s">
        <v>398</v>
      </c>
      <c r="F21">
        <v>0</v>
      </c>
      <c r="G21" s="13" t="s">
        <v>414</v>
      </c>
      <c r="H21">
        <f>F17+F20</f>
        <v>65.012</v>
      </c>
      <c r="K21" t="s">
        <v>406</v>
      </c>
      <c r="L21" s="12">
        <v>43.927999999999997</v>
      </c>
      <c r="O21" s="12"/>
      <c r="P21" s="12"/>
    </row>
    <row r="22" spans="1:17" ht="28.8" x14ac:dyDescent="0.3">
      <c r="A22" s="14">
        <f>DATE(2010,1,14)</f>
        <v>40192</v>
      </c>
      <c r="B22">
        <f>Tabela1[[#This Row],[Całkowity koszt pokrycia strat ( w dolarach)]]/$D$2</f>
        <v>75.016999999999996</v>
      </c>
      <c r="C22">
        <v>75017</v>
      </c>
      <c r="E22" s="11" t="s">
        <v>399</v>
      </c>
      <c r="F22" s="18">
        <f>F20/F17</f>
        <v>2.0834756213242267</v>
      </c>
      <c r="G22" s="13" t="s">
        <v>413</v>
      </c>
      <c r="K22" t="s">
        <v>407</v>
      </c>
      <c r="L22" s="12">
        <v>87.855999999999995</v>
      </c>
      <c r="O22" s="12"/>
      <c r="P22" s="12"/>
    </row>
    <row r="23" spans="1:17" ht="28.8" x14ac:dyDescent="0.3">
      <c r="A23" s="1">
        <f>DATE(2010,1,15)</f>
        <v>40193</v>
      </c>
      <c r="B23">
        <f>Tabela1[[#This Row],[Całkowity koszt pokrycia strat ( w dolarach)]]/$D$2</f>
        <v>4575</v>
      </c>
      <c r="C23">
        <v>4575000</v>
      </c>
      <c r="E23" s="11" t="s">
        <v>400</v>
      </c>
      <c r="F23">
        <f>(F18+F19-(2*F17))/(2*F20)</f>
        <v>0.63385539974503735</v>
      </c>
      <c r="G23" s="13" t="s">
        <v>412</v>
      </c>
      <c r="K23" t="s">
        <v>408</v>
      </c>
      <c r="L23" s="12">
        <v>5</v>
      </c>
      <c r="O23" s="12"/>
      <c r="P23" s="12"/>
    </row>
    <row r="24" spans="1:17" x14ac:dyDescent="0.3">
      <c r="A24" s="1">
        <f>DATE(2010,1,15)</f>
        <v>40193</v>
      </c>
      <c r="B24">
        <f>Tabela1[[#This Row],[Całkowity koszt pokrycia strat ( w dolarach)]]/$D$2</f>
        <v>3.88</v>
      </c>
      <c r="C24">
        <v>3880</v>
      </c>
      <c r="E24" s="11" t="s">
        <v>401</v>
      </c>
      <c r="F24">
        <f>F19-F18</f>
        <v>87.855999999999995</v>
      </c>
      <c r="G24" s="13" t="s">
        <v>407</v>
      </c>
      <c r="K24" t="s">
        <v>373</v>
      </c>
      <c r="L24" s="12">
        <v>0</v>
      </c>
      <c r="M24" s="12">
        <v>65.012</v>
      </c>
      <c r="O24" s="12"/>
      <c r="P24" s="12"/>
      <c r="Q24" s="12"/>
    </row>
    <row r="25" spans="1:17" x14ac:dyDescent="0.3">
      <c r="A25" s="1">
        <f>DATE(2010,1,18)</f>
        <v>40196</v>
      </c>
      <c r="B25">
        <f>Tabela1[[#This Row],[Całkowity koszt pokrycia strat ( w dolarach)]]/$D$2</f>
        <v>1.1000000000000001</v>
      </c>
      <c r="C25">
        <v>1100</v>
      </c>
      <c r="E25" s="11" t="s">
        <v>402</v>
      </c>
      <c r="F25">
        <f>_xlfn.MODE.SNGL(Tabela1[Całkowity koszt pokrycia strat (w tys dolarów)])</f>
        <v>5</v>
      </c>
      <c r="G25" s="13" t="s">
        <v>408</v>
      </c>
      <c r="H25">
        <f>COUNTIF(Tabela1[Całkowity koszt pokrycia strat (w tys dolarów)],5)</f>
        <v>4</v>
      </c>
      <c r="K25" t="s">
        <v>413</v>
      </c>
      <c r="L25" s="24">
        <v>2.08</v>
      </c>
      <c r="O25" s="12"/>
      <c r="P25" s="24"/>
    </row>
    <row r="26" spans="1:17" x14ac:dyDescent="0.3">
      <c r="A26" s="1">
        <f>DATE(2010,1,19)</f>
        <v>40197</v>
      </c>
      <c r="B26">
        <f>Tabela1[[#This Row],[Całkowity koszt pokrycia strat ( w dolarach)]]/$D$2</f>
        <v>26</v>
      </c>
      <c r="C26">
        <v>26000</v>
      </c>
      <c r="K26" t="s">
        <v>412</v>
      </c>
      <c r="L26" s="12">
        <v>0.63</v>
      </c>
      <c r="O26" s="12"/>
      <c r="P26" s="12"/>
    </row>
    <row r="27" spans="1:17" x14ac:dyDescent="0.3">
      <c r="A27" s="1">
        <f>DATE(2010,1,19)</f>
        <v>40197</v>
      </c>
      <c r="B27">
        <f>Tabela1[[#This Row],[Całkowity koszt pokrycia strat ( w dolarach)]]/$D$2</f>
        <v>46.185000000000002</v>
      </c>
      <c r="C27">
        <v>46185</v>
      </c>
    </row>
    <row r="28" spans="1:17" x14ac:dyDescent="0.3">
      <c r="A28" s="1">
        <f>DATE(2010,1,21)</f>
        <v>40199</v>
      </c>
      <c r="B28">
        <f>Tabela1[[#This Row],[Całkowity koszt pokrycia strat ( w dolarach)]]/$D$2</f>
        <v>7.8070000000000004</v>
      </c>
      <c r="C28">
        <v>7807</v>
      </c>
    </row>
    <row r="29" spans="1:17" x14ac:dyDescent="0.3">
      <c r="A29" s="1">
        <f>DATE(2010,1,21)</f>
        <v>40199</v>
      </c>
      <c r="B29">
        <f>Tabela1[[#This Row],[Całkowity koszt pokrycia strat ( w dolarach)]]/$D$2</f>
        <v>200.57</v>
      </c>
      <c r="C29">
        <v>200570</v>
      </c>
    </row>
    <row r="30" spans="1:17" x14ac:dyDescent="0.3">
      <c r="A30" s="1">
        <f>DATE(2010,1,21)</f>
        <v>40199</v>
      </c>
      <c r="B30">
        <f>Tabela1[[#This Row],[Całkowity koszt pokrycia strat ( w dolarach)]]/$D$2</f>
        <v>2.8</v>
      </c>
      <c r="C30">
        <v>2800</v>
      </c>
    </row>
    <row r="31" spans="1:17" x14ac:dyDescent="0.3">
      <c r="A31" s="1">
        <f>DATE(2010,1,22)</f>
        <v>40200</v>
      </c>
      <c r="B31">
        <f>Tabela1[[#This Row],[Całkowity koszt pokrycia strat ( w dolarach)]]/$D$2</f>
        <v>8.8670000000000009</v>
      </c>
      <c r="C31">
        <v>8867</v>
      </c>
    </row>
    <row r="32" spans="1:17" x14ac:dyDescent="0.3">
      <c r="A32" s="1">
        <f>DATE(2010,1,24)</f>
        <v>40202</v>
      </c>
      <c r="B32">
        <f>Tabela1[[#This Row],[Całkowity koszt pokrycia strat ( w dolarach)]]/$D$2</f>
        <v>2.1</v>
      </c>
      <c r="C32">
        <v>2100</v>
      </c>
    </row>
    <row r="33" spans="1:3" x14ac:dyDescent="0.3">
      <c r="A33" s="1">
        <f>DATE(2010,1,25)</f>
        <v>40203</v>
      </c>
      <c r="B33">
        <f>Tabela1[[#This Row],[Całkowity koszt pokrycia strat ( w dolarach)]]/$D$2</f>
        <v>667</v>
      </c>
      <c r="C33">
        <v>667000</v>
      </c>
    </row>
    <row r="34" spans="1:3" x14ac:dyDescent="0.3">
      <c r="A34" s="1">
        <f>DATE(2010,1,27)</f>
        <v>40205</v>
      </c>
      <c r="B34">
        <f>Tabela1[[#This Row],[Całkowity koszt pokrycia strat ( w dolarach)]]/$D$2</f>
        <v>60.064999999999998</v>
      </c>
      <c r="C34">
        <v>60065</v>
      </c>
    </row>
    <row r="35" spans="1:3" x14ac:dyDescent="0.3">
      <c r="A35" s="1">
        <f>DATE(2010,1,28)</f>
        <v>40206</v>
      </c>
      <c r="B35">
        <f>Tabela1[[#This Row],[Całkowity koszt pokrycia strat ( w dolarach)]]/$D$2</f>
        <v>11.17</v>
      </c>
      <c r="C35">
        <v>11170</v>
      </c>
    </row>
    <row r="36" spans="1:3" x14ac:dyDescent="0.3">
      <c r="A36" s="15">
        <f>DATE(2010,2,2)</f>
        <v>40211</v>
      </c>
      <c r="B36">
        <f>Tabela1[[#This Row],[Całkowity koszt pokrycia strat ( w dolarach)]]/$D$2</f>
        <v>6.5</v>
      </c>
      <c r="C36">
        <v>6500</v>
      </c>
    </row>
    <row r="37" spans="1:3" x14ac:dyDescent="0.3">
      <c r="A37" s="15">
        <f>DATE(2010,2,4)</f>
        <v>40213</v>
      </c>
      <c r="B37">
        <f>Tabela1[[#This Row],[Całkowity koszt pokrycia strat ( w dolarach)]]/$D$2</f>
        <v>4.5209999999999999</v>
      </c>
      <c r="C37">
        <v>4521</v>
      </c>
    </row>
    <row r="38" spans="1:3" x14ac:dyDescent="0.3">
      <c r="A38" s="15">
        <f>DATE(2010,2,6)</f>
        <v>40215</v>
      </c>
      <c r="B38">
        <f>Tabela1[[#This Row],[Całkowity koszt pokrycia strat ( w dolarach)]]/$D$2</f>
        <v>4.8</v>
      </c>
      <c r="C38">
        <v>4800</v>
      </c>
    </row>
    <row r="39" spans="1:3" x14ac:dyDescent="0.3">
      <c r="A39" s="15">
        <f>DATE(2010,2,8)</f>
        <v>40217</v>
      </c>
      <c r="B39">
        <f>Tabela1[[#This Row],[Całkowity koszt pokrycia strat ( w dolarach)]]/$D$2</f>
        <v>380.4</v>
      </c>
      <c r="C39">
        <v>380400</v>
      </c>
    </row>
    <row r="40" spans="1:3" x14ac:dyDescent="0.3">
      <c r="A40" s="15">
        <f>DATE(2010,2,9)</f>
        <v>40218</v>
      </c>
      <c r="B40">
        <f>Tabela1[[#This Row],[Całkowity koszt pokrycia strat ( w dolarach)]]/$D$2</f>
        <v>0.95</v>
      </c>
      <c r="C40">
        <v>950</v>
      </c>
    </row>
    <row r="41" spans="1:3" x14ac:dyDescent="0.3">
      <c r="A41" s="15">
        <f>DATE(2010,2,9)</f>
        <v>40218</v>
      </c>
      <c r="B41">
        <f>Tabela1[[#This Row],[Całkowity koszt pokrycia strat ( w dolarach)]]/$D$2</f>
        <v>5.3769999999999998</v>
      </c>
      <c r="C41">
        <v>5377</v>
      </c>
    </row>
    <row r="42" spans="1:3" x14ac:dyDescent="0.3">
      <c r="A42" s="15">
        <f>DATE(2010,2,16)</f>
        <v>40225</v>
      </c>
      <c r="B42">
        <f>Tabela1[[#This Row],[Całkowity koszt pokrycia strat ( w dolarach)]]/$D$2</f>
        <v>30.515000000000001</v>
      </c>
      <c r="C42">
        <v>30515</v>
      </c>
    </row>
    <row r="43" spans="1:3" x14ac:dyDescent="0.3">
      <c r="A43" s="15">
        <f>DATE(2010,2,17)</f>
        <v>40226</v>
      </c>
      <c r="B43">
        <f>Tabela1[[#This Row],[Całkowity koszt pokrycia strat ( w dolarach)]]/$D$2</f>
        <v>1.514</v>
      </c>
      <c r="C43">
        <v>1514</v>
      </c>
    </row>
    <row r="44" spans="1:3" x14ac:dyDescent="0.3">
      <c r="A44" s="15">
        <f>DATE(2010,2,19)</f>
        <v>40228</v>
      </c>
      <c r="B44">
        <f>Tabela1[[#This Row],[Całkowity koszt pokrycia strat ( w dolarach)]]/$D$2</f>
        <v>17.100000000000001</v>
      </c>
      <c r="C44">
        <v>17100</v>
      </c>
    </row>
    <row r="45" spans="1:3" x14ac:dyDescent="0.3">
      <c r="A45" s="15">
        <f>DATE(2010,2,20)</f>
        <v>40229</v>
      </c>
      <c r="B45">
        <f>Tabela1[[#This Row],[Całkowity koszt pokrycia strat ( w dolarach)]]/$D$2</f>
        <v>93.513000000000005</v>
      </c>
      <c r="C45">
        <v>93513</v>
      </c>
    </row>
    <row r="46" spans="1:3" x14ac:dyDescent="0.3">
      <c r="A46" s="15">
        <f>DATE(2010,2,21)</f>
        <v>40230</v>
      </c>
      <c r="B46">
        <f>Tabela1[[#This Row],[Całkowity koszt pokrycia strat ( w dolarach)]]/$D$2</f>
        <v>17.484999999999999</v>
      </c>
      <c r="C46">
        <v>17485</v>
      </c>
    </row>
    <row r="47" spans="1:3" x14ac:dyDescent="0.3">
      <c r="A47" s="15">
        <f>DATE(2010,2,22)</f>
        <v>40231</v>
      </c>
      <c r="B47">
        <f>Tabela1[[#This Row],[Całkowity koszt pokrycia strat ( w dolarach)]]/$D$2</f>
        <v>26.86</v>
      </c>
      <c r="C47">
        <v>26860</v>
      </c>
    </row>
    <row r="48" spans="1:3" x14ac:dyDescent="0.3">
      <c r="A48" s="15">
        <f>DATE(2010,2,22)</f>
        <v>40231</v>
      </c>
      <c r="B48">
        <f>Tabela1[[#This Row],[Całkowity koszt pokrycia strat ( w dolarach)]]/$D$2</f>
        <v>8.7899999999999991</v>
      </c>
      <c r="C48">
        <v>8790</v>
      </c>
    </row>
    <row r="49" spans="1:3" x14ac:dyDescent="0.3">
      <c r="A49" s="15">
        <f>DATE(2010,2,23)</f>
        <v>40232</v>
      </c>
      <c r="B49">
        <f>Tabela1[[#This Row],[Całkowity koszt pokrycia strat ( w dolarach)]]/$D$2</f>
        <v>129.00700000000001</v>
      </c>
      <c r="C49">
        <v>129007</v>
      </c>
    </row>
    <row r="50" spans="1:3" x14ac:dyDescent="0.3">
      <c r="A50" s="15">
        <f>DATE(2010,2,25)</f>
        <v>40234</v>
      </c>
      <c r="B50">
        <f>Tabela1[[#This Row],[Całkowity koszt pokrycia strat ( w dolarach)]]/$D$2</f>
        <v>1599.7860000000001</v>
      </c>
      <c r="C50">
        <v>1599786</v>
      </c>
    </row>
    <row r="51" spans="1:3" x14ac:dyDescent="0.3">
      <c r="A51" s="15">
        <f>DATE(2010,2,25)</f>
        <v>40234</v>
      </c>
      <c r="B51">
        <f>Tabela1[[#This Row],[Całkowity koszt pokrycia strat ( w dolarach)]]/$D$2</f>
        <v>15.95</v>
      </c>
      <c r="C51">
        <v>15950</v>
      </c>
    </row>
    <row r="52" spans="1:3" x14ac:dyDescent="0.3">
      <c r="A52" s="15">
        <f>DATE(2010,3,1)</f>
        <v>40238</v>
      </c>
      <c r="B52">
        <f>Tabela1[[#This Row],[Całkowity koszt pokrycia strat ( w dolarach)]]/$D$2</f>
        <v>16.018000000000001</v>
      </c>
      <c r="C52">
        <v>16018</v>
      </c>
    </row>
    <row r="53" spans="1:3" x14ac:dyDescent="0.3">
      <c r="A53" s="15">
        <f>DATE(2010,3,1)</f>
        <v>40238</v>
      </c>
      <c r="B53">
        <f>Tabela1[[#This Row],[Całkowity koszt pokrycia strat ( w dolarach)]]/$D$2</f>
        <v>19.079999999999998</v>
      </c>
      <c r="C53">
        <v>19080</v>
      </c>
    </row>
    <row r="54" spans="1:3" x14ac:dyDescent="0.3">
      <c r="A54" s="15">
        <f>DATE(2010,3,1)</f>
        <v>40238</v>
      </c>
      <c r="B54">
        <f>Tabela1[[#This Row],[Całkowity koszt pokrycia strat ( w dolarach)]]/$D$2</f>
        <v>3.51</v>
      </c>
      <c r="C54">
        <v>3510</v>
      </c>
    </row>
    <row r="55" spans="1:3" x14ac:dyDescent="0.3">
      <c r="A55" s="15">
        <f>DATE(2010,3,3)</f>
        <v>40240</v>
      </c>
      <c r="B55">
        <f>Tabela1[[#This Row],[Całkowity koszt pokrycia strat ( w dolarach)]]/$D$2</f>
        <v>0.77300000000000002</v>
      </c>
      <c r="C55">
        <v>773</v>
      </c>
    </row>
    <row r="56" spans="1:3" x14ac:dyDescent="0.3">
      <c r="A56" s="15">
        <f>DATE(2010,3,4)</f>
        <v>40241</v>
      </c>
      <c r="B56">
        <f>Tabela1[[#This Row],[Całkowity koszt pokrycia strat ( w dolarach)]]/$D$2</f>
        <v>65</v>
      </c>
      <c r="C56">
        <v>65000</v>
      </c>
    </row>
    <row r="57" spans="1:3" x14ac:dyDescent="0.3">
      <c r="A57" s="15">
        <f>DATE(2010,3,4)</f>
        <v>40241</v>
      </c>
      <c r="B57">
        <f>Tabela1[[#This Row],[Całkowity koszt pokrycia strat ( w dolarach)]]/$D$2</f>
        <v>13.593999999999999</v>
      </c>
      <c r="C57">
        <v>13594</v>
      </c>
    </row>
    <row r="58" spans="1:3" x14ac:dyDescent="0.3">
      <c r="A58" s="15">
        <f>DATE(2010,3,8)</f>
        <v>40245</v>
      </c>
      <c r="B58">
        <f>Tabela1[[#This Row],[Całkowity koszt pokrycia strat ( w dolarach)]]/$D$2</f>
        <v>11.287000000000001</v>
      </c>
      <c r="C58">
        <v>11287</v>
      </c>
    </row>
    <row r="59" spans="1:3" x14ac:dyDescent="0.3">
      <c r="A59" s="15">
        <f>DATE(2010,3,8)</f>
        <v>40245</v>
      </c>
      <c r="B59">
        <f>Tabela1[[#This Row],[Całkowity koszt pokrycia strat ( w dolarach)]]/$D$2</f>
        <v>85.62</v>
      </c>
      <c r="C59">
        <v>85620</v>
      </c>
    </row>
    <row r="60" spans="1:3" x14ac:dyDescent="0.3">
      <c r="A60" s="15">
        <f>DATE(2010,3,9)</f>
        <v>40246</v>
      </c>
      <c r="B60">
        <f>Tabela1[[#This Row],[Całkowity koszt pokrycia strat ( w dolarach)]]/$D$2</f>
        <v>5.0389999999999997</v>
      </c>
      <c r="C60">
        <v>5039</v>
      </c>
    </row>
    <row r="61" spans="1:3" x14ac:dyDescent="0.3">
      <c r="A61" s="15">
        <f>DATE(2010,3,9)</f>
        <v>40246</v>
      </c>
      <c r="B61">
        <f>Tabela1[[#This Row],[Całkowity koszt pokrycia strat ( w dolarach)]]/$D$2</f>
        <v>26.064</v>
      </c>
      <c r="C61">
        <v>26064</v>
      </c>
    </row>
    <row r="62" spans="1:3" x14ac:dyDescent="0.3">
      <c r="A62" s="15">
        <f>DATE(2010,3,11)</f>
        <v>40248</v>
      </c>
      <c r="B62">
        <f>Tabela1[[#This Row],[Całkowity koszt pokrycia strat ( w dolarach)]]/$D$2</f>
        <v>8.06</v>
      </c>
      <c r="C62">
        <v>8060</v>
      </c>
    </row>
    <row r="63" spans="1:3" x14ac:dyDescent="0.3">
      <c r="A63" s="15">
        <f>DATE(2010,3,14)</f>
        <v>40251</v>
      </c>
      <c r="B63">
        <f>Tabela1[[#This Row],[Całkowity koszt pokrycia strat ( w dolarach)]]/$D$2</f>
        <v>511.55</v>
      </c>
      <c r="C63">
        <v>511550</v>
      </c>
    </row>
    <row r="64" spans="1:3" x14ac:dyDescent="0.3">
      <c r="A64" s="15">
        <f>DATE(2010,3,15)</f>
        <v>40252</v>
      </c>
      <c r="B64">
        <f>Tabela1[[#This Row],[Całkowity koszt pokrycia strat ( w dolarach)]]/$D$2</f>
        <v>0.76500000000000001</v>
      </c>
      <c r="C64">
        <v>765</v>
      </c>
    </row>
    <row r="65" spans="1:3" x14ac:dyDescent="0.3">
      <c r="A65" s="15">
        <f>DATE(2010,3,15)</f>
        <v>40252</v>
      </c>
      <c r="B65">
        <f>Tabela1[[#This Row],[Całkowity koszt pokrycia strat ( w dolarach)]]/$D$2</f>
        <v>1.1599999999999999</v>
      </c>
      <c r="C65">
        <v>1160</v>
      </c>
    </row>
    <row r="66" spans="1:3" x14ac:dyDescent="0.3">
      <c r="A66" s="15">
        <f>DATE(2010,3,15)</f>
        <v>40252</v>
      </c>
      <c r="B66">
        <f>Tabela1[[#This Row],[Całkowity koszt pokrycia strat ( w dolarach)]]/$D$2</f>
        <v>11.497</v>
      </c>
      <c r="C66">
        <v>11497</v>
      </c>
    </row>
    <row r="67" spans="1:3" x14ac:dyDescent="0.3">
      <c r="A67" s="15">
        <f>DATE(2010,3,16)</f>
        <v>40253</v>
      </c>
      <c r="B67">
        <f>Tabela1[[#This Row],[Całkowity koszt pokrycia strat ( w dolarach)]]/$D$2</f>
        <v>480</v>
      </c>
      <c r="C67">
        <v>480000</v>
      </c>
    </row>
    <row r="68" spans="1:3" x14ac:dyDescent="0.3">
      <c r="A68" s="15">
        <f>DATE(2010,3,18)</f>
        <v>40255</v>
      </c>
      <c r="B68">
        <f>Tabela1[[#This Row],[Całkowity koszt pokrycia strat ( w dolarach)]]/$D$2</f>
        <v>54</v>
      </c>
      <c r="C68">
        <v>54000</v>
      </c>
    </row>
    <row r="69" spans="1:3" x14ac:dyDescent="0.3">
      <c r="A69" s="15">
        <f>DATE(2010,3,20)</f>
        <v>40257</v>
      </c>
      <c r="B69">
        <f>Tabela1[[#This Row],[Całkowity koszt pokrycia strat ( w dolarach)]]/$D$2</f>
        <v>16.8</v>
      </c>
      <c r="C69">
        <v>16800</v>
      </c>
    </row>
    <row r="70" spans="1:3" x14ac:dyDescent="0.3">
      <c r="A70" s="15">
        <f>DATE(2010,3,21)</f>
        <v>40258</v>
      </c>
      <c r="B70">
        <f>Tabela1[[#This Row],[Całkowity koszt pokrycia strat ( w dolarach)]]/$D$2</f>
        <v>158.5</v>
      </c>
      <c r="C70">
        <v>158500</v>
      </c>
    </row>
    <row r="71" spans="1:3" x14ac:dyDescent="0.3">
      <c r="A71" s="15">
        <f>DATE(2010,3,22)</f>
        <v>40259</v>
      </c>
      <c r="B71">
        <f>Tabela1[[#This Row],[Całkowity koszt pokrycia strat ( w dolarach)]]/$D$2</f>
        <v>106.03</v>
      </c>
      <c r="C71">
        <v>106030</v>
      </c>
    </row>
    <row r="72" spans="1:3" x14ac:dyDescent="0.3">
      <c r="A72" s="15">
        <f>DATE(2010,3,23)</f>
        <v>40260</v>
      </c>
      <c r="B72">
        <f>Tabela1[[#This Row],[Całkowity koszt pokrycia strat ( w dolarach)]]/$D$2</f>
        <v>4.7729999999999997</v>
      </c>
      <c r="C72">
        <v>4773</v>
      </c>
    </row>
    <row r="73" spans="1:3" x14ac:dyDescent="0.3">
      <c r="A73" s="15">
        <f>DATE(2010,3,23)</f>
        <v>40260</v>
      </c>
      <c r="B73">
        <f>Tabela1[[#This Row],[Całkowity koszt pokrycia strat ( w dolarach)]]/$D$2</f>
        <v>3.52</v>
      </c>
      <c r="C73">
        <v>3520</v>
      </c>
    </row>
    <row r="74" spans="1:3" x14ac:dyDescent="0.3">
      <c r="A74" s="15">
        <f>DATE(2010,3,24)</f>
        <v>40261</v>
      </c>
      <c r="B74">
        <f>Tabela1[[#This Row],[Całkowity koszt pokrycia strat ( w dolarach)]]/$D$2</f>
        <v>1.35</v>
      </c>
      <c r="C74">
        <v>1350</v>
      </c>
    </row>
    <row r="75" spans="1:3" x14ac:dyDescent="0.3">
      <c r="A75" s="15">
        <f>DATE(2010,3,24)</f>
        <v>40261</v>
      </c>
      <c r="B75">
        <f>Tabela1[[#This Row],[Całkowity koszt pokrycia strat ( w dolarach)]]/$D$2</f>
        <v>4.2149999999999999</v>
      </c>
      <c r="C75">
        <v>4215</v>
      </c>
    </row>
    <row r="76" spans="1:3" x14ac:dyDescent="0.3">
      <c r="A76" s="15">
        <f>DATE(2010,3,25)</f>
        <v>40262</v>
      </c>
      <c r="B76">
        <f>Tabela1[[#This Row],[Całkowity koszt pokrycia strat ( w dolarach)]]/$D$2</f>
        <v>100</v>
      </c>
      <c r="C76">
        <v>100000</v>
      </c>
    </row>
    <row r="77" spans="1:3" x14ac:dyDescent="0.3">
      <c r="A77" s="15">
        <f>DATE(2010,3,25)</f>
        <v>40262</v>
      </c>
      <c r="B77">
        <f>Tabela1[[#This Row],[Całkowity koszt pokrycia strat ( w dolarach)]]/$D$2</f>
        <v>2201.2600000000002</v>
      </c>
      <c r="C77">
        <v>2201260</v>
      </c>
    </row>
    <row r="78" spans="1:3" x14ac:dyDescent="0.3">
      <c r="A78" s="15">
        <f>DATE(2010,3,26)</f>
        <v>40263</v>
      </c>
      <c r="B78">
        <f>Tabela1[[#This Row],[Całkowity koszt pokrycia strat ( w dolarach)]]/$D$2</f>
        <v>30.058</v>
      </c>
      <c r="C78">
        <v>30058</v>
      </c>
    </row>
    <row r="79" spans="1:3" x14ac:dyDescent="0.3">
      <c r="A79" s="15">
        <f>DATE(2010,3,27)</f>
        <v>40264</v>
      </c>
      <c r="B79">
        <f>Tabela1[[#This Row],[Całkowity koszt pokrycia strat ( w dolarach)]]/$D$2</f>
        <v>437</v>
      </c>
      <c r="C79">
        <v>437000</v>
      </c>
    </row>
    <row r="80" spans="1:3" x14ac:dyDescent="0.3">
      <c r="A80" s="15">
        <f>DATE(2010,3,29)</f>
        <v>40266</v>
      </c>
      <c r="B80">
        <f>Tabela1[[#This Row],[Całkowity koszt pokrycia strat ( w dolarach)]]/$D$2</f>
        <v>16.13</v>
      </c>
      <c r="C80">
        <v>16130</v>
      </c>
    </row>
    <row r="81" spans="1:3" x14ac:dyDescent="0.3">
      <c r="A81" s="15">
        <f>DATE(2010,3,29)</f>
        <v>40266</v>
      </c>
      <c r="B81">
        <f>Tabela1[[#This Row],[Całkowity koszt pokrycia strat ( w dolarach)]]/$D$2</f>
        <v>115.29</v>
      </c>
      <c r="C81">
        <v>115290</v>
      </c>
    </row>
    <row r="82" spans="1:3" x14ac:dyDescent="0.3">
      <c r="A82" s="15">
        <f>DATE(2010,3,30)</f>
        <v>40267</v>
      </c>
      <c r="B82">
        <f>Tabela1[[#This Row],[Całkowity koszt pokrycia strat ( w dolarach)]]/$D$2</f>
        <v>110.6</v>
      </c>
      <c r="C82">
        <v>110600</v>
      </c>
    </row>
    <row r="83" spans="1:3" x14ac:dyDescent="0.3">
      <c r="A83" s="15">
        <f>DATE(2010,3,31)</f>
        <v>40268</v>
      </c>
      <c r="B83">
        <f>Tabela1[[#This Row],[Całkowity koszt pokrycia strat ( w dolarach)]]/$D$2</f>
        <v>123.396</v>
      </c>
      <c r="C83">
        <v>123396</v>
      </c>
    </row>
    <row r="84" spans="1:3" x14ac:dyDescent="0.3">
      <c r="A84" s="15">
        <f>DATE(2010,4,3)</f>
        <v>40271</v>
      </c>
      <c r="B84">
        <f>Tabela1[[#This Row],[Całkowity koszt pokrycia strat ( w dolarach)]]/$D$2</f>
        <v>189.24</v>
      </c>
      <c r="C84">
        <v>189240</v>
      </c>
    </row>
    <row r="85" spans="1:3" x14ac:dyDescent="0.3">
      <c r="A85" s="15">
        <f>DATE(2010,4,5)</f>
        <v>40273</v>
      </c>
      <c r="B85">
        <f>Tabela1[[#This Row],[Całkowity koszt pokrycia strat ( w dolarach)]]/$D$2</f>
        <v>8.0120000000000005</v>
      </c>
      <c r="C85">
        <v>8012</v>
      </c>
    </row>
    <row r="86" spans="1:3" x14ac:dyDescent="0.3">
      <c r="A86" s="15">
        <f>DATE(2010,4,5)</f>
        <v>40273</v>
      </c>
      <c r="B86">
        <f>Tabela1[[#This Row],[Całkowity koszt pokrycia strat ( w dolarach)]]/$D$2</f>
        <v>4000</v>
      </c>
      <c r="C86">
        <v>4000000</v>
      </c>
    </row>
    <row r="87" spans="1:3" x14ac:dyDescent="0.3">
      <c r="A87" s="15">
        <f>DATE(2010,4,5)</f>
        <v>40273</v>
      </c>
      <c r="B87">
        <f>Tabela1[[#This Row],[Całkowity koszt pokrycia strat ( w dolarach)]]/$D$2</f>
        <v>7.8150000000000004</v>
      </c>
      <c r="C87">
        <v>7815</v>
      </c>
    </row>
    <row r="88" spans="1:3" x14ac:dyDescent="0.3">
      <c r="A88" s="15">
        <f>DATE(2010,4,5)</f>
        <v>40273</v>
      </c>
      <c r="B88">
        <f>Tabela1[[#This Row],[Całkowity koszt pokrycia strat ( w dolarach)]]/$D$2</f>
        <v>13933.6</v>
      </c>
      <c r="C88">
        <v>13933600</v>
      </c>
    </row>
    <row r="89" spans="1:3" x14ac:dyDescent="0.3">
      <c r="A89" s="15">
        <f>DATE(2010,4,7)</f>
        <v>40275</v>
      </c>
      <c r="B89">
        <f>Tabela1[[#This Row],[Całkowity koszt pokrycia strat ( w dolarach)]]/$D$2</f>
        <v>100.504</v>
      </c>
      <c r="C89">
        <v>100504</v>
      </c>
    </row>
    <row r="90" spans="1:3" x14ac:dyDescent="0.3">
      <c r="A90" s="15">
        <f>DATE(2010,4,8)</f>
        <v>40276</v>
      </c>
      <c r="B90">
        <f>Tabela1[[#This Row],[Całkowity koszt pokrycia strat ( w dolarach)]]/$D$2</f>
        <v>36.590000000000003</v>
      </c>
      <c r="C90">
        <v>36590</v>
      </c>
    </row>
    <row r="91" spans="1:3" x14ac:dyDescent="0.3">
      <c r="A91" s="15">
        <f>DATE(2010,4,9)</f>
        <v>40277</v>
      </c>
      <c r="B91">
        <f>Tabela1[[#This Row],[Całkowity koszt pokrycia strat ( w dolarach)]]/$D$2</f>
        <v>2.7E-2</v>
      </c>
      <c r="C91">
        <v>27</v>
      </c>
    </row>
    <row r="92" spans="1:3" x14ac:dyDescent="0.3">
      <c r="A92" s="15">
        <f>DATE(2010,4,9)</f>
        <v>40277</v>
      </c>
      <c r="B92">
        <f>Tabela1[[#This Row],[Całkowity koszt pokrycia strat ( w dolarach)]]/$D$2</f>
        <v>1.78</v>
      </c>
      <c r="C92">
        <v>1780</v>
      </c>
    </row>
    <row r="93" spans="1:3" x14ac:dyDescent="0.3">
      <c r="A93" s="15">
        <f>DATE(2010,4,10)</f>
        <v>40278</v>
      </c>
      <c r="B93">
        <f>Tabela1[[#This Row],[Całkowity koszt pokrycia strat ( w dolarach)]]/$D$2</f>
        <v>167.904</v>
      </c>
      <c r="C93">
        <v>167904</v>
      </c>
    </row>
    <row r="94" spans="1:3" x14ac:dyDescent="0.3">
      <c r="A94" s="15">
        <f>DATE(2010,4,12)</f>
        <v>40280</v>
      </c>
      <c r="B94">
        <f>Tabela1[[#This Row],[Całkowity koszt pokrycia strat ( w dolarach)]]/$D$2</f>
        <v>31.018999999999998</v>
      </c>
      <c r="C94">
        <v>31019</v>
      </c>
    </row>
    <row r="95" spans="1:3" x14ac:dyDescent="0.3">
      <c r="A95" s="15">
        <f>DATE(2010,4,13)</f>
        <v>40281</v>
      </c>
      <c r="B95">
        <f>Tabela1[[#This Row],[Całkowity koszt pokrycia strat ( w dolarach)]]/$D$2</f>
        <v>35.228999999999999</v>
      </c>
      <c r="C95">
        <v>35229</v>
      </c>
    </row>
    <row r="96" spans="1:3" x14ac:dyDescent="0.3">
      <c r="A96" s="15">
        <f>DATE(2010,4,13)</f>
        <v>40281</v>
      </c>
      <c r="B96">
        <f>Tabela1[[#This Row],[Całkowity koszt pokrycia strat ( w dolarach)]]/$D$2</f>
        <v>102.96899999999999</v>
      </c>
      <c r="C96">
        <v>102969</v>
      </c>
    </row>
    <row r="97" spans="1:3" x14ac:dyDescent="0.3">
      <c r="A97" s="15">
        <f>DATE(2010,4,14)</f>
        <v>40282</v>
      </c>
      <c r="B97">
        <f>Tabela1[[#This Row],[Całkowity koszt pokrycia strat ( w dolarach)]]/$D$2</f>
        <v>5.0860000000000003</v>
      </c>
      <c r="C97">
        <v>5086</v>
      </c>
    </row>
    <row r="98" spans="1:3" x14ac:dyDescent="0.3">
      <c r="A98" s="15">
        <f>DATE(2010,4,15)</f>
        <v>40283</v>
      </c>
      <c r="B98">
        <f>Tabela1[[#This Row],[Całkowity koszt pokrycia strat ( w dolarach)]]/$D$2</f>
        <v>20.3</v>
      </c>
      <c r="C98">
        <v>20300</v>
      </c>
    </row>
    <row r="99" spans="1:3" x14ac:dyDescent="0.3">
      <c r="A99" s="15">
        <f>DATE(2010,4,16)</f>
        <v>40284</v>
      </c>
      <c r="B99">
        <f>Tabela1[[#This Row],[Całkowity koszt pokrycia strat ( w dolarach)]]/$D$2</f>
        <v>5</v>
      </c>
      <c r="C99">
        <v>5000</v>
      </c>
    </row>
    <row r="100" spans="1:3" x14ac:dyDescent="0.3">
      <c r="A100" s="15">
        <f>DATE(2010,4,16)</f>
        <v>40284</v>
      </c>
      <c r="B100">
        <f>Tabela1[[#This Row],[Całkowity koszt pokrycia strat ( w dolarach)]]/$D$2</f>
        <v>2.5089999999999999</v>
      </c>
      <c r="C100">
        <v>2509</v>
      </c>
    </row>
    <row r="101" spans="1:3" x14ac:dyDescent="0.3">
      <c r="A101" s="15">
        <f>DATE(2010,4,17)</f>
        <v>40285</v>
      </c>
      <c r="B101">
        <f>Tabela1[[#This Row],[Całkowity koszt pokrycia strat ( w dolarach)]]/$D$2</f>
        <v>966.35</v>
      </c>
      <c r="C101">
        <v>966350</v>
      </c>
    </row>
    <row r="102" spans="1:3" x14ac:dyDescent="0.3">
      <c r="A102" s="15">
        <f>DATE(2010,4,20)</f>
        <v>40288</v>
      </c>
      <c r="B102">
        <f>Tabela1[[#This Row],[Całkowity koszt pokrycia strat ( w dolarach)]]/$D$2</f>
        <v>142.67500000000001</v>
      </c>
      <c r="C102">
        <v>142675</v>
      </c>
    </row>
    <row r="103" spans="1:3" x14ac:dyDescent="0.3">
      <c r="A103" s="15">
        <f>DATE(2010,4,23)</f>
        <v>40291</v>
      </c>
      <c r="B103">
        <f>Tabela1[[#This Row],[Całkowity koszt pokrycia strat ( w dolarach)]]/$D$2</f>
        <v>575.40899999999999</v>
      </c>
      <c r="C103">
        <v>575409</v>
      </c>
    </row>
    <row r="104" spans="1:3" x14ac:dyDescent="0.3">
      <c r="A104" s="15">
        <f>DATE(2010,4,24)</f>
        <v>40292</v>
      </c>
      <c r="B104">
        <f>Tabela1[[#This Row],[Całkowity koszt pokrycia strat ( w dolarach)]]/$D$2</f>
        <v>47.283999999999999</v>
      </c>
      <c r="C104">
        <v>47284</v>
      </c>
    </row>
    <row r="105" spans="1:3" x14ac:dyDescent="0.3">
      <c r="A105" s="15">
        <f>DATE(2010,4,25)</f>
        <v>40293</v>
      </c>
      <c r="B105">
        <f>Tabela1[[#This Row],[Całkowity koszt pokrycia strat ( w dolarach)]]/$D$2</f>
        <v>1103.9670000000001</v>
      </c>
      <c r="C105">
        <v>1103967</v>
      </c>
    </row>
    <row r="106" spans="1:3" x14ac:dyDescent="0.3">
      <c r="A106" s="15">
        <f>DATE(2010,4,26)</f>
        <v>40294</v>
      </c>
      <c r="B106">
        <f>Tabela1[[#This Row],[Całkowity koszt pokrycia strat ( w dolarach)]]/$D$2</f>
        <v>13.11</v>
      </c>
      <c r="C106">
        <v>13110</v>
      </c>
    </row>
    <row r="107" spans="1:3" x14ac:dyDescent="0.3">
      <c r="A107" s="15">
        <f>DATE(2010,4,26)</f>
        <v>40294</v>
      </c>
      <c r="B107">
        <f>Tabela1[[#This Row],[Całkowity koszt pokrycia strat ( w dolarach)]]/$D$2</f>
        <v>92.855999999999995</v>
      </c>
      <c r="C107">
        <v>92856</v>
      </c>
    </row>
    <row r="108" spans="1:3" x14ac:dyDescent="0.3">
      <c r="A108" s="15">
        <f>DATE(2010,4,26)</f>
        <v>40294</v>
      </c>
      <c r="B108">
        <f>Tabela1[[#This Row],[Całkowity koszt pokrycia strat ( w dolarach)]]/$D$2</f>
        <v>117.65300000000001</v>
      </c>
      <c r="C108">
        <v>117653</v>
      </c>
    </row>
    <row r="109" spans="1:3" x14ac:dyDescent="0.3">
      <c r="A109" s="15">
        <f>DATE(2010,4,26)</f>
        <v>40294</v>
      </c>
      <c r="B109">
        <f>Tabela1[[#This Row],[Całkowity koszt pokrycia strat ( w dolarach)]]/$D$2</f>
        <v>28.88</v>
      </c>
      <c r="C109">
        <v>28880</v>
      </c>
    </row>
    <row r="110" spans="1:3" x14ac:dyDescent="0.3">
      <c r="A110" s="15">
        <f>DATE(2010,4,27)</f>
        <v>40295</v>
      </c>
      <c r="B110">
        <f>Tabela1[[#This Row],[Całkowity koszt pokrycia strat ( w dolarach)]]/$D$2</f>
        <v>78.188000000000002</v>
      </c>
      <c r="C110">
        <v>78188</v>
      </c>
    </row>
    <row r="111" spans="1:3" x14ac:dyDescent="0.3">
      <c r="A111" s="15">
        <f>DATE(2010,4,28)</f>
        <v>40296</v>
      </c>
      <c r="B111">
        <f>Tabela1[[#This Row],[Całkowity koszt pokrycia strat ( w dolarach)]]/$D$2</f>
        <v>4.5750000000000002</v>
      </c>
      <c r="C111">
        <v>4575</v>
      </c>
    </row>
    <row r="112" spans="1:3" x14ac:dyDescent="0.3">
      <c r="A112" s="15">
        <f>DATE(2010,4,28)</f>
        <v>40296</v>
      </c>
      <c r="B112">
        <f>Tabela1[[#This Row],[Całkowity koszt pokrycia strat ( w dolarach)]]/$D$2</f>
        <v>32.03</v>
      </c>
      <c r="C112">
        <v>32030</v>
      </c>
    </row>
    <row r="113" spans="1:3" x14ac:dyDescent="0.3">
      <c r="A113" s="15">
        <f>DATE(2010,4,29)</f>
        <v>40297</v>
      </c>
      <c r="B113">
        <f>Tabela1[[#This Row],[Całkowity koszt pokrycia strat ( w dolarach)]]/$D$2</f>
        <v>93.626999999999995</v>
      </c>
      <c r="C113">
        <v>93627</v>
      </c>
    </row>
    <row r="114" spans="1:3" x14ac:dyDescent="0.3">
      <c r="A114" s="15">
        <f>DATE(2010,4,29)</f>
        <v>40297</v>
      </c>
      <c r="B114">
        <f>Tabela1[[#This Row],[Całkowity koszt pokrycia strat ( w dolarach)]]/$D$2</f>
        <v>23.606999999999999</v>
      </c>
      <c r="C114">
        <v>23607</v>
      </c>
    </row>
    <row r="115" spans="1:3" x14ac:dyDescent="0.3">
      <c r="A115" s="15">
        <f>DATE(2010,4,30)</f>
        <v>40298</v>
      </c>
      <c r="B115">
        <f>Tabela1[[#This Row],[Całkowity koszt pokrycia strat ( w dolarach)]]/$D$2</f>
        <v>1.8</v>
      </c>
      <c r="C115">
        <v>1800</v>
      </c>
    </row>
    <row r="116" spans="1:3" x14ac:dyDescent="0.3">
      <c r="A116" s="15">
        <f>DATE(2010,5,4)</f>
        <v>40302</v>
      </c>
      <c r="B116">
        <f>Tabela1[[#This Row],[Całkowity koszt pokrycia strat ( w dolarach)]]/$D$2</f>
        <v>18.375</v>
      </c>
      <c r="C116">
        <v>18375</v>
      </c>
    </row>
    <row r="117" spans="1:3" x14ac:dyDescent="0.3">
      <c r="A117" s="15">
        <f>DATE(2010,5,7)</f>
        <v>40305</v>
      </c>
      <c r="B117">
        <f>Tabela1[[#This Row],[Całkowity koszt pokrycia strat ( w dolarach)]]/$D$2</f>
        <v>39.518000000000001</v>
      </c>
      <c r="C117">
        <v>39518</v>
      </c>
    </row>
    <row r="118" spans="1:3" x14ac:dyDescent="0.3">
      <c r="A118" s="15">
        <f>DATE(2010,5,10)</f>
        <v>40308</v>
      </c>
      <c r="B118">
        <f>Tabela1[[#This Row],[Całkowity koszt pokrycia strat ( w dolarach)]]/$D$2</f>
        <v>5.0999999999999996</v>
      </c>
      <c r="C118">
        <v>5100</v>
      </c>
    </row>
    <row r="119" spans="1:3" x14ac:dyDescent="0.3">
      <c r="A119" s="15">
        <f>DATE(2010,5,10)</f>
        <v>40308</v>
      </c>
      <c r="B119">
        <f>Tabela1[[#This Row],[Całkowity koszt pokrycia strat ( w dolarach)]]/$D$2</f>
        <v>51.1</v>
      </c>
      <c r="C119">
        <v>51100</v>
      </c>
    </row>
    <row r="120" spans="1:3" x14ac:dyDescent="0.3">
      <c r="A120" s="15">
        <f>DATE(2010,5,12)</f>
        <v>40310</v>
      </c>
      <c r="B120">
        <f>Tabela1[[#This Row],[Całkowity koszt pokrycia strat ( w dolarach)]]/$D$2</f>
        <v>0.82299999999999995</v>
      </c>
      <c r="C120">
        <v>823</v>
      </c>
    </row>
    <row r="121" spans="1:3" x14ac:dyDescent="0.3">
      <c r="A121" s="15">
        <f>DATE(2010,5,16)</f>
        <v>40314</v>
      </c>
      <c r="B121">
        <f>Tabela1[[#This Row],[Całkowity koszt pokrycia strat ( w dolarach)]]/$D$2</f>
        <v>11.375</v>
      </c>
      <c r="C121">
        <v>11375</v>
      </c>
    </row>
    <row r="122" spans="1:3" x14ac:dyDescent="0.3">
      <c r="A122" s="15">
        <f>DATE(2010,5,16)</f>
        <v>40314</v>
      </c>
      <c r="B122">
        <f>Tabela1[[#This Row],[Całkowity koszt pokrycia strat ( w dolarach)]]/$D$2</f>
        <v>1879.337</v>
      </c>
      <c r="C122">
        <v>1879337</v>
      </c>
    </row>
    <row r="123" spans="1:3" x14ac:dyDescent="0.3">
      <c r="A123" s="15">
        <f>DATE(2010,5,16)</f>
        <v>40314</v>
      </c>
      <c r="B123">
        <f>Tabela1[[#This Row],[Całkowity koszt pokrycia strat ( w dolarach)]]/$D$2</f>
        <v>23.574999999999999</v>
      </c>
      <c r="C123">
        <v>23575</v>
      </c>
    </row>
    <row r="124" spans="1:3" x14ac:dyDescent="0.3">
      <c r="A124" s="15">
        <f>DATE(2010,5,16)</f>
        <v>40314</v>
      </c>
      <c r="B124">
        <f>Tabela1[[#This Row],[Całkowity koszt pokrycia strat ( w dolarach)]]/$D$2</f>
        <v>194.58600000000001</v>
      </c>
      <c r="C124">
        <v>194586</v>
      </c>
    </row>
    <row r="125" spans="1:3" x14ac:dyDescent="0.3">
      <c r="A125" s="15">
        <f>DATE(2010,5,17)</f>
        <v>40315</v>
      </c>
      <c r="B125">
        <f>Tabela1[[#This Row],[Całkowity koszt pokrycia strat ( w dolarach)]]/$D$2</f>
        <v>1.4</v>
      </c>
      <c r="C125">
        <v>1400</v>
      </c>
    </row>
    <row r="126" spans="1:3" x14ac:dyDescent="0.3">
      <c r="A126" s="15">
        <f>DATE(2010,5,19)</f>
        <v>40317</v>
      </c>
      <c r="B126">
        <f>Tabela1[[#This Row],[Całkowity koszt pokrycia strat ( w dolarach)]]/$D$2</f>
        <v>6.8680000000000003</v>
      </c>
      <c r="C126">
        <v>6868</v>
      </c>
    </row>
    <row r="127" spans="1:3" x14ac:dyDescent="0.3">
      <c r="A127" s="15">
        <f>DATE(2010,5,19)</f>
        <v>40317</v>
      </c>
      <c r="B127">
        <f>Tabela1[[#This Row],[Całkowity koszt pokrycia strat ( w dolarach)]]/$D$2</f>
        <v>20.05</v>
      </c>
      <c r="C127">
        <v>20050</v>
      </c>
    </row>
    <row r="128" spans="1:3" x14ac:dyDescent="0.3">
      <c r="A128" s="15">
        <f>DATE(2010,5,20)</f>
        <v>40318</v>
      </c>
      <c r="B128">
        <f>Tabela1[[#This Row],[Całkowity koszt pokrycia strat ( w dolarach)]]/$D$2</f>
        <v>70</v>
      </c>
      <c r="C128">
        <v>70000</v>
      </c>
    </row>
    <row r="129" spans="1:3" x14ac:dyDescent="0.3">
      <c r="A129" s="15">
        <f>DATE(2010,5,20)</f>
        <v>40318</v>
      </c>
      <c r="B129">
        <f>Tabela1[[#This Row],[Całkowity koszt pokrycia strat ( w dolarach)]]/$D$2</f>
        <v>305.19499999999999</v>
      </c>
      <c r="C129">
        <v>305195</v>
      </c>
    </row>
    <row r="130" spans="1:3" x14ac:dyDescent="0.3">
      <c r="A130" s="15">
        <f>DATE(2010,5,20)</f>
        <v>40318</v>
      </c>
      <c r="B130">
        <f>Tabela1[[#This Row],[Całkowity koszt pokrycia strat ( w dolarach)]]/$D$2</f>
        <v>11.012</v>
      </c>
      <c r="C130">
        <v>11012</v>
      </c>
    </row>
    <row r="131" spans="1:3" x14ac:dyDescent="0.3">
      <c r="A131" s="15">
        <f>DATE(2010,5,20)</f>
        <v>40318</v>
      </c>
      <c r="B131">
        <f>Tabela1[[#This Row],[Całkowity koszt pokrycia strat ( w dolarach)]]/$D$2</f>
        <v>1053.057</v>
      </c>
      <c r="C131">
        <v>1053057</v>
      </c>
    </row>
    <row r="132" spans="1:3" x14ac:dyDescent="0.3">
      <c r="A132" s="15">
        <f>DATE(2010,5,21)</f>
        <v>40319</v>
      </c>
      <c r="B132">
        <f>Tabela1[[#This Row],[Całkowity koszt pokrycia strat ( w dolarach)]]/$D$2</f>
        <v>207.50800000000001</v>
      </c>
      <c r="C132">
        <v>207508</v>
      </c>
    </row>
    <row r="133" spans="1:3" x14ac:dyDescent="0.3">
      <c r="A133" s="15">
        <f>DATE(2010,5,23)</f>
        <v>40321</v>
      </c>
      <c r="B133">
        <f>Tabela1[[#This Row],[Całkowity koszt pokrycia strat ( w dolarach)]]/$D$2</f>
        <v>9.9649999999999999</v>
      </c>
      <c r="C133">
        <v>9965</v>
      </c>
    </row>
    <row r="134" spans="1:3" x14ac:dyDescent="0.3">
      <c r="A134" s="15">
        <f>DATE(2010,5,24)</f>
        <v>40322</v>
      </c>
      <c r="B134">
        <f>Tabela1[[#This Row],[Całkowity koszt pokrycia strat ( w dolarach)]]/$D$2</f>
        <v>25.5</v>
      </c>
      <c r="C134">
        <v>25500</v>
      </c>
    </row>
    <row r="135" spans="1:3" x14ac:dyDescent="0.3">
      <c r="A135" s="15">
        <f>DATE(2010,5,25)</f>
        <v>40323</v>
      </c>
      <c r="B135">
        <f>Tabela1[[#This Row],[Całkowity koszt pokrycia strat ( w dolarach)]]/$D$2</f>
        <v>28938</v>
      </c>
      <c r="C135">
        <v>28938000</v>
      </c>
    </row>
    <row r="136" spans="1:3" x14ac:dyDescent="0.3">
      <c r="A136" s="15">
        <f>DATE(2010,5,26)</f>
        <v>40324</v>
      </c>
      <c r="B136">
        <f>Tabela1[[#This Row],[Całkowity koszt pokrycia strat ( w dolarach)]]/$D$2</f>
        <v>5.0659999999999998</v>
      </c>
      <c r="C136">
        <v>5066</v>
      </c>
    </row>
    <row r="137" spans="1:3" x14ac:dyDescent="0.3">
      <c r="A137" s="15">
        <f>DATE(2010,5,27)</f>
        <v>40325</v>
      </c>
      <c r="B137">
        <f>Tabela1[[#This Row],[Całkowity koszt pokrycia strat ( w dolarach)]]/$D$2</f>
        <v>5.22</v>
      </c>
      <c r="C137">
        <v>5220</v>
      </c>
    </row>
    <row r="138" spans="1:3" x14ac:dyDescent="0.3">
      <c r="A138" s="15">
        <f>DATE(2010,5,27)</f>
        <v>40325</v>
      </c>
      <c r="B138">
        <f>Tabela1[[#This Row],[Całkowity koszt pokrycia strat ( w dolarach)]]/$D$2</f>
        <v>11.7</v>
      </c>
      <c r="C138">
        <v>11700</v>
      </c>
    </row>
    <row r="139" spans="1:3" x14ac:dyDescent="0.3">
      <c r="A139" s="15">
        <f>DATE(2010,5,27)</f>
        <v>40325</v>
      </c>
      <c r="B139">
        <f>Tabela1[[#This Row],[Całkowity koszt pokrycia strat ( w dolarach)]]/$D$2</f>
        <v>9.4990000000000006</v>
      </c>
      <c r="C139">
        <v>9499</v>
      </c>
    </row>
    <row r="140" spans="1:3" x14ac:dyDescent="0.3">
      <c r="A140" s="15">
        <f>DATE(2010,5,27)</f>
        <v>40325</v>
      </c>
      <c r="B140">
        <f>Tabela1[[#This Row],[Całkowity koszt pokrycia strat ( w dolarach)]]/$D$2</f>
        <v>4.7649999999999997</v>
      </c>
      <c r="C140">
        <v>4765</v>
      </c>
    </row>
    <row r="141" spans="1:3" x14ac:dyDescent="0.3">
      <c r="A141" s="15">
        <f>DATE(2010,5,27)</f>
        <v>40325</v>
      </c>
      <c r="B141">
        <f>Tabela1[[#This Row],[Całkowity koszt pokrycia strat ( w dolarach)]]/$D$2</f>
        <v>5</v>
      </c>
      <c r="C141">
        <v>5000</v>
      </c>
    </row>
    <row r="142" spans="1:3" x14ac:dyDescent="0.3">
      <c r="A142" s="15">
        <f>DATE(2010,5,29)</f>
        <v>40327</v>
      </c>
      <c r="B142">
        <f>Tabela1[[#This Row],[Całkowity koszt pokrycia strat ( w dolarach)]]/$D$2</f>
        <v>1965.2460000000001</v>
      </c>
      <c r="C142">
        <v>1965246</v>
      </c>
    </row>
    <row r="143" spans="1:3" x14ac:dyDescent="0.3">
      <c r="A143" s="15">
        <f>DATE(2010,5,29)</f>
        <v>40327</v>
      </c>
      <c r="B143">
        <f>Tabela1[[#This Row],[Całkowity koszt pokrycia strat ( w dolarach)]]/$D$2</f>
        <v>0.15</v>
      </c>
      <c r="C143">
        <v>150</v>
      </c>
    </row>
    <row r="144" spans="1:3" x14ac:dyDescent="0.3">
      <c r="A144" s="15">
        <f>DATE(2010,5,29)</f>
        <v>40327</v>
      </c>
      <c r="B144">
        <f>Tabela1[[#This Row],[Całkowity koszt pokrycia strat ( w dolarach)]]/$D$2</f>
        <v>71</v>
      </c>
      <c r="C144">
        <v>71000</v>
      </c>
    </row>
    <row r="145" spans="1:3" x14ac:dyDescent="0.3">
      <c r="A145" s="15">
        <f>DATE(2010,5,31)</f>
        <v>40329</v>
      </c>
      <c r="B145">
        <f>Tabela1[[#This Row],[Całkowity koszt pokrycia strat ( w dolarach)]]/$D$2</f>
        <v>22.058</v>
      </c>
      <c r="C145">
        <v>22058</v>
      </c>
    </row>
    <row r="146" spans="1:3" x14ac:dyDescent="0.3">
      <c r="A146" s="15">
        <f>DATE(2010,6,1)</f>
        <v>40330</v>
      </c>
      <c r="B146">
        <f>Tabela1[[#This Row],[Całkowity koszt pokrycia strat ( w dolarach)]]/$D$2</f>
        <v>150</v>
      </c>
      <c r="C146">
        <v>150000</v>
      </c>
    </row>
    <row r="147" spans="1:3" x14ac:dyDescent="0.3">
      <c r="A147" s="15">
        <f>DATE(2010,6,1)</f>
        <v>40330</v>
      </c>
      <c r="B147">
        <f>Tabela1[[#This Row],[Całkowity koszt pokrycia strat ( w dolarach)]]/$D$2</f>
        <v>0.15</v>
      </c>
      <c r="C147">
        <v>150</v>
      </c>
    </row>
    <row r="148" spans="1:3" x14ac:dyDescent="0.3">
      <c r="A148" s="15">
        <f>DATE(2010,6,3)</f>
        <v>40332</v>
      </c>
      <c r="B148">
        <f>Tabela1[[#This Row],[Całkowity koszt pokrycia strat ( w dolarach)]]/$D$2</f>
        <v>304.262</v>
      </c>
      <c r="C148">
        <v>304262</v>
      </c>
    </row>
    <row r="149" spans="1:3" x14ac:dyDescent="0.3">
      <c r="A149" s="15">
        <f>DATE(2010,6,3)</f>
        <v>40332</v>
      </c>
      <c r="B149">
        <f>Tabela1[[#This Row],[Całkowity koszt pokrycia strat ( w dolarach)]]/$D$2</f>
        <v>1.8540000000000001</v>
      </c>
      <c r="C149">
        <v>1854</v>
      </c>
    </row>
    <row r="150" spans="1:3" x14ac:dyDescent="0.3">
      <c r="A150" s="15">
        <f>DATE(2010,6,4)</f>
        <v>40333</v>
      </c>
      <c r="B150">
        <f>Tabela1[[#This Row],[Całkowity koszt pokrycia strat ( w dolarach)]]/$D$2</f>
        <v>13.741</v>
      </c>
      <c r="C150">
        <v>13741</v>
      </c>
    </row>
    <row r="151" spans="1:3" x14ac:dyDescent="0.3">
      <c r="A151" s="15">
        <f>DATE(2010,6,5)</f>
        <v>40334</v>
      </c>
      <c r="B151">
        <f>Tabela1[[#This Row],[Całkowity koszt pokrycia strat ( w dolarach)]]/$D$2</f>
        <v>150.75800000000001</v>
      </c>
      <c r="C151">
        <v>150758</v>
      </c>
    </row>
    <row r="152" spans="1:3" x14ac:dyDescent="0.3">
      <c r="A152" s="15">
        <f>DATE(2010,6,7)</f>
        <v>40336</v>
      </c>
      <c r="B152">
        <f>Tabela1[[#This Row],[Całkowity koszt pokrycia strat ( w dolarach)]]/$D$2</f>
        <v>10.07</v>
      </c>
      <c r="C152">
        <v>10070</v>
      </c>
    </row>
    <row r="153" spans="1:3" x14ac:dyDescent="0.3">
      <c r="A153" s="15">
        <f>DATE(2010,6,7)</f>
        <v>40336</v>
      </c>
      <c r="B153">
        <f>Tabela1[[#This Row],[Całkowity koszt pokrycia strat ( w dolarach)]]/$D$2</f>
        <v>287.06400000000002</v>
      </c>
      <c r="C153">
        <v>287064</v>
      </c>
    </row>
    <row r="154" spans="1:3" x14ac:dyDescent="0.3">
      <c r="A154" s="15">
        <f>DATE(2010,6,8)</f>
        <v>40337</v>
      </c>
      <c r="B154">
        <f>Tabela1[[#This Row],[Całkowity koszt pokrycia strat ( w dolarach)]]/$D$2</f>
        <v>0.78400000000000003</v>
      </c>
      <c r="C154">
        <v>784</v>
      </c>
    </row>
    <row r="155" spans="1:3" x14ac:dyDescent="0.3">
      <c r="A155" s="15">
        <f>DATE(2010,6,8)</f>
        <v>40337</v>
      </c>
      <c r="B155">
        <f>Tabela1[[#This Row],[Całkowity koszt pokrycia strat ( w dolarach)]]/$D$2</f>
        <v>330</v>
      </c>
      <c r="C155">
        <v>330000</v>
      </c>
    </row>
    <row r="156" spans="1:3" x14ac:dyDescent="0.3">
      <c r="A156" s="15">
        <f>DATE(2010,6,8)</f>
        <v>40337</v>
      </c>
      <c r="B156">
        <f>Tabela1[[#This Row],[Całkowity koszt pokrycia strat ( w dolarach)]]/$D$2</f>
        <v>76.269000000000005</v>
      </c>
      <c r="C156">
        <v>76269</v>
      </c>
    </row>
    <row r="157" spans="1:3" x14ac:dyDescent="0.3">
      <c r="A157" s="15">
        <f>DATE(2010,6,9)</f>
        <v>40338</v>
      </c>
      <c r="B157">
        <f>Tabela1[[#This Row],[Całkowity koszt pokrycia strat ( w dolarach)]]/$D$2</f>
        <v>26.885000000000002</v>
      </c>
      <c r="C157">
        <v>26885</v>
      </c>
    </row>
    <row r="158" spans="1:3" x14ac:dyDescent="0.3">
      <c r="A158" s="15">
        <f>DATE(2010,6,9)</f>
        <v>40338</v>
      </c>
      <c r="B158">
        <f>Tabela1[[#This Row],[Całkowity koszt pokrycia strat ( w dolarach)]]/$D$2</f>
        <v>16.533999999999999</v>
      </c>
      <c r="C158">
        <v>16534</v>
      </c>
    </row>
    <row r="159" spans="1:3" x14ac:dyDescent="0.3">
      <c r="A159" s="15">
        <f>DATE(2010,6,10)</f>
        <v>40339</v>
      </c>
      <c r="B159">
        <f>Tabela1[[#This Row],[Całkowity koszt pokrycia strat ( w dolarach)]]/$D$2</f>
        <v>2.536</v>
      </c>
      <c r="C159">
        <v>2536</v>
      </c>
    </row>
    <row r="160" spans="1:3" x14ac:dyDescent="0.3">
      <c r="A160" s="15">
        <f>DATE(2010,6,11)</f>
        <v>40340</v>
      </c>
      <c r="B160">
        <f>Tabela1[[#This Row],[Całkowity koszt pokrycia strat ( w dolarach)]]/$D$2</f>
        <v>7.5</v>
      </c>
      <c r="C160">
        <v>7500</v>
      </c>
    </row>
    <row r="161" spans="1:3" x14ac:dyDescent="0.3">
      <c r="A161" s="15">
        <f>DATE(2010,6,11)</f>
        <v>40340</v>
      </c>
      <c r="B161">
        <f>Tabela1[[#This Row],[Całkowity koszt pokrycia strat ( w dolarach)]]/$D$2</f>
        <v>26.581</v>
      </c>
      <c r="C161">
        <v>26581</v>
      </c>
    </row>
    <row r="162" spans="1:3" x14ac:dyDescent="0.3">
      <c r="A162" s="15">
        <f>DATE(2010,6,12)</f>
        <v>40341</v>
      </c>
      <c r="B162">
        <f>Tabela1[[#This Row],[Całkowity koszt pokrycia strat ( w dolarach)]]/$D$2</f>
        <v>32233.74</v>
      </c>
      <c r="C162">
        <v>32233740</v>
      </c>
    </row>
    <row r="163" spans="1:3" x14ac:dyDescent="0.3">
      <c r="A163" s="15">
        <f>DATE(2010,6,12)</f>
        <v>40341</v>
      </c>
      <c r="B163">
        <f>Tabela1[[#This Row],[Całkowity koszt pokrycia strat ( w dolarach)]]/$D$2</f>
        <v>10.18</v>
      </c>
      <c r="C163">
        <v>10180</v>
      </c>
    </row>
    <row r="164" spans="1:3" x14ac:dyDescent="0.3">
      <c r="A164" s="15">
        <f>DATE(2010,6,14)</f>
        <v>40343</v>
      </c>
      <c r="B164">
        <f>Tabela1[[#This Row],[Całkowity koszt pokrycia strat ( w dolarach)]]/$D$2</f>
        <v>11.598000000000001</v>
      </c>
      <c r="C164">
        <v>11598</v>
      </c>
    </row>
    <row r="165" spans="1:3" x14ac:dyDescent="0.3">
      <c r="A165" s="15">
        <f>DATE(2010,6,14)</f>
        <v>40343</v>
      </c>
      <c r="B165">
        <f>Tabela1[[#This Row],[Całkowity koszt pokrycia strat ( w dolarach)]]/$D$2</f>
        <v>45.375</v>
      </c>
      <c r="C165">
        <v>45375</v>
      </c>
    </row>
    <row r="166" spans="1:3" x14ac:dyDescent="0.3">
      <c r="A166" s="15">
        <f>DATE(2010,6,16)</f>
        <v>40345</v>
      </c>
      <c r="B166">
        <f>Tabela1[[#This Row],[Całkowity koszt pokrycia strat ( w dolarach)]]/$D$2</f>
        <v>0</v>
      </c>
      <c r="C166">
        <v>0</v>
      </c>
    </row>
    <row r="167" spans="1:3" x14ac:dyDescent="0.3">
      <c r="A167" s="15">
        <f>DATE(2010,6,16)</f>
        <v>40345</v>
      </c>
      <c r="B167">
        <f>Tabela1[[#This Row],[Całkowity koszt pokrycia strat ( w dolarach)]]/$D$2</f>
        <v>5.0110000000000001</v>
      </c>
      <c r="C167">
        <v>5011</v>
      </c>
    </row>
    <row r="168" spans="1:3" x14ac:dyDescent="0.3">
      <c r="A168" s="15">
        <f>DATE(2010,6,23)</f>
        <v>40352</v>
      </c>
      <c r="B168">
        <f>Tabela1[[#This Row],[Całkowity koszt pokrycia strat ( w dolarach)]]/$D$2</f>
        <v>30.417000000000002</v>
      </c>
      <c r="C168">
        <v>30417</v>
      </c>
    </row>
    <row r="169" spans="1:3" x14ac:dyDescent="0.3">
      <c r="A169" s="15">
        <f>DATE(2010,6,23)</f>
        <v>40352</v>
      </c>
      <c r="B169">
        <f>Tabela1[[#This Row],[Całkowity koszt pokrycia strat ( w dolarach)]]/$D$2</f>
        <v>79.03</v>
      </c>
      <c r="C169">
        <v>79030</v>
      </c>
    </row>
    <row r="170" spans="1:3" x14ac:dyDescent="0.3">
      <c r="A170" s="15">
        <f>DATE(2010,6,23)</f>
        <v>40352</v>
      </c>
      <c r="B170">
        <f>Tabela1[[#This Row],[Całkowity koszt pokrycia strat ( w dolarach)]]/$D$2</f>
        <v>42.796999999999997</v>
      </c>
      <c r="C170">
        <v>42797</v>
      </c>
    </row>
    <row r="171" spans="1:3" x14ac:dyDescent="0.3">
      <c r="A171" s="15">
        <f>DATE(2010,6,25)</f>
        <v>40354</v>
      </c>
      <c r="B171">
        <f>Tabela1[[#This Row],[Całkowity koszt pokrycia strat ( w dolarach)]]/$D$2</f>
        <v>22.411999999999999</v>
      </c>
      <c r="C171">
        <v>22412</v>
      </c>
    </row>
    <row r="172" spans="1:3" x14ac:dyDescent="0.3">
      <c r="A172" s="15">
        <f>DATE(2010,6,28)</f>
        <v>40357</v>
      </c>
      <c r="B172">
        <f>Tabela1[[#This Row],[Całkowity koszt pokrycia strat ( w dolarach)]]/$D$2</f>
        <v>135</v>
      </c>
      <c r="C172">
        <v>135000</v>
      </c>
    </row>
    <row r="173" spans="1:3" x14ac:dyDescent="0.3">
      <c r="A173" s="15">
        <f>DATE(2010,6,30)</f>
        <v>40359</v>
      </c>
      <c r="B173">
        <f>Tabela1[[#This Row],[Całkowity koszt pokrycia strat ( w dolarach)]]/$D$2</f>
        <v>807.09400000000005</v>
      </c>
      <c r="C173">
        <v>807094</v>
      </c>
    </row>
    <row r="174" spans="1:3" x14ac:dyDescent="0.3">
      <c r="A174" s="15">
        <f>DATE(2010,6,30)</f>
        <v>40359</v>
      </c>
      <c r="B174">
        <f>Tabela1[[#This Row],[Całkowity koszt pokrycia strat ( w dolarach)]]/$D$2</f>
        <v>68.152000000000001</v>
      </c>
      <c r="C174">
        <v>68152</v>
      </c>
    </row>
    <row r="175" spans="1:3" x14ac:dyDescent="0.3">
      <c r="A175" s="15">
        <f>DATE(2010,7,2)</f>
        <v>40361</v>
      </c>
      <c r="B175">
        <f>Tabela1[[#This Row],[Całkowity koszt pokrycia strat ( w dolarach)]]/$D$2</f>
        <v>137</v>
      </c>
      <c r="C175">
        <v>137000</v>
      </c>
    </row>
    <row r="176" spans="1:3" x14ac:dyDescent="0.3">
      <c r="A176" s="15">
        <f>DATE(2010,7,2)</f>
        <v>40361</v>
      </c>
      <c r="B176">
        <f>Tabela1[[#This Row],[Całkowity koszt pokrycia strat ( w dolarach)]]/$D$2</f>
        <v>1036.94</v>
      </c>
      <c r="C176">
        <v>1036940</v>
      </c>
    </row>
    <row r="177" spans="1:3" x14ac:dyDescent="0.3">
      <c r="A177" s="15">
        <f>DATE(2010,7,4)</f>
        <v>40363</v>
      </c>
      <c r="B177">
        <f>Tabela1[[#This Row],[Całkowity koszt pokrycia strat ( w dolarach)]]/$D$2</f>
        <v>29.411000000000001</v>
      </c>
      <c r="C177">
        <v>29411</v>
      </c>
    </row>
    <row r="178" spans="1:3" x14ac:dyDescent="0.3">
      <c r="A178" s="15">
        <f>DATE(2010,7,5)</f>
        <v>40364</v>
      </c>
      <c r="B178">
        <f>Tabela1[[#This Row],[Całkowity koszt pokrycia strat ( w dolarach)]]/$D$2</f>
        <v>524.27499999999998</v>
      </c>
      <c r="C178">
        <v>524275</v>
      </c>
    </row>
    <row r="179" spans="1:3" x14ac:dyDescent="0.3">
      <c r="A179" s="15">
        <f>DATE(2010,7,6)</f>
        <v>40365</v>
      </c>
      <c r="B179">
        <f>Tabela1[[#This Row],[Całkowity koszt pokrycia strat ( w dolarach)]]/$D$2</f>
        <v>13.9</v>
      </c>
      <c r="C179">
        <v>13900</v>
      </c>
    </row>
    <row r="180" spans="1:3" x14ac:dyDescent="0.3">
      <c r="A180" s="15">
        <f>DATE(2010,7,6)</f>
        <v>40365</v>
      </c>
      <c r="B180">
        <f>Tabela1[[#This Row],[Całkowity koszt pokrycia strat ( w dolarach)]]/$D$2</f>
        <v>2.2799999999999998</v>
      </c>
      <c r="C180">
        <v>2280</v>
      </c>
    </row>
    <row r="181" spans="1:3" x14ac:dyDescent="0.3">
      <c r="A181" s="15">
        <f>DATE(2010,7,7)</f>
        <v>40366</v>
      </c>
      <c r="B181">
        <f>Tabela1[[#This Row],[Całkowity koszt pokrycia strat ( w dolarach)]]/$D$2</f>
        <v>6.25</v>
      </c>
      <c r="C181">
        <v>6250</v>
      </c>
    </row>
    <row r="182" spans="1:3" x14ac:dyDescent="0.3">
      <c r="A182" s="15">
        <f>DATE(2010,7,8)</f>
        <v>40367</v>
      </c>
      <c r="B182">
        <f>Tabela1[[#This Row],[Całkowity koszt pokrycia strat ( w dolarach)]]/$D$2</f>
        <v>261.31700000000001</v>
      </c>
      <c r="C182">
        <v>261317</v>
      </c>
    </row>
    <row r="183" spans="1:3" x14ac:dyDescent="0.3">
      <c r="A183" s="15">
        <f>DATE(2010,7,11)</f>
        <v>40370</v>
      </c>
      <c r="B183">
        <f>Tabela1[[#This Row],[Całkowity koszt pokrycia strat ( w dolarach)]]/$D$2</f>
        <v>43.360999999999997</v>
      </c>
      <c r="C183">
        <v>43361</v>
      </c>
    </row>
    <row r="184" spans="1:3" x14ac:dyDescent="0.3">
      <c r="A184" s="15">
        <f>DATE(2010,7,12)</f>
        <v>40371</v>
      </c>
      <c r="B184">
        <f>Tabela1[[#This Row],[Całkowity koszt pokrycia strat ( w dolarach)]]/$D$2</f>
        <v>10.035</v>
      </c>
      <c r="C184">
        <v>10035</v>
      </c>
    </row>
    <row r="185" spans="1:3" x14ac:dyDescent="0.3">
      <c r="A185" s="15">
        <f>DATE(2010,7,12)</f>
        <v>40371</v>
      </c>
      <c r="B185">
        <f>Tabela1[[#This Row],[Całkowity koszt pokrycia strat ( w dolarach)]]/$D$2</f>
        <v>5.3</v>
      </c>
      <c r="C185">
        <v>5300</v>
      </c>
    </row>
    <row r="186" spans="1:3" x14ac:dyDescent="0.3">
      <c r="A186" s="15">
        <f>DATE(2010,7,14)</f>
        <v>40373</v>
      </c>
      <c r="B186">
        <f>Tabela1[[#This Row],[Całkowity koszt pokrycia strat ( w dolarach)]]/$D$2</f>
        <v>4.9000000000000002E-2</v>
      </c>
      <c r="C186">
        <v>49</v>
      </c>
    </row>
    <row r="187" spans="1:3" x14ac:dyDescent="0.3">
      <c r="A187" s="15">
        <f>DATE(2010,7,14)</f>
        <v>40373</v>
      </c>
      <c r="B187">
        <f>Tabela1[[#This Row],[Całkowity koszt pokrycia strat ( w dolarach)]]/$D$2</f>
        <v>1.294</v>
      </c>
      <c r="C187">
        <v>1294</v>
      </c>
    </row>
    <row r="188" spans="1:3" x14ac:dyDescent="0.3">
      <c r="A188" s="15">
        <f>DATE(2010,7,14)</f>
        <v>40373</v>
      </c>
      <c r="B188">
        <f>Tabela1[[#This Row],[Całkowity koszt pokrycia strat ( w dolarach)]]/$D$2</f>
        <v>25.957999999999998</v>
      </c>
      <c r="C188">
        <v>25958</v>
      </c>
    </row>
    <row r="189" spans="1:3" x14ac:dyDescent="0.3">
      <c r="A189" s="15">
        <f>DATE(2010,7,14)</f>
        <v>40373</v>
      </c>
      <c r="B189">
        <f>Tabela1[[#This Row],[Całkowity koszt pokrycia strat ( w dolarach)]]/$D$2</f>
        <v>8.7270000000000003</v>
      </c>
      <c r="C189">
        <v>8727</v>
      </c>
    </row>
    <row r="190" spans="1:3" x14ac:dyDescent="0.3">
      <c r="A190" s="15">
        <f>DATE(2010,7,14)</f>
        <v>40373</v>
      </c>
      <c r="B190">
        <f>Tabela1[[#This Row],[Całkowity koszt pokrycia strat ( w dolarach)]]/$D$2</f>
        <v>0.16</v>
      </c>
      <c r="C190">
        <v>160</v>
      </c>
    </row>
    <row r="191" spans="1:3" x14ac:dyDescent="0.3">
      <c r="A191" s="15">
        <f>DATE(2010,7,17)</f>
        <v>40376</v>
      </c>
      <c r="B191">
        <f>Tabela1[[#This Row],[Całkowity koszt pokrycia strat ( w dolarach)]]/$D$2</f>
        <v>21.404</v>
      </c>
      <c r="C191">
        <v>21404</v>
      </c>
    </row>
    <row r="192" spans="1:3" x14ac:dyDescent="0.3">
      <c r="A192" s="15">
        <f>DATE(2010,7,17)</f>
        <v>40376</v>
      </c>
      <c r="B192">
        <f>Tabela1[[#This Row],[Całkowity koszt pokrycia strat ( w dolarach)]]/$D$2</f>
        <v>27.3</v>
      </c>
      <c r="C192">
        <v>27300</v>
      </c>
    </row>
    <row r="193" spans="1:3" x14ac:dyDescent="0.3">
      <c r="A193" s="15">
        <f>DATE(2010,7,19)</f>
        <v>40378</v>
      </c>
      <c r="B193">
        <f>Tabela1[[#This Row],[Całkowity koszt pokrycia strat ( w dolarach)]]/$D$2</f>
        <v>49.5</v>
      </c>
      <c r="C193">
        <v>49500</v>
      </c>
    </row>
    <row r="194" spans="1:3" x14ac:dyDescent="0.3">
      <c r="A194" s="15">
        <f>DATE(2010,7,21)</f>
        <v>40380</v>
      </c>
      <c r="B194">
        <f>Tabela1[[#This Row],[Całkowity koszt pokrycia strat ( w dolarach)]]/$D$2</f>
        <v>0.20100000000000001</v>
      </c>
      <c r="C194">
        <v>201</v>
      </c>
    </row>
    <row r="195" spans="1:3" x14ac:dyDescent="0.3">
      <c r="A195" s="15">
        <f>DATE(2010,7,23)</f>
        <v>40382</v>
      </c>
      <c r="B195">
        <f>Tabela1[[#This Row],[Całkowity koszt pokrycia strat ( w dolarach)]]/$D$2</f>
        <v>163.161</v>
      </c>
      <c r="C195">
        <v>163161</v>
      </c>
    </row>
    <row r="196" spans="1:3" x14ac:dyDescent="0.3">
      <c r="A196" s="20">
        <f>DATE(2010,7,26)</f>
        <v>40385</v>
      </c>
      <c r="B196">
        <f>Tabela1[[#This Row],[Całkowity koszt pokrycia strat ( w dolarach)]]/$D$2</f>
        <v>24.952000000000002</v>
      </c>
      <c r="C196" s="19">
        <v>24952</v>
      </c>
    </row>
    <row r="197" spans="1:3" x14ac:dyDescent="0.3">
      <c r="A197" s="20">
        <f>DATE(2010,7,27)</f>
        <v>40386</v>
      </c>
      <c r="B197">
        <f>Tabela1[[#This Row],[Całkowity koszt pokrycia strat ( w dolarach)]]/$D$2</f>
        <v>362.04500000000002</v>
      </c>
      <c r="C197" s="19">
        <v>362045</v>
      </c>
    </row>
    <row r="198" spans="1:3" x14ac:dyDescent="0.3">
      <c r="A198" s="20">
        <f>DATE(2010,7,28)</f>
        <v>40387</v>
      </c>
      <c r="B198">
        <f>Tabela1[[#This Row],[Całkowity koszt pokrycia strat ( w dolarach)]]/$D$2</f>
        <v>18.352</v>
      </c>
      <c r="C198" s="19">
        <v>18352</v>
      </c>
    </row>
    <row r="199" spans="1:3" x14ac:dyDescent="0.3">
      <c r="A199" s="20">
        <f>DATE(2010,7,29)</f>
        <v>40388</v>
      </c>
      <c r="B199">
        <f>Tabela1[[#This Row],[Całkowity koszt pokrycia strat ( w dolarach)]]/$D$2</f>
        <v>0.52300000000000002</v>
      </c>
      <c r="C199" s="19">
        <v>523</v>
      </c>
    </row>
    <row r="200" spans="1:3" x14ac:dyDescent="0.3">
      <c r="A200" s="20">
        <f>DATE(2010,7,29)</f>
        <v>40388</v>
      </c>
      <c r="B200">
        <f>Tabela1[[#This Row],[Całkowity koszt pokrycia strat ( w dolarach)]]/$D$2</f>
        <v>830</v>
      </c>
      <c r="C200" s="19">
        <v>830000</v>
      </c>
    </row>
    <row r="201" spans="1:3" x14ac:dyDescent="0.3">
      <c r="A201" s="20">
        <f>DATE(2010,7,29)</f>
        <v>40388</v>
      </c>
      <c r="B201">
        <f>Tabela1[[#This Row],[Całkowity koszt pokrycia strat ( w dolarach)]]/$D$2</f>
        <v>45</v>
      </c>
      <c r="C201" s="19">
        <v>45000</v>
      </c>
    </row>
    <row r="202" spans="1:3" x14ac:dyDescent="0.3">
      <c r="A202" s="20">
        <f>DATE(2010,7,31)</f>
        <v>40390</v>
      </c>
      <c r="B202">
        <f>Tabela1[[#This Row],[Całkowity koszt pokrycia strat ( w dolarach)]]/$D$2</f>
        <v>19.227</v>
      </c>
      <c r="C202" s="19">
        <v>19227</v>
      </c>
    </row>
    <row r="203" spans="1:3" x14ac:dyDescent="0.3">
      <c r="A203" s="20">
        <f>DATE(2010,8,2)</f>
        <v>40392</v>
      </c>
      <c r="B203">
        <f>Tabela1[[#This Row],[Całkowity koszt pokrycia strat ( w dolarach)]]/$D$2</f>
        <v>0.56699999999999995</v>
      </c>
      <c r="C203" s="19">
        <v>567</v>
      </c>
    </row>
    <row r="204" spans="1:3" x14ac:dyDescent="0.3">
      <c r="A204" s="20">
        <f>DATE(2010,8,3)</f>
        <v>40393</v>
      </c>
      <c r="B204">
        <f>Tabela1[[#This Row],[Całkowity koszt pokrycia strat ( w dolarach)]]/$D$2</f>
        <v>1.2090000000000001</v>
      </c>
      <c r="C204" s="19">
        <v>1209</v>
      </c>
    </row>
    <row r="205" spans="1:3" x14ac:dyDescent="0.3">
      <c r="A205" s="20">
        <f>DATE(2010,8,5)</f>
        <v>40395</v>
      </c>
      <c r="B205">
        <f>Tabela1[[#This Row],[Całkowity koszt pokrycia strat ( w dolarach)]]/$D$2</f>
        <v>1</v>
      </c>
      <c r="C205" s="19">
        <v>1000</v>
      </c>
    </row>
    <row r="206" spans="1:3" x14ac:dyDescent="0.3">
      <c r="A206" s="20">
        <f>DATE(2010,8,5)</f>
        <v>40395</v>
      </c>
      <c r="B206">
        <f>Tabela1[[#This Row],[Całkowity koszt pokrycia strat ( w dolarach)]]/$D$2</f>
        <v>21.238</v>
      </c>
      <c r="C206" s="19">
        <v>21238</v>
      </c>
    </row>
    <row r="207" spans="1:3" x14ac:dyDescent="0.3">
      <c r="A207" s="20">
        <f>DATE(2010,8,5)</f>
        <v>40395</v>
      </c>
      <c r="B207">
        <f>Tabela1[[#This Row],[Całkowity koszt pokrycia strat ( w dolarach)]]/$D$2</f>
        <v>11.044</v>
      </c>
      <c r="C207" s="19">
        <v>11044</v>
      </c>
    </row>
    <row r="208" spans="1:3" x14ac:dyDescent="0.3">
      <c r="A208" s="20">
        <f>DATE(2010,8,5)</f>
        <v>40395</v>
      </c>
      <c r="B208">
        <f>Tabela1[[#This Row],[Całkowity koszt pokrycia strat ( w dolarach)]]/$D$2</f>
        <v>240.3</v>
      </c>
      <c r="C208" s="19">
        <v>240300</v>
      </c>
    </row>
    <row r="209" spans="1:3" x14ac:dyDescent="0.3">
      <c r="A209" s="20">
        <f>DATE(2010,8,9)</f>
        <v>40399</v>
      </c>
      <c r="B209">
        <f>Tabela1[[#This Row],[Całkowity koszt pokrycia strat ( w dolarach)]]/$D$2</f>
        <v>0.6</v>
      </c>
      <c r="C209" s="19">
        <v>600</v>
      </c>
    </row>
    <row r="210" spans="1:3" x14ac:dyDescent="0.3">
      <c r="A210" s="20">
        <f>DATE(2010,8,11)</f>
        <v>40401</v>
      </c>
      <c r="B210">
        <f>Tabela1[[#This Row],[Całkowity koszt pokrycia strat ( w dolarach)]]/$D$2</f>
        <v>9.59</v>
      </c>
      <c r="C210" s="19">
        <v>9590</v>
      </c>
    </row>
    <row r="211" spans="1:3" x14ac:dyDescent="0.3">
      <c r="A211" s="20">
        <f>DATE(2010,8,11)</f>
        <v>40401</v>
      </c>
      <c r="B211">
        <f>Tabela1[[#This Row],[Całkowity koszt pokrycia strat ( w dolarach)]]/$D$2</f>
        <v>20.242999999999999</v>
      </c>
      <c r="C211" s="19">
        <v>20243</v>
      </c>
    </row>
    <row r="212" spans="1:3" x14ac:dyDescent="0.3">
      <c r="A212" s="20">
        <f>DATE(2010,8,12)</f>
        <v>40402</v>
      </c>
      <c r="B212">
        <f>Tabela1[[#This Row],[Całkowity koszt pokrycia strat ( w dolarach)]]/$D$2</f>
        <v>295.60000000000002</v>
      </c>
      <c r="C212" s="19">
        <v>295600</v>
      </c>
    </row>
    <row r="213" spans="1:3" x14ac:dyDescent="0.3">
      <c r="A213" s="20">
        <f>DATE(2010,8,17)</f>
        <v>40407</v>
      </c>
      <c r="B213">
        <f>Tabela1[[#This Row],[Całkowity koszt pokrycia strat ( w dolarach)]]/$D$2</f>
        <v>499.33499999999998</v>
      </c>
      <c r="C213" s="19">
        <v>499335</v>
      </c>
    </row>
    <row r="214" spans="1:3" x14ac:dyDescent="0.3">
      <c r="A214" s="20">
        <f>DATE(2010,8,17)</f>
        <v>40407</v>
      </c>
      <c r="B214">
        <f>Tabela1[[#This Row],[Całkowity koszt pokrycia strat ( w dolarach)]]/$D$2</f>
        <v>13184</v>
      </c>
      <c r="C214" s="19">
        <v>13184000</v>
      </c>
    </row>
    <row r="215" spans="1:3" x14ac:dyDescent="0.3">
      <c r="A215" s="20">
        <f>DATE(2010,8,17)</f>
        <v>40407</v>
      </c>
      <c r="B215">
        <f>Tabela1[[#This Row],[Całkowity koszt pokrycia strat ( w dolarach)]]/$D$2</f>
        <v>5.08</v>
      </c>
      <c r="C215" s="19">
        <v>5080</v>
      </c>
    </row>
    <row r="216" spans="1:3" x14ac:dyDescent="0.3">
      <c r="A216" s="20">
        <f>DATE(2010,8,18)</f>
        <v>40408</v>
      </c>
      <c r="B216">
        <f>Tabela1[[#This Row],[Całkowity koszt pokrycia strat ( w dolarach)]]/$D$2</f>
        <v>0.17299999999999999</v>
      </c>
      <c r="C216" s="19">
        <v>173</v>
      </c>
    </row>
    <row r="217" spans="1:3" x14ac:dyDescent="0.3">
      <c r="A217" s="20">
        <f>DATE(2010,8,19)</f>
        <v>40409</v>
      </c>
      <c r="B217">
        <f>Tabela1[[#This Row],[Całkowity koszt pokrycia strat ( w dolarach)]]/$D$2</f>
        <v>33.018000000000001</v>
      </c>
      <c r="C217" s="19">
        <v>33018</v>
      </c>
    </row>
    <row r="218" spans="1:3" x14ac:dyDescent="0.3">
      <c r="A218" s="20">
        <f>DATE(2010,8,19)</f>
        <v>40409</v>
      </c>
      <c r="B218">
        <f>Tabela1[[#This Row],[Całkowity koszt pokrycia strat ( w dolarach)]]/$D$2</f>
        <v>28.5</v>
      </c>
      <c r="C218" s="19">
        <v>28500</v>
      </c>
    </row>
    <row r="219" spans="1:3" x14ac:dyDescent="0.3">
      <c r="A219" s="20">
        <f>DATE(2010,8,20)</f>
        <v>40410</v>
      </c>
      <c r="B219">
        <f>Tabela1[[#This Row],[Całkowity koszt pokrycia strat ( w dolarach)]]/$D$2</f>
        <v>20</v>
      </c>
      <c r="C219" s="19">
        <v>20000</v>
      </c>
    </row>
    <row r="220" spans="1:3" x14ac:dyDescent="0.3">
      <c r="A220" s="20">
        <f>DATE(2010,8,20)</f>
        <v>40410</v>
      </c>
      <c r="B220">
        <f>Tabela1[[#This Row],[Całkowity koszt pokrycia strat ( w dolarach)]]/$D$2</f>
        <v>11.025</v>
      </c>
      <c r="C220" s="19">
        <v>11025</v>
      </c>
    </row>
    <row r="221" spans="1:3" x14ac:dyDescent="0.3">
      <c r="A221" s="20">
        <f>DATE(2010,8,22)</f>
        <v>40412</v>
      </c>
      <c r="B221">
        <f>Tabela1[[#This Row],[Całkowity koszt pokrycia strat ( w dolarach)]]/$D$2</f>
        <v>398.03899999999999</v>
      </c>
      <c r="C221" s="19">
        <v>398039</v>
      </c>
    </row>
    <row r="222" spans="1:3" x14ac:dyDescent="0.3">
      <c r="A222" s="20">
        <f>DATE(2010,8,23)</f>
        <v>40413</v>
      </c>
      <c r="B222">
        <f>Tabela1[[#This Row],[Całkowity koszt pokrycia strat ( w dolarach)]]/$D$2</f>
        <v>2.7989999999999999</v>
      </c>
      <c r="C222" s="19">
        <v>2799</v>
      </c>
    </row>
    <row r="223" spans="1:3" x14ac:dyDescent="0.3">
      <c r="A223" s="20">
        <f>DATE(2010,8,24)</f>
        <v>40414</v>
      </c>
      <c r="B223">
        <f>Tabela1[[#This Row],[Całkowity koszt pokrycia strat ( w dolarach)]]/$D$2</f>
        <v>15</v>
      </c>
      <c r="C223" s="19">
        <v>15000</v>
      </c>
    </row>
    <row r="224" spans="1:3" x14ac:dyDescent="0.3">
      <c r="A224" s="20">
        <f>DATE(2010,8,25)</f>
        <v>40415</v>
      </c>
      <c r="B224">
        <f>Tabela1[[#This Row],[Całkowity koszt pokrycia strat ( w dolarach)]]/$D$2</f>
        <v>5</v>
      </c>
      <c r="C224" s="19">
        <v>5000</v>
      </c>
    </row>
    <row r="225" spans="1:3" x14ac:dyDescent="0.3">
      <c r="A225" s="20">
        <f>DATE(2010,8,26)</f>
        <v>40416</v>
      </c>
      <c r="B225">
        <f>Tabela1[[#This Row],[Całkowity koszt pokrycia strat ( w dolarach)]]/$D$2</f>
        <v>18.677</v>
      </c>
      <c r="C225" s="19">
        <v>18677</v>
      </c>
    </row>
    <row r="226" spans="1:3" x14ac:dyDescent="0.3">
      <c r="A226" s="20">
        <f>DATE(2010,8,27)</f>
        <v>40417</v>
      </c>
      <c r="B226">
        <f>Tabela1[[#This Row],[Całkowity koszt pokrycia strat ( w dolarach)]]/$D$2</f>
        <v>2.5</v>
      </c>
      <c r="C226" s="19">
        <v>2500</v>
      </c>
    </row>
    <row r="227" spans="1:3" x14ac:dyDescent="0.3">
      <c r="A227" s="20">
        <f>DATE(2010,8,27)</f>
        <v>40417</v>
      </c>
      <c r="B227">
        <f>Tabela1[[#This Row],[Całkowity koszt pokrycia strat ( w dolarach)]]/$D$2</f>
        <v>16.260000000000002</v>
      </c>
      <c r="C227" s="19">
        <v>16260</v>
      </c>
    </row>
    <row r="228" spans="1:3" x14ac:dyDescent="0.3">
      <c r="A228" s="20">
        <f>DATE(2010,8,27)</f>
        <v>40417</v>
      </c>
      <c r="B228">
        <f>Tabela1[[#This Row],[Całkowity koszt pokrycia strat ( w dolarach)]]/$D$2</f>
        <v>1811.7560000000001</v>
      </c>
      <c r="C228" s="19">
        <v>1811756</v>
      </c>
    </row>
    <row r="229" spans="1:3" x14ac:dyDescent="0.3">
      <c r="A229" s="20">
        <f>DATE(2010,8,31)</f>
        <v>40421</v>
      </c>
      <c r="B229">
        <f>Tabela1[[#This Row],[Całkowity koszt pokrycia strat ( w dolarach)]]/$D$2</f>
        <v>49.05</v>
      </c>
      <c r="C229" s="19">
        <v>49050</v>
      </c>
    </row>
    <row r="230" spans="1:3" x14ac:dyDescent="0.3">
      <c r="A230" s="20">
        <f>DATE(2010,9,1)</f>
        <v>40422</v>
      </c>
      <c r="B230">
        <f>Tabela1[[#This Row],[Całkowity koszt pokrycia strat ( w dolarach)]]/$D$2</f>
        <v>45.8</v>
      </c>
      <c r="C230" s="19">
        <v>45800</v>
      </c>
    </row>
    <row r="231" spans="1:3" x14ac:dyDescent="0.3">
      <c r="A231" s="20">
        <f>DATE(2010,9,2)</f>
        <v>40423</v>
      </c>
      <c r="B231">
        <f>Tabela1[[#This Row],[Całkowity koszt pokrycia strat ( w dolarach)]]/$D$2</f>
        <v>2.222</v>
      </c>
      <c r="C231" s="19">
        <v>2222</v>
      </c>
    </row>
    <row r="232" spans="1:3" x14ac:dyDescent="0.3">
      <c r="A232" s="20">
        <f>DATE(2010,9,3)</f>
        <v>40424</v>
      </c>
      <c r="B232">
        <f>Tabela1[[#This Row],[Całkowity koszt pokrycia strat ( w dolarach)]]/$D$2</f>
        <v>4.12</v>
      </c>
      <c r="C232" s="19">
        <v>4120</v>
      </c>
    </row>
    <row r="233" spans="1:3" x14ac:dyDescent="0.3">
      <c r="A233" s="20">
        <f>DATE(2010,9,5)</f>
        <v>40426</v>
      </c>
      <c r="B233">
        <f>Tabela1[[#This Row],[Całkowity koszt pokrycia strat ( w dolarach)]]/$D$2</f>
        <v>45.06</v>
      </c>
      <c r="C233" s="19">
        <v>45060</v>
      </c>
    </row>
    <row r="234" spans="1:3" x14ac:dyDescent="0.3">
      <c r="A234" s="20">
        <f>DATE(2010,9,5)</f>
        <v>40426</v>
      </c>
      <c r="B234">
        <f>Tabela1[[#This Row],[Całkowity koszt pokrycia strat ( w dolarach)]]/$D$2</f>
        <v>0</v>
      </c>
      <c r="C234" s="19">
        <v>0</v>
      </c>
    </row>
    <row r="235" spans="1:3" x14ac:dyDescent="0.3">
      <c r="A235" s="20">
        <f>DATE(2010,9,7)</f>
        <v>40428</v>
      </c>
      <c r="B235">
        <f>Tabela1[[#This Row],[Całkowity koszt pokrycia strat ( w dolarach)]]/$D$2</f>
        <v>10.5</v>
      </c>
      <c r="C235" s="19">
        <v>10500</v>
      </c>
    </row>
    <row r="236" spans="1:3" x14ac:dyDescent="0.3">
      <c r="A236" s="20">
        <f>DATE(2010,9,7)</f>
        <v>40428</v>
      </c>
      <c r="B236">
        <f>Tabela1[[#This Row],[Całkowity koszt pokrycia strat ( w dolarach)]]/$D$2</f>
        <v>4.1280000000000001</v>
      </c>
      <c r="C236" s="19">
        <v>4128</v>
      </c>
    </row>
    <row r="237" spans="1:3" x14ac:dyDescent="0.3">
      <c r="A237" s="20">
        <f>DATE(2010,9,8)</f>
        <v>40429</v>
      </c>
      <c r="B237">
        <f>Tabela1[[#This Row],[Całkowity koszt pokrycia strat ( w dolarach)]]/$D$2</f>
        <v>6.22</v>
      </c>
      <c r="C237" s="19">
        <v>6220</v>
      </c>
    </row>
    <row r="238" spans="1:3" x14ac:dyDescent="0.3">
      <c r="A238" s="20">
        <f>DATE(2010,9,8)</f>
        <v>40429</v>
      </c>
      <c r="B238">
        <f>Tabela1[[#This Row],[Całkowity koszt pokrycia strat ( w dolarach)]]/$D$2</f>
        <v>17.327999999999999</v>
      </c>
      <c r="C238" s="19">
        <v>17328</v>
      </c>
    </row>
    <row r="239" spans="1:3" x14ac:dyDescent="0.3">
      <c r="A239" s="20">
        <f>DATE(2010,9,8)</f>
        <v>40429</v>
      </c>
      <c r="B239">
        <f>Tabela1[[#This Row],[Całkowity koszt pokrycia strat ( w dolarach)]]/$D$2</f>
        <v>0.06</v>
      </c>
      <c r="C239" s="19">
        <v>60</v>
      </c>
    </row>
    <row r="240" spans="1:3" x14ac:dyDescent="0.3">
      <c r="A240" s="20">
        <f>DATE(2010,9,8)</f>
        <v>40429</v>
      </c>
      <c r="B240">
        <f>Tabela1[[#This Row],[Całkowity koszt pokrycia strat ( w dolarach)]]/$D$2</f>
        <v>0.06</v>
      </c>
      <c r="C240" s="19">
        <v>60</v>
      </c>
    </row>
    <row r="241" spans="1:3" x14ac:dyDescent="0.3">
      <c r="A241" s="20">
        <f>DATE(2010,9,9)</f>
        <v>40430</v>
      </c>
      <c r="B241">
        <f>Tabela1[[#This Row],[Całkowity koszt pokrycia strat ( w dolarach)]]/$D$2</f>
        <v>47.442999999999998</v>
      </c>
      <c r="C241" s="19">
        <v>47443</v>
      </c>
    </row>
    <row r="242" spans="1:3" x14ac:dyDescent="0.3">
      <c r="A242" s="20">
        <f>DATE(2010,9,9)</f>
        <v>40430</v>
      </c>
      <c r="B242">
        <f>Tabela1[[#This Row],[Całkowity koszt pokrycia strat ( w dolarach)]]/$D$2</f>
        <v>47393.565999999999</v>
      </c>
      <c r="C242" s="19">
        <v>47393566</v>
      </c>
    </row>
    <row r="243" spans="1:3" x14ac:dyDescent="0.3">
      <c r="A243" s="20">
        <f>DATE(2010,9,11)</f>
        <v>40432</v>
      </c>
      <c r="B243">
        <f>Tabela1[[#This Row],[Całkowity koszt pokrycia strat ( w dolarach)]]/$D$2</f>
        <v>25</v>
      </c>
      <c r="C243" s="19">
        <v>25000</v>
      </c>
    </row>
    <row r="244" spans="1:3" x14ac:dyDescent="0.3">
      <c r="A244" s="20">
        <f>DATE(2010,9,12)</f>
        <v>40433</v>
      </c>
      <c r="B244">
        <f>Tabela1[[#This Row],[Całkowity koszt pokrycia strat ( w dolarach)]]/$D$2</f>
        <v>80</v>
      </c>
      <c r="C244" s="19">
        <v>80000</v>
      </c>
    </row>
    <row r="245" spans="1:3" x14ac:dyDescent="0.3">
      <c r="A245" s="20">
        <f>DATE(2010,9,12)</f>
        <v>40433</v>
      </c>
      <c r="B245">
        <f>Tabela1[[#This Row],[Całkowity koszt pokrycia strat ( w dolarach)]]/$D$2</f>
        <v>177.922</v>
      </c>
      <c r="C245" s="19">
        <v>177922</v>
      </c>
    </row>
    <row r="246" spans="1:3" x14ac:dyDescent="0.3">
      <c r="A246" s="20">
        <f>DATE(2010,9,13)</f>
        <v>40434</v>
      </c>
      <c r="B246">
        <f>Tabela1[[#This Row],[Całkowity koszt pokrycia strat ( w dolarach)]]/$D$2</f>
        <v>364.15699999999998</v>
      </c>
      <c r="C246" s="19">
        <v>364157</v>
      </c>
    </row>
    <row r="247" spans="1:3" x14ac:dyDescent="0.3">
      <c r="A247" s="20">
        <f>DATE(2010,9,16)</f>
        <v>40437</v>
      </c>
      <c r="B247">
        <f>Tabela1[[#This Row],[Całkowity koszt pokrycia strat ( w dolarach)]]/$D$2</f>
        <v>18.864999999999998</v>
      </c>
      <c r="C247" s="19">
        <v>18865</v>
      </c>
    </row>
    <row r="248" spans="1:3" x14ac:dyDescent="0.3">
      <c r="A248" s="20">
        <f>DATE(2010,9,16)</f>
        <v>40437</v>
      </c>
      <c r="B248">
        <f>Tabela1[[#This Row],[Całkowity koszt pokrycia strat ( w dolarach)]]/$D$2</f>
        <v>116.35599999999999</v>
      </c>
      <c r="C248" s="19">
        <v>116356</v>
      </c>
    </row>
    <row r="249" spans="1:3" x14ac:dyDescent="0.3">
      <c r="A249" s="20">
        <f>DATE(2010,9,16)</f>
        <v>40437</v>
      </c>
      <c r="B249">
        <f>Tabela1[[#This Row],[Całkowity koszt pokrycia strat ( w dolarach)]]/$D$2</f>
        <v>40.1</v>
      </c>
      <c r="C249" s="19">
        <v>40100</v>
      </c>
    </row>
    <row r="250" spans="1:3" x14ac:dyDescent="0.3">
      <c r="A250" s="20">
        <f>DATE(2010,9,16)</f>
        <v>40437</v>
      </c>
      <c r="B250">
        <f>Tabela1[[#This Row],[Całkowity koszt pokrycia strat ( w dolarach)]]/$D$2</f>
        <v>0.94</v>
      </c>
      <c r="C250" s="19">
        <v>940</v>
      </c>
    </row>
    <row r="251" spans="1:3" x14ac:dyDescent="0.3">
      <c r="A251" s="20">
        <f>DATE(2010,9,17)</f>
        <v>40438</v>
      </c>
      <c r="B251">
        <f>Tabela1[[#This Row],[Całkowity koszt pokrycia strat ( w dolarach)]]/$D$2</f>
        <v>60.25</v>
      </c>
      <c r="C251" s="19">
        <v>60250</v>
      </c>
    </row>
    <row r="252" spans="1:3" x14ac:dyDescent="0.3">
      <c r="A252" s="20">
        <f>DATE(2010,9,19)</f>
        <v>40440</v>
      </c>
      <c r="B252">
        <f>Tabela1[[#This Row],[Całkowity koszt pokrycia strat ( w dolarach)]]/$D$2</f>
        <v>27.4</v>
      </c>
      <c r="C252" s="19">
        <v>27400</v>
      </c>
    </row>
    <row r="253" spans="1:3" x14ac:dyDescent="0.3">
      <c r="A253" s="20">
        <f>DATE(2010,9,22)</f>
        <v>40443</v>
      </c>
      <c r="B253">
        <f>Tabela1[[#This Row],[Całkowity koszt pokrycia strat ( w dolarach)]]/$D$2</f>
        <v>21.084</v>
      </c>
      <c r="C253" s="19">
        <v>21084</v>
      </c>
    </row>
    <row r="254" spans="1:3" x14ac:dyDescent="0.3">
      <c r="A254" s="20">
        <f>DATE(2010,9,23)</f>
        <v>40444</v>
      </c>
      <c r="B254">
        <f>Tabela1[[#This Row],[Całkowity koszt pokrycia strat ( w dolarach)]]/$D$2</f>
        <v>35.1</v>
      </c>
      <c r="C254" s="19">
        <v>35100</v>
      </c>
    </row>
    <row r="255" spans="1:3" x14ac:dyDescent="0.3">
      <c r="A255" s="20">
        <f>DATE(2010,9,24)</f>
        <v>40445</v>
      </c>
      <c r="B255">
        <f>Tabela1[[#This Row],[Całkowity koszt pokrycia strat ( w dolarach)]]/$D$2</f>
        <v>0.23699999999999999</v>
      </c>
      <c r="C255" s="19">
        <v>237</v>
      </c>
    </row>
    <row r="256" spans="1:3" x14ac:dyDescent="0.3">
      <c r="A256" s="20">
        <f>DATE(2010,9,27)</f>
        <v>40448</v>
      </c>
      <c r="B256">
        <f>Tabela1[[#This Row],[Całkowity koszt pokrycia strat ( w dolarach)]]/$D$2</f>
        <v>8.9130000000000003</v>
      </c>
      <c r="C256" s="19">
        <v>8913</v>
      </c>
    </row>
    <row r="257" spans="1:3" x14ac:dyDescent="0.3">
      <c r="A257" s="20">
        <f>DATE(2010,9,28)</f>
        <v>40449</v>
      </c>
      <c r="B257">
        <f>Tabela1[[#This Row],[Całkowity koszt pokrycia strat ( w dolarach)]]/$D$2</f>
        <v>1.02</v>
      </c>
      <c r="C257" s="19">
        <v>1020</v>
      </c>
    </row>
    <row r="258" spans="1:3" x14ac:dyDescent="0.3">
      <c r="A258" s="20">
        <f>DATE(2010,9,30)</f>
        <v>40451</v>
      </c>
      <c r="B258">
        <f>Tabela1[[#This Row],[Całkowity koszt pokrycia strat ( w dolarach)]]/$D$2</f>
        <v>3.9820000000000002</v>
      </c>
      <c r="C258" s="19">
        <v>3982</v>
      </c>
    </row>
    <row r="259" spans="1:3" x14ac:dyDescent="0.3">
      <c r="A259" s="20">
        <f>DATE(2010,10,5)</f>
        <v>40456</v>
      </c>
      <c r="B259">
        <f>Tabela1[[#This Row],[Całkowity koszt pokrycia strat ( w dolarach)]]/$D$2</f>
        <v>35.15</v>
      </c>
      <c r="C259" s="19">
        <v>35150</v>
      </c>
    </row>
    <row r="260" spans="1:3" x14ac:dyDescent="0.3">
      <c r="A260" s="20">
        <f>DATE(2010,10,6)</f>
        <v>40457</v>
      </c>
      <c r="B260">
        <f>Tabela1[[#This Row],[Całkowity koszt pokrycia strat ( w dolarach)]]/$D$2</f>
        <v>75</v>
      </c>
      <c r="C260" s="19">
        <v>75000</v>
      </c>
    </row>
    <row r="261" spans="1:3" x14ac:dyDescent="0.3">
      <c r="A261" s="20">
        <f>DATE(2010,10,8)</f>
        <v>40459</v>
      </c>
      <c r="B261">
        <f>Tabela1[[#This Row],[Całkowity koszt pokrycia strat ( w dolarach)]]/$D$2</f>
        <v>262.51900000000001</v>
      </c>
      <c r="C261" s="19">
        <v>262519</v>
      </c>
    </row>
    <row r="262" spans="1:3" x14ac:dyDescent="0.3">
      <c r="A262" s="20">
        <f>DATE(2010,10,11)</f>
        <v>40462</v>
      </c>
      <c r="B262">
        <f>Tabela1[[#This Row],[Całkowity koszt pokrycia strat ( w dolarach)]]/$D$2</f>
        <v>64.13</v>
      </c>
      <c r="C262" s="19">
        <v>64130</v>
      </c>
    </row>
    <row r="263" spans="1:3" x14ac:dyDescent="0.3">
      <c r="A263" s="20">
        <f>DATE(2010,10,11)</f>
        <v>40462</v>
      </c>
      <c r="B263">
        <f>Tabela1[[#This Row],[Całkowity koszt pokrycia strat ( w dolarach)]]/$D$2</f>
        <v>7.2</v>
      </c>
      <c r="C263" s="19">
        <v>7200</v>
      </c>
    </row>
    <row r="264" spans="1:3" x14ac:dyDescent="0.3">
      <c r="A264" s="20">
        <f>DATE(2010,10,11)</f>
        <v>40462</v>
      </c>
      <c r="B264">
        <f>Tabela1[[#This Row],[Całkowity koszt pokrycia strat ( w dolarach)]]/$D$2</f>
        <v>0</v>
      </c>
      <c r="C264" s="19">
        <v>0</v>
      </c>
    </row>
    <row r="265" spans="1:3" x14ac:dyDescent="0.3">
      <c r="A265" s="20">
        <f>DATE(2010,10,21)</f>
        <v>40472</v>
      </c>
      <c r="B265">
        <f>Tabela1[[#This Row],[Całkowity koszt pokrycia strat ( w dolarach)]]/$D$2</f>
        <v>1.5249999999999999</v>
      </c>
      <c r="C265" s="19">
        <v>1525</v>
      </c>
    </row>
    <row r="266" spans="1:3" x14ac:dyDescent="0.3">
      <c r="A266" s="20">
        <f>DATE(2010,10,23)</f>
        <v>40474</v>
      </c>
      <c r="B266">
        <f>Tabela1[[#This Row],[Całkowity koszt pokrycia strat ( w dolarach)]]/$D$2</f>
        <v>29.15</v>
      </c>
      <c r="C266" s="19">
        <v>29150</v>
      </c>
    </row>
    <row r="267" spans="1:3" x14ac:dyDescent="0.3">
      <c r="A267" s="20">
        <f>DATE(2010,10,26)</f>
        <v>40477</v>
      </c>
      <c r="B267">
        <f>Tabela1[[#This Row],[Całkowity koszt pokrycia strat ( w dolarach)]]/$D$2</f>
        <v>5.05</v>
      </c>
      <c r="C267" s="19">
        <v>5050</v>
      </c>
    </row>
    <row r="268" spans="1:3" x14ac:dyDescent="0.3">
      <c r="A268" s="20">
        <f>DATE(2010,10,27)</f>
        <v>40478</v>
      </c>
      <c r="B268">
        <f>Tabela1[[#This Row],[Całkowity koszt pokrycia strat ( w dolarach)]]/$D$2</f>
        <v>27.8</v>
      </c>
      <c r="C268" s="19">
        <v>27800</v>
      </c>
    </row>
    <row r="269" spans="1:3" x14ac:dyDescent="0.3">
      <c r="A269" s="20">
        <f>DATE(2010,11,1)</f>
        <v>40483</v>
      </c>
      <c r="B269">
        <f>Tabela1[[#This Row],[Całkowity koszt pokrycia strat ( w dolarach)]]/$D$2</f>
        <v>1.99</v>
      </c>
      <c r="C269" s="19">
        <v>1990</v>
      </c>
    </row>
    <row r="270" spans="1:3" x14ac:dyDescent="0.3">
      <c r="A270" s="20">
        <f>DATE(2010,11,1)</f>
        <v>40483</v>
      </c>
      <c r="B270">
        <f>Tabela1[[#This Row],[Całkowity koszt pokrycia strat ( w dolarach)]]/$D$2</f>
        <v>250.358</v>
      </c>
      <c r="C270" s="19">
        <v>250358</v>
      </c>
    </row>
    <row r="271" spans="1:3" x14ac:dyDescent="0.3">
      <c r="A271" s="20">
        <f>DATE(2010,11,2)</f>
        <v>40484</v>
      </c>
      <c r="B271">
        <f>Tabela1[[#This Row],[Całkowity koszt pokrycia strat ( w dolarach)]]/$D$2</f>
        <v>4</v>
      </c>
      <c r="C271" s="19">
        <v>4000</v>
      </c>
    </row>
    <row r="272" spans="1:3" x14ac:dyDescent="0.3">
      <c r="A272" s="20">
        <f>DATE(2010,11,3)</f>
        <v>40485</v>
      </c>
      <c r="B272">
        <f>Tabela1[[#This Row],[Całkowity koszt pokrycia strat ( w dolarach)]]/$D$2</f>
        <v>35</v>
      </c>
      <c r="C272" s="19">
        <v>35000</v>
      </c>
    </row>
    <row r="273" spans="1:3" x14ac:dyDescent="0.3">
      <c r="A273" s="20">
        <f>DATE(2010,11,4)</f>
        <v>40486</v>
      </c>
      <c r="B273">
        <f>Tabela1[[#This Row],[Całkowity koszt pokrycia strat ( w dolarach)]]/$D$2</f>
        <v>21</v>
      </c>
      <c r="C273" s="19">
        <v>21000</v>
      </c>
    </row>
    <row r="274" spans="1:3" x14ac:dyDescent="0.3">
      <c r="A274" s="20">
        <f>DATE(2010,11,4)</f>
        <v>40486</v>
      </c>
      <c r="B274">
        <f>Tabela1[[#This Row],[Całkowity koszt pokrycia strat ( w dolarach)]]/$D$2</f>
        <v>64.963999999999999</v>
      </c>
      <c r="C274" s="19">
        <v>64964</v>
      </c>
    </row>
    <row r="275" spans="1:3" x14ac:dyDescent="0.3">
      <c r="A275" s="20">
        <f>DATE(2010,11,5)</f>
        <v>40487</v>
      </c>
      <c r="B275">
        <f>Tabela1[[#This Row],[Całkowity koszt pokrycia strat ( w dolarach)]]/$D$2</f>
        <v>8.5399999999999991</v>
      </c>
      <c r="C275" s="19">
        <v>8540</v>
      </c>
    </row>
    <row r="276" spans="1:3" x14ac:dyDescent="0.3">
      <c r="A276" s="20">
        <f>DATE(2010,11,6)</f>
        <v>40488</v>
      </c>
      <c r="B276">
        <f>Tabela1[[#This Row],[Całkowity koszt pokrycia strat ( w dolarach)]]/$D$2</f>
        <v>0.159</v>
      </c>
      <c r="C276" s="19">
        <v>159</v>
      </c>
    </row>
    <row r="277" spans="1:3" x14ac:dyDescent="0.3">
      <c r="A277" s="20">
        <f>DATE(2010,11,7)</f>
        <v>40489</v>
      </c>
      <c r="B277">
        <f>Tabela1[[#This Row],[Całkowity koszt pokrycia strat ( w dolarach)]]/$D$2</f>
        <v>65.099999999999994</v>
      </c>
      <c r="C277" s="19">
        <v>65100</v>
      </c>
    </row>
    <row r="278" spans="1:3" x14ac:dyDescent="0.3">
      <c r="A278" s="20">
        <f>DATE(2010,11,8)</f>
        <v>40490</v>
      </c>
      <c r="B278">
        <f>Tabela1[[#This Row],[Całkowity koszt pokrycia strat ( w dolarach)]]/$D$2</f>
        <v>1.76</v>
      </c>
      <c r="C278" s="19">
        <v>1760</v>
      </c>
    </row>
    <row r="279" spans="1:3" x14ac:dyDescent="0.3">
      <c r="A279" s="20">
        <f>DATE(2010,11,8)</f>
        <v>40490</v>
      </c>
      <c r="B279">
        <f>Tabela1[[#This Row],[Całkowity koszt pokrycia strat ( w dolarach)]]/$D$2</f>
        <v>80</v>
      </c>
      <c r="C279" s="19">
        <v>80000</v>
      </c>
    </row>
    <row r="280" spans="1:3" x14ac:dyDescent="0.3">
      <c r="A280" s="20">
        <f>DATE(2010,11,9)</f>
        <v>40491</v>
      </c>
      <c r="B280">
        <f>Tabela1[[#This Row],[Całkowity koszt pokrycia strat ( w dolarach)]]/$D$2</f>
        <v>91.95</v>
      </c>
      <c r="C280" s="19">
        <v>91950</v>
      </c>
    </row>
    <row r="281" spans="1:3" x14ac:dyDescent="0.3">
      <c r="A281" s="20">
        <f>DATE(2010,11,9)</f>
        <v>40491</v>
      </c>
      <c r="B281">
        <f>Tabela1[[#This Row],[Całkowity koszt pokrycia strat ( w dolarach)]]/$D$2</f>
        <v>8.5299999999999994</v>
      </c>
      <c r="C281" s="19">
        <v>8530</v>
      </c>
    </row>
    <row r="282" spans="1:3" x14ac:dyDescent="0.3">
      <c r="A282" s="20">
        <f>DATE(2010,11,10)</f>
        <v>40492</v>
      </c>
      <c r="B282">
        <f>Tabela1[[#This Row],[Całkowity koszt pokrycia strat ( w dolarach)]]/$D$2</f>
        <v>3.7</v>
      </c>
      <c r="C282" s="19">
        <v>3700</v>
      </c>
    </row>
    <row r="283" spans="1:3" x14ac:dyDescent="0.3">
      <c r="A283" s="20">
        <f>DATE(2010,11,11)</f>
        <v>40493</v>
      </c>
      <c r="B283">
        <f>Tabela1[[#This Row],[Całkowity koszt pokrycia strat ( w dolarach)]]/$D$2</f>
        <v>31</v>
      </c>
      <c r="C283" s="19">
        <v>31000</v>
      </c>
    </row>
    <row r="284" spans="1:3" x14ac:dyDescent="0.3">
      <c r="A284" s="20">
        <f>DATE(2010,11,11)</f>
        <v>40493</v>
      </c>
      <c r="B284">
        <f>Tabela1[[#This Row],[Całkowity koszt pokrycia strat ( w dolarach)]]/$D$2</f>
        <v>765</v>
      </c>
      <c r="C284" s="19">
        <v>765000</v>
      </c>
    </row>
    <row r="285" spans="1:3" x14ac:dyDescent="0.3">
      <c r="A285" s="20">
        <f>DATE(2010,11,12)</f>
        <v>40494</v>
      </c>
      <c r="B285">
        <f>Tabela1[[#This Row],[Całkowity koszt pokrycia strat ( w dolarach)]]/$D$2</f>
        <v>393.5</v>
      </c>
      <c r="C285" s="19">
        <v>393500</v>
      </c>
    </row>
    <row r="286" spans="1:3" x14ac:dyDescent="0.3">
      <c r="A286" s="20">
        <f>DATE(2010,11,12)</f>
        <v>40494</v>
      </c>
      <c r="B286">
        <f>Tabela1[[#This Row],[Całkowity koszt pokrycia strat ( w dolarach)]]/$D$2</f>
        <v>7.3680000000000003</v>
      </c>
      <c r="C286" s="19">
        <v>7368</v>
      </c>
    </row>
    <row r="287" spans="1:3" x14ac:dyDescent="0.3">
      <c r="A287" s="20">
        <f>DATE(2010,11,15)</f>
        <v>40497</v>
      </c>
      <c r="B287">
        <f>Tabela1[[#This Row],[Całkowity koszt pokrycia strat ( w dolarach)]]/$D$2</f>
        <v>47</v>
      </c>
      <c r="C287" s="19">
        <v>47000</v>
      </c>
    </row>
    <row r="288" spans="1:3" x14ac:dyDescent="0.3">
      <c r="A288" s="20">
        <f>DATE(2010,11,15)</f>
        <v>40497</v>
      </c>
      <c r="B288">
        <f>Tabela1[[#This Row],[Całkowity koszt pokrycia strat ( w dolarach)]]/$D$2</f>
        <v>0.3</v>
      </c>
      <c r="C288" s="19">
        <v>300</v>
      </c>
    </row>
    <row r="289" spans="1:3" x14ac:dyDescent="0.3">
      <c r="A289" s="20">
        <f>DATE(2010,11,15)</f>
        <v>40497</v>
      </c>
      <c r="B289">
        <f>Tabela1[[#This Row],[Całkowity koszt pokrycia strat ( w dolarach)]]/$D$2</f>
        <v>67.430999999999997</v>
      </c>
      <c r="C289" s="19">
        <v>67431</v>
      </c>
    </row>
    <row r="290" spans="1:3" x14ac:dyDescent="0.3">
      <c r="A290" s="20">
        <f>DATE(2010,11,15)</f>
        <v>40497</v>
      </c>
      <c r="B290">
        <f>Tabela1[[#This Row],[Całkowity koszt pokrycia strat ( w dolarach)]]/$D$2</f>
        <v>19.434000000000001</v>
      </c>
      <c r="C290" s="19">
        <v>19434</v>
      </c>
    </row>
    <row r="291" spans="1:3" x14ac:dyDescent="0.3">
      <c r="A291" s="20">
        <f>DATE(2010,11,16)</f>
        <v>40498</v>
      </c>
      <c r="B291">
        <f>Tabela1[[#This Row],[Całkowity koszt pokrycia strat ( w dolarach)]]/$D$2</f>
        <v>29.184999999999999</v>
      </c>
      <c r="C291" s="19">
        <v>29185</v>
      </c>
    </row>
    <row r="292" spans="1:3" x14ac:dyDescent="0.3">
      <c r="A292" s="20">
        <f>DATE(2010,11,16)</f>
        <v>40498</v>
      </c>
      <c r="B292">
        <f>Tabela1[[#This Row],[Całkowity koszt pokrycia strat ( w dolarach)]]/$D$2</f>
        <v>45</v>
      </c>
      <c r="C292" s="19">
        <v>45000</v>
      </c>
    </row>
    <row r="293" spans="1:3" x14ac:dyDescent="0.3">
      <c r="A293" s="20">
        <f>DATE(2010,11,16)</f>
        <v>40498</v>
      </c>
      <c r="B293">
        <f>Tabela1[[#This Row],[Całkowity koszt pokrycia strat ( w dolarach)]]/$D$2</f>
        <v>989</v>
      </c>
      <c r="C293" s="19">
        <v>989000</v>
      </c>
    </row>
    <row r="294" spans="1:3" x14ac:dyDescent="0.3">
      <c r="A294" s="20">
        <f>DATE(2010,11,18)</f>
        <v>40500</v>
      </c>
      <c r="B294">
        <f>Tabela1[[#This Row],[Całkowity koszt pokrycia strat ( w dolarach)]]/$D$2</f>
        <v>13.25</v>
      </c>
      <c r="C294" s="19">
        <v>13250</v>
      </c>
    </row>
    <row r="295" spans="1:3" x14ac:dyDescent="0.3">
      <c r="A295" s="20">
        <f>DATE(2010,11,20)</f>
        <v>40502</v>
      </c>
      <c r="B295">
        <f>Tabela1[[#This Row],[Całkowity koszt pokrycia strat ( w dolarach)]]/$D$2</f>
        <v>438.06</v>
      </c>
      <c r="C295" s="19">
        <v>438060</v>
      </c>
    </row>
    <row r="296" spans="1:3" x14ac:dyDescent="0.3">
      <c r="A296" s="20">
        <f>DATE(2010,11,20)</f>
        <v>40502</v>
      </c>
      <c r="B296">
        <f>Tabela1[[#This Row],[Całkowity koszt pokrycia strat ( w dolarach)]]/$D$2</f>
        <v>11.7</v>
      </c>
      <c r="C296" s="19">
        <v>11700</v>
      </c>
    </row>
    <row r="297" spans="1:3" x14ac:dyDescent="0.3">
      <c r="A297" s="20">
        <f>DATE(2010,11,22)</f>
        <v>40504</v>
      </c>
      <c r="B297">
        <f>Tabela1[[#This Row],[Całkowity koszt pokrycia strat ( w dolarach)]]/$D$2</f>
        <v>1.0549999999999999</v>
      </c>
      <c r="C297" s="19">
        <v>1055</v>
      </c>
    </row>
    <row r="298" spans="1:3" x14ac:dyDescent="0.3">
      <c r="A298" s="20">
        <f>DATE(2010,11,22)</f>
        <v>40504</v>
      </c>
      <c r="B298">
        <f>Tabela1[[#This Row],[Całkowity koszt pokrycia strat ( w dolarach)]]/$D$2</f>
        <v>18</v>
      </c>
      <c r="C298" s="19">
        <v>18000</v>
      </c>
    </row>
    <row r="299" spans="1:3" x14ac:dyDescent="0.3">
      <c r="A299" s="20">
        <f>DATE(2010,11,23)</f>
        <v>40505</v>
      </c>
      <c r="B299">
        <f>Tabela1[[#This Row],[Całkowity koszt pokrycia strat ( w dolarach)]]/$D$2</f>
        <v>5.0650000000000004</v>
      </c>
      <c r="C299" s="19">
        <v>5065</v>
      </c>
    </row>
    <row r="300" spans="1:3" x14ac:dyDescent="0.3">
      <c r="A300" s="20">
        <f>DATE(2010,11,23)</f>
        <v>40505</v>
      </c>
      <c r="B300">
        <f>Tabela1[[#This Row],[Całkowity koszt pokrycia strat ( w dolarach)]]/$D$2</f>
        <v>187.5</v>
      </c>
      <c r="C300" s="19">
        <v>187500</v>
      </c>
    </row>
    <row r="301" spans="1:3" x14ac:dyDescent="0.3">
      <c r="A301" s="20">
        <f>DATE(2010,11,23)</f>
        <v>40505</v>
      </c>
      <c r="B301">
        <f>Tabela1[[#This Row],[Całkowity koszt pokrycia strat ( w dolarach)]]/$D$2</f>
        <v>1.27</v>
      </c>
      <c r="C301" s="19">
        <v>1270</v>
      </c>
    </row>
    <row r="302" spans="1:3" x14ac:dyDescent="0.3">
      <c r="A302" s="20">
        <f>DATE(2010,11,24)</f>
        <v>40506</v>
      </c>
      <c r="B302">
        <f>Tabela1[[#This Row],[Całkowity koszt pokrycia strat ( w dolarach)]]/$D$2</f>
        <v>3.0870000000000002</v>
      </c>
      <c r="C302" s="19">
        <v>3087</v>
      </c>
    </row>
    <row r="303" spans="1:3" x14ac:dyDescent="0.3">
      <c r="A303" s="20">
        <f>DATE(2010,11,27)</f>
        <v>40509</v>
      </c>
      <c r="B303">
        <f>Tabela1[[#This Row],[Całkowity koszt pokrycia strat ( w dolarach)]]/$D$2</f>
        <v>5</v>
      </c>
      <c r="C303" s="19">
        <v>5000</v>
      </c>
    </row>
    <row r="304" spans="1:3" x14ac:dyDescent="0.3">
      <c r="A304" s="20">
        <f>DATE(2010,11,27)</f>
        <v>40509</v>
      </c>
      <c r="B304">
        <f>Tabela1[[#This Row],[Całkowity koszt pokrycia strat ( w dolarach)]]/$D$2</f>
        <v>31.01</v>
      </c>
      <c r="C304" s="19">
        <v>31010</v>
      </c>
    </row>
    <row r="305" spans="1:3" x14ac:dyDescent="0.3">
      <c r="A305" s="20">
        <f>DATE(2010,11,28)</f>
        <v>40510</v>
      </c>
      <c r="B305">
        <f>Tabela1[[#This Row],[Całkowity koszt pokrycia strat ( w dolarach)]]/$D$2</f>
        <v>20</v>
      </c>
      <c r="C305" s="19">
        <v>20000</v>
      </c>
    </row>
    <row r="306" spans="1:3" x14ac:dyDescent="0.3">
      <c r="A306" s="20">
        <f>DATE(2010,11,28)</f>
        <v>40510</v>
      </c>
      <c r="B306">
        <f>Tabela1[[#This Row],[Całkowity koszt pokrycia strat ( w dolarach)]]/$D$2</f>
        <v>2</v>
      </c>
      <c r="C306" s="19">
        <v>2000</v>
      </c>
    </row>
    <row r="307" spans="1:3" x14ac:dyDescent="0.3">
      <c r="A307" s="20">
        <f>DATE(2010,11,29)</f>
        <v>40511</v>
      </c>
      <c r="B307">
        <f>Tabela1[[#This Row],[Całkowity koszt pokrycia strat ( w dolarach)]]/$D$2</f>
        <v>0.41799999999999998</v>
      </c>
      <c r="C307" s="19">
        <v>418</v>
      </c>
    </row>
    <row r="308" spans="1:3" x14ac:dyDescent="0.3">
      <c r="A308" s="20">
        <f>DATE(2010,11,29)</f>
        <v>40511</v>
      </c>
      <c r="B308">
        <f>Tabela1[[#This Row],[Całkowity koszt pokrycia strat ( w dolarach)]]/$D$2</f>
        <v>2.11</v>
      </c>
      <c r="C308" s="19">
        <v>2110</v>
      </c>
    </row>
    <row r="309" spans="1:3" x14ac:dyDescent="0.3">
      <c r="A309" s="20">
        <f>DATE(2010,11,30)</f>
        <v>40512</v>
      </c>
      <c r="B309">
        <f>Tabela1[[#This Row],[Całkowity koszt pokrycia strat ( w dolarach)]]/$D$2</f>
        <v>10.5</v>
      </c>
      <c r="C309" s="19">
        <v>10500</v>
      </c>
    </row>
    <row r="310" spans="1:3" x14ac:dyDescent="0.3">
      <c r="A310" s="20">
        <f>DATE(2010,12,1)</f>
        <v>40513</v>
      </c>
      <c r="B310">
        <f>Tabela1[[#This Row],[Całkowity koszt pokrycia strat ( w dolarach)]]/$D$2</f>
        <v>10.050000000000001</v>
      </c>
      <c r="C310" s="19">
        <v>10050</v>
      </c>
    </row>
    <row r="311" spans="1:3" x14ac:dyDescent="0.3">
      <c r="A311" s="20">
        <f>DATE(2010,12,1)</f>
        <v>40513</v>
      </c>
      <c r="B311">
        <f>Tabela1[[#This Row],[Całkowity koszt pokrycia strat ( w dolarach)]]/$D$2</f>
        <v>128.86199999999999</v>
      </c>
      <c r="C311" s="19">
        <v>128862</v>
      </c>
    </row>
    <row r="312" spans="1:3" x14ac:dyDescent="0.3">
      <c r="A312" s="20">
        <f>DATE(2010,12,1)</f>
        <v>40513</v>
      </c>
      <c r="B312">
        <f>Tabela1[[#This Row],[Całkowity koszt pokrycia strat ( w dolarach)]]/$D$2</f>
        <v>20833.924999999999</v>
      </c>
      <c r="C312" s="19">
        <v>20833925</v>
      </c>
    </row>
    <row r="313" spans="1:3" x14ac:dyDescent="0.3">
      <c r="A313" s="20">
        <f>DATE(2010,12,2)</f>
        <v>40514</v>
      </c>
      <c r="B313">
        <f>Tabela1[[#This Row],[Całkowity koszt pokrycia strat ( w dolarach)]]/$D$2</f>
        <v>4709.5659999999998</v>
      </c>
      <c r="C313" s="19">
        <v>4709566</v>
      </c>
    </row>
    <row r="314" spans="1:3" x14ac:dyDescent="0.3">
      <c r="A314" s="20">
        <f>DATE(2010,12,3)</f>
        <v>40515</v>
      </c>
      <c r="B314">
        <f>Tabela1[[#This Row],[Całkowity koszt pokrycia strat ( w dolarach)]]/$D$2</f>
        <v>16.675000000000001</v>
      </c>
      <c r="C314" s="19">
        <v>16675</v>
      </c>
    </row>
    <row r="315" spans="1:3" x14ac:dyDescent="0.3">
      <c r="A315" s="20">
        <f>DATE(2010,12,4)</f>
        <v>40516</v>
      </c>
      <c r="B315">
        <f>Tabela1[[#This Row],[Całkowity koszt pokrycia strat ( w dolarach)]]/$D$2</f>
        <v>155.34</v>
      </c>
      <c r="C315" s="19">
        <v>155340</v>
      </c>
    </row>
    <row r="316" spans="1:3" x14ac:dyDescent="0.3">
      <c r="A316" s="20">
        <f>DATE(2010,12,5)</f>
        <v>40517</v>
      </c>
      <c r="B316">
        <f>Tabela1[[#This Row],[Całkowity koszt pokrycia strat ( w dolarach)]]/$D$2</f>
        <v>21.5</v>
      </c>
      <c r="C316" s="19">
        <v>21500</v>
      </c>
    </row>
    <row r="317" spans="1:3" x14ac:dyDescent="0.3">
      <c r="A317" s="20">
        <f>DATE(2010,12,5)</f>
        <v>40517</v>
      </c>
      <c r="B317">
        <f>Tabela1[[#This Row],[Całkowity koszt pokrycia strat ( w dolarach)]]/$D$2</f>
        <v>1.8660000000000001</v>
      </c>
      <c r="C317" s="19">
        <v>1866</v>
      </c>
    </row>
    <row r="318" spans="1:3" x14ac:dyDescent="0.3">
      <c r="A318" s="20">
        <f>DATE(2010,12,5)</f>
        <v>40517</v>
      </c>
      <c r="B318">
        <f>Tabela1[[#This Row],[Całkowity koszt pokrycia strat ( w dolarach)]]/$D$2</f>
        <v>0.375</v>
      </c>
      <c r="C318" s="19">
        <v>375</v>
      </c>
    </row>
    <row r="319" spans="1:3" x14ac:dyDescent="0.3">
      <c r="A319" s="20">
        <f>DATE(2010,12,6)</f>
        <v>40518</v>
      </c>
      <c r="B319">
        <f>Tabela1[[#This Row],[Całkowity koszt pokrycia strat ( w dolarach)]]/$D$2</f>
        <v>0.53</v>
      </c>
      <c r="C319" s="19">
        <v>530</v>
      </c>
    </row>
    <row r="320" spans="1:3" x14ac:dyDescent="0.3">
      <c r="A320" s="20">
        <f>DATE(2010,12,6)</f>
        <v>40518</v>
      </c>
      <c r="B320">
        <f>Tabela1[[#This Row],[Całkowity koszt pokrycia strat ( w dolarach)]]/$D$2</f>
        <v>10.395</v>
      </c>
      <c r="C320" s="19">
        <v>10395</v>
      </c>
    </row>
    <row r="321" spans="1:3" x14ac:dyDescent="0.3">
      <c r="A321" s="20">
        <f>DATE(2010,12,6)</f>
        <v>40518</v>
      </c>
      <c r="B321">
        <f>Tabela1[[#This Row],[Całkowity koszt pokrycia strat ( w dolarach)]]/$D$2</f>
        <v>67.599999999999994</v>
      </c>
      <c r="C321" s="19">
        <v>67600</v>
      </c>
    </row>
    <row r="322" spans="1:3" x14ac:dyDescent="0.3">
      <c r="A322" s="20">
        <f>DATE(2010,12,6)</f>
        <v>40518</v>
      </c>
      <c r="B322">
        <f>Tabela1[[#This Row],[Całkowity koszt pokrycia strat ( w dolarach)]]/$D$2</f>
        <v>250</v>
      </c>
      <c r="C322" s="19">
        <v>250000</v>
      </c>
    </row>
    <row r="323" spans="1:3" x14ac:dyDescent="0.3">
      <c r="A323" s="20">
        <f>DATE(2010,12,6)</f>
        <v>40518</v>
      </c>
      <c r="B323">
        <f>Tabela1[[#This Row],[Całkowity koszt pokrycia strat ( w dolarach)]]/$D$2</f>
        <v>1.05</v>
      </c>
      <c r="C323" s="19">
        <v>1050</v>
      </c>
    </row>
    <row r="324" spans="1:3" x14ac:dyDescent="0.3">
      <c r="A324" s="20">
        <f>DATE(2010,12,7)</f>
        <v>40519</v>
      </c>
      <c r="B324">
        <f>Tabela1[[#This Row],[Całkowity koszt pokrycia strat ( w dolarach)]]/$D$2</f>
        <v>5.7</v>
      </c>
      <c r="C324" s="19">
        <v>5700</v>
      </c>
    </row>
    <row r="325" spans="1:3" x14ac:dyDescent="0.3">
      <c r="A325" s="20">
        <f>DATE(2010,12,9)</f>
        <v>40521</v>
      </c>
      <c r="B325">
        <f>Tabela1[[#This Row],[Całkowity koszt pokrycia strat ( w dolarach)]]/$D$2</f>
        <v>3.45</v>
      </c>
      <c r="C325" s="19">
        <v>3450</v>
      </c>
    </row>
    <row r="326" spans="1:3" x14ac:dyDescent="0.3">
      <c r="A326" s="20">
        <f>DATE(2010,12,9)</f>
        <v>40521</v>
      </c>
      <c r="B326">
        <f>Tabela1[[#This Row],[Całkowity koszt pokrycia strat ( w dolarach)]]/$D$2</f>
        <v>575.02499999999998</v>
      </c>
      <c r="C326" s="19">
        <v>575025</v>
      </c>
    </row>
    <row r="327" spans="1:3" x14ac:dyDescent="0.3">
      <c r="A327" s="20">
        <f>DATE(2010,12,9)</f>
        <v>40521</v>
      </c>
      <c r="B327">
        <f>Tabela1[[#This Row],[Całkowity koszt pokrycia strat ( w dolarach)]]/$D$2</f>
        <v>86.986999999999995</v>
      </c>
      <c r="C327" s="19">
        <v>86987</v>
      </c>
    </row>
    <row r="328" spans="1:3" x14ac:dyDescent="0.3">
      <c r="A328" s="20">
        <f>DATE(2010,12,9)</f>
        <v>40521</v>
      </c>
      <c r="B328">
        <f>Tabela1[[#This Row],[Całkowity koszt pokrycia strat ( w dolarach)]]/$D$2</f>
        <v>216.07499999999999</v>
      </c>
      <c r="C328" s="19">
        <v>216075</v>
      </c>
    </row>
    <row r="329" spans="1:3" x14ac:dyDescent="0.3">
      <c r="A329" s="20">
        <f>DATE(2010,12,9)</f>
        <v>40521</v>
      </c>
      <c r="B329">
        <f>Tabela1[[#This Row],[Całkowity koszt pokrycia strat ( w dolarach)]]/$D$2</f>
        <v>456.24</v>
      </c>
      <c r="C329" s="19">
        <v>456240</v>
      </c>
    </row>
    <row r="330" spans="1:3" x14ac:dyDescent="0.3">
      <c r="A330" s="20">
        <f>DATE(2010,12,10)</f>
        <v>40522</v>
      </c>
      <c r="B330">
        <f>Tabela1[[#This Row],[Całkowity koszt pokrycia strat ( w dolarach)]]/$D$2</f>
        <v>362.12900000000002</v>
      </c>
      <c r="C330" s="19">
        <v>362129</v>
      </c>
    </row>
    <row r="331" spans="1:3" x14ac:dyDescent="0.3">
      <c r="A331" s="20">
        <f>DATE(2010,12,11)</f>
        <v>40523</v>
      </c>
      <c r="B331">
        <f>Tabela1[[#This Row],[Całkowity koszt pokrycia strat ( w dolarach)]]/$D$2</f>
        <v>9.5139999999999993</v>
      </c>
      <c r="C331" s="19">
        <v>9514</v>
      </c>
    </row>
    <row r="332" spans="1:3" x14ac:dyDescent="0.3">
      <c r="A332" s="20">
        <f>DATE(2010,12,12)</f>
        <v>40524</v>
      </c>
      <c r="B332">
        <f>Tabela1[[#This Row],[Całkowity koszt pokrycia strat ( w dolarach)]]/$D$2</f>
        <v>2.762</v>
      </c>
      <c r="C332" s="19">
        <v>2762</v>
      </c>
    </row>
    <row r="333" spans="1:3" x14ac:dyDescent="0.3">
      <c r="A333" s="20">
        <f>DATE(2010,12,13)</f>
        <v>40525</v>
      </c>
      <c r="B333">
        <f>Tabela1[[#This Row],[Całkowity koszt pokrycia strat ( w dolarach)]]/$D$2</f>
        <v>0.62</v>
      </c>
      <c r="C333" s="19">
        <v>620</v>
      </c>
    </row>
    <row r="334" spans="1:3" x14ac:dyDescent="0.3">
      <c r="A334" s="20">
        <f>DATE(2010,12,13)</f>
        <v>40525</v>
      </c>
      <c r="B334">
        <f>Tabela1[[#This Row],[Całkowity koszt pokrycia strat ( w dolarach)]]/$D$2</f>
        <v>20.021000000000001</v>
      </c>
      <c r="C334" s="19">
        <v>20021</v>
      </c>
    </row>
    <row r="335" spans="1:3" x14ac:dyDescent="0.3">
      <c r="A335" s="20">
        <f>DATE(2010,12,14)</f>
        <v>40526</v>
      </c>
      <c r="B335">
        <f>Tabela1[[#This Row],[Całkowity koszt pokrycia strat ( w dolarach)]]/$D$2</f>
        <v>19495.904999999999</v>
      </c>
      <c r="C335" s="19">
        <v>19495905</v>
      </c>
    </row>
    <row r="336" spans="1:3" x14ac:dyDescent="0.3">
      <c r="A336" s="20">
        <f>DATE(2010,12,14)</f>
        <v>40526</v>
      </c>
      <c r="B336">
        <f>Tabela1[[#This Row],[Całkowity koszt pokrycia strat ( w dolarach)]]/$D$2</f>
        <v>0.2</v>
      </c>
      <c r="C336" s="19">
        <v>200</v>
      </c>
    </row>
    <row r="337" spans="1:3" x14ac:dyDescent="0.3">
      <c r="A337" s="20">
        <f>DATE(2010,12,15)</f>
        <v>40527</v>
      </c>
      <c r="B337">
        <f>Tabela1[[#This Row],[Całkowity koszt pokrycia strat ( w dolarach)]]/$D$2</f>
        <v>0.06</v>
      </c>
      <c r="C337" s="19">
        <v>60</v>
      </c>
    </row>
    <row r="338" spans="1:3" x14ac:dyDescent="0.3">
      <c r="A338" s="20">
        <f>DATE(2010,12,15)</f>
        <v>40527</v>
      </c>
      <c r="B338">
        <f>Tabela1[[#This Row],[Całkowity koszt pokrycia strat ( w dolarach)]]/$D$2</f>
        <v>2.84</v>
      </c>
      <c r="C338" s="19">
        <v>2840</v>
      </c>
    </row>
    <row r="339" spans="1:3" x14ac:dyDescent="0.3">
      <c r="A339" s="20">
        <f>DATE(2010,12,16)</f>
        <v>40528</v>
      </c>
      <c r="B339">
        <f>Tabela1[[#This Row],[Całkowity koszt pokrycia strat ( w dolarach)]]/$D$2</f>
        <v>150.53200000000001</v>
      </c>
      <c r="C339" s="19">
        <v>150532</v>
      </c>
    </row>
    <row r="340" spans="1:3" x14ac:dyDescent="0.3">
      <c r="A340" s="20">
        <f>DATE(2010,12,16)</f>
        <v>40528</v>
      </c>
      <c r="B340">
        <f>Tabela1[[#This Row],[Całkowity koszt pokrycia strat ( w dolarach)]]/$D$2</f>
        <v>20.742000000000001</v>
      </c>
      <c r="C340" s="19">
        <v>20742</v>
      </c>
    </row>
    <row r="341" spans="1:3" x14ac:dyDescent="0.3">
      <c r="A341" s="20">
        <f>DATE(2010,12,17)</f>
        <v>40529</v>
      </c>
      <c r="B341">
        <f>Tabela1[[#This Row],[Całkowity koszt pokrycia strat ( w dolarach)]]/$D$2</f>
        <v>4.0549999999999997</v>
      </c>
      <c r="C341" s="19">
        <v>4055</v>
      </c>
    </row>
    <row r="342" spans="1:3" x14ac:dyDescent="0.3">
      <c r="A342" s="20">
        <f>DATE(2010,12,20)</f>
        <v>40532</v>
      </c>
      <c r="B342">
        <f>Tabela1[[#This Row],[Całkowity koszt pokrycia strat ( w dolarach)]]/$D$2</f>
        <v>205.64500000000001</v>
      </c>
      <c r="C342" s="19">
        <v>205645</v>
      </c>
    </row>
    <row r="343" spans="1:3" x14ac:dyDescent="0.3">
      <c r="A343" s="20">
        <f>DATE(2010,12,21)</f>
        <v>40533</v>
      </c>
      <c r="B343">
        <f>Tabela1[[#This Row],[Całkowity koszt pokrycia strat ( w dolarach)]]/$D$2</f>
        <v>28.762</v>
      </c>
      <c r="C343" s="19">
        <v>28762</v>
      </c>
    </row>
    <row r="344" spans="1:3" x14ac:dyDescent="0.3">
      <c r="A344" s="20">
        <f>DATE(2010,12,24)</f>
        <v>40536</v>
      </c>
      <c r="B344">
        <f>Tabela1[[#This Row],[Całkowity koszt pokrycia strat ( w dolarach)]]/$D$2</f>
        <v>125.355</v>
      </c>
      <c r="C344" s="19">
        <v>125355</v>
      </c>
    </row>
    <row r="345" spans="1:3" x14ac:dyDescent="0.3">
      <c r="A345" s="20">
        <f>DATE(2010,12,28)</f>
        <v>40540</v>
      </c>
      <c r="B345">
        <f>Tabela1[[#This Row],[Całkowity koszt pokrycia strat ( w dolarach)]]/$D$2</f>
        <v>17.55</v>
      </c>
      <c r="C345" s="19">
        <v>17550</v>
      </c>
    </row>
    <row r="346" spans="1:3" x14ac:dyDescent="0.3">
      <c r="A346" s="20">
        <f>DATE(2010,12,28)</f>
        <v>40540</v>
      </c>
      <c r="B346">
        <f>Tabela1[[#This Row],[Całkowity koszt pokrycia strat ( w dolarach)]]/$D$2</f>
        <v>860.7</v>
      </c>
      <c r="C346" s="19">
        <v>860700</v>
      </c>
    </row>
    <row r="347" spans="1:3" x14ac:dyDescent="0.3">
      <c r="A347" s="20">
        <f>DATE(2010,12,30)</f>
        <v>40542</v>
      </c>
      <c r="B347">
        <f>Tabela1[[#This Row],[Całkowity koszt pokrycia strat ( w dolarach)]]/$D$2</f>
        <v>64.515000000000001</v>
      </c>
      <c r="C347" s="19">
        <v>64515</v>
      </c>
    </row>
    <row r="348" spans="1:3" x14ac:dyDescent="0.3">
      <c r="A348" s="20">
        <f>DATE(2010,12,31)</f>
        <v>40543</v>
      </c>
      <c r="B348">
        <f>Tabela1[[#This Row],[Całkowity koszt pokrycia strat ( w dolarach)]]/$D$2</f>
        <v>0.38700000000000001</v>
      </c>
      <c r="C348" s="19">
        <v>387</v>
      </c>
    </row>
    <row r="349" spans="1:3" x14ac:dyDescent="0.3">
      <c r="A349" s="20">
        <f>DATE(2010,12,31)</f>
        <v>40543</v>
      </c>
      <c r="B349">
        <f>Tabela1[[#This Row],[Całkowity koszt pokrycia strat ( w dolarach)]]/$D$2</f>
        <v>44.15</v>
      </c>
      <c r="C349" s="19">
        <v>44150</v>
      </c>
    </row>
    <row r="350" spans="1:3" x14ac:dyDescent="0.3">
      <c r="A350" s="21">
        <f>DATE(2010,12,31)</f>
        <v>40543</v>
      </c>
      <c r="B350">
        <f>Tabela1[[#This Row],[Całkowity koszt pokrycia strat ( w dolarach)]]/$D$2</f>
        <v>250.35</v>
      </c>
      <c r="C350" s="22">
        <v>250350</v>
      </c>
    </row>
  </sheetData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Wykresy</vt:lpstr>
      <vt:lpstr>Tablica</vt:lpstr>
      <vt:lpstr>DANE</vt:lpstr>
      <vt:lpstr>Koszty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Adrianna Wiśniewska</dc:creator>
  <cp:lastModifiedBy>Acer</cp:lastModifiedBy>
  <dcterms:created xsi:type="dcterms:W3CDTF">2017-04-22T17:58:12Z</dcterms:created>
  <dcterms:modified xsi:type="dcterms:W3CDTF">2017-04-27T19:10:27Z</dcterms:modified>
</cp:coreProperties>
</file>