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<sst xmlns="http://schemas.openxmlformats.org/spreadsheetml/2006/main" count="10204" uniqueCount="996">
  <si>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</si>
  <si>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</si>
  <si>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</si>
  <si>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</si>
  <si>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</si>
  <si>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</si>
  <si>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</si>
  <si>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</si>
  <si>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</si>
  <si>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</si>
  <si>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</si>
  <si>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</si>
  <si>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</si>
  <si>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</si>
  <si>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</si>
  <si>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</si>
  <si>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</si>
  <si>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</si>
  <si>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</si>
  <si>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</si>
  <si>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</si>
  <si>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</si>
  <si>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</si>
  <si>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</si>
  <si>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</si>
  <si>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</si>
  <si>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</si>
  <si>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</si>
  <si>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</si>
  <si>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</si>
  <si>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</si>
  <si>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</si>
  <si>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</si>
  <si>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</si>
  <si>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</si>
  <si>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</si>
  <si>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</si>
  <si>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</si>
  <si>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</si>
  <si>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</si>
  <si>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</si>
  <si>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</si>
  <si>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</si>
  <si>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</si>
  <si>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</si>
  <si>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</si>
  <si>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</si>
  <si>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</si>
  <si>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</si>
  <si>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</si>
  <si>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</si>
  <si>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</si>
  <si>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</si>
  <si>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</si>
  <si>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</si>
  <si>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</si>
  <si>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</si>
  <si>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</si>
  <si>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</si>
  <si>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</si>
  <si>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</si>
  <si>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</si>
  <si>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</si>
  <si>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</si>
  <si>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</si>
  <si>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</si>
  <si>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</si>
  <si>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</si>
  <si>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</si>
  <si>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</si>
  <si>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</si>
  <si>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</si>
  <si>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</si>
  <si>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</si>
  <si>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</si>
  <si>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</si>
  <si>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</si>
  <si>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</si>
  <si>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</si>
  <si>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</si>
  <si>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</si>
  <si>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</si>
  <si>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</si>
  <si>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</si>
  <si>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</si>
  <si>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</si>
  <si>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</si>
  <si>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</si>
  <si>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</si>
  <si>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</si>
  <si>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</si>
  <si>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</si>
  <si>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</si>
  <si>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</si>
  <si>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</si>
  <si>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</si>
  <si>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</si>
  <si>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</si>
  <si>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</si>
  <si>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</si>
  <si>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</si>
  <si>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</si>
  <si>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</si>
  <si>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</si>
  <si>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</si>
  <si>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</si>
  <si>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</si>
  <si>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</si>
  <si>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</si>
  <si>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</si>
  <si>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</si>
  <si>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</si>
  <si>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</si>
  <si>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</si>
  <si>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</si>
  <si>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</si>
  <si>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</si>
  <si>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</si>
  <si>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</si>
  <si>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</si>
  <si>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</si>
  <si>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</si>
  <si>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</si>
  <si>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</si>
  <si>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</si>
  <si>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</si>
  <si>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</si>
  <si>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</si>
  <si>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</si>
  <si>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</si>
  <si>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</si>
  <si>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</si>
  <si>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</si>
  <si>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</si>
  <si>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</si>
  <si>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</si>
  <si>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</si>
  <si>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</si>
  <si>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</si>
  <si>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</si>
  <si>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</si>
  <si>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</si>
  <si>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</si>
  <si>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</si>
  <si>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</si>
  <si>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</si>
  <si>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</si>
  <si>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</si>
  <si>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</si>
  <si>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</si>
  <si>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</si>
  <si>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</si>
  <si>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</si>
  <si>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</si>
  <si>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</si>
  <si>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</si>
  <si>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</si>
  <si>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</si>
  <si>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</si>
  <si>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</si>
  <si>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</si>
  <si>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</si>
  <si>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</si>
  <si>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</si>
  <si>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</si>
  <si>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</si>
  <si>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</si>
  <si>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</si>
  <si>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</si>
  <si>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</si>
  <si>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</si>
  <si>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</si>
  <si>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</si>
  <si>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</si>
  <si>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</si>
  <si>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</si>
  <si>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</si>
  <si>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</si>
  <si>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</si>
  <si>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</si>
  <si>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</si>
  <si>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</si>
  <si>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</si>
  <si>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</si>
  <si>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</si>
  <si>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</si>
  <si>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</si>
  <si>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</si>
  <si>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</si>
  <si>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</si>
  <si>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</si>
  <si>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</si>
  <si>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</si>
  <si>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</si>
  <si>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</si>
  <si>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</si>
  <si>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</si>
  <si>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</si>
  <si>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</si>
  <si>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</si>
  <si>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</si>
  <si>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</si>
  <si>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</si>
  <si>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</si>
  <si>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</si>
  <si>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</si>
  <si>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</si>
  <si>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</si>
  <si>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</si>
  <si>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</si>
  <si>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</si>
  <si>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</si>
  <si>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</si>
  <si>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</si>
  <si>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</si>
  <si>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</si>
  <si>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</si>
  <si>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</si>
  <si>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</si>
  <si>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</si>
  <si>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</si>
  <si>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</si>
  <si>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</si>
  <si>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</si>
  <si>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</si>
  <si>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</si>
  <si>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</si>
  <si>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</si>
  <si>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</si>
  <si>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</si>
  <si>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</si>
  <si>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</si>
  <si>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</si>
  <si>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</si>
  <si>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</si>
  <si>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</si>
  <si>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</si>
  <si>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</si>
  <si>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</si>
  <si>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</si>
  <si>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</si>
  <si>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</si>
  <si>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</si>
  <si>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</si>
  <si>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</si>
  <si>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</si>
  <si>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</si>
  <si>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</si>
  <si>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</si>
  <si>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</si>
  <si>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</si>
  <si>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</si>
  <si>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</si>
  <si>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</si>
  <si>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</si>
  <si>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</si>
  <si>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</si>
  <si>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</si>
  <si>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</si>
  <si>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</si>
  <si>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</si>
  <si>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</si>
  <si>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</si>
  <si>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</si>
  <si>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</si>
  <si>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</si>
  <si>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</si>
  <si>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</si>
  <si>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</si>
  <si>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</si>
  <si>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</si>
  <si>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</si>
  <si>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</si>
  <si>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</si>
  <si>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</si>
  <si>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</si>
  <si>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</si>
  <si>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</si>
  <si>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</si>
  <si>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</si>
  <si>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</si>
  <si>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</si>
  <si>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</si>
  <si>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</si>
  <si>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</si>
  <si>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</si>
  <si>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</si>
  <si>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</si>
  <si>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</si>
  <si>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</si>
  <si>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</si>
  <si>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</si>
  <si>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</si>
  <si>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</si>
  <si>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</si>
  <si>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</si>
  <si>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</si>
  <si>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</si>
  <si>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</si>
  <si>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</si>
  <si>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</si>
  <si>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</si>
  <si>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</si>
  <si>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</si>
  <si>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</si>
  <si>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</si>
  <si>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</si>
  <si>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</si>
  <si>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</si>
  <si>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</si>
  <si>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</si>
  <si>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</si>
  <si>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</si>
  <si>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</si>
  <si>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</si>
  <si>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</si>
  <si>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</si>
  <si>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</si>
  <si>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</si>
  <si>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</si>
  <si>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</si>
  <si>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</si>
  <si>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</si>
  <si>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</si>
  <si>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</si>
  <si>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</si>
  <si>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</si>
  <si>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</si>
  <si>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</si>
  <si>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</si>
  <si>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</si>
  <si>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</si>
  <si>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</si>
  <si>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</si>
  <si>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</si>
  <si>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</si>
  <si>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</si>
  <si>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</si>
  <si>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</si>
  <si>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</si>
  <si>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</si>
  <si>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</si>
  <si>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</si>
  <si>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</si>
  <si>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</si>
  <si>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</si>
  <si>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</si>
  <si>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</si>
  <si>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</si>
  <si>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</si>
  <si>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</si>
  <si>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</si>
  <si>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</si>
  <si>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</si>
  <si>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</si>
  <si>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</si>
  <si>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</si>
  <si>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</si>
  <si>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</si>
  <si>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</si>
  <si>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</si>
  <si>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</si>
  <si>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</si>
  <si>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</si>
  <si>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</si>
  <si>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</si>
  <si>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</si>
  <si>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</si>
  <si>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</si>
  <si>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</si>
  <si>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</si>
  <si>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</si>
  <si>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</si>
  <si>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</si>
  <si>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</si>
  <si>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</si>
  <si>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</si>
  <si>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</si>
  <si>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</si>
  <si>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</si>
  <si>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</si>
  <si>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</si>
  <si>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</si>
  <si>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</si>
  <si>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</si>
  <si>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</si>
  <si>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</si>
  <si>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</si>
  <si>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</si>
  <si>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</si>
  <si>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</si>
  <si>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</si>
  <si>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</si>
  <si>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</si>
  <si>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</si>
  <si>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</si>
  <si>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</si>
  <si>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</si>
  <si>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</si>
  <si>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</si>
  <si>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</si>
  <si>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</si>
  <si>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</si>
  <si>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</si>
  <si>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</si>
  <si>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</si>
  <si>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</si>
  <si>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</si>
  <si>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</si>
  <si>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</si>
  <si>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</si>
  <si>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</si>
  <si>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</si>
  <si>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</si>
  <si>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</si>
  <si>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</si>
  <si>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</si>
  <si>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</si>
  <si>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</si>
  <si>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</si>
  <si>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</si>
  <si>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</si>
  <si>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</si>
  <si>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</si>
  <si>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</si>
  <si>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</si>
  <si>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</si>
  <si>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</si>
  <si>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</si>
  <si>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</si>
  <si>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</si>
  <si>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</si>
  <si>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</si>
  <si>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</si>
  <si>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</si>
  <si>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</si>
  <si>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</si>
  <si>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</si>
  <si>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</si>
  <si>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</si>
  <si>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</si>
  <si>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</si>
  <si>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</si>
  <si>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</si>
  <si>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</si>
  <si>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</si>
  <si>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</si>
  <si>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</si>
  <si>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</si>
  <si>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</si>
  <si>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</si>
  <si>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</si>
  <si>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</si>
  <si>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</si>
  <si>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</si>
  <si>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</si>
  <si>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</si>
  <si>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</si>
  <si>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</si>
  <si>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</si>
  <si>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</si>
  <si>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</si>
  <si>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</si>
  <si>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</si>
  <si>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</si>
  <si>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</si>
  <si>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</si>
  <si>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</si>
  <si>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</si>
  <si>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</si>
  <si>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</si>
  <si>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</si>
  <si>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</si>
  <si>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</si>
  <si>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</si>
  <si>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</si>
  <si>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</si>
  <si>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</si>
  <si>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</si>
  <si>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</si>
  <si>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</si>
  <si>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</si>
  <si>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</si>
  <si>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</si>
  <si>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</si>
  <si>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</si>
  <si>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</si>
  <si>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</si>
  <si>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</si>
  <si>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</si>
  <si>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</si>
  <si>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</si>
  <si>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</si>
  <si>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</si>
  <si>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</si>
  <si>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</si>
  <si>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</si>
  <si>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</si>
  <si>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</si>
  <si>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</si>
  <si>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</si>
  <si>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</si>
  <si>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</si>
  <si>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</si>
  <si>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</si>
  <si>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</si>
  <si>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</si>
  <si>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</si>
  <si>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</si>
  <si>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</si>
  <si>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</si>
  <si>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</si>
  <si>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</si>
  <si>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</si>
  <si>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</si>
  <si>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</si>
  <si>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</si>
  <si>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</si>
  <si>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</si>
  <si>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</si>
  <si>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</si>
  <si>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</si>
  <si>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</si>
  <si>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</si>
  <si>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</si>
  <si>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</si>
  <si>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</si>
  <si>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</si>
  <si>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</si>
  <si>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</si>
  <si>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</si>
  <si>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</si>
  <si>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</si>
  <si>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</si>
  <si>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</si>
  <si>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</si>
  <si>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</si>
  <si>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</si>
  <si>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</si>
  <si>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</si>
  <si>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</si>
  <si>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</si>
  <si>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</si>
  <si>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</si>
  <si>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</si>
  <si>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</si>
  <si>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</si>
  <si>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</si>
  <si>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</si>
  <si>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</si>
  <si>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</si>
  <si>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</si>
  <si>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</si>
  <si>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</si>
  <si>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</si>
  <si>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</si>
  <si>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</si>
  <si>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</si>
  <si>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</si>
  <si>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</si>
  <si>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</si>
  <si>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</si>
  <si>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</si>
  <si>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</si>
  <si>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</si>
  <si>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</si>
  <si>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</si>
  <si>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</si>
  <si>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</si>
  <si>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</si>
  <si>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</si>
  <si>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</si>
  <si>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</si>
  <si>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</si>
  <si>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</si>
  <si>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</si>
  <si>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</si>
  <si>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</si>
  <si>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</si>
  <si>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</si>
  <si>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</si>
  <si>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</si>
  <si>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</si>
  <si>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</si>
  <si>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</si>
  <si>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</si>
  <si>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</si>
  <si>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</si>
  <si>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</si>
  <si>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</si>
  <si>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</si>
  <si>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</si>
  <si>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</si>
  <si>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</si>
  <si>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</si>
  <si>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</si>
  <si>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</si>
  <si>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</si>
  <si>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</si>
  <si>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</si>
  <si>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</si>
  <si>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</si>
  <si>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</si>
  <si>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</si>
  <si>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</si>
  <si>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</si>
  <si>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</si>
  <si>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</si>
  <si>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</si>
  <si>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</si>
  <si>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</si>
  <si>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</si>
  <si>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</si>
  <si>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</si>
  <si>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</si>
  <si>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</si>
  <si>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</si>
  <si>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</si>
  <si>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</si>
  <si>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</si>
  <si>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</si>
  <si>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</si>
  <si>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</si>
  <si>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</si>
  <si>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</si>
  <si>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</si>
  <si>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</si>
  <si>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</si>
  <si>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</si>
  <si>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</si>
  <si>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</si>
  <si>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</si>
  <si>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</si>
  <si>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</si>
  <si>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</si>
  <si>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</si>
  <si>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</si>
  <si>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</si>
  <si>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</si>
  <si>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</si>
  <si>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</si>
  <si>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</si>
  <si>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</si>
  <si>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</si>
  <si>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</si>
  <si>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</si>
  <si>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</si>
  <si>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</si>
  <si>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</si>
  <si>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</si>
  <si>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</si>
  <si>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</si>
  <si>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</si>
  <si>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</si>
  <si>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</si>
  <si>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</si>
  <si>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</si>
  <si>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</si>
  <si>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</si>
  <si>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</si>
  <si>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</si>
  <si>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</si>
  <si>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</si>
  <si>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</si>
  <si>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</si>
  <si>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</si>
  <si>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</si>
  <si>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</si>
  <si>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</si>
  <si>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</si>
  <si>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</si>
  <si>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</si>
  <si>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</si>
  <si>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</si>
  <si>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</si>
  <si>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</si>
  <si>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</si>
  <si>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</si>
  <si>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</si>
  <si>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</si>
  <si>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</si>
  <si>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</si>
  <si>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</si>
  <si>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</si>
  <si>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</si>
  <si>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</si>
  <si>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</si>
  <si>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</si>
  <si>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</si>
  <si>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</si>
  <si>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</si>
  <si>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</si>
  <si>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</si>
  <si>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</si>
  <si>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</si>
  <si>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</si>
  <si>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</si>
  <si>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</si>
  <si>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</si>
  <si>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</si>
  <si>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</si>
  <si>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</si>
  <si>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</si>
  <si>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</si>
  <si>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</si>
  <si>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</si>
  <si>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</si>
  <si>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</si>
  <si>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</si>
  <si>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</si>
  <si>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</si>
  <si>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</si>
  <si>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</si>
  <si>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</si>
  <si>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</si>
  <si>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</si>
  <si>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</si>
  <si>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</si>
  <si>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</si>
  <si>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</si>
  <si>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</si>
  <si>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</si>
  <si>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</si>
  <si>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</si>
  <si>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</si>
  <si>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</si>
  <si>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</si>
  <si>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</si>
  <si>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</si>
  <si>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</si>
  <si>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</si>
  <si>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</si>
  <si>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</si>
  <si>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</si>
  <si>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</si>
  <si>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</si>
  <si>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</si>
  <si>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</si>
  <si>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</si>
  <si>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</si>
  <si>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</si>
  <si>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</si>
  <si>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</si>
  <si>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</si>
  <si>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</si>
  <si>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</si>
  <si>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</si>
  <si>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</si>
  <si>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</si>
  <si>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</si>
  <si>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</si>
  <si>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</si>
  <si>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</si>
  <si>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</si>
  <si>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</si>
  <si>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</si>
  <si>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</si>
  <si>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</si>
  <si>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</si>
  <si>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</si>
  <si>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</si>
  <si>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</si>
  <si>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</si>
  <si>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</si>
  <si>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</si>
  <si>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</si>
  <si>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</si>
  <si>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</si>
  <si>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</si>
  <si>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</si>
  <si>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</si>
  <si>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</si>
  <si>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</si>
  <si>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</si>
  <si>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</si>
  <si>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</si>
  <si>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</si>
  <si>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</si>
  <si>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</si>
  <si>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</si>
  <si>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</si>
  <si>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</si>
  <si>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</si>
  <si>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</si>
  <si>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</si>
  <si>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</si>
  <si>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</si>
  <si>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</si>
  <si>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</si>
  <si>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</si>
  <si>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</si>
  <si>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</si>
  <si>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</si>
  <si>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</si>
  <si>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</si>
  <si>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</si>
  <si>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</si>
  <si>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</si>
  <si>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</si>
  <si>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</si>
  <si>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</si>
  <si>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</si>
  <si>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</si>
  <si>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</si>
  <si>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</si>
  <si>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</si>
  <si>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</si>
  <si>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</si>
  <si>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</si>
  <si>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</si>
  <si>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</si>
  <si>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</si>
  <si>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</si>
  <si>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</si>
  <si>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</si>
  <si>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</si>
  <si>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</si>
  <si>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</si>
  <si>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</si>
  <si>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</si>
  <si>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</si>
  <si>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</si>
  <si>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</si>
  <si>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</si>
  <si>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</si>
  <si>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</si>
  <si>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</si>
  <si>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</si>
  <si>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</si>
  <si>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</si>
  <si>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</si>
  <si>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</si>
  <si>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</si>
  <si>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</si>
  <si>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</si>
  <si>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</si>
  <si>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</si>
  <si>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</si>
  <si>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</si>
  <si>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</si>
  <si>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</si>
  <si>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</si>
  <si>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</si>
  <si>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</si>
  <si>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</si>
  <si>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</si>
  <si>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</si>
  <si>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</si>
  <si>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</si>
  <si>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</si>
  <si>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</si>
  <si>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</si>
  <si>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</si>
  <si>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</si>
  <si>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</si>
  <si>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</si>
  <si>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</si>
  <si>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</si>
  <si>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</si>
  <si>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</si>
  <si>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</si>
  <si>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</si>
  <si>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</si>
  <si>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</si>
  <si>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</si>
  <si>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</si>
  <si>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</si>
  <si>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</si>
  <si>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</si>
  <si>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</si>
  <si>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</si>
  <si>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</si>
  <si>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</si>
  <si>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</si>
  <si>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</si>
  <si>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</si>
  <si>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</si>
  <si>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</si>
  <si>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</si>
  <si>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</si>
  <si>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</si>
  <si>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</si>
  <si>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</si>
  <si>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</si>
  <si>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</si>
  <si>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</si>
  <si>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</si>
  <si>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</si>
  <si>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</si>
  <si>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</si>
  <si>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</si>
  <si>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</si>
  <si>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</si>
  <si>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</si>
  <si>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</si>
  <si>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</si>
  <si>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</si>
  <si>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</si>
  <si>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</si>
  <si>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</si>
  <si>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</si>
  <si>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</si>
  <si>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</si>
  <si>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</si>
  <si>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</si>
  <si>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</si>
  <si>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</si>
  <si>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</si>
  <si>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</si>
  <si>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</si>
  <si>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</si>
  <si>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Gas demand</t>
  </si>
  <si>
    <t xml:space="preserve">Emissions</t>
  </si>
  <si>
    <t xml:space="preserve">Number of apartments afected</t>
  </si>
  <si>
    <t xml:space="preserve">Hydrogen needed</t>
  </si>
  <si>
    <t xml:space="preserve">Required power</t>
  </si>
  <si>
    <t xml:space="preserve">Boiler Room</t>
  </si>
  <si>
    <t xml:space="preserve">number of 1000s buildings</t>
  </si>
  <si>
    <t xml:space="preserve">kWh/yr</t>
  </si>
  <si>
    <t xml:space="preserve">ton CO2</t>
  </si>
  <si>
    <t xml:space="preserve">-</t>
  </si>
  <si>
    <t xml:space="preserve">tonH2/yr</t>
  </si>
  <si>
    <t xml:space="preserve">a</t>
  </si>
  <si>
    <t xml:space="preserve">b</t>
  </si>
  <si>
    <t xml:space="preserve">kW</t>
  </si>
  <si>
    <t xml:space="preserve">m³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</si>
  <si>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</si>
  <si>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</si>
  <si>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</si>
  <si>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</si>
  <si>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Weighted average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</si>
  <si>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</si>
  <si>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</si>
  <si>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</si>
  <si>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Total demand Mwh</t>
  </si>
  <si>
    <t xml:space="preserve">mCO2/mCH4</t>
  </si>
  <si>
    <t xml:space="preserve">Values for H2 retrofitted boilers</t>
  </si>
  <si>
    <t xml:space="preserve">E/kgCH4</t>
  </si>
  <si>
    <t xml:space="preserve">kWh/kgCH4</t>
  </si>
  <si>
    <t xml:space="preserve">CH4 eff</t>
  </si>
  <si>
    <t xml:space="preserve">Gas demand Mwh</t>
  </si>
  <si>
    <t xml:space="preserve">E/kgH2</t>
  </si>
  <si>
    <t xml:space="preserve">kWh/kgH2</t>
  </si>
  <si>
    <t xml:space="preserve">H2 eff</t>
  </si>
  <si>
    <t xml:space="preserve">Multiplier</t>
  </si>
  <si>
    <t xml:space="preserve">Ph2/Ptot</t>
  </si>
  <si>
    <t xml:space="preserve">Gas factor</t>
  </si>
  <si>
    <t xml:space="preserve">Apartments</t>
  </si>
  <si>
    <t xml:space="preserve">% buildings</t>
  </si>
  <si>
    <t xml:space="preserve">Buildings</t>
  </si>
  <si>
    <t xml:space="preserve">Gas demand after criteria</t>
  </si>
  <si>
    <t xml:space="preserve">% apartments</t>
  </si>
  <si>
    <t xml:space="preserve">Twh/yr</t>
  </si>
  <si>
    <t xml:space="preserve">kgH2</t>
  </si>
  <si>
    <t xml:space="preserve">Tot apartments</t>
  </si>
  <si>
    <t xml:space="preserve">Twh/yr NG</t>
  </si>
  <si>
    <t xml:space="preserve">MtonCO2/yr</t>
  </si>
  <si>
    <t xml:space="preserve">HP</t>
  </si>
  <si>
    <t xml:space="preserve">Mton H2</t>
  </si>
  <si>
    <t xml:space="preserve">H2</t>
  </si>
  <si>
    <t xml:space="preserve">Tot buildings</t>
  </si>
  <si>
    <t xml:space="preserve">%buildings</t>
  </si>
  <si>
    <t xml:space="preserve">After criteria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</si>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</sst>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"/>
    <numFmt numFmtId="172" formatCode="0.000E+00"/>
    <numFmt numFmtId="173" formatCode="0.00\ %"/>
    <numFmt numFmtId="174" formatCode="#,##0"/>
    <numFmt numFmtId="175" formatCode="0.00\ %"/>
    <numFmt numFmtId="176" formatCode="[$£-809]#,##0.00;[RED]\-[$£-809]#,##0.00"/>
    <numFmt numFmtId="177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'Gas boilers'!$C$2:$C$13</c:f>
              <c:numCache>
                <c:formatCode>General</c:formatCode>
                <c:ptCount val="12"/>
                <c:pt idx="0">
                  <c:v>98</c:v>
                </c:pt>
                <c:pt idx="1">
                  <c:v>99.5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982</c:v>
                </c:pt>
                <c:pt idx="8">
                  <c:v>1000</c:v>
                </c:pt>
                <c:pt idx="9">
                  <c:v>1000</c:v>
                </c:pt>
                <c:pt idx="10">
                  <c:v>1060</c:v>
                </c:pt>
                <c:pt idx="11">
                  <c:v>1400</c:v>
                </c:pt>
              </c:numCache>
            </c:numRef>
          </c:xVal>
          <c:yVal>
            <c:numRef>
              <c:f>'Gas boilers'!$E$2:$E$13</c:f>
              <c:numCache>
                <c:formatCode>General</c:formatCode>
                <c:ptCount val="12"/>
                <c:pt idx="0">
                  <c:v>0.845</c:v>
                </c:pt>
                <c:pt idx="1">
                  <c:v>0.321</c:v>
                </c:pt>
                <c:pt idx="2">
                  <c:v>1.12</c:v>
                </c:pt>
                <c:pt idx="3">
                  <c:v>0.208</c:v>
                </c:pt>
                <c:pt idx="4">
                  <c:v>0.2778</c:v>
                </c:pt>
                <c:pt idx="5">
                  <c:v>0.221</c:v>
                </c:pt>
                <c:pt idx="6">
                  <c:v>0.233</c:v>
                </c:pt>
                <c:pt idx="7">
                  <c:v>5.689</c:v>
                </c:pt>
                <c:pt idx="8">
                  <c:v>3.538</c:v>
                </c:pt>
                <c:pt idx="9">
                  <c:v>2.829</c:v>
                </c:pt>
                <c:pt idx="10">
                  <c:v>7.436</c:v>
                </c:pt>
                <c:pt idx="11">
                  <c:v>4.5</c:v>
                </c:pt>
              </c:numCache>
            </c:numRef>
          </c:yVal>
          <c:smooth val="0"/>
        </c:ser>
        <c:axId val="73964855"/>
        <c:axId val="16029879"/>
      </c:scatterChart>
      <c:valAx>
        <c:axId val="739648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029879"/>
        <c:crosses val="autoZero"/>
        <c:crossBetween val="midCat"/>
      </c:valAx>
      <c:valAx>
        <c:axId val="160298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9648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9</xdr:row>
      <xdr:rowOff>86400</xdr:rowOff>
    </xdr:from>
    <xdr:to>
      <xdr:col>15</xdr:col>
      <xdr:colOff>287280</xdr:colOff>
      <xdr:row>29</xdr:row>
      <xdr:rowOff>73080</xdr:rowOff>
    </xdr:to>
    <xdr:graphicFrame>
      <xdr:nvGraphicFramePr>
        <xdr:cNvPr id="0" name=""/>
        <xdr:cNvGraphicFramePr/>
      </xdr:nvGraphicFramePr>
      <xdr:xfrm>
        <a:off x="7758360" y="1549440"/>
        <a:ext cx="5760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R20" activePane="bottomRight" state="frozen"/>
      <selection pane="topLeft" activeCell="F1" activeCellId="0" sqref="F1"/>
      <selection pane="topRight" activeCell="AR1" activeCellId="0" sqref="AR1"/>
      <selection pane="bottomLeft" activeCell="F20" activeCellId="0" sqref="F20"/>
      <selection pane="bottomRight" activeCell="BE58" activeCellId="0" sqref="BE58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1"/>
    <col collapsed="false" customWidth="true" hidden="false" outlineLevel="0" max="43" min="43" style="1" width="22.23"/>
    <col collapsed="false" customWidth="true" hidden="false" outlineLevel="0" max="51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  <c r="AW1" s="1" t="s">
        <v>911</v>
      </c>
      <c r="AY1" s="1" t="s">
        <v>912</v>
      </c>
      <c r="AZ1" s="1" t="s">
        <v>913</v>
      </c>
      <c r="BA1" s="1" t="s">
        <v>914</v>
      </c>
      <c r="BB1" s="1"/>
      <c r="BC1" s="1"/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915</v>
      </c>
      <c r="AN2" s="1" t="s">
        <v>916</v>
      </c>
      <c r="AQ2" s="1" t="s">
        <v>76</v>
      </c>
      <c r="AR2" s="1" t="s">
        <v>77</v>
      </c>
      <c r="AS2" s="1" t="s">
        <v>917</v>
      </c>
      <c r="AW2" s="1" t="s">
        <v>918</v>
      </c>
      <c r="AY2" s="1" t="s">
        <v>919</v>
      </c>
      <c r="AZ2" s="1" t="s">
        <v>920</v>
      </c>
      <c r="BA2" s="1" t="s">
        <v>921</v>
      </c>
      <c r="BB2" s="1"/>
      <c r="BC2" s="1"/>
      <c r="BE2" s="1"/>
      <c r="BF2" s="1"/>
      <c r="BG2" s="1"/>
      <c r="BH2" s="1"/>
      <c r="BI2" s="1" t="s">
        <v>922</v>
      </c>
      <c r="BJ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BE3" s="1"/>
      <c r="BF3" s="1"/>
      <c r="BG3" s="1"/>
      <c r="BH3" s="1"/>
      <c r="BI3" s="1" t="s">
        <v>923</v>
      </c>
      <c r="BJ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924</v>
      </c>
      <c r="AN4" s="1" t="s">
        <v>925</v>
      </c>
      <c r="AT4" s="1" t="s">
        <v>925</v>
      </c>
      <c r="AY4" s="5"/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Y5" s="6"/>
      <c r="BE5" s="1"/>
      <c r="BF5" s="1"/>
      <c r="BG5" s="1"/>
      <c r="BH5" s="1"/>
      <c r="BI5" s="1" t="s">
        <v>926</v>
      </c>
      <c r="BJ5" s="1" t="n">
        <v>4.5</v>
      </c>
      <c r="BK5" s="1" t="s">
        <v>927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BE6" s="1"/>
      <c r="BF6" s="1"/>
      <c r="BG6" s="1"/>
      <c r="BH6" s="1"/>
      <c r="BI6" s="1" t="s">
        <v>928</v>
      </c>
      <c r="BJ6" s="1" t="n">
        <v>0.3</v>
      </c>
      <c r="BK6" s="1" t="s">
        <v>925</v>
      </c>
      <c r="BL6" s="2" t="s">
        <v>929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AJ7*M7/X7/$BJ$5</f>
        <v>64.474694352482</v>
      </c>
      <c r="AN7" s="8" t="n">
        <f aca="false">$BJ$2*$BJ$8*AM7^$BJ$3</f>
        <v>1.25063042034889</v>
      </c>
      <c r="AQ7" s="9" t="n">
        <v>1</v>
      </c>
      <c r="AR7" s="1" t="n">
        <v>2</v>
      </c>
      <c r="AS7" s="1" t="n">
        <v>370</v>
      </c>
      <c r="AT7" s="10" t="n">
        <f aca="false">$BJ$6*AQ7*$BJ$11</f>
        <v>0.6</v>
      </c>
      <c r="AU7" s="11" t="n">
        <f aca="false">SUMPRODUCT(BJ11*AQ7:AQ17 , AS7:AS17) / SUM(AS7:AS17)</f>
        <v>2.24806201550388</v>
      </c>
      <c r="AV7" s="1" t="s">
        <v>930</v>
      </c>
      <c r="AW7" s="1" t="n">
        <f aca="false">AJ7*M7*AS7*1000/$BJ$17</f>
        <v>4778781085.52394</v>
      </c>
      <c r="AY7" s="1" t="n">
        <f aca="false">(AW7/$BJ$14)*$BJ$13/1000</f>
        <v>819238.340109021</v>
      </c>
      <c r="AZ7" s="12" t="n">
        <f aca="false">AS7*AQ7*1000</f>
        <v>370000</v>
      </c>
      <c r="BA7" s="12"/>
      <c r="BB7" s="12"/>
      <c r="BC7" s="12"/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AJ8*M8/X8/$BJ$5</f>
        <v>39.823386036405</v>
      </c>
      <c r="AN8" s="8" t="n">
        <f aca="false">$BJ$2*$BJ$8*AM8^$BJ$3</f>
        <v>0.758402238479523</v>
      </c>
      <c r="AQ8" s="9" t="n">
        <v>1</v>
      </c>
      <c r="AR8" s="1" t="n">
        <v>2</v>
      </c>
      <c r="AS8" s="1" t="n">
        <v>1040</v>
      </c>
      <c r="AT8" s="10" t="n">
        <f aca="false">$BJ$6*AQ8</f>
        <v>0.3</v>
      </c>
      <c r="AU8" s="1" t="n">
        <f aca="false">MEDIAN(AQ7:AQ19)</f>
        <v>1</v>
      </c>
      <c r="AW8" s="1" t="n">
        <f aca="false">AJ8*M8*AS8*1000/$BJ$17</f>
        <v>8296552066.64996</v>
      </c>
      <c r="AY8" s="1" t="n">
        <f aca="false">(AW8/$BJ$14)*$BJ$13/1000</f>
        <v>1422298.57825035</v>
      </c>
      <c r="AZ8" s="12" t="n">
        <f aca="false">AS8*AQ8*1000</f>
        <v>1040000</v>
      </c>
      <c r="BA8" s="12"/>
      <c r="BB8" s="12"/>
      <c r="BC8" s="12"/>
      <c r="BE8" s="1"/>
      <c r="BF8" s="1"/>
      <c r="BG8" s="1"/>
      <c r="BH8" s="1"/>
      <c r="BI8" s="1" t="s">
        <v>931</v>
      </c>
      <c r="BJ8" s="1" t="n">
        <v>5</v>
      </c>
      <c r="BK8" s="1" t="s">
        <v>920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AJ9*M9/X9/$BJ$5</f>
        <v>68.8647417354908</v>
      </c>
      <c r="AN9" s="8" t="n">
        <f aca="false">$BJ$2*$BJ$8*AM9^$BJ$3</f>
        <v>1.339144259359</v>
      </c>
      <c r="AQ9" s="9" t="n">
        <v>2</v>
      </c>
      <c r="AR9" s="1" t="n">
        <v>2</v>
      </c>
      <c r="AS9" s="1" t="n">
        <v>1280</v>
      </c>
      <c r="AT9" s="10" t="n">
        <f aca="false">$BJ$6*AQ9</f>
        <v>0.6</v>
      </c>
      <c r="AW9" s="1" t="n">
        <f aca="false">AJ9*M9*AS9*1000/$BJ$17</f>
        <v>17657654411.8722</v>
      </c>
      <c r="AY9" s="1" t="n">
        <f aca="false">(AW9/$BJ$14)*$BJ$13/1000</f>
        <v>3027095.66136464</v>
      </c>
      <c r="AZ9" s="12" t="n">
        <f aca="false">AS9*AQ9*1000</f>
        <v>2560000</v>
      </c>
      <c r="BA9" s="12"/>
      <c r="BB9" s="12"/>
      <c r="BC9" s="12"/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AJ10*M10/X10/$BJ$5</f>
        <v>31.5925795437625</v>
      </c>
      <c r="AN10" s="8" t="n">
        <f aca="false">$BJ$2*$BJ$8*AM10^$BJ$3</f>
        <v>0.596365686014426</v>
      </c>
      <c r="AQ10" s="9" t="n">
        <v>1</v>
      </c>
      <c r="AR10" s="1" t="n">
        <v>1</v>
      </c>
      <c r="AS10" s="1" t="n">
        <v>920</v>
      </c>
      <c r="AT10" s="10" t="n">
        <f aca="false">$BJ$6*AQ10</f>
        <v>0.3</v>
      </c>
      <c r="AW10" s="1" t="n">
        <f aca="false">AJ10*M10*AS10*1000/$BJ$17</f>
        <v>5822359736.73174</v>
      </c>
      <c r="AY10" s="1" t="n">
        <f aca="false">(AW10/$BJ$14)*$BJ$13/1000</f>
        <v>998141.626676908</v>
      </c>
      <c r="AZ10" s="12" t="n">
        <f aca="false">AS10*AQ10*1000</f>
        <v>920000</v>
      </c>
      <c r="BA10" s="12"/>
      <c r="BB10" s="12"/>
      <c r="BC10" s="12"/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AJ11*M11/X11/$BJ$5</f>
        <v>33.4458744593622</v>
      </c>
      <c r="AN11" s="8" t="n">
        <f aca="false">$BJ$2*$BJ$8*AM11^$BJ$3</f>
        <v>0.632723640041749</v>
      </c>
      <c r="AQ11" s="9" t="n">
        <v>1</v>
      </c>
      <c r="AR11" s="1" t="n">
        <v>1</v>
      </c>
      <c r="AS11" s="1" t="n">
        <v>1580</v>
      </c>
      <c r="AT11" s="10" t="n">
        <f aca="false">$BJ$6*AQ11</f>
        <v>0.3</v>
      </c>
      <c r="AW11" s="1" t="n">
        <f aca="false">AJ11*M11*AS11*1000/$BJ$17</f>
        <v>10585850644.505</v>
      </c>
      <c r="AY11" s="1" t="n">
        <f aca="false">(AW11/$BJ$14)*$BJ$13/1000</f>
        <v>1814758.73354334</v>
      </c>
      <c r="AZ11" s="12" t="n">
        <f aca="false">AS11*AQ11*1000</f>
        <v>1580000</v>
      </c>
      <c r="BA11" s="12"/>
      <c r="BB11" s="12"/>
      <c r="BF11" s="1"/>
      <c r="BG11" s="1"/>
      <c r="BH11" s="1"/>
      <c r="BI11" s="1" t="s">
        <v>932</v>
      </c>
      <c r="BJ11" s="1" t="n">
        <v>2</v>
      </c>
      <c r="BK11" s="1" t="s">
        <v>933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AJ12*M12/X12/$BJ$5</f>
        <v>35.2523245832401</v>
      </c>
      <c r="AN12" s="8" t="n">
        <f aca="false">$BJ$2*$BJ$8*AM12^$BJ$3</f>
        <v>0.668236666904075</v>
      </c>
      <c r="AQ12" s="9" t="n">
        <v>1</v>
      </c>
      <c r="AR12" s="1" t="n">
        <v>1</v>
      </c>
      <c r="AS12" s="1" t="n">
        <v>1470</v>
      </c>
      <c r="AT12" s="10" t="n">
        <f aca="false">$BJ$6*AQ12</f>
        <v>0.3</v>
      </c>
      <c r="AW12" s="1" t="n">
        <f aca="false">AJ12*M12*AS12*1000/$BJ$17</f>
        <v>10380809348.3508</v>
      </c>
      <c r="AY12" s="1" t="n">
        <f aca="false">(AW12/$BJ$14)*$BJ$13/1000</f>
        <v>1779607.99361428</v>
      </c>
      <c r="AZ12" s="12" t="n">
        <f aca="false">AS12*AQ12*1000</f>
        <v>1470000</v>
      </c>
      <c r="BA12" s="12"/>
      <c r="BB12" s="12"/>
      <c r="BC12" s="12"/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AJ13*M13/X13/$BJ$5</f>
        <v>29.2998017773702</v>
      </c>
      <c r="AN13" s="8" t="n">
        <f aca="false">$BJ$2*$BJ$8*AM13^$BJ$3</f>
        <v>0.55149894505083</v>
      </c>
      <c r="AQ13" s="9" t="n">
        <v>1</v>
      </c>
      <c r="AR13" s="1" t="n">
        <v>2</v>
      </c>
      <c r="AS13" s="1" t="n">
        <v>750</v>
      </c>
      <c r="AT13" s="10" t="n">
        <f aca="false">$BJ$6*AQ13</f>
        <v>0.3</v>
      </c>
      <c r="AW13" s="1" t="n">
        <f aca="false">AJ13*M13*AS13*1000/$BJ$17</f>
        <v>4402020549.76832</v>
      </c>
      <c r="AY13" s="1" t="n">
        <f aca="false">(AW13/$BJ$14)*$BJ$13/1000</f>
        <v>754649.343373846</v>
      </c>
      <c r="AZ13" s="12" t="n">
        <f aca="false">AS13*AQ13*1000</f>
        <v>750000</v>
      </c>
      <c r="BA13" s="12"/>
      <c r="BB13" s="12"/>
      <c r="BC13" s="12"/>
      <c r="BE13" s="1"/>
      <c r="BF13" s="1"/>
      <c r="BG13" s="1" t="s">
        <v>934</v>
      </c>
      <c r="BH13" s="1"/>
      <c r="BI13" s="1" t="s">
        <v>935</v>
      </c>
      <c r="BJ13" s="1" t="n">
        <v>2.5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AJ14*M14/X14/$BJ$5</f>
        <v>23.7430612652403</v>
      </c>
      <c r="AN14" s="8" t="n">
        <f aca="false">$BJ$2*$BJ$8*AM14^$BJ$3</f>
        <v>0.443337621572036</v>
      </c>
      <c r="AQ14" s="9" t="n">
        <v>1</v>
      </c>
      <c r="AR14" s="1" t="n">
        <v>1</v>
      </c>
      <c r="AS14" s="1" t="n">
        <v>1040</v>
      </c>
      <c r="AT14" s="10" t="n">
        <f aca="false">$BJ$6*AQ14</f>
        <v>0.3</v>
      </c>
      <c r="AW14" s="1" t="n">
        <f aca="false">AJ14*M14*AS14*1000/$BJ$17</f>
        <v>4946479031.90977</v>
      </c>
      <c r="AY14" s="1" t="n">
        <f aca="false">(AW14/$BJ$14)*$BJ$13/1000</f>
        <v>847987.216606627</v>
      </c>
      <c r="AZ14" s="12" t="n">
        <f aca="false">AS14*AQ14*1000</f>
        <v>1040000</v>
      </c>
      <c r="BA14" s="12"/>
      <c r="BB14" s="12"/>
      <c r="BC14" s="13" t="s">
        <v>936</v>
      </c>
      <c r="BD14" s="13"/>
      <c r="BE14" s="13"/>
      <c r="BF14" s="1"/>
      <c r="BG14" s="14" t="n">
        <f aca="false">SUM(AW7:AW16)/1000</f>
        <v>71983839.4872346</v>
      </c>
      <c r="BH14" s="1"/>
      <c r="BI14" s="1" t="s">
        <v>937</v>
      </c>
      <c r="BJ14" s="1" t="n">
        <v>14.583</v>
      </c>
      <c r="BK14" s="1" t="s">
        <v>938</v>
      </c>
      <c r="BM14" s="1" t="s">
        <v>939</v>
      </c>
      <c r="BN14" s="15" t="n">
        <v>0.94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AJ15*M15/X15/$BJ$5</f>
        <v>14.9571512305957</v>
      </c>
      <c r="AN15" s="8" t="n">
        <f aca="false">$BJ$2*$BJ$8*AM15^$BJ$3</f>
        <v>0.274406872148002</v>
      </c>
      <c r="AQ15" s="9" t="n">
        <v>1</v>
      </c>
      <c r="AR15" s="1" t="n">
        <v>1</v>
      </c>
      <c r="AS15" s="1" t="n">
        <v>1080</v>
      </c>
      <c r="AT15" s="10" t="n">
        <f aca="false">$BJ$6*AQ15</f>
        <v>0.3</v>
      </c>
      <c r="AW15" s="1" t="n">
        <f aca="false">AJ15*M15*AS15*1000/$BJ$17</f>
        <v>3235927332.20659</v>
      </c>
      <c r="AY15" s="1" t="n">
        <f aca="false">(AW15/$BJ$14)*$BJ$13/1000</f>
        <v>554743.079648665</v>
      </c>
      <c r="BA15" s="1" t="n">
        <f aca="false">(AW15/$BJ$15/$BN$15)/1000</f>
        <v>116972.926167554</v>
      </c>
      <c r="BB15" s="1"/>
      <c r="BC15" s="1"/>
      <c r="BE15" s="1"/>
      <c r="BF15" s="1"/>
      <c r="BG15" s="1" t="s">
        <v>940</v>
      </c>
      <c r="BH15" s="1"/>
      <c r="BI15" s="1" t="s">
        <v>941</v>
      </c>
      <c r="BJ15" s="1" t="n">
        <v>33.33</v>
      </c>
      <c r="BK15" s="1" t="s">
        <v>942</v>
      </c>
      <c r="BM15" s="1" t="s">
        <v>943</v>
      </c>
      <c r="BN15" s="15" t="n">
        <v>0.83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AJ16*M16/X16/$BJ$5</f>
        <v>11.8632811671728</v>
      </c>
      <c r="AN16" s="8" t="n">
        <f aca="false">$BJ$2*$BJ$8*AM16^$BJ$3</f>
        <v>0.215731513690936</v>
      </c>
      <c r="AQ16" s="9" t="n">
        <v>1</v>
      </c>
      <c r="AR16" s="1" t="n">
        <v>2</v>
      </c>
      <c r="AS16" s="1" t="n">
        <v>790</v>
      </c>
      <c r="AT16" s="10" t="n">
        <f aca="false">$BJ$6*AQ16</f>
        <v>0.3</v>
      </c>
      <c r="AW16" s="1" t="n">
        <f aca="false">AJ16*M16*AS16*1000/$BJ$17</f>
        <v>1877405279.71615</v>
      </c>
      <c r="AY16" s="1" t="n">
        <f aca="false">(AW16/$BJ$14)*$BJ$13/1000</f>
        <v>321848.261625891</v>
      </c>
      <c r="BA16" s="1" t="n">
        <f aca="false">(AW16/$BJ$15/$BN$15)/1000</f>
        <v>67864.808639279</v>
      </c>
      <c r="BB16" s="1"/>
      <c r="BC16" s="12" t="s">
        <v>944</v>
      </c>
      <c r="BD16" s="8" t="n">
        <f aca="false">(AW15+AW16)/SUM(AW7:AW16)</f>
        <v>0.0710344522929974</v>
      </c>
      <c r="BE16" s="1" t="s">
        <v>945</v>
      </c>
      <c r="BG16" s="16" t="n">
        <f aca="false">BD16*SUM(AW7:AW16)/1000</f>
        <v>5113332.61192274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AJ17*M17/X17/$BJ$5</f>
        <v>15.7965050405997</v>
      </c>
      <c r="AN17" s="8" t="n">
        <f aca="false">$BJ$2*$BJ$8*AM17^$BJ$3</f>
        <v>0.290409754096314</v>
      </c>
      <c r="AQ17" s="9" t="n">
        <v>1</v>
      </c>
      <c r="AR17" s="1" t="n">
        <v>2</v>
      </c>
      <c r="AS17" s="1" t="n">
        <v>0</v>
      </c>
      <c r="AT17" s="10" t="n">
        <f aca="false">$BJ$6*AQ17</f>
        <v>0.3</v>
      </c>
      <c r="AW17" s="1" t="n">
        <f aca="false">AJ17*M17*AS17*1000/$BJ$17</f>
        <v>0</v>
      </c>
      <c r="AY17" s="1" t="n">
        <v>0</v>
      </c>
      <c r="BA17" s="1"/>
      <c r="BB17" s="1"/>
      <c r="BC17" s="1"/>
      <c r="BI17" s="1" t="s">
        <v>946</v>
      </c>
      <c r="BJ17" s="1" t="n">
        <v>4.987</v>
      </c>
      <c r="BK17" s="1" t="s">
        <v>920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AJ18*M18/X18/$BJ$5</f>
        <v>13.3535473888174</v>
      </c>
      <c r="AN18" s="8" t="n">
        <f aca="false">$BJ$2*$BJ$8*AM18^$BJ$3</f>
        <v>0.243929807962902</v>
      </c>
      <c r="AQ18" s="9" t="n">
        <v>1</v>
      </c>
      <c r="AR18" s="1" t="n">
        <v>2</v>
      </c>
      <c r="AS18" s="17"/>
      <c r="AT18" s="10" t="n">
        <f aca="false">$BJ$6*AQ18</f>
        <v>0.3</v>
      </c>
      <c r="AW18" s="1" t="n">
        <f aca="false">AJ18*M18*AS18*1000/$BJ$17</f>
        <v>0</v>
      </c>
      <c r="AY18" s="1" t="n">
        <v>0</v>
      </c>
      <c r="BA18" s="1"/>
      <c r="BB18" s="1"/>
      <c r="BC18" s="1" t="s">
        <v>912</v>
      </c>
      <c r="BD18" s="1" t="s">
        <v>947</v>
      </c>
      <c r="BE18" s="1" t="s">
        <v>948</v>
      </c>
      <c r="BF18" s="1" t="s">
        <v>949</v>
      </c>
      <c r="BG18" s="1"/>
      <c r="BH18" s="1"/>
      <c r="BI18" s="1"/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AJ19*M19/X19/$BJ$5</f>
        <v>24.4440617657013</v>
      </c>
      <c r="AN19" s="8" t="n">
        <f aca="false">$BJ$2*$BJ$8*AM19^$BJ$3</f>
        <v>0.456933557086764</v>
      </c>
      <c r="AQ19" s="9" t="n">
        <v>1</v>
      </c>
      <c r="AR19" s="1" t="n">
        <v>1</v>
      </c>
      <c r="AS19" s="17"/>
      <c r="AT19" s="10" t="n">
        <f aca="false">$BJ$6*AQ19</f>
        <v>0.3</v>
      </c>
      <c r="AW19" s="1" t="n">
        <f aca="false">AJ19*M19*AS19*1000/$BJ$17</f>
        <v>0</v>
      </c>
      <c r="AY19" s="1" t="n">
        <v>0</v>
      </c>
      <c r="BA19" s="1"/>
      <c r="BB19" s="1"/>
      <c r="BC19" s="1" t="n">
        <f aca="false">SUM(AY7:AY14)</f>
        <v>11463777.493539</v>
      </c>
      <c r="BD19" s="18" t="n">
        <f aca="false">SUM(AZ7:AZ14)</f>
        <v>9730000</v>
      </c>
      <c r="BE19" s="19" t="n">
        <f aca="false">BF19/(SUM(AS7:AS16)*1000)</f>
        <v>0.181201550387597</v>
      </c>
      <c r="BF19" s="18" t="n">
        <f aca="false">(AS15+AS16)*1000</f>
        <v>1870000</v>
      </c>
      <c r="BG19" s="18"/>
      <c r="BH19" s="18"/>
      <c r="BI19" s="18"/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$BJ$2*$BJ$8*AM20^$BJ$3</f>
        <v>0</v>
      </c>
      <c r="AQ20" s="9"/>
      <c r="AR20" s="1"/>
      <c r="AT20" s="10"/>
      <c r="AW20" s="1" t="n">
        <f aca="false">AJ20*M20*AS20*1000/$BJ$17</f>
        <v>0</v>
      </c>
      <c r="BA20" s="1"/>
      <c r="BB20" s="1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AJ21*M21/X21/$BJ$5</f>
        <v>19.9260545936006</v>
      </c>
      <c r="AN21" s="8" t="n">
        <f aca="false">$BJ$2*$BJ$8*AM21^$BJ$3</f>
        <v>0.369587335474822</v>
      </c>
      <c r="AQ21" s="9" t="n">
        <v>1</v>
      </c>
      <c r="AR21" s="1" t="n">
        <v>2</v>
      </c>
      <c r="AS21" s="1" t="n">
        <v>350</v>
      </c>
      <c r="AT21" s="10" t="n">
        <f aca="false">$BJ$6*AQ21</f>
        <v>0.3</v>
      </c>
      <c r="AU21" s="7" t="n">
        <f aca="false">SUMPRODUCT(BJ11*AQ21:AQ29, AS21:AS29) / SUM(AS21:AS29)</f>
        <v>2</v>
      </c>
      <c r="AV21" s="1" t="s">
        <v>930</v>
      </c>
      <c r="AW21" s="1" t="n">
        <f aca="false">AJ21*M21*AS21*1000/$BJ$17</f>
        <v>1397061357.25937</v>
      </c>
      <c r="AY21" s="1" t="n">
        <f aca="false">(AW21/$BJ$14)*$BJ$13/1000</f>
        <v>239501.706997766</v>
      </c>
      <c r="AZ21" s="1" t="n">
        <f aca="false">AS21*AQ21*1000</f>
        <v>350000</v>
      </c>
      <c r="BA21" s="1" t="n">
        <f aca="false">(AW21/$BJ$15/$BN$15)/1000</f>
        <v>50501.2437602569</v>
      </c>
      <c r="BB21" s="1"/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AJ22*M22/X22/$BJ$5</f>
        <v>18.3286338692341</v>
      </c>
      <c r="AN22" s="8" t="n">
        <f aca="false">$BJ$2*$BJ$8*AM22^$BJ$3</f>
        <v>0.338877050505103</v>
      </c>
      <c r="AQ22" s="9" t="n">
        <v>1</v>
      </c>
      <c r="AR22" s="1" t="n">
        <v>2</v>
      </c>
      <c r="AS22" s="1" t="n">
        <v>800</v>
      </c>
      <c r="AT22" s="10" t="n">
        <f aca="false">$BJ$6*AQ22</f>
        <v>0.3</v>
      </c>
      <c r="AU22" s="1" t="n">
        <f aca="false">MEDIAN(AQ21:AQ31)</f>
        <v>1</v>
      </c>
      <c r="AW22" s="1" t="n">
        <f aca="false">AJ22*M22*AS22*1000/$BJ$17</f>
        <v>2937285780.68817</v>
      </c>
      <c r="AY22" s="1" t="n">
        <f aca="false">(AW22/$BJ$14)*$BJ$13/1000</f>
        <v>503546.214888598</v>
      </c>
      <c r="AZ22" s="1" t="n">
        <f aca="false">AS22*AQ22*1000</f>
        <v>800000</v>
      </c>
      <c r="BA22" s="1" t="n">
        <f aca="false">(AW22/$BJ$15/$BN$15)/1000</f>
        <v>106177.573685857</v>
      </c>
      <c r="BB22" s="1"/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AJ23*M23/X23/$BJ$5</f>
        <v>30.1310364147082</v>
      </c>
      <c r="AN23" s="8" t="n">
        <f aca="false">$BJ$2*$BJ$8*AM23^$BJ$3</f>
        <v>0.567750209240634</v>
      </c>
      <c r="AQ23" s="9" t="n">
        <v>1</v>
      </c>
      <c r="AR23" s="1" t="n">
        <v>2</v>
      </c>
      <c r="AS23" s="1" t="n">
        <v>480</v>
      </c>
      <c r="AT23" s="10" t="n">
        <f aca="false">$BJ$6*AQ23</f>
        <v>0.3</v>
      </c>
      <c r="AW23" s="1" t="n">
        <f aca="false">AJ23*M23*AS23*1000/$BJ$17</f>
        <v>2897219687.50368</v>
      </c>
      <c r="AY23" s="1" t="n">
        <f aca="false">(AW23/$BJ$14)*$BJ$13/1000</f>
        <v>496677.584773997</v>
      </c>
      <c r="AZ23" s="1" t="n">
        <f aca="false">AS23*AQ23*1000</f>
        <v>480000</v>
      </c>
      <c r="BA23" s="1" t="n">
        <f aca="false">(AW23/$BJ$15/$BN$15)/1000</f>
        <v>104729.256811356</v>
      </c>
      <c r="BB23" s="1"/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AJ24*M24/X24/$BJ$5</f>
        <v>13.085147038958</v>
      </c>
      <c r="AN24" s="8" t="n">
        <f aca="false">$BJ$2*$BJ$8*AM24^$BJ$3</f>
        <v>0.238841954751615</v>
      </c>
      <c r="AQ24" s="9" t="n">
        <v>1</v>
      </c>
      <c r="AR24" s="1" t="n">
        <v>2</v>
      </c>
      <c r="AS24" s="1" t="n">
        <v>670</v>
      </c>
      <c r="AT24" s="10" t="n">
        <f aca="false">$BJ$6*AQ24</f>
        <v>0.3</v>
      </c>
      <c r="AW24" s="1" t="n">
        <f aca="false">AJ24*M24*AS24*1000/$BJ$17</f>
        <v>1756222471.94421</v>
      </c>
      <c r="AY24" s="1" t="n">
        <f aca="false">(AW24/$BJ$14)*$BJ$13/1000</f>
        <v>301073.591158234</v>
      </c>
      <c r="BA24" s="1" t="n">
        <f aca="false">(AW24/$BJ$15/$BN$15)/1000</f>
        <v>63484.2690995923</v>
      </c>
      <c r="BB24" s="1"/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AJ25*M25/X25/$BJ$5</f>
        <v>15.1567687636074</v>
      </c>
      <c r="AN25" s="8" t="n">
        <f aca="false">$BJ$2*$BJ$8*AM25^$BJ$3</f>
        <v>0.278209690618702</v>
      </c>
      <c r="AQ25" s="9" t="n">
        <v>1</v>
      </c>
      <c r="AR25" s="1" t="n">
        <v>2</v>
      </c>
      <c r="AS25" s="1" t="n">
        <v>650</v>
      </c>
      <c r="AT25" s="10" t="n">
        <f aca="false">$BJ$6*AQ25</f>
        <v>0.3</v>
      </c>
      <c r="AW25" s="1" t="n">
        <f aca="false">AJ25*M25*AS25*1000/$BJ$17</f>
        <v>1973540765.31952</v>
      </c>
      <c r="AY25" s="1" t="n">
        <f aca="false">(AW25/$BJ$14)*$BJ$13/1000</f>
        <v>338329.007289228</v>
      </c>
      <c r="BA25" s="1" t="n">
        <f aca="false">(AW25/$BJ$15/$BN$15)/1000</f>
        <v>71339.9327397627</v>
      </c>
      <c r="BB25" s="1"/>
      <c r="BG25" s="1" t="s">
        <v>934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AJ26*M26/X26/$BJ$5</f>
        <v>15.5282706750614</v>
      </c>
      <c r="AN26" s="8" t="n">
        <f aca="false">$BJ$2*$BJ$8*AM26^$BJ$3</f>
        <v>0.285292063529796</v>
      </c>
      <c r="AQ26" s="9" t="n">
        <v>1</v>
      </c>
      <c r="AR26" s="1" t="n">
        <v>2</v>
      </c>
      <c r="AS26" s="1" t="n">
        <v>380</v>
      </c>
      <c r="AT26" s="10" t="n">
        <f aca="false">$BJ$6*AQ26</f>
        <v>0.3</v>
      </c>
      <c r="AW26" s="1" t="n">
        <f aca="false">AJ26*M26*AS26*1000/$BJ$17</f>
        <v>1182041731.23457</v>
      </c>
      <c r="AY26" s="1" t="n">
        <f aca="false">(AW26/$BJ$14)*$BJ$13/1000</f>
        <v>202640.35713409</v>
      </c>
      <c r="BA26" s="1" t="n">
        <f aca="false">(AW26/$BJ$15/$BN$15)/1000</f>
        <v>42728.6727914202</v>
      </c>
      <c r="BB26" s="1"/>
      <c r="BC26" s="13" t="s">
        <v>936</v>
      </c>
      <c r="BD26" s="13"/>
      <c r="BE26" s="13"/>
      <c r="BG26" s="14" t="n">
        <f aca="false">SUM(AW21:AW29)/1000</f>
        <v>15366599.6960373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AJ27*M27/X27/$BJ$5</f>
        <v>12.6230881520457</v>
      </c>
      <c r="AN27" s="8" t="n">
        <f aca="false">$BJ$2*$BJ$8*AM27^$BJ$3</f>
        <v>0.230092433094791</v>
      </c>
      <c r="AQ27" s="9" t="n">
        <v>1</v>
      </c>
      <c r="AR27" s="1" t="n">
        <v>2</v>
      </c>
      <c r="AS27" s="1" t="n">
        <v>540</v>
      </c>
      <c r="AT27" s="10" t="n">
        <f aca="false">$BJ$6*AQ27</f>
        <v>0.3</v>
      </c>
      <c r="AW27" s="1" t="n">
        <f aca="false">AJ27*M27*AS27*1000/$BJ$17</f>
        <v>1365480476.13847</v>
      </c>
      <c r="AY27" s="1" t="n">
        <f aca="false">(AW27/$BJ$14)*$BJ$13/1000</f>
        <v>234087.717914433</v>
      </c>
      <c r="BA27" s="1" t="n">
        <f aca="false">(AW27/$BJ$15/$BN$15)/1000</f>
        <v>49359.651970202</v>
      </c>
      <c r="BB27" s="1"/>
      <c r="BG27" s="1" t="s">
        <v>940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AJ28*M28/X28/$BJ$5</f>
        <v>12.0696608969755</v>
      </c>
      <c r="AN28" s="8" t="n">
        <f aca="false">$BJ$2*$BJ$8*AM28^$BJ$3</f>
        <v>0.21962886735961</v>
      </c>
      <c r="AQ28" s="9" t="n">
        <v>1</v>
      </c>
      <c r="AR28" s="1" t="n">
        <v>2</v>
      </c>
      <c r="AS28" s="1" t="n">
        <v>500</v>
      </c>
      <c r="AT28" s="10" t="n">
        <f aca="false">$BJ$6*AQ28</f>
        <v>0.3</v>
      </c>
      <c r="AW28" s="1" t="n">
        <f aca="false">AJ28*M28*AS28*1000/$BJ$17</f>
        <v>1208902269.50857</v>
      </c>
      <c r="AY28" s="1" t="n">
        <f aca="false">(AW28/$BJ$14)*$BJ$13/1000</f>
        <v>207245.126090066</v>
      </c>
      <c r="BA28" s="1" t="n">
        <f aca="false">(AW28/$BJ$15/$BN$15)/1000</f>
        <v>43699.6327165935</v>
      </c>
      <c r="BB28" s="1"/>
      <c r="BC28" s="12" t="s">
        <v>944</v>
      </c>
      <c r="BD28" s="8" t="n">
        <f aca="false">SUM(AY24:AY29)/SUM(AY21:AY29)</f>
        <v>0.529397071017861</v>
      </c>
      <c r="BE28" s="1" t="s">
        <v>945</v>
      </c>
      <c r="BG28" s="16" t="n">
        <f aca="false">BD28*SUM(AW21:AW29)/1000</f>
        <v>8135032.8705861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AJ29*M29/X29/$BJ$5</f>
        <v>10.7967660833168</v>
      </c>
      <c r="AN29" s="8" t="n">
        <f aca="false">$BJ$2*$BJ$8*AM29^$BJ$3</f>
        <v>0.195633223105911</v>
      </c>
      <c r="AQ29" s="9" t="n">
        <v>1</v>
      </c>
      <c r="AR29" s="1" t="n">
        <v>2</v>
      </c>
      <c r="AS29" s="1" t="n">
        <v>300</v>
      </c>
      <c r="AT29" s="10" t="n">
        <f aca="false">$BJ$6*AQ29</f>
        <v>0.3</v>
      </c>
      <c r="AW29" s="1" t="n">
        <f aca="false">AJ29*M29*AS29*1000/$BJ$17</f>
        <v>648845156.440757</v>
      </c>
      <c r="AY29" s="1" t="n">
        <f aca="false">(AW29/$BJ$14)*$BJ$13/1000</f>
        <v>111233.140718775</v>
      </c>
      <c r="BA29" s="1" t="n">
        <f aca="false">(AW29/$BJ$15/$BN$15)/1000</f>
        <v>23454.5800281507</v>
      </c>
      <c r="BB29" s="1"/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AJ30*M30/X30/$BJ$5</f>
        <v>14.0698689123045</v>
      </c>
      <c r="AN30" s="8" t="n">
        <f aca="false">$BJ$2*$BJ$8*AM30^$BJ$3</f>
        <v>0.257527446304818</v>
      </c>
      <c r="AQ30" s="9" t="n">
        <v>1</v>
      </c>
      <c r="AR30" s="1" t="n">
        <v>2</v>
      </c>
      <c r="AS30" s="17"/>
      <c r="AT30" s="10" t="n">
        <f aca="false">$BJ$6*AQ30</f>
        <v>0.3</v>
      </c>
      <c r="AW30" s="1" t="n">
        <f aca="false">AJ30*M30*AS30*1000/$BJ$17</f>
        <v>0</v>
      </c>
      <c r="AY30" s="1" t="n">
        <f aca="false">(AW30/$BJ$14)*$BJ$13/1000</f>
        <v>0</v>
      </c>
      <c r="BA30" s="1" t="n">
        <f aca="false">(AW30/$BJ$15/$BN$15)/1000</f>
        <v>0</v>
      </c>
      <c r="BB30" s="1"/>
      <c r="BC30" s="1" t="s">
        <v>912</v>
      </c>
      <c r="BD30" s="1" t="s">
        <v>947</v>
      </c>
      <c r="BE30" s="1" t="s">
        <v>948</v>
      </c>
      <c r="BF30" s="1" t="s">
        <v>949</v>
      </c>
      <c r="BG30" s="1"/>
      <c r="BH30" s="1"/>
      <c r="BI30" s="1"/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AJ31*M31/X31/$BJ$5</f>
        <v>11.8088932382427</v>
      </c>
      <c r="AN31" s="8" t="n">
        <f aca="false">$BJ$2*$BJ$8*AM31^$BJ$3</f>
        <v>0.214704859761353</v>
      </c>
      <c r="AQ31" s="9" t="n">
        <v>1</v>
      </c>
      <c r="AR31" s="1" t="n">
        <v>2</v>
      </c>
      <c r="AS31" s="17"/>
      <c r="AT31" s="10" t="n">
        <f aca="false">$BJ$6*AQ31</f>
        <v>0.3</v>
      </c>
      <c r="AW31" s="1" t="n">
        <f aca="false">AJ31*M31*AS31*1000/$BJ$17</f>
        <v>0</v>
      </c>
      <c r="AY31" s="1" t="n">
        <f aca="false">(AW31/$BJ$14)*$BJ$13/1000</f>
        <v>0</v>
      </c>
      <c r="BA31" s="1" t="n">
        <f aca="false">(AW31/$BJ$15/$BN$15)/1000</f>
        <v>0</v>
      </c>
      <c r="BB31" s="1"/>
      <c r="BC31" s="1" t="n">
        <f aca="false">SUM(AY21:AY23)</f>
        <v>1239725.50666036</v>
      </c>
      <c r="BD31" s="1" t="n">
        <f aca="false">SUM(AZ21:AZ23)</f>
        <v>1630000</v>
      </c>
      <c r="BE31" s="19" t="n">
        <f aca="false">BF31/(SUM(AS21:AS29)*1000)</f>
        <v>0.650963597430407</v>
      </c>
      <c r="BF31" s="1" t="n">
        <f aca="false">SUM(AS24:AS29)*1000</f>
        <v>3040000</v>
      </c>
      <c r="BG31" s="1"/>
      <c r="BH31" s="1"/>
      <c r="BI31" s="1"/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$BJ$2*$BJ$8*AM32^$BJ$3</f>
        <v>0</v>
      </c>
      <c r="AT32" s="10"/>
      <c r="AW32" s="1" t="n">
        <f aca="false">AJ32*M32*AS32*1000/$BJ$17</f>
        <v>0</v>
      </c>
      <c r="BA32" s="1"/>
      <c r="BB32" s="1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AJ33*M33/X33/$BJ$5</f>
        <v>201.022929543821</v>
      </c>
      <c r="AN33" s="8" t="n">
        <f aca="false">$BJ$2*$BJ$8*AM33^$BJ$3</f>
        <v>4.07206707812958</v>
      </c>
      <c r="AQ33" s="1" t="n">
        <v>5</v>
      </c>
      <c r="AR33" s="1" t="n">
        <v>4</v>
      </c>
      <c r="AS33" s="20" t="n">
        <v>54</v>
      </c>
      <c r="AT33" s="10" t="n">
        <f aca="false">$BJ$6*AQ33</f>
        <v>1.5</v>
      </c>
      <c r="AU33" s="11" t="n">
        <f aca="false">SUMPRODUCT(BJ11*AQ33:AQ46,AS33:AS46) / SUM(AS33:AS46)</f>
        <v>25.3203176704169</v>
      </c>
      <c r="AV33" s="1" t="s">
        <v>930</v>
      </c>
      <c r="AW33" s="1" t="n">
        <f aca="false">AJ33*M33*AS33*1000/$BJ$17</f>
        <v>2174530370.39723</v>
      </c>
      <c r="AY33" s="1" t="n">
        <f aca="false">(AW33/$BJ$14)*$BJ$13/1000</f>
        <v>372785.155728798</v>
      </c>
      <c r="AZ33" s="1" t="n">
        <f aca="false">AS33*AQ33*1000</f>
        <v>270000</v>
      </c>
      <c r="BA33" s="1" t="n">
        <f aca="false">(AW33/$BJ$15/$BN$15)/1000</f>
        <v>78605.3438017499</v>
      </c>
      <c r="BB33" s="1"/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AJ34*M34/X34/$BJ$5</f>
        <v>55.933416020056</v>
      </c>
      <c r="AN34" s="8" t="n">
        <f aca="false">$BJ$2*$BJ$8*AM34^$BJ$3</f>
        <v>1.07909051102226</v>
      </c>
      <c r="AQ34" s="1" t="n">
        <v>4</v>
      </c>
      <c r="AR34" s="1" t="n">
        <v>4</v>
      </c>
      <c r="AS34" s="20" t="n">
        <v>442</v>
      </c>
      <c r="AT34" s="10" t="n">
        <f aca="false">$BJ$6*AQ34</f>
        <v>1.2</v>
      </c>
      <c r="AU34" s="1" t="n">
        <f aca="false">MEDIAN(AQ33:AQ46)</f>
        <v>11</v>
      </c>
      <c r="AW34" s="1" t="n">
        <f aca="false">AJ34*M34*AS34*1000/$BJ$17</f>
        <v>4952445821.33224</v>
      </c>
      <c r="AY34" s="1" t="n">
        <f aca="false">(AW34/$BJ$14)*$BJ$13/1000</f>
        <v>849010.118173942</v>
      </c>
      <c r="BA34" s="1" t="n">
        <f aca="false">(AW34/$BJ$15/$BN$15)/1000</f>
        <v>179021.968028089</v>
      </c>
      <c r="BB34" s="1"/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AJ35*M35/X35/$BJ$5</f>
        <v>87.6468075211084</v>
      </c>
      <c r="AN35" s="8" t="n">
        <f aca="false">$BJ$2*$BJ$8*AM35^$BJ$3</f>
        <v>1.72012501561652</v>
      </c>
      <c r="AQ35" s="1" t="n">
        <v>2</v>
      </c>
      <c r="AR35" s="1" t="n">
        <v>3</v>
      </c>
      <c r="AS35" s="20" t="n">
        <v>388</v>
      </c>
      <c r="AT35" s="10" t="n">
        <f aca="false">$BJ$6*AQ35</f>
        <v>0.6</v>
      </c>
      <c r="AW35" s="1" t="n">
        <f aca="false">AJ35*M35*AS35*1000/$BJ$17</f>
        <v>6812302858.80727</v>
      </c>
      <c r="AY35" s="1" t="n">
        <f aca="false">(AW35/$BJ$14)*$BJ$13/1000</f>
        <v>1167850.04093932</v>
      </c>
      <c r="AZ35" s="1" t="n">
        <f aca="false">AS35*AQ35*1000</f>
        <v>776000</v>
      </c>
      <c r="BA35" s="1" t="n">
        <f aca="false">(AW35/$BJ$15/$BN$15)/1000</f>
        <v>246252.439417699</v>
      </c>
      <c r="BB35" s="1"/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AJ36*M36/X36/$BJ$5</f>
        <v>127.30599925874</v>
      </c>
      <c r="AN36" s="8" t="n">
        <f aca="false">$BJ$2*$BJ$8*AM36^$BJ$3</f>
        <v>2.53427520839852</v>
      </c>
      <c r="AQ36" s="1" t="n">
        <v>9</v>
      </c>
      <c r="AR36" s="1" t="n">
        <v>3</v>
      </c>
      <c r="AS36" s="20" t="n">
        <f aca="false">356/2</f>
        <v>178</v>
      </c>
      <c r="AT36" s="10" t="n">
        <f aca="false">$BJ$6*AQ36</f>
        <v>2.7</v>
      </c>
      <c r="AW36" s="1" t="n">
        <f aca="false">AJ36*M36*AS36*1000/$BJ$17</f>
        <v>4539363825.98509</v>
      </c>
      <c r="AY36" s="1" t="n">
        <f aca="false">(AW36/$BJ$14)*$BJ$13/1000</f>
        <v>778194.443184716</v>
      </c>
      <c r="AZ36" s="1"/>
      <c r="BA36" s="1" t="n">
        <f aca="false">(AW36/$BJ$15/$BN$15)/1000</f>
        <v>164089.800280694</v>
      </c>
      <c r="BB36" s="1"/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AJ37*M37/X37/$BJ$5</f>
        <v>456.920953356336</v>
      </c>
      <c r="AN37" s="8" t="n">
        <f aca="false">$BJ$2*$BJ$8*AM37^$BJ$3</f>
        <v>9.55007061512637</v>
      </c>
      <c r="AQ37" s="1" t="n">
        <v>32</v>
      </c>
      <c r="AR37" s="1" t="n">
        <v>4</v>
      </c>
      <c r="AS37" s="20" t="n">
        <f aca="false">586/2</f>
        <v>293</v>
      </c>
      <c r="AT37" s="10" t="n">
        <f aca="false">$BJ$6*AQ37</f>
        <v>9.6</v>
      </c>
      <c r="AW37" s="1" t="n">
        <f aca="false">AJ37*M37*AS37*1000/$BJ$17</f>
        <v>26818520451.9898</v>
      </c>
      <c r="AY37" s="1" t="n">
        <f aca="false">(AW37/$BJ$14)*$BJ$13/1000</f>
        <v>4597565.73612936</v>
      </c>
      <c r="AZ37" s="1"/>
      <c r="BA37" s="1" t="n">
        <f aca="false">(AW37/$BJ$15/$BN$15)/1000</f>
        <v>969441.056828206</v>
      </c>
      <c r="BB37" s="1"/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AJ38*M38/X38/$BJ$5</f>
        <v>71.8947371768747</v>
      </c>
      <c r="AN38" s="8" t="n">
        <f aca="false">$BJ$2*$BJ$8*AM38^$BJ$3</f>
        <v>1.40036270814384</v>
      </c>
      <c r="AQ38" s="1" t="n">
        <v>8</v>
      </c>
      <c r="AR38" s="1" t="n">
        <v>4</v>
      </c>
      <c r="AS38" s="20" t="n">
        <v>412</v>
      </c>
      <c r="AT38" s="10" t="n">
        <f aca="false">$BJ$6*AQ38</f>
        <v>2.4</v>
      </c>
      <c r="AW38" s="1" t="n">
        <f aca="false">AJ38*M38*AS38*1000/$BJ$17</f>
        <v>5933629654.13184</v>
      </c>
      <c r="AY38" s="1" t="n">
        <f aca="false">(AW38/$BJ$14)*$BJ$13/1000</f>
        <v>1017216.90566616</v>
      </c>
      <c r="AZ38" s="1"/>
      <c r="BA38" s="1" t="n">
        <f aca="false">(AW38/$BJ$15/$BN$15)/1000</f>
        <v>214489.99071468</v>
      </c>
      <c r="BB38" s="1"/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AJ39*M39/X39/$BJ$5</f>
        <v>83.2207000907001</v>
      </c>
      <c r="AN39" s="8" t="n">
        <f aca="false">$BJ$2*$BJ$8*AM39^$BJ$3</f>
        <v>1.63003608969289</v>
      </c>
      <c r="AQ39" s="1" t="n">
        <v>9</v>
      </c>
      <c r="AR39" s="1" t="n">
        <v>3</v>
      </c>
      <c r="AS39" s="20" t="n">
        <v>146</v>
      </c>
      <c r="AT39" s="10" t="n">
        <f aca="false">$BJ$6*AQ39</f>
        <v>2.7</v>
      </c>
      <c r="AW39" s="1" t="n">
        <f aca="false">AJ39*M39*AS39*1000/$BJ$17</f>
        <v>2433942649.09344</v>
      </c>
      <c r="AY39" s="1" t="n">
        <f aca="false">(AW39/$BJ$14)*$BJ$13/1000</f>
        <v>417256.848572557</v>
      </c>
      <c r="AZ39" s="1"/>
      <c r="BA39" s="1" t="n">
        <f aca="false">(AW39/$BJ$15/$BN$15)/1000</f>
        <v>87982.6289530197</v>
      </c>
      <c r="BB39" s="1"/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AJ40*M40/X40/$BJ$5</f>
        <v>103.440356333057</v>
      </c>
      <c r="AN40" s="8" t="n">
        <f aca="false">$BJ$2*$BJ$8*AM40^$BJ$3</f>
        <v>2.0429482160091</v>
      </c>
      <c r="AQ40" s="1" t="n">
        <v>10</v>
      </c>
      <c r="AR40" s="1" t="n">
        <v>3</v>
      </c>
      <c r="AS40" s="20" t="n">
        <v>309</v>
      </c>
      <c r="AT40" s="10" t="n">
        <f aca="false">$BJ$6*AQ40</f>
        <v>3</v>
      </c>
      <c r="AW40" s="1" t="n">
        <f aca="false">AJ40*M40*AS40*1000/$BJ$17</f>
        <v>6402868866.41419</v>
      </c>
      <c r="AY40" s="1" t="n">
        <f aca="false">(AW40/$BJ$14)*$BJ$13/1000</f>
        <v>1097659.75217962</v>
      </c>
      <c r="AZ40" s="1"/>
      <c r="BA40" s="1" t="n">
        <f aca="false">(AW40/$BJ$15/$BN$15)/1000</f>
        <v>231452.140385636</v>
      </c>
      <c r="BB40" s="1"/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AJ41*M41/X41/$BJ$5</f>
        <v>80.0784617650687</v>
      </c>
      <c r="AN41" s="8" t="n">
        <f aca="false">$BJ$2*$BJ$8*AM41^$BJ$3</f>
        <v>1.56618928098834</v>
      </c>
      <c r="AQ41" s="1" t="n">
        <v>12</v>
      </c>
      <c r="AR41" s="1" t="n">
        <v>4</v>
      </c>
      <c r="AS41" s="20" t="n">
        <v>244</v>
      </c>
      <c r="AT41" s="10" t="n">
        <f aca="false">$BJ$6*AQ41</f>
        <v>3.6</v>
      </c>
      <c r="AW41" s="1" t="n">
        <f aca="false">AJ41*M41*AS41*1000/$BJ$17</f>
        <v>3914097759.3756</v>
      </c>
      <c r="AY41" s="1" t="n">
        <f aca="false">(AW41/$BJ$14)*$BJ$13/1000</f>
        <v>671003.524544949</v>
      </c>
      <c r="AZ41" s="1"/>
      <c r="BA41" s="1" t="n">
        <f aca="false">(AW41/$BJ$15/$BN$15)/1000</f>
        <v>141487.561745654</v>
      </c>
      <c r="BB41" s="1"/>
      <c r="BG41" s="1" t="s">
        <v>934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AJ42*M42/X42/$BJ$5</f>
        <v>125.91834111512</v>
      </c>
      <c r="AN42" s="8" t="n">
        <f aca="false">$BJ$2*$BJ$8*AM42^$BJ$3</f>
        <v>2.50560389282476</v>
      </c>
      <c r="AQ42" s="1" t="n">
        <v>19</v>
      </c>
      <c r="AR42" s="1" t="n">
        <v>3</v>
      </c>
      <c r="AS42" s="20" t="n">
        <v>85</v>
      </c>
      <c r="AT42" s="10" t="n">
        <f aca="false">$BJ$6*AQ42</f>
        <v>5.7</v>
      </c>
      <c r="AW42" s="1" t="n">
        <f aca="false">AJ42*M42*AS42*1000/$BJ$17</f>
        <v>2144045705.99366</v>
      </c>
      <c r="AY42" s="1" t="n">
        <f aca="false">(AW42/$BJ$14)*$BJ$13/1000</f>
        <v>367559.093806772</v>
      </c>
      <c r="AZ42" s="1"/>
      <c r="BA42" s="1" t="n">
        <f aca="false">(AW42/$BJ$15/$BN$15)/1000</f>
        <v>77503.3782653082</v>
      </c>
      <c r="BB42" s="1"/>
      <c r="BC42" s="13" t="s">
        <v>936</v>
      </c>
      <c r="BD42" s="13"/>
      <c r="BE42" s="13"/>
      <c r="BG42" s="14" t="n">
        <f aca="false">(SUM(AW33:AW42)+AW45+AW46)/1000</f>
        <v>98098936.4789487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AJ43*M43/X43/$BJ$5</f>
        <v>97.6499421188871</v>
      </c>
      <c r="AN43" s="8" t="n">
        <f aca="false">$BJ$2*$BJ$8*AM43^$BJ$3</f>
        <v>1.92435618467014</v>
      </c>
      <c r="AQ43" s="1" t="n">
        <v>17</v>
      </c>
      <c r="AR43" s="1" t="n">
        <v>5</v>
      </c>
      <c r="AS43" s="20" t="n">
        <v>0</v>
      </c>
      <c r="AT43" s="10" t="n">
        <f aca="false">$BJ$6*AQ43</f>
        <v>5.1</v>
      </c>
      <c r="AY43" s="1" t="n">
        <f aca="false">(AW43/$BJ$14)*$BJ$13/1000</f>
        <v>0</v>
      </c>
      <c r="AZ43" s="1"/>
      <c r="BA43" s="1" t="n">
        <f aca="false">(AW43/$BJ$15/$BN$15)/1000</f>
        <v>0</v>
      </c>
      <c r="BB43" s="1"/>
      <c r="BG43" s="1" t="s">
        <v>940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AJ44*M44/X44/$BJ$5</f>
        <v>95.8321329592569</v>
      </c>
      <c r="AN44" s="8" t="n">
        <f aca="false">$BJ$2*$BJ$8*AM44^$BJ$3</f>
        <v>1.88718062833283</v>
      </c>
      <c r="AQ44" s="1" t="n">
        <v>17</v>
      </c>
      <c r="AR44" s="1" t="n">
        <v>5</v>
      </c>
      <c r="AS44" s="20" t="n">
        <v>0</v>
      </c>
      <c r="AT44" s="10" t="n">
        <f aca="false">$BJ$6*AQ44</f>
        <v>5.1</v>
      </c>
      <c r="AY44" s="1" t="n">
        <f aca="false">(AW44/$BJ$14)*$BJ$13/1000</f>
        <v>0</v>
      </c>
      <c r="AZ44" s="1"/>
      <c r="BA44" s="1" t="n">
        <f aca="false">(AW44/$BJ$15/$BN$15)/1000</f>
        <v>0</v>
      </c>
      <c r="BB44" s="1"/>
      <c r="BC44" s="12" t="s">
        <v>944</v>
      </c>
      <c r="BD44" s="8" t="n">
        <f aca="false">(AY33+SUM(AY36:AY42)+AY46)/SUM(AY33:AY46)</f>
        <v>0.771542772743223</v>
      </c>
      <c r="BE44" s="1" t="s">
        <v>945</v>
      </c>
      <c r="BG44" s="16" t="n">
        <f aca="false">BD44*SUM(AW33:AW46)/1000</f>
        <v>75687525.4541294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AJ45*M45/X45/$BJ$5</f>
        <v>298.58456834879</v>
      </c>
      <c r="AN45" s="8" t="n">
        <f aca="false">$BJ$2*$BJ$8*AM45^$BJ$3</f>
        <v>6.14027555330016</v>
      </c>
      <c r="AQ45" s="1" t="n">
        <v>16</v>
      </c>
      <c r="AR45" s="1" t="n">
        <v>4</v>
      </c>
      <c r="AS45" s="20" t="n">
        <f aca="false">356/2</f>
        <v>178</v>
      </c>
      <c r="AT45" s="10" t="n">
        <f aca="false">$BJ$6*AQ45</f>
        <v>4.8</v>
      </c>
      <c r="AW45" s="1" t="n">
        <f aca="false">AJ45*M45*AS45*1000/$BJ$17</f>
        <v>10646662344.6799</v>
      </c>
      <c r="AY45" s="1" t="n">
        <f aca="false">(AW45/$BJ$14)*$BJ$13/1000</f>
        <v>1825183.83471848</v>
      </c>
      <c r="AZ45" s="1" t="n">
        <f aca="false">AS45*AQ45*1000</f>
        <v>2848000</v>
      </c>
      <c r="BA45" s="1" t="n">
        <f aca="false">(AW45/$BJ$15/$BN$15)/1000</f>
        <v>384857.60665271</v>
      </c>
      <c r="BB45" s="1"/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AJ46*M46/X46/$BJ$5</f>
        <v>363.351016591755</v>
      </c>
      <c r="AN46" s="8" t="n">
        <f aca="false">$BJ$2*$BJ$8*AM46^$BJ$3</f>
        <v>7.5283121277272</v>
      </c>
      <c r="AQ46" s="1" t="n">
        <v>32</v>
      </c>
      <c r="AR46" s="1" t="n">
        <v>4</v>
      </c>
      <c r="AS46" s="20" t="n">
        <f aca="false">586/2</f>
        <v>293</v>
      </c>
      <c r="AT46" s="10" t="n">
        <f aca="false">$BJ$6*AQ46</f>
        <v>9.6</v>
      </c>
      <c r="AW46" s="1" t="n">
        <f aca="false">AJ46*M46*AS46*1000/$BJ$17</f>
        <v>21326526170.7485</v>
      </c>
      <c r="AY46" s="1" t="n">
        <f aca="false">(AW46/$BJ$14)*$BJ$13/1000</f>
        <v>3656059.48205934</v>
      </c>
      <c r="BA46" s="1" t="n">
        <f aca="false">(AW46/$BJ$15/$BN$15)/1000</f>
        <v>770915.386866946</v>
      </c>
      <c r="BB46" s="1"/>
      <c r="BC46" s="1" t="s">
        <v>912</v>
      </c>
      <c r="BD46" s="1" t="s">
        <v>947</v>
      </c>
      <c r="BE46" s="1" t="s">
        <v>948</v>
      </c>
      <c r="BF46" s="1" t="s">
        <v>949</v>
      </c>
      <c r="BG46" s="1"/>
      <c r="BH46" s="1"/>
      <c r="BI46" s="1"/>
    </row>
    <row r="47" customFormat="false" ht="12.8" hidden="false" customHeight="true" outlineLevel="0" collapsed="false">
      <c r="AM47" s="7"/>
      <c r="AN47" s="8" t="n">
        <f aca="false">$BJ$2*$BJ$8*AM47^$BJ$3</f>
        <v>0</v>
      </c>
      <c r="AT47" s="10"/>
      <c r="BA47" s="1"/>
      <c r="BB47" s="1"/>
      <c r="BC47" s="1" t="n">
        <f aca="false">AY33+AY35</f>
        <v>1540635.19666812</v>
      </c>
      <c r="BD47" s="1" t="n">
        <f aca="false">AZ33+AZ35+AZ45</f>
        <v>3894000</v>
      </c>
      <c r="BE47" s="19" t="n">
        <f aca="false">BF47/(SUM(AS33:AS46)*1000)</f>
        <v>0.794837855724686</v>
      </c>
      <c r="BF47" s="1" t="n">
        <f aca="false">(AS34+SUM(AS36:AS42)+AS46)*1000</f>
        <v>2402000</v>
      </c>
      <c r="BG47" s="1"/>
      <c r="BH47" s="1"/>
      <c r="BI47" s="1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AJ48*M48/X48/$BJ$5</f>
        <v>115.729401330749</v>
      </c>
      <c r="AN48" s="8" t="n">
        <f aca="false">$BJ$2*$BJ$8*AM48^$BJ$3</f>
        <v>2.29546103865099</v>
      </c>
      <c r="AQ48" s="1" t="n">
        <v>11</v>
      </c>
      <c r="AR48" s="1" t="n">
        <v>5</v>
      </c>
      <c r="AS48" s="20" t="n">
        <v>0.6</v>
      </c>
      <c r="AT48" s="10" t="n">
        <f aca="false">$BJ$6*AQ48</f>
        <v>3.3</v>
      </c>
      <c r="AU48" s="11" t="n">
        <f aca="false">SUMPRODUCT(BJ11*AQ48:AQ58,AS48:AS58) / SUM(AS48:AS58)</f>
        <v>124.193195336664</v>
      </c>
      <c r="AV48" s="2" t="s">
        <v>930</v>
      </c>
      <c r="AW48" s="1" t="n">
        <f aca="false">AJ48*M48*AS48*1000/$BJ$17</f>
        <v>13909806.1274615</v>
      </c>
      <c r="AY48" s="1" t="n">
        <f aca="false">(AW48/$BJ$14)*$BJ$13/1000</f>
        <v>2384.59269825508</v>
      </c>
      <c r="BA48" s="1" t="n">
        <f aca="false">(AW48/$BJ$15/$BN$15)/1000</f>
        <v>502.814358332032</v>
      </c>
      <c r="BB48" s="1"/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AJ49*M49/X49/$BJ$5</f>
        <v>258.042446375449</v>
      </c>
      <c r="AN49" s="8" t="n">
        <f aca="false">$BJ$2*$BJ$8*AM49^$BJ$3</f>
        <v>5.27709923493722</v>
      </c>
      <c r="AQ49" s="1" t="n">
        <v>15</v>
      </c>
      <c r="AR49" s="1" t="n">
        <v>5</v>
      </c>
      <c r="AS49" s="20" t="n">
        <v>28.7</v>
      </c>
      <c r="AT49" s="10" t="n">
        <f aca="false">$BJ$6*AQ49</f>
        <v>4.5</v>
      </c>
      <c r="AU49" s="12" t="n">
        <f aca="false">MEDIAN(AQ48:AQ59)</f>
        <v>32</v>
      </c>
      <c r="AW49" s="1" t="n">
        <f aca="false">AJ49*M49*AS49*1000/$BJ$17</f>
        <v>1483539681.72537</v>
      </c>
      <c r="AY49" s="1" t="n">
        <f aca="false">(AW49/$BJ$14)*$BJ$13/1000</f>
        <v>254326.901482097</v>
      </c>
      <c r="AZ49" s="1" t="n">
        <f aca="false">AS49*AQ49*1000</f>
        <v>430500</v>
      </c>
      <c r="BA49" s="1" t="n">
        <f aca="false">(AW49/$BJ$15/$BN$15)/1000</f>
        <v>53627.2789348346</v>
      </c>
      <c r="BB49" s="1"/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AJ50*M50/X50/$BJ$5</f>
        <v>273.186421573721</v>
      </c>
      <c r="AN50" s="8" t="n">
        <f aca="false">$BJ$2*$BJ$8*AM50^$BJ$3</f>
        <v>5.59896259944876</v>
      </c>
      <c r="AQ50" s="1" t="n">
        <v>20</v>
      </c>
      <c r="AR50" s="1" t="n">
        <v>5</v>
      </c>
      <c r="AS50" s="20" t="n">
        <v>7.4</v>
      </c>
      <c r="AT50" s="10" t="n">
        <f aca="false">$BJ$6*AQ50</f>
        <v>6</v>
      </c>
      <c r="AW50" s="1" t="n">
        <f aca="false">AJ50*M50*AS50*1000/$BJ$17</f>
        <v>404964495.714034</v>
      </c>
      <c r="AY50" s="1" t="n">
        <f aca="false">(AW50/$BJ$14)*$BJ$13/1000</f>
        <v>69424.071815476</v>
      </c>
      <c r="BA50" s="1" t="n">
        <f aca="false">(AW50/$BJ$15/$BN$15)/1000</f>
        <v>14638.7348029032</v>
      </c>
      <c r="BB50" s="1"/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AJ51*M51/X51/$BJ$5</f>
        <v>577.903737776482</v>
      </c>
      <c r="AN51" s="8" t="n">
        <f aca="false">$BJ$2*$BJ$8*AM51^$BJ$3</f>
        <v>12.187386735603</v>
      </c>
      <c r="AQ51" s="1" t="n">
        <v>48</v>
      </c>
      <c r="AR51" s="1" t="n">
        <v>8</v>
      </c>
      <c r="AS51" s="20" t="n">
        <v>17.3</v>
      </c>
      <c r="AT51" s="10" t="n">
        <f aca="false">$BJ$6*AQ51</f>
        <v>14.4</v>
      </c>
      <c r="AW51" s="1" t="n">
        <f aca="false">AJ51*M51*AS51*1000/$BJ$17</f>
        <v>2002754547.59768</v>
      </c>
      <c r="AY51" s="1" t="n">
        <f aca="false">(AW51/$BJ$14)*$BJ$13/1000</f>
        <v>343337.198724144</v>
      </c>
      <c r="BA51" s="1" t="n">
        <f aca="false">(AW51/$BJ$15/$BN$15)/1000</f>
        <v>72395.9581836863</v>
      </c>
      <c r="BB51" s="1"/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AJ52*M52/X52/$BJ$5</f>
        <v>419.544299886684</v>
      </c>
      <c r="AN52" s="8" t="n">
        <f aca="false">$BJ$2*$BJ$8*AM52^$BJ$3</f>
        <v>8.74037759835746</v>
      </c>
      <c r="AQ52" s="1" t="n">
        <v>48</v>
      </c>
      <c r="AR52" s="1" t="n">
        <v>8</v>
      </c>
      <c r="AS52" s="20" t="n">
        <v>34</v>
      </c>
      <c r="AT52" s="10" t="n">
        <f aca="false">$BJ$6*AQ52</f>
        <v>14.4</v>
      </c>
      <c r="AW52" s="1" t="n">
        <f aca="false">AJ52*M52*AS52*1000/$BJ$17</f>
        <v>2857477780.21879</v>
      </c>
      <c r="AY52" s="1" t="n">
        <f aca="false">(AW52/$BJ$14)*$BJ$13/1000</f>
        <v>489864.53065535</v>
      </c>
      <c r="BA52" s="1" t="n">
        <f aca="false">(AW52/$BJ$15/$BN$15)/1000</f>
        <v>103292.658671366</v>
      </c>
      <c r="BB52" s="1"/>
      <c r="BG52" s="1" t="s">
        <v>934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AJ53*M53/X53/$BJ$5</f>
        <v>1376.36377640468</v>
      </c>
      <c r="AN53" s="8" t="n">
        <f aca="false">$BJ$2*$BJ$8*AM53^$BJ$3</f>
        <v>30.0025261528837</v>
      </c>
      <c r="AQ53" s="1" t="n">
        <v>189</v>
      </c>
      <c r="AR53" s="1" t="n">
        <v>16</v>
      </c>
      <c r="AS53" s="20" t="n">
        <v>50.1</v>
      </c>
      <c r="AT53" s="10" t="n">
        <f aca="false">$BJ$6*AQ53</f>
        <v>56.7</v>
      </c>
      <c r="AW53" s="1" t="n">
        <f aca="false">AJ53*M53*AS53*1000/$BJ$17</f>
        <v>13813288424.4389</v>
      </c>
      <c r="AY53" s="1" t="n">
        <f aca="false">(AW53/$BJ$14)*$BJ$13/1000</f>
        <v>2368046.42810788</v>
      </c>
      <c r="BA53" s="1" t="n">
        <f aca="false">(AW53/$BJ$15/$BN$15)/1000</f>
        <v>499325.417762459</v>
      </c>
      <c r="BB53" s="1"/>
      <c r="BC53" s="13" t="s">
        <v>936</v>
      </c>
      <c r="BD53" s="13"/>
      <c r="BE53" s="13"/>
      <c r="BG53" s="14" t="n">
        <f aca="false">SUM(AW48:AW58)/1000</f>
        <v>55740837.0094373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AJ54*M54/X54/$BJ$5</f>
        <v>2404.06825907309</v>
      </c>
      <c r="AN54" s="8" t="n">
        <f aca="false">$BJ$2*$BJ$8*AM54^$BJ$3</f>
        <v>53.5311337095779</v>
      </c>
      <c r="AQ54" s="1" t="n">
        <v>254</v>
      </c>
      <c r="AR54" s="1" t="n">
        <v>14</v>
      </c>
      <c r="AS54" s="20" t="n">
        <v>15</v>
      </c>
      <c r="AT54" s="10" t="n">
        <f aca="false">$BJ$6*AQ54</f>
        <v>76.2</v>
      </c>
      <c r="AW54" s="1" t="n">
        <f aca="false">AJ54*M54*AS54*1000/$BJ$17</f>
        <v>7223774385.84524</v>
      </c>
      <c r="AY54" s="1" t="n">
        <f aca="false">(AW54/$BJ$14)*$BJ$13/1000</f>
        <v>1238389.62933643</v>
      </c>
      <c r="BA54" s="1" t="n">
        <f aca="false">(AW54/$BJ$15/$BN$15)/1000</f>
        <v>261126.391645619</v>
      </c>
      <c r="BB54" s="1"/>
      <c r="BG54" s="1" t="s">
        <v>940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AJ55*M55/X55/$BJ$5</f>
        <v>344.012142403415</v>
      </c>
      <c r="AN55" s="8" t="n">
        <f aca="false">$BJ$2*$BJ$8*AM55^$BJ$3</f>
        <v>7.11277999349774</v>
      </c>
      <c r="AQ55" s="1" t="n">
        <v>24</v>
      </c>
      <c r="AR55" s="1" t="n">
        <v>6</v>
      </c>
      <c r="AS55" s="20" t="n">
        <v>28.7</v>
      </c>
      <c r="AT55" s="10" t="n">
        <f aca="false">$BJ$6*AQ55</f>
        <v>7.2</v>
      </c>
      <c r="AW55" s="1" t="n">
        <f aca="false">AJ55*M55*AS55*1000/$BJ$17</f>
        <v>1977797340.78424</v>
      </c>
      <c r="AY55" s="1" t="n">
        <f aca="false">(AW55/$BJ$14)*$BJ$13/1000</f>
        <v>339058.72261953</v>
      </c>
      <c r="BA55" s="1" t="n">
        <f aca="false">(AW55/$BJ$15/$BN$15)/1000</f>
        <v>71493.8002517447</v>
      </c>
      <c r="BB55" s="1"/>
      <c r="BC55" s="12" t="s">
        <v>944</v>
      </c>
      <c r="BD55" s="8" t="n">
        <f aca="false">(AY48+SUM(AY50:AY57))/SUM(AY48:AY58)</f>
        <v>0.538528362477375</v>
      </c>
      <c r="BE55" s="1" t="s">
        <v>945</v>
      </c>
      <c r="BG55" s="16" t="n">
        <f aca="false">BD55*SUM(AW48:AW58)/1000</f>
        <v>30018021.6778105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AJ56*M56/X56/$BJ$5</f>
        <v>310.933944424774</v>
      </c>
      <c r="AN56" s="8" t="n">
        <f aca="false">$BJ$2*$BJ$8*AM56^$BJ$3</f>
        <v>6.40412377267314</v>
      </c>
      <c r="AQ56" s="1" t="n">
        <v>24</v>
      </c>
      <c r="AR56" s="1" t="n">
        <v>6</v>
      </c>
      <c r="AS56" s="20" t="n">
        <v>20.9</v>
      </c>
      <c r="AT56" s="10" t="n">
        <f aca="false">$BJ$6*AQ56</f>
        <v>7.2</v>
      </c>
      <c r="AW56" s="1" t="n">
        <f aca="false">AJ56*M56*AS56*1000/$BJ$17</f>
        <v>1301788834.77829</v>
      </c>
      <c r="AY56" s="1" t="n">
        <f aca="false">(AW56/$BJ$14)*$BJ$13/1000</f>
        <v>223168.901251163</v>
      </c>
      <c r="BA56" s="1" t="n">
        <f aca="false">(AW56/$BJ$15/$BN$15)/1000</f>
        <v>47057.314217384</v>
      </c>
      <c r="BB56" s="1"/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AJ57*M57/X57/$BJ$5</f>
        <v>277.361684410693</v>
      </c>
      <c r="AN57" s="8" t="n">
        <f aca="false">$BJ$2*$BJ$8*AM57^$BJ$3</f>
        <v>5.68782314617987</v>
      </c>
      <c r="AQ57" s="1" t="n">
        <v>24</v>
      </c>
      <c r="AR57" s="1" t="n">
        <v>6</v>
      </c>
      <c r="AS57" s="20" t="n">
        <v>7.6</v>
      </c>
      <c r="AT57" s="10" t="n">
        <f aca="false">$BJ$6*AQ57</f>
        <v>7.2</v>
      </c>
      <c r="AW57" s="1" t="n">
        <f aca="false">AJ57*M57*AS57*1000/$BJ$17</f>
        <v>422266062.305944</v>
      </c>
      <c r="AY57" s="1" t="n">
        <f aca="false">(AW57/$BJ$14)*$BJ$13/1000</f>
        <v>72390.1224552465</v>
      </c>
      <c r="BA57" s="1" t="n">
        <f aca="false">(AW57/$BJ$15/$BN$15)/1000</f>
        <v>15264.1551735635</v>
      </c>
      <c r="BB57" s="1"/>
      <c r="BC57" s="1" t="s">
        <v>912</v>
      </c>
      <c r="BD57" s="1" t="s">
        <v>947</v>
      </c>
      <c r="BE57" s="1" t="s">
        <v>948</v>
      </c>
      <c r="BF57" s="1" t="s">
        <v>949</v>
      </c>
      <c r="BG57" s="1"/>
      <c r="BH57" s="1"/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AJ58*M58/X58/$BJ$5</f>
        <v>576.201285409496</v>
      </c>
      <c r="AN58" s="8" t="n">
        <f aca="false">$BJ$2*$BJ$8*AM58^$BJ$3</f>
        <v>12.1501169885896</v>
      </c>
      <c r="AQ58" s="1" t="n">
        <v>40</v>
      </c>
      <c r="AR58" s="1" t="n">
        <v>10</v>
      </c>
      <c r="AS58" s="20" t="n">
        <v>210</v>
      </c>
      <c r="AT58" s="10" t="n">
        <f aca="false">$BJ$6*AQ58</f>
        <v>12</v>
      </c>
      <c r="AW58" s="1" t="n">
        <f aca="false">AJ58*M58*AS58*1000/$BJ$17</f>
        <v>24239275649.9014</v>
      </c>
      <c r="AY58" s="1" t="n">
        <f aca="false">(AW58/$BJ$14)*$BJ$13/1000</f>
        <v>4155399.37768315</v>
      </c>
      <c r="AZ58" s="1" t="n">
        <f aca="false">AS58*AQ58*1000</f>
        <v>8400000</v>
      </c>
      <c r="BA58" s="1" t="n">
        <f aca="false">(AW58/$BJ$15/$BN$15)/1000</f>
        <v>876206.017586147</v>
      </c>
      <c r="BB58" s="1"/>
      <c r="BC58" s="1" t="n">
        <f aca="false">AY49+AY58</f>
        <v>4409726.27916525</v>
      </c>
      <c r="BD58" s="1" t="n">
        <f aca="false">AZ49+AZ58</f>
        <v>8830500</v>
      </c>
      <c r="BE58" s="19" t="n">
        <f aca="false">BF58/(SUM(AS48:AS59)*1000)</f>
        <v>0.432072329288603</v>
      </c>
      <c r="BF58" s="1" t="n">
        <f aca="false">(AS48+SUM(AS50:AS57))*1000</f>
        <v>181600</v>
      </c>
      <c r="BG58" s="1"/>
      <c r="BH58" s="1"/>
      <c r="BI58" s="1"/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AJ59*M59/X59/$BJ$5</f>
        <v>833.227972127254</v>
      </c>
      <c r="AN59" s="8" t="n">
        <f aca="false">$BJ$2*$BJ$8*AM59^$BJ$3</f>
        <v>17.8187710439883</v>
      </c>
      <c r="AQ59" s="1" t="n">
        <v>64</v>
      </c>
      <c r="AR59" s="1" t="n">
        <v>16</v>
      </c>
      <c r="AS59" s="20"/>
      <c r="AT59" s="10" t="n">
        <f aca="false">$BJ$6*AQ59</f>
        <v>19.2</v>
      </c>
      <c r="AW59" s="1" t="n">
        <f aca="false">AJ59*M59*AS59*1000/$BJ$17</f>
        <v>0</v>
      </c>
      <c r="AY59" s="1" t="n">
        <v>0</v>
      </c>
      <c r="BA59" s="1" t="n">
        <v>0</v>
      </c>
    </row>
    <row r="60" customFormat="false" ht="12.8" hidden="false" customHeight="true" outlineLevel="0" collapsed="false">
      <c r="BE60" s="1"/>
      <c r="BG60" s="1" t="s">
        <v>950</v>
      </c>
    </row>
    <row r="61" customFormat="false" ht="12.8" hidden="false" customHeight="true" outlineLevel="0" collapsed="false">
      <c r="BD61" s="1" t="s">
        <v>951</v>
      </c>
      <c r="BE61" s="21"/>
      <c r="BG61" s="1" t="n">
        <f aca="false">(BG16+BG28+BG44+BG55)/1000000</f>
        <v>118.953912614449</v>
      </c>
      <c r="BH61" s="1" t="s">
        <v>952</v>
      </c>
      <c r="BI61" s="1" t="n">
        <f aca="false">BG61*1000000000/BJ15/BN15</f>
        <v>4299969007.0615</v>
      </c>
      <c r="BJ61" s="1" t="s">
        <v>953</v>
      </c>
      <c r="BK61" s="1"/>
    </row>
    <row r="62" customFormat="false" ht="12.8" hidden="false" customHeight="true" outlineLevel="0" collapsed="false">
      <c r="AR62" s="1" t="s">
        <v>954</v>
      </c>
      <c r="AS62" s="1" t="n">
        <f aca="false">SUMPRODUCT(AQ7:AQ59,AS7:AS59)*1000</f>
        <v>80628200</v>
      </c>
      <c r="AW62" s="11" t="n">
        <f aca="false">SUM(AW7:AW58)/1000000000</f>
        <v>241.190212671658</v>
      </c>
      <c r="AX62" s="1" t="s">
        <v>955</v>
      </c>
      <c r="AY62" s="11" t="n">
        <f aca="false">SUM(AY7:AY59)/1000000</f>
        <v>41.3478386943115</v>
      </c>
      <c r="AZ62" s="1" t="s">
        <v>956</v>
      </c>
      <c r="BA62" s="1"/>
      <c r="BB62" s="1"/>
      <c r="BC62" s="1" t="s">
        <v>957</v>
      </c>
      <c r="BD62" s="15" t="n">
        <f aca="false">SUM(BD19:BD58)/AS62</f>
        <v>0.298710647632816</v>
      </c>
      <c r="BE62" s="22"/>
      <c r="BF62" s="1"/>
      <c r="BI62" s="7" t="n">
        <f aca="false">BI61/1000000000</f>
        <v>4.2999690070615</v>
      </c>
      <c r="BJ62" s="1" t="s">
        <v>958</v>
      </c>
      <c r="BK62" s="1"/>
    </row>
    <row r="63" customFormat="false" ht="12.8" hidden="false" customHeight="true" outlineLevel="0" collapsed="false">
      <c r="BC63" s="1" t="s">
        <v>959</v>
      </c>
      <c r="BD63" s="15" t="n">
        <f aca="false">1-BD62</f>
        <v>0.701289352367184</v>
      </c>
    </row>
    <row r="64" customFormat="false" ht="12.8" hidden="false" customHeight="true" outlineLevel="0" collapsed="false">
      <c r="AR64" s="1" t="s">
        <v>960</v>
      </c>
      <c r="AS64" s="1" t="n">
        <f aca="false">SUM(AS7:AS59)*1000</f>
        <v>18432300</v>
      </c>
      <c r="AY64" s="23" t="s">
        <v>912</v>
      </c>
      <c r="AZ64" s="23"/>
    </row>
    <row r="65" customFormat="false" ht="12.8" hidden="false" customHeight="true" outlineLevel="0" collapsed="false">
      <c r="AY65" s="24" t="s">
        <v>957</v>
      </c>
      <c r="AZ65" s="24" t="s">
        <v>959</v>
      </c>
      <c r="BD65" s="1" t="s">
        <v>961</v>
      </c>
    </row>
    <row r="66" customFormat="false" ht="12.8" hidden="false" customHeight="true" outlineLevel="0" collapsed="false">
      <c r="AY66" s="25" t="n">
        <f aca="false">(BC19+BC31+BC47+BC58)/1000000</f>
        <v>18.6538644760328</v>
      </c>
      <c r="AZ66" s="25" t="n">
        <f aca="false">AY62-AY66</f>
        <v>22.6939742182788</v>
      </c>
      <c r="BC66" s="1" t="s">
        <v>957</v>
      </c>
      <c r="BD66" s="15" t="n">
        <f aca="false">1-BD67</f>
        <v>0.593452797534762</v>
      </c>
    </row>
    <row r="67" customFormat="false" ht="12.8" hidden="false" customHeight="true" outlineLevel="0" collapsed="false">
      <c r="BC67" s="1" t="s">
        <v>959</v>
      </c>
      <c r="BD67" s="15" t="n">
        <f aca="false">(BF58+BF47+BF31+BF19)/AS64</f>
        <v>0.406547202465238</v>
      </c>
    </row>
    <row r="68" customFormat="false" ht="12.8" hidden="false" customHeight="true" outlineLevel="0" collapsed="false">
      <c r="AX68" s="1" t="s">
        <v>962</v>
      </c>
      <c r="AY68" s="11" t="n">
        <f aca="false">(SUM(AY7:AY14)+AY21+AY22+AY23+AY33+AY35+AY45+AY49+AY58)/1000000</f>
        <v>20.4790483107512</v>
      </c>
      <c r="AZ68" s="1" t="s">
        <v>956</v>
      </c>
    </row>
    <row r="69" customFormat="false" ht="12.8" hidden="false" customHeight="true" outlineLevel="0" collapsed="false">
      <c r="AW69" s="26"/>
      <c r="AY69" s="15" t="n">
        <f aca="false">AY68/AY62</f>
        <v>0.495287032102325</v>
      </c>
    </row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mergeCells count="5">
    <mergeCell ref="BC14:BE14"/>
    <mergeCell ref="BC26:BE26"/>
    <mergeCell ref="BC42:BE42"/>
    <mergeCell ref="BC53:BE53"/>
    <mergeCell ref="AY64:AZ64"/>
  </mergeCells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4" activeCellId="0" sqref="S24"/>
    </sheetView>
  </sheetViews>
  <sheetFormatPr defaultColWidth="11.62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27" t="s">
        <v>963</v>
      </c>
      <c r="B1" s="27" t="s">
        <v>964</v>
      </c>
      <c r="C1" s="27" t="s">
        <v>965</v>
      </c>
      <c r="D1" s="27" t="s">
        <v>966</v>
      </c>
      <c r="E1" s="27" t="s">
        <v>967</v>
      </c>
      <c r="F1" s="27" t="s">
        <v>968</v>
      </c>
      <c r="G1" s="27" t="s">
        <v>969</v>
      </c>
    </row>
    <row r="2" customFormat="false" ht="12.8" hidden="false" customHeight="false" outlineLevel="0" collapsed="false">
      <c r="A2" s="1" t="s">
        <v>970</v>
      </c>
      <c r="B2" s="1" t="s">
        <v>971</v>
      </c>
      <c r="C2" s="1" t="n">
        <v>98</v>
      </c>
      <c r="D2" s="15" t="n">
        <v>0.9</v>
      </c>
      <c r="E2" s="1" t="n">
        <v>0.845</v>
      </c>
      <c r="F2" s="1" t="s">
        <v>972</v>
      </c>
      <c r="G2" s="1" t="n">
        <f aca="false">C2*D2</f>
        <v>88.2</v>
      </c>
      <c r="J2" s="28"/>
    </row>
    <row r="3" customFormat="false" ht="12.8" hidden="false" customHeight="false" outlineLevel="0" collapsed="false">
      <c r="A3" s="1" t="s">
        <v>973</v>
      </c>
      <c r="B3" s="1" t="s">
        <v>974</v>
      </c>
      <c r="C3" s="1" t="n">
        <v>99.5</v>
      </c>
      <c r="D3" s="15" t="n">
        <v>1</v>
      </c>
      <c r="E3" s="1" t="n">
        <v>0.321</v>
      </c>
      <c r="F3" s="29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975</v>
      </c>
      <c r="B4" s="1" t="s">
        <v>976</v>
      </c>
      <c r="C4" s="1" t="n">
        <v>92</v>
      </c>
      <c r="D4" s="15" t="n">
        <v>1</v>
      </c>
      <c r="E4" s="1" t="n">
        <v>1.12</v>
      </c>
      <c r="F4" s="15" t="s">
        <v>972</v>
      </c>
      <c r="G4" s="1" t="n">
        <f aca="false">C4*D4</f>
        <v>92</v>
      </c>
    </row>
    <row r="5" customFormat="false" ht="12.8" hidden="false" customHeight="false" outlineLevel="0" collapsed="false">
      <c r="A5" s="1" t="s">
        <v>977</v>
      </c>
      <c r="B5" s="1" t="s">
        <v>978</v>
      </c>
      <c r="C5" s="1" t="n">
        <v>100</v>
      </c>
      <c r="D5" s="15" t="n">
        <v>0.9651</v>
      </c>
      <c r="E5" s="1" t="n">
        <v>0.208</v>
      </c>
      <c r="F5" s="15" t="s">
        <v>972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979</v>
      </c>
      <c r="B6" s="1" t="s">
        <v>980</v>
      </c>
      <c r="C6" s="1" t="n">
        <v>100</v>
      </c>
      <c r="D6" s="15" t="n">
        <v>0.933</v>
      </c>
      <c r="E6" s="1" t="n">
        <v>0.2778</v>
      </c>
      <c r="F6" s="15" t="s">
        <v>972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981</v>
      </c>
      <c r="B7" s="1" t="s">
        <v>982</v>
      </c>
      <c r="C7" s="1" t="n">
        <v>100</v>
      </c>
      <c r="D7" s="15" t="n">
        <v>0.967</v>
      </c>
      <c r="E7" s="1" t="n">
        <v>0.221</v>
      </c>
      <c r="F7" s="15" t="s">
        <v>972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983</v>
      </c>
      <c r="B8" s="3" t="s">
        <v>984</v>
      </c>
      <c r="C8" s="1" t="n">
        <v>95</v>
      </c>
      <c r="D8" s="15" t="n">
        <v>1</v>
      </c>
      <c r="E8" s="1" t="n">
        <v>0.233</v>
      </c>
      <c r="F8" s="29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985</v>
      </c>
      <c r="B9" s="1" t="s">
        <v>986</v>
      </c>
      <c r="C9" s="1" t="n">
        <v>982</v>
      </c>
      <c r="D9" s="15" t="n">
        <v>0.957</v>
      </c>
      <c r="E9" s="1" t="n">
        <v>5.689</v>
      </c>
      <c r="F9" s="15" t="s">
        <v>972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987</v>
      </c>
      <c r="B10" s="1" t="s">
        <v>988</v>
      </c>
      <c r="C10" s="1" t="n">
        <v>1000</v>
      </c>
      <c r="D10" s="15" t="n">
        <v>0.944376239493814</v>
      </c>
      <c r="E10" s="1" t="n">
        <v>3.538</v>
      </c>
      <c r="F10" s="15" t="s">
        <v>972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989</v>
      </c>
      <c r="B11" s="1" t="s">
        <v>990</v>
      </c>
      <c r="C11" s="1" t="n">
        <v>1000</v>
      </c>
      <c r="D11" s="15" t="n">
        <v>0.959</v>
      </c>
      <c r="E11" s="1" t="n">
        <v>2.829</v>
      </c>
      <c r="F11" s="15" t="s">
        <v>972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991</v>
      </c>
      <c r="B12" s="1" t="s">
        <v>976</v>
      </c>
      <c r="C12" s="1" t="n">
        <v>1060</v>
      </c>
      <c r="D12" s="15" t="n">
        <v>0.974</v>
      </c>
      <c r="E12" s="1" t="n">
        <v>7.436</v>
      </c>
      <c r="F12" s="15" t="s">
        <v>972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992</v>
      </c>
      <c r="B13" s="1" t="s">
        <v>993</v>
      </c>
      <c r="C13" s="1" t="n">
        <v>1400</v>
      </c>
      <c r="D13" s="15" t="n">
        <v>0.96</v>
      </c>
      <c r="E13" s="1" t="n">
        <v>4.5</v>
      </c>
      <c r="F13" s="30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994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995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2023-12-17T10:43:08Z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