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externalLinks/externalLink1.xml" ContentType="application/vnd.openxmlformats-officedocument.spreadsheetml.externalLink+xml"/>
  <Override PartName="/xl/externalLinks/_rels/externalLink1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OVER" sheetId="1" state="visible" r:id="rId3"/>
    <sheet name="2019" sheetId="2" state="visible" r:id="rId4"/>
    <sheet name="2018" sheetId="3" state="visible" r:id="rId5"/>
    <sheet name="2017" sheetId="4" state="visible" r:id="rId6"/>
    <sheet name="2016" sheetId="5" state="visible" r:id="rId7"/>
    <sheet name="2015" sheetId="6" state="visible" r:id="rId8"/>
    <sheet name="2014" sheetId="7" state="visible" r:id="rId9"/>
    <sheet name="2013" sheetId="8" state="visible" r:id="rId10"/>
    <sheet name="2012" sheetId="9" state="visible" r:id="rId11"/>
    <sheet name="2011" sheetId="10" state="visible" r:id="rId12"/>
    <sheet name="2010" sheetId="11" state="visible" r:id="rId13"/>
    <sheet name="2009" sheetId="12" state="visible" r:id="rId14"/>
    <sheet name="2008" sheetId="13" state="visible" r:id="rId15"/>
    <sheet name="2007" sheetId="14" state="visible" r:id="rId16"/>
    <sheet name="2006" sheetId="15" state="visible" r:id="rId17"/>
    <sheet name="2005" sheetId="16" state="visible" r:id="rId18"/>
  </sheets>
  <externalReferences>
    <externalReference r:id="rId19"/>
  </externalReferences>
  <definedNames>
    <definedName function="false" hidden="false" localSheetId="0" name="_xlnm.Print_Area" vbProcedure="false">COVER!$A$1:$I$31</definedName>
    <definedName function="false" hidden="false" name="UnitFactor" vbProcedure="false">[1]Cover!$Q$121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<sst xmlns="http://schemas.openxmlformats.org/spreadsheetml/2006/main" count="1371" uniqueCount="163">
  <si>
    <t xml:space="preserve">Combined Heat and Power (CHP) data</t>
  </si>
  <si>
    <t xml:space="preserve">Notes:</t>
  </si>
  <si>
    <t xml:space="preserve">The fuel input is based on Net Calorific Values.</t>
  </si>
  <si>
    <t xml:space="preserve">Category "Other fuels" includes amongst others industrial wastes and coal gases.</t>
  </si>
  <si>
    <t xml:space="preserve">This data collection is based on Directive 2012/27/EU and the implementation guidelines.</t>
  </si>
  <si>
    <t xml:space="preserve">The fuel input refers to fuel used for CHP heat and electricity generation,</t>
  </si>
  <si>
    <t xml:space="preserve">i.e. the fuel for non-CHP electricity and heat is excluded.</t>
  </si>
  <si>
    <t xml:space="preserve">The Main activity producers generate electricity and heat for sale as their primary activity. </t>
  </si>
  <si>
    <t xml:space="preserve">Auto producers generate electricity and heat wholly or partially for their own use </t>
  </si>
  <si>
    <t xml:space="preserve">as an activity which supports their primary activity.</t>
  </si>
  <si>
    <t xml:space="preserve">The share of CHP electricity generation is calculated as the CHP electricity generation </t>
  </si>
  <si>
    <t xml:space="preserve">divided by the total gross electricity generation, including</t>
  </si>
  <si>
    <t xml:space="preserve">the generation in pumped storage power stations.</t>
  </si>
  <si>
    <r>
      <rPr>
        <sz val="9"/>
        <color theme="1"/>
        <rFont val="Arial"/>
        <family val="2"/>
        <charset val="1"/>
      </rPr>
      <t xml:space="preserve">For any questions or comments with respect to data in this file,
please contact </t>
    </r>
    <r>
      <rPr>
        <b val="true"/>
        <sz val="9"/>
        <color theme="1"/>
        <rFont val="Arial"/>
        <family val="2"/>
        <charset val="1"/>
      </rPr>
      <t xml:space="preserve">ESTAT-ENERGY@EC.EUROPA.EU</t>
    </r>
  </si>
  <si>
    <t xml:space="preserve">Last updated:</t>
  </si>
  <si>
    <t xml:space="preserve">28 July 2021</t>
  </si>
  <si>
    <t xml:space="preserve">CHP data 2019</t>
  </si>
  <si>
    <t xml:space="preserve">CHP electricity generation, TWh</t>
  </si>
  <si>
    <t xml:space="preserve">of which from units with PES  ≥ 10%</t>
  </si>
  <si>
    <r>
      <rPr>
        <b val="true"/>
        <sz val="9"/>
        <rFont val="Arial"/>
        <family val="2"/>
        <charset val="1"/>
      </rPr>
      <t xml:space="preserve">gross electricity generation TWh</t>
    </r>
    <r>
      <rPr>
        <b val="true"/>
        <vertAlign val="superscript"/>
        <sz val="9"/>
        <rFont val="Arial"/>
        <family val="2"/>
        <charset val="1"/>
      </rPr>
      <t xml:space="preserve">1</t>
    </r>
  </si>
  <si>
    <t xml:space="preserve">Share of CHP in total gross electricity generation</t>
  </si>
  <si>
    <t xml:space="preserve">total CHP Electrical capacity, GW</t>
  </si>
  <si>
    <t xml:space="preserve">total CHP Heat production, PJ</t>
  </si>
  <si>
    <t xml:space="preserve">total CHP Heat capacity, GW</t>
  </si>
  <si>
    <t xml:space="preserve">Primary energy savings (PJ)</t>
  </si>
  <si>
    <r>
      <rPr>
        <b val="true"/>
        <sz val="9"/>
        <rFont val="Arial"/>
        <family val="2"/>
        <charset val="1"/>
      </rPr>
      <t xml:space="preserve">European Union - 27 countries (from 2020)</t>
    </r>
    <r>
      <rPr>
        <b val="true"/>
        <vertAlign val="superscript"/>
        <sz val="9"/>
        <rFont val="Arial"/>
        <family val="2"/>
        <charset val="1"/>
      </rPr>
      <t xml:space="preserve">2</t>
    </r>
  </si>
  <si>
    <r>
      <rPr>
        <b val="true"/>
        <sz val="9"/>
        <rFont val="Arial"/>
        <family val="2"/>
        <charset val="1"/>
      </rPr>
      <t xml:space="preserve">Belgium</t>
    </r>
    <r>
      <rPr>
        <b val="true"/>
        <vertAlign val="superscript"/>
        <sz val="9"/>
        <rFont val="Arial"/>
        <family val="2"/>
        <charset val="1"/>
      </rPr>
      <t xml:space="preserve">2</t>
    </r>
  </si>
  <si>
    <t xml:space="preserve">Bulgaria</t>
  </si>
  <si>
    <t xml:space="preserve">Czech Republic</t>
  </si>
  <si>
    <t xml:space="preserve">Denmark</t>
  </si>
  <si>
    <t xml:space="preserve">Germany</t>
  </si>
  <si>
    <t xml:space="preserve">Estonia</t>
  </si>
  <si>
    <r>
      <rPr>
        <b val="true"/>
        <sz val="9"/>
        <rFont val="Arial"/>
        <family val="2"/>
        <charset val="1"/>
      </rPr>
      <t xml:space="preserve">Ireland</t>
    </r>
    <r>
      <rPr>
        <b val="true"/>
        <vertAlign val="superscript"/>
        <sz val="9"/>
        <rFont val="Arial"/>
        <family val="2"/>
        <charset val="1"/>
      </rPr>
      <t xml:space="preserve">2</t>
    </r>
  </si>
  <si>
    <t xml:space="preserve">Greece</t>
  </si>
  <si>
    <t xml:space="preserve">Spain</t>
  </si>
  <si>
    <t xml:space="preserve">France</t>
  </si>
  <si>
    <t xml:space="preserve">Croatia</t>
  </si>
  <si>
    <t xml:space="preserve">Italy</t>
  </si>
  <si>
    <t xml:space="preserve">Cyprus</t>
  </si>
  <si>
    <r>
      <rPr>
        <b val="true"/>
        <sz val="9"/>
        <rFont val="Arial"/>
        <family val="2"/>
        <charset val="1"/>
      </rPr>
      <t xml:space="preserve">Latvia</t>
    </r>
    <r>
      <rPr>
        <b val="true"/>
        <vertAlign val="superscript"/>
        <sz val="9"/>
        <rFont val="Arial"/>
        <family val="2"/>
        <charset val="1"/>
      </rPr>
      <t xml:space="preserve">2</t>
    </r>
  </si>
  <si>
    <t xml:space="preserve">Lithuania</t>
  </si>
  <si>
    <t xml:space="preserve">Luxembourg</t>
  </si>
  <si>
    <r>
      <rPr>
        <b val="true"/>
        <sz val="9"/>
        <rFont val="Arial"/>
        <family val="2"/>
        <charset val="1"/>
      </rPr>
      <t xml:space="preserve">Hungary</t>
    </r>
    <r>
      <rPr>
        <b val="true"/>
        <vertAlign val="superscript"/>
        <sz val="9"/>
        <rFont val="Arial"/>
        <family val="2"/>
        <charset val="1"/>
      </rPr>
      <t xml:space="preserve">2</t>
    </r>
  </si>
  <si>
    <t xml:space="preserve">Malta</t>
  </si>
  <si>
    <r>
      <rPr>
        <b val="true"/>
        <sz val="9"/>
        <rFont val="Arial"/>
        <family val="2"/>
        <charset val="1"/>
      </rPr>
      <t xml:space="preserve">Netherlands</t>
    </r>
    <r>
      <rPr>
        <b val="true"/>
        <vertAlign val="superscript"/>
        <sz val="9"/>
        <rFont val="Arial"/>
        <family val="2"/>
        <charset val="1"/>
      </rPr>
      <t xml:space="preserve">2</t>
    </r>
  </si>
  <si>
    <t xml:space="preserve">Austria</t>
  </si>
  <si>
    <t xml:space="preserve">Poland</t>
  </si>
  <si>
    <r>
      <rPr>
        <b val="true"/>
        <sz val="9"/>
        <rFont val="Arial"/>
        <family val="2"/>
        <charset val="1"/>
      </rPr>
      <t xml:space="preserve">Portugal</t>
    </r>
    <r>
      <rPr>
        <b val="true"/>
        <vertAlign val="superscript"/>
        <sz val="9"/>
        <rFont val="Arial"/>
        <family val="2"/>
        <charset val="1"/>
      </rPr>
      <t xml:space="preserve">2</t>
    </r>
  </si>
  <si>
    <t xml:space="preserve">Romania</t>
  </si>
  <si>
    <r>
      <rPr>
        <b val="true"/>
        <sz val="9"/>
        <rFont val="Arial"/>
        <family val="2"/>
        <charset val="1"/>
      </rPr>
      <t xml:space="preserve">Slovenia</t>
    </r>
    <r>
      <rPr>
        <b val="true"/>
        <vertAlign val="superscript"/>
        <sz val="9"/>
        <rFont val="Arial"/>
        <family val="2"/>
        <charset val="1"/>
      </rPr>
      <t xml:space="preserve">2</t>
    </r>
  </si>
  <si>
    <t xml:space="preserve">Slovakia</t>
  </si>
  <si>
    <r>
      <rPr>
        <b val="true"/>
        <sz val="9"/>
        <rFont val="Arial"/>
        <family val="2"/>
        <charset val="1"/>
      </rPr>
      <t xml:space="preserve">Finland</t>
    </r>
    <r>
      <rPr>
        <b val="true"/>
        <vertAlign val="superscript"/>
        <sz val="9"/>
        <rFont val="Arial"/>
        <family val="2"/>
        <charset val="1"/>
      </rPr>
      <t xml:space="preserve">2</t>
    </r>
  </si>
  <si>
    <r>
      <rPr>
        <b val="true"/>
        <sz val="9"/>
        <rFont val="Arial"/>
        <family val="2"/>
        <charset val="1"/>
      </rPr>
      <t xml:space="preserve">Sweden</t>
    </r>
    <r>
      <rPr>
        <b val="true"/>
        <vertAlign val="superscript"/>
        <sz val="9"/>
        <rFont val="Arial"/>
        <family val="2"/>
        <charset val="1"/>
      </rPr>
      <t xml:space="preserve">2</t>
    </r>
  </si>
  <si>
    <r>
      <rPr>
        <b val="true"/>
        <sz val="9"/>
        <color rgb="FF000000"/>
        <rFont val="Arial"/>
        <family val="2"/>
        <charset val="1"/>
      </rPr>
      <t xml:space="preserve">1</t>
    </r>
    <r>
      <rPr>
        <b val="true"/>
        <vertAlign val="superscript"/>
        <sz val="9"/>
        <color rgb="FF000000"/>
        <rFont val="Arial"/>
        <family val="2"/>
        <charset val="1"/>
      </rPr>
      <t xml:space="preserve"> </t>
    </r>
    <r>
      <rPr>
        <b val="true"/>
        <sz val="9"/>
        <color rgb="FF000000"/>
        <rFont val="Arial"/>
        <family val="2"/>
        <charset val="1"/>
      </rPr>
      <t xml:space="preserve">obtained from annual electricity and heat questionnaire 2019 (Eurobase: nrg_cb_e)</t>
    </r>
  </si>
  <si>
    <t xml:space="preserve">2 contains negative PES figures</t>
  </si>
  <si>
    <t xml:space="preserve">Fuel used for CHP PJ</t>
  </si>
  <si>
    <t xml:space="preserve">of which for units with PES  ≥ 10%</t>
  </si>
  <si>
    <t xml:space="preserve">Solid fossil fuels and peat</t>
  </si>
  <si>
    <t xml:space="preserve">Oil and oil products</t>
  </si>
  <si>
    <t xml:space="preserve">Natural gas</t>
  </si>
  <si>
    <t xml:space="preserve">Renewables</t>
  </si>
  <si>
    <t xml:space="preserve">Other fuels</t>
  </si>
  <si>
    <t xml:space="preserve">3 contains negative PES figures</t>
  </si>
  <si>
    <t xml:space="preserve">CHP data 2018</t>
  </si>
  <si>
    <r>
      <rPr>
        <b val="true"/>
        <sz val="9"/>
        <rFont val="Arial"/>
        <family val="2"/>
        <charset val="1"/>
      </rPr>
      <t xml:space="preserve">European Union - 27 countries (from 2020)</t>
    </r>
    <r>
      <rPr>
        <b val="true"/>
        <vertAlign val="superscript"/>
        <sz val="9"/>
        <rFont val="Arial"/>
        <family val="2"/>
        <charset val="1"/>
      </rPr>
      <t xml:space="preserve">3</t>
    </r>
  </si>
  <si>
    <r>
      <rPr>
        <b val="true"/>
        <sz val="9"/>
        <rFont val="Arial"/>
        <family val="2"/>
        <charset val="1"/>
      </rPr>
      <t xml:space="preserve">European Union - 28 countries (2013-2020)</t>
    </r>
    <r>
      <rPr>
        <b val="true"/>
        <vertAlign val="superscript"/>
        <sz val="9"/>
        <rFont val="Arial"/>
        <family val="2"/>
        <charset val="1"/>
      </rPr>
      <t xml:space="preserve">3</t>
    </r>
  </si>
  <si>
    <r>
      <rPr>
        <b val="true"/>
        <sz val="9"/>
        <rFont val="Arial"/>
        <family val="2"/>
        <charset val="1"/>
      </rPr>
      <t xml:space="preserve">Belgium</t>
    </r>
    <r>
      <rPr>
        <b val="true"/>
        <vertAlign val="superscript"/>
        <sz val="9"/>
        <rFont val="Arial"/>
        <family val="2"/>
        <charset val="1"/>
      </rPr>
      <t xml:space="preserve">3</t>
    </r>
  </si>
  <si>
    <r>
      <rPr>
        <b val="true"/>
        <sz val="9"/>
        <rFont val="Arial"/>
        <family val="2"/>
        <charset val="1"/>
      </rPr>
      <t xml:space="preserve">Estonia</t>
    </r>
    <r>
      <rPr>
        <b val="true"/>
        <vertAlign val="superscript"/>
        <sz val="9"/>
        <rFont val="Arial"/>
        <family val="2"/>
        <charset val="1"/>
      </rPr>
      <t xml:space="preserve">2</t>
    </r>
  </si>
  <si>
    <r>
      <rPr>
        <b val="true"/>
        <sz val="9"/>
        <rFont val="Arial"/>
        <family val="2"/>
        <charset val="1"/>
      </rPr>
      <t xml:space="preserve">Ireland</t>
    </r>
    <r>
      <rPr>
        <b val="true"/>
        <vertAlign val="superscript"/>
        <sz val="9"/>
        <rFont val="Arial"/>
        <family val="2"/>
        <charset val="1"/>
      </rPr>
      <t xml:space="preserve">3</t>
    </r>
  </si>
  <si>
    <r>
      <rPr>
        <b val="true"/>
        <sz val="9"/>
        <rFont val="Arial"/>
        <family val="2"/>
        <charset val="1"/>
      </rPr>
      <t xml:space="preserve">Greece</t>
    </r>
    <r>
      <rPr>
        <b val="true"/>
        <vertAlign val="superscript"/>
        <sz val="9"/>
        <rFont val="Arial"/>
        <family val="2"/>
        <charset val="1"/>
      </rPr>
      <t xml:space="preserve">2</t>
    </r>
  </si>
  <si>
    <t xml:space="preserve">Latvia</t>
  </si>
  <si>
    <r>
      <rPr>
        <b val="true"/>
        <sz val="9"/>
        <rFont val="Arial"/>
        <family val="2"/>
        <charset val="1"/>
      </rPr>
      <t xml:space="preserve">Hungary</t>
    </r>
    <r>
      <rPr>
        <b val="true"/>
        <vertAlign val="superscript"/>
        <sz val="9"/>
        <rFont val="Arial"/>
        <family val="2"/>
        <charset val="1"/>
      </rPr>
      <t xml:space="preserve">3</t>
    </r>
  </si>
  <si>
    <t xml:space="preserve">Netherlands</t>
  </si>
  <si>
    <r>
      <rPr>
        <b val="true"/>
        <sz val="9"/>
        <rFont val="Arial"/>
        <family val="2"/>
        <charset val="1"/>
      </rPr>
      <t xml:space="preserve">Portugal</t>
    </r>
    <r>
      <rPr>
        <b val="true"/>
        <vertAlign val="superscript"/>
        <sz val="9"/>
        <rFont val="Arial"/>
        <family val="2"/>
        <charset val="1"/>
      </rPr>
      <t xml:space="preserve">3</t>
    </r>
  </si>
  <si>
    <r>
      <rPr>
        <b val="true"/>
        <sz val="9"/>
        <rFont val="Arial"/>
        <family val="2"/>
        <charset val="1"/>
      </rPr>
      <t xml:space="preserve">Slovenia</t>
    </r>
    <r>
      <rPr>
        <b val="true"/>
        <vertAlign val="superscript"/>
        <sz val="9"/>
        <rFont val="Arial"/>
        <family val="2"/>
        <charset val="1"/>
      </rPr>
      <t xml:space="preserve">3</t>
    </r>
  </si>
  <si>
    <t xml:space="preserve">Finland</t>
  </si>
  <si>
    <t xml:space="preserve">Sweden</t>
  </si>
  <si>
    <t xml:space="preserve">United Kingdom</t>
  </si>
  <si>
    <r>
      <rPr>
        <b val="true"/>
        <sz val="9"/>
        <color rgb="FF000000"/>
        <rFont val="Arial"/>
        <family val="2"/>
        <charset val="1"/>
      </rPr>
      <t xml:space="preserve">1</t>
    </r>
    <r>
      <rPr>
        <b val="true"/>
        <vertAlign val="superscript"/>
        <sz val="9"/>
        <color rgb="FF000000"/>
        <rFont val="Arial"/>
        <family val="2"/>
        <charset val="1"/>
      </rPr>
      <t xml:space="preserve"> </t>
    </r>
    <r>
      <rPr>
        <b val="true"/>
        <sz val="9"/>
        <color rgb="FF000000"/>
        <rFont val="Arial"/>
        <family val="2"/>
        <charset val="1"/>
      </rPr>
      <t xml:space="preserve">obtained from annual electricity and heat questionnaire 2018</t>
    </r>
  </si>
  <si>
    <t xml:space="preserve">2 open validation issues</t>
  </si>
  <si>
    <t xml:space="preserve">CHP data 2017</t>
  </si>
  <si>
    <t xml:space="preserve">gross electricity generation TWh²</t>
  </si>
  <si>
    <r>
      <rPr>
        <b val="true"/>
        <sz val="9"/>
        <rFont val="Arial"/>
        <family val="2"/>
        <charset val="1"/>
      </rPr>
      <t xml:space="preserve">European Union (EU-28)</t>
    </r>
    <r>
      <rPr>
        <b val="true"/>
        <vertAlign val="superscript"/>
        <sz val="9"/>
        <rFont val="Arial"/>
        <family val="2"/>
        <charset val="1"/>
      </rPr>
      <t xml:space="preserve">1</t>
    </r>
  </si>
  <si>
    <r>
      <rPr>
        <b val="true"/>
        <sz val="9"/>
        <rFont val="Arial"/>
        <family val="2"/>
        <charset val="1"/>
      </rPr>
      <t xml:space="preserve">Belgium</t>
    </r>
    <r>
      <rPr>
        <b val="true"/>
        <vertAlign val="superscript"/>
        <sz val="9"/>
        <rFont val="Arial"/>
        <family val="2"/>
        <charset val="1"/>
      </rPr>
      <t xml:space="preserve">1</t>
    </r>
  </si>
  <si>
    <t xml:space="preserve">Czechia</t>
  </si>
  <si>
    <r>
      <rPr>
        <b val="true"/>
        <sz val="9"/>
        <rFont val="Arial"/>
        <family val="2"/>
        <charset val="1"/>
      </rPr>
      <t xml:space="preserve">Ireland</t>
    </r>
    <r>
      <rPr>
        <b val="true"/>
        <vertAlign val="superscript"/>
        <sz val="9"/>
        <rFont val="Arial"/>
        <family val="2"/>
        <charset val="1"/>
      </rPr>
      <t xml:space="preserve">1</t>
    </r>
  </si>
  <si>
    <r>
      <rPr>
        <b val="true"/>
        <sz val="9"/>
        <rFont val="Arial"/>
        <family val="2"/>
        <charset val="1"/>
      </rPr>
      <t xml:space="preserve">Hungary</t>
    </r>
    <r>
      <rPr>
        <b val="true"/>
        <vertAlign val="superscript"/>
        <sz val="9"/>
        <rFont val="Arial"/>
        <family val="2"/>
        <charset val="1"/>
      </rPr>
      <t xml:space="preserve">1</t>
    </r>
  </si>
  <si>
    <r>
      <rPr>
        <b val="true"/>
        <sz val="9"/>
        <rFont val="Arial"/>
        <family val="2"/>
        <charset val="1"/>
      </rPr>
      <t xml:space="preserve">Portugal</t>
    </r>
    <r>
      <rPr>
        <b val="true"/>
        <vertAlign val="superscript"/>
        <sz val="9"/>
        <rFont val="Arial"/>
        <family val="2"/>
        <charset val="1"/>
      </rPr>
      <t xml:space="preserve">1</t>
    </r>
  </si>
  <si>
    <r>
      <rPr>
        <b val="true"/>
        <sz val="9"/>
        <rFont val="Arial"/>
        <family val="2"/>
        <charset val="1"/>
      </rPr>
      <t xml:space="preserve">Slovenia</t>
    </r>
    <r>
      <rPr>
        <b val="true"/>
        <vertAlign val="superscript"/>
        <sz val="9"/>
        <rFont val="Arial"/>
        <family val="2"/>
        <charset val="1"/>
      </rPr>
      <t xml:space="preserve">1</t>
    </r>
  </si>
  <si>
    <r>
      <rPr>
        <b val="true"/>
        <vertAlign val="superscript"/>
        <sz val="9"/>
        <rFont val="Arial"/>
        <family val="2"/>
        <charset val="1"/>
      </rPr>
      <t xml:space="preserve">1</t>
    </r>
    <r>
      <rPr>
        <b val="true"/>
        <sz val="9"/>
        <rFont val="Arial"/>
        <family val="2"/>
        <charset val="1"/>
      </rPr>
      <t xml:space="preserve">contains negative PES figures</t>
    </r>
  </si>
  <si>
    <r>
      <rPr>
        <b val="true"/>
        <vertAlign val="superscript"/>
        <sz val="9"/>
        <color rgb="FF000000"/>
        <rFont val="Arial"/>
        <family val="2"/>
        <charset val="1"/>
      </rPr>
      <t xml:space="preserve">2</t>
    </r>
    <r>
      <rPr>
        <b val="true"/>
        <sz val="9"/>
        <color rgb="FF000000"/>
        <rFont val="Arial"/>
        <family val="2"/>
        <charset val="1"/>
      </rPr>
      <t xml:space="preserve">obtained from Annual electricity and heat questionnaire 2017</t>
    </r>
  </si>
  <si>
    <t xml:space="preserve">:</t>
  </si>
  <si>
    <t xml:space="preserve">CHP data 2016</t>
  </si>
  <si>
    <t xml:space="preserve">of which from units with PES  
≥ 10%</t>
  </si>
  <si>
    <r>
      <rPr>
        <b val="true"/>
        <sz val="9"/>
        <rFont val="Arial"/>
        <family val="2"/>
        <charset val="1"/>
      </rPr>
      <t xml:space="preserve">gross electricity generation  TWh</t>
    </r>
    <r>
      <rPr>
        <b val="true"/>
        <vertAlign val="superscript"/>
        <sz val="9"/>
        <rFont val="Arial"/>
        <family val="2"/>
        <charset val="1"/>
      </rPr>
      <t xml:space="preserve">1</t>
    </r>
  </si>
  <si>
    <t xml:space="preserve">European Union (EU-28)</t>
  </si>
  <si>
    <t xml:space="preserve">Belgium</t>
  </si>
  <si>
    <t xml:space="preserve">Ireland</t>
  </si>
  <si>
    <t xml:space="preserve">Portugal</t>
  </si>
  <si>
    <t xml:space="preserve">Slovenia</t>
  </si>
  <si>
    <r>
      <rPr>
        <b val="true"/>
        <sz val="9"/>
        <rFont val="Arial"/>
        <family val="2"/>
        <charset val="1"/>
      </rPr>
      <t xml:space="preserve">Norway</t>
    </r>
    <r>
      <rPr>
        <b val="true"/>
        <vertAlign val="superscript"/>
        <sz val="9"/>
        <rFont val="Arial"/>
        <family val="2"/>
        <charset val="1"/>
      </rPr>
      <t xml:space="preserve">2</t>
    </r>
  </si>
  <si>
    <r>
      <rPr>
        <b val="true"/>
        <vertAlign val="superscript"/>
        <sz val="9"/>
        <rFont val="Arial"/>
        <family val="2"/>
        <charset val="1"/>
      </rPr>
      <t xml:space="preserve">1</t>
    </r>
    <r>
      <rPr>
        <b val="true"/>
        <sz val="9"/>
        <rFont val="Arial"/>
        <family val="2"/>
        <charset val="1"/>
      </rPr>
      <t xml:space="preserve">data from annual electricity and heat questionnaire</t>
    </r>
  </si>
  <si>
    <r>
      <rPr>
        <b val="true"/>
        <vertAlign val="superscript"/>
        <sz val="9"/>
        <rFont val="Arial"/>
        <family val="2"/>
        <charset val="1"/>
      </rPr>
      <t xml:space="preserve">2</t>
    </r>
    <r>
      <rPr>
        <b val="true"/>
        <sz val="9"/>
        <rFont val="Arial"/>
        <family val="2"/>
        <charset val="1"/>
      </rPr>
      <t xml:space="preserve">open validation issues</t>
    </r>
  </si>
  <si>
    <r>
      <rPr>
        <b val="true"/>
        <vertAlign val="superscript"/>
        <sz val="9"/>
        <rFont val="Arial"/>
        <family val="2"/>
        <charset val="1"/>
      </rPr>
      <t xml:space="preserve">3</t>
    </r>
    <r>
      <rPr>
        <b val="true"/>
        <sz val="9"/>
        <rFont val="Arial"/>
        <family val="2"/>
        <charset val="1"/>
      </rPr>
      <t xml:space="preserve">contains negative PES figures</t>
    </r>
  </si>
  <si>
    <r>
      <rPr>
        <b val="true"/>
        <sz val="9"/>
        <rFont val="Arial"/>
        <family val="2"/>
        <charset val="1"/>
      </rPr>
      <t xml:space="preserve">European Union (EU-28)</t>
    </r>
    <r>
      <rPr>
        <b val="true"/>
        <vertAlign val="superscript"/>
        <sz val="9"/>
        <rFont val="Arial"/>
        <family val="2"/>
        <charset val="1"/>
      </rPr>
      <t xml:space="preserve">3</t>
    </r>
  </si>
  <si>
    <t xml:space="preserve">CHP data 2015</t>
  </si>
  <si>
    <t xml:space="preserve">Main activity producers</t>
  </si>
  <si>
    <t xml:space="preserve">Auto-producers</t>
  </si>
  <si>
    <t xml:space="preserve">Share of CHP in total electricity generation</t>
  </si>
  <si>
    <t xml:space="preserve">CHP Electrical capacity, GW</t>
  </si>
  <si>
    <t xml:space="preserve">CHP Heat production, PJ</t>
  </si>
  <si>
    <t xml:space="preserve">CHP Heat capacity, GW</t>
  </si>
  <si>
    <r>
      <rPr>
        <b val="true"/>
        <sz val="9"/>
        <rFont val="Arial"/>
        <family val="2"/>
        <charset val="1"/>
      </rPr>
      <t xml:space="preserve">Germany</t>
    </r>
    <r>
      <rPr>
        <b val="true"/>
        <vertAlign val="superscript"/>
        <sz val="9"/>
        <rFont val="Arial"/>
        <family val="2"/>
        <charset val="1"/>
      </rPr>
      <t xml:space="preserve">1</t>
    </r>
  </si>
  <si>
    <t xml:space="preserve">Hungary</t>
  </si>
  <si>
    <r>
      <rPr>
        <b val="true"/>
        <sz val="9"/>
        <rFont val="Arial"/>
        <family val="2"/>
        <charset val="1"/>
      </rPr>
      <t xml:space="preserve">Slovakia</t>
    </r>
    <r>
      <rPr>
        <b val="true"/>
        <vertAlign val="superscript"/>
        <sz val="9"/>
        <rFont val="Arial"/>
        <family val="2"/>
        <charset val="1"/>
      </rPr>
      <t xml:space="preserve">3</t>
    </r>
  </si>
  <si>
    <t xml:space="preserve">Norway</t>
  </si>
  <si>
    <t xml:space="preserve">Czech</t>
  </si>
  <si>
    <r>
      <rPr>
        <vertAlign val="superscript"/>
        <sz val="9"/>
        <rFont val="Arial"/>
        <family val="2"/>
        <charset val="1"/>
      </rPr>
      <t xml:space="preserve">1</t>
    </r>
    <r>
      <rPr>
        <sz val="9"/>
        <rFont val="Arial"/>
        <family val="2"/>
        <charset val="1"/>
      </rPr>
      <t xml:space="preserve"> Germany reported until 2013 only 'completely CHP units' (= upper part of table 1) and since 2014 also 'units with a </t>
    </r>
  </si>
  <si>
    <t xml:space="preserve">non-CHP component' (= lower part of table 1). Therefore the comapability between the years 2013 and older with 2014 is restricted</t>
  </si>
  <si>
    <r>
      <rPr>
        <vertAlign val="superscript"/>
        <sz val="9"/>
        <color theme="1"/>
        <rFont val="Arial"/>
        <family val="2"/>
        <charset val="1"/>
      </rPr>
      <t xml:space="preserve">2</t>
    </r>
    <r>
      <rPr>
        <sz val="9"/>
        <color theme="1"/>
        <rFont val="Arial"/>
        <family val="2"/>
        <charset val="1"/>
      </rPr>
      <t xml:space="preserve"> These Member States don't report heat produced by auto-producers and consumed by themselves (= unsold heat).</t>
    </r>
  </si>
  <si>
    <r>
      <rPr>
        <vertAlign val="superscript"/>
        <sz val="9"/>
        <color theme="1"/>
        <rFont val="Arial"/>
        <family val="2"/>
        <charset val="1"/>
      </rPr>
      <t xml:space="preserve">3</t>
    </r>
    <r>
      <rPr>
        <sz val="9"/>
        <color theme="1"/>
        <rFont val="Arial"/>
        <family val="2"/>
        <charset val="1"/>
      </rPr>
      <t xml:space="preserve"> Data for Slovakia are still under revision and therefore preliminary. Changes affect of course the EU aggregate.</t>
    </r>
  </si>
  <si>
    <t xml:space="preserve">CHP data 2014</t>
  </si>
  <si>
    <r>
      <rPr>
        <b val="true"/>
        <sz val="9"/>
        <rFont val="Arial"/>
        <family val="2"/>
        <charset val="1"/>
      </rPr>
      <t xml:space="preserve">Germany</t>
    </r>
    <r>
      <rPr>
        <b val="true"/>
        <vertAlign val="superscript"/>
        <sz val="9"/>
        <rFont val="Arial"/>
        <family val="2"/>
        <charset val="1"/>
      </rPr>
      <t xml:space="preserve">1, 2</t>
    </r>
  </si>
  <si>
    <r>
      <rPr>
        <vertAlign val="superscript"/>
        <sz val="9"/>
        <color theme="1"/>
        <rFont val="Arial"/>
        <family val="2"/>
        <charset val="1"/>
      </rPr>
      <t xml:space="preserve">3</t>
    </r>
    <r>
      <rPr>
        <sz val="9"/>
        <color theme="1"/>
        <rFont val="Arial"/>
        <family val="2"/>
        <charset val="1"/>
      </rPr>
      <t xml:space="preserve"> Data for Slovakia are still under revision and therefore not presented. This affects of course the EU aggregate.</t>
    </r>
  </si>
  <si>
    <t xml:space="preserve">CHP data 2013</t>
  </si>
  <si>
    <t xml:space="preserve">CHP data 2012</t>
  </si>
  <si>
    <t xml:space="preserve">CHP data 2011</t>
  </si>
  <si>
    <t xml:space="preserve">Estonia*</t>
  </si>
  <si>
    <t xml:space="preserve">France*</t>
  </si>
  <si>
    <t xml:space="preserve">Italy*</t>
  </si>
  <si>
    <t xml:space="preserve">Turkey</t>
  </si>
  <si>
    <t xml:space="preserve">North Macedonia</t>
  </si>
  <si>
    <t xml:space="preserve">*2010 data</t>
  </si>
  <si>
    <t xml:space="preserve">CHP data 2010</t>
  </si>
  <si>
    <t xml:space="preserve">HR</t>
  </si>
  <si>
    <t xml:space="preserve">CHP data 2009</t>
  </si>
  <si>
    <t xml:space="preserve">-</t>
  </si>
  <si>
    <t xml:space="preserve">CHP data 2008</t>
  </si>
  <si>
    <t xml:space="preserve">European Union (EU-27)</t>
  </si>
  <si>
    <r>
      <rPr>
        <b val="true"/>
        <sz val="9"/>
        <rFont val="Arial"/>
        <family val="2"/>
        <charset val="1"/>
      </rPr>
      <t xml:space="preserve">Belgium</t>
    </r>
    <r>
      <rPr>
        <b val="true"/>
        <vertAlign val="superscript"/>
        <sz val="9"/>
        <rFont val="Arial"/>
        <family val="2"/>
        <charset val="1"/>
      </rPr>
      <t xml:space="preserve">a</t>
    </r>
  </si>
  <si>
    <r>
      <rPr>
        <b val="true"/>
        <sz val="9"/>
        <rFont val="Arial"/>
        <family val="2"/>
        <charset val="1"/>
      </rPr>
      <t xml:space="preserve">Estonia</t>
    </r>
    <r>
      <rPr>
        <b val="true"/>
        <vertAlign val="superscript"/>
        <sz val="9"/>
        <rFont val="Arial"/>
        <family val="2"/>
        <charset val="1"/>
      </rPr>
      <t xml:space="preserve">b</t>
    </r>
  </si>
  <si>
    <r>
      <rPr>
        <b val="true"/>
        <sz val="9"/>
        <rFont val="Arial"/>
        <family val="2"/>
        <charset val="1"/>
      </rPr>
      <t xml:space="preserve">Ireland</t>
    </r>
    <r>
      <rPr>
        <b val="true"/>
        <vertAlign val="superscript"/>
        <sz val="9"/>
        <rFont val="Arial"/>
        <family val="2"/>
        <charset val="1"/>
      </rPr>
      <t xml:space="preserve">c</t>
    </r>
  </si>
  <si>
    <r>
      <rPr>
        <b val="true"/>
        <sz val="9"/>
        <rFont val="Arial"/>
        <family val="2"/>
        <charset val="1"/>
      </rPr>
      <t xml:space="preserve">Luxembourg</t>
    </r>
    <r>
      <rPr>
        <b val="true"/>
        <vertAlign val="superscript"/>
        <sz val="9"/>
        <rFont val="Arial"/>
        <family val="2"/>
        <charset val="1"/>
      </rPr>
      <t xml:space="preserve">d</t>
    </r>
  </si>
  <si>
    <r>
      <rPr>
        <b val="true"/>
        <sz val="9"/>
        <rFont val="Arial"/>
        <family val="2"/>
        <charset val="1"/>
      </rPr>
      <t xml:space="preserve">Romania</t>
    </r>
    <r>
      <rPr>
        <b val="true"/>
        <vertAlign val="superscript"/>
        <sz val="9"/>
        <rFont val="Arial"/>
        <family val="2"/>
        <charset val="1"/>
      </rPr>
      <t xml:space="preserve">b</t>
    </r>
  </si>
  <si>
    <r>
      <rPr>
        <b val="true"/>
        <sz val="9"/>
        <rFont val="Arial"/>
        <family val="2"/>
        <charset val="1"/>
      </rPr>
      <t xml:space="preserve">Turkey</t>
    </r>
    <r>
      <rPr>
        <b val="true"/>
        <vertAlign val="superscript"/>
        <sz val="9"/>
        <rFont val="Arial"/>
        <family val="2"/>
        <charset val="1"/>
      </rPr>
      <t xml:space="preserve">b</t>
    </r>
  </si>
  <si>
    <t xml:space="preserve">Belgiuma</t>
  </si>
  <si>
    <r>
      <rPr>
        <vertAlign val="superscript"/>
        <sz val="9"/>
        <rFont val="Arial"/>
        <family val="2"/>
        <charset val="1"/>
      </rPr>
      <t xml:space="preserve">a</t>
    </r>
    <r>
      <rPr>
        <sz val="9"/>
        <rFont val="Arial"/>
        <family val="2"/>
        <charset val="1"/>
      </rPr>
      <t xml:space="preserve"> - 2007 figures</t>
    </r>
  </si>
  <si>
    <r>
      <rPr>
        <vertAlign val="superscript"/>
        <sz val="9"/>
        <rFont val="Arial"/>
        <family val="2"/>
        <charset val="1"/>
      </rPr>
      <t xml:space="preserve">b</t>
    </r>
    <r>
      <rPr>
        <sz val="9"/>
        <rFont val="Arial"/>
        <family val="2"/>
        <charset val="1"/>
      </rPr>
      <t xml:space="preserve"> - CHP electrical capacity reported equal to gross capacity</t>
    </r>
  </si>
  <si>
    <r>
      <rPr>
        <vertAlign val="superscript"/>
        <sz val="9"/>
        <rFont val="Arial"/>
        <family val="2"/>
        <charset val="1"/>
      </rPr>
      <t xml:space="preserve">c</t>
    </r>
    <r>
      <rPr>
        <sz val="9"/>
        <rFont val="Arial"/>
        <family val="2"/>
        <charset val="1"/>
      </rPr>
      <t xml:space="preserve"> - CHP electrical capacity and electricity generation reported equal to gross capacity and generation</t>
    </r>
  </si>
  <si>
    <r>
      <rPr>
        <vertAlign val="superscript"/>
        <sz val="9"/>
        <rFont val="Arial"/>
        <family val="2"/>
        <charset val="1"/>
      </rPr>
      <t xml:space="preserve">d</t>
    </r>
    <r>
      <rPr>
        <sz val="9"/>
        <rFont val="Arial"/>
        <family val="2"/>
        <charset val="1"/>
      </rPr>
      <t xml:space="preserve"> - no capacities reported</t>
    </r>
  </si>
  <si>
    <t xml:space="preserve">CHP data 2007</t>
  </si>
  <si>
    <r>
      <rPr>
        <b val="true"/>
        <sz val="9"/>
        <rFont val="Arial"/>
        <family val="2"/>
        <charset val="1"/>
      </rPr>
      <t xml:space="preserve">Estonia</t>
    </r>
    <r>
      <rPr>
        <b val="true"/>
        <vertAlign val="superscript"/>
        <sz val="9"/>
        <rFont val="Arial"/>
        <family val="2"/>
        <charset val="1"/>
      </rPr>
      <t xml:space="preserve">c</t>
    </r>
  </si>
  <si>
    <r>
      <rPr>
        <b val="true"/>
        <sz val="9"/>
        <rFont val="Arial"/>
        <family val="2"/>
        <charset val="1"/>
      </rPr>
      <t xml:space="preserve">Luxembourg</t>
    </r>
    <r>
      <rPr>
        <b val="true"/>
        <vertAlign val="superscript"/>
        <sz val="9"/>
        <rFont val="Arial"/>
        <family val="2"/>
        <charset val="1"/>
      </rPr>
      <t xml:space="preserve">c</t>
    </r>
  </si>
  <si>
    <r>
      <rPr>
        <b val="true"/>
        <sz val="9"/>
        <rFont val="Arial"/>
        <family val="2"/>
        <charset val="1"/>
      </rPr>
      <t xml:space="preserve">Turkey</t>
    </r>
    <r>
      <rPr>
        <b val="true"/>
        <vertAlign val="superscript"/>
        <sz val="9"/>
        <rFont val="Arial"/>
        <family val="2"/>
        <charset val="1"/>
      </rPr>
      <t xml:space="preserve">a</t>
    </r>
  </si>
  <si>
    <r>
      <rPr>
        <b val="true"/>
        <sz val="9"/>
        <rFont val="Arial"/>
        <family val="2"/>
        <charset val="1"/>
      </rPr>
      <t xml:space="preserve">Spain</t>
    </r>
    <r>
      <rPr>
        <b val="true"/>
        <vertAlign val="superscript"/>
        <sz val="9"/>
        <rFont val="Arial"/>
        <family val="2"/>
        <charset val="1"/>
      </rPr>
      <t xml:space="preserve">d</t>
    </r>
  </si>
  <si>
    <r>
      <rPr>
        <vertAlign val="superscript"/>
        <sz val="9"/>
        <rFont val="Arial"/>
        <family val="2"/>
        <charset val="1"/>
      </rPr>
      <t xml:space="preserve">a</t>
    </r>
    <r>
      <rPr>
        <sz val="9"/>
        <rFont val="Arial"/>
        <family val="2"/>
        <charset val="1"/>
      </rPr>
      <t xml:space="preserve"> - Only gross electrical capacity reported</t>
    </r>
  </si>
  <si>
    <t xml:space="preserve">CHP data 2006</t>
  </si>
  <si>
    <r>
      <rPr>
        <b val="true"/>
        <sz val="9"/>
        <rFont val="Arial"/>
        <family val="2"/>
        <charset val="1"/>
      </rPr>
      <t xml:space="preserve">Czech Republic</t>
    </r>
    <r>
      <rPr>
        <b val="true"/>
        <vertAlign val="superscript"/>
        <sz val="9"/>
        <rFont val="Arial"/>
        <family val="2"/>
        <charset val="1"/>
      </rPr>
      <t xml:space="preserve">b</t>
    </r>
  </si>
  <si>
    <r>
      <rPr>
        <b val="true"/>
        <sz val="9"/>
        <rFont val="Arial"/>
        <family val="2"/>
        <charset val="1"/>
      </rPr>
      <t xml:space="preserve">Germany</t>
    </r>
    <r>
      <rPr>
        <b val="true"/>
        <vertAlign val="superscript"/>
        <sz val="9"/>
        <rFont val="Arial"/>
        <family val="2"/>
        <charset val="1"/>
      </rPr>
      <t xml:space="preserve">a</t>
    </r>
  </si>
  <si>
    <r>
      <rPr>
        <b val="true"/>
        <sz val="9"/>
        <rFont val="Arial"/>
        <family val="2"/>
        <charset val="1"/>
      </rPr>
      <t xml:space="preserve">Latvia</t>
    </r>
    <r>
      <rPr>
        <b val="true"/>
        <vertAlign val="superscript"/>
        <sz val="9"/>
        <rFont val="Arial"/>
        <family val="2"/>
        <charset val="1"/>
      </rPr>
      <t xml:space="preserve">b</t>
    </r>
  </si>
  <si>
    <r>
      <rPr>
        <b val="true"/>
        <sz val="9"/>
        <rFont val="Arial"/>
        <family val="2"/>
        <charset val="1"/>
      </rPr>
      <t xml:space="preserve">Iceland</t>
    </r>
    <r>
      <rPr>
        <b val="true"/>
        <vertAlign val="superscript"/>
        <sz val="9"/>
        <rFont val="Arial"/>
        <family val="2"/>
        <charset val="1"/>
      </rPr>
      <t xml:space="preserve">c</t>
    </r>
  </si>
  <si>
    <t xml:space="preserve">Iceland</t>
  </si>
  <si>
    <t xml:space="preserve">CHP data 2005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</si>
</sst>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_-* #,##0.00\ _€_-;\-* #,##0.00\ _€_-;_-* \-??\ _€_-;_-@_-"/>
    <numFmt numFmtId="166" formatCode="#,##0.0_i"/>
    <numFmt numFmtId="167" formatCode="0\ %"/>
    <numFmt numFmtId="168" formatCode="@"/>
    <numFmt numFmtId="169" formatCode="_-* #,##0.0\ _€_-;\-* #,##0.0\ _€_-;_-* \-??\ _€_-;_-@_-"/>
    <numFmt numFmtId="170" formatCode="0.0%"/>
    <numFmt numFmtId="171" formatCode="#,##0.00"/>
    <numFmt numFmtId="172" formatCode="0.00"/>
    <numFmt numFmtId="173" formatCode="#,##0.0"/>
    <numFmt numFmtId="174" formatCode="0.0"/>
    <numFmt numFmtId="175" formatCode="0.000"/>
    <numFmt numFmtId="176" formatCode="#,##0"/>
    <numFmt numFmtId="177" formatCode="0.0000"/>
    <numFmt numFmtId="178" formatCode="0.00000"/>
  </numFmts>
  <fonts count="18">
    <font>
      <sz val="10"/>
      <color theme="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1"/>
      <name val="Arial"/>
      <family val="2"/>
      <charset val="1"/>
    </font>
    <font>
      <sz val="8"/>
      <name val="Arial Narrow"/>
      <family val="2"/>
      <charset val="1"/>
    </font>
    <font>
      <sz val="9"/>
      <color theme="1"/>
      <name val="Arial"/>
      <family val="2"/>
      <charset val="1"/>
    </font>
    <font>
      <b val="true"/>
      <sz val="9"/>
      <color theme="1"/>
      <name val="Arial"/>
      <family val="2"/>
      <charset val="1"/>
    </font>
    <font>
      <b val="true"/>
      <sz val="12"/>
      <color theme="1"/>
      <name val="Arial"/>
      <family val="2"/>
      <charset val="1"/>
    </font>
    <font>
      <b val="true"/>
      <sz val="9"/>
      <name val="Arial"/>
      <family val="2"/>
      <charset val="1"/>
    </font>
    <font>
      <b val="true"/>
      <vertAlign val="superscript"/>
      <sz val="9"/>
      <name val="Arial"/>
      <family val="2"/>
      <charset val="1"/>
    </font>
    <font>
      <sz val="9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vertAlign val="superscript"/>
      <sz val="9"/>
      <color rgb="FF000000"/>
      <name val="Arial"/>
      <family val="2"/>
      <charset val="1"/>
    </font>
    <font>
      <sz val="10"/>
      <color theme="0" tint="-0.35"/>
      <name val="Arial"/>
      <family val="2"/>
      <charset val="1"/>
    </font>
    <font>
      <vertAlign val="superscript"/>
      <sz val="9"/>
      <name val="Arial"/>
      <family val="2"/>
      <charset val="1"/>
    </font>
    <font>
      <vertAlign val="superscript"/>
      <sz val="9"/>
      <color theme="1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C0C0C0"/>
      </patternFill>
    </fill>
    <fill>
      <patternFill patternType="solid">
        <fgColor theme="0"/>
        <bgColor rgb="FFFFFFCC"/>
      </patternFill>
    </fill>
    <fill>
      <patternFill patternType="solid">
        <fgColor theme="4" tint="0.7999"/>
        <bgColor rgb="FFCCFFFF"/>
      </patternFill>
    </fill>
    <fill>
      <patternFill patternType="solid">
        <fgColor theme="4" tint="0.5999"/>
        <bgColor rgb="FFD3F2F2"/>
      </patternFill>
    </fill>
    <fill>
      <patternFill patternType="solid">
        <fgColor rgb="FFFFFF00"/>
        <bgColor rgb="FFFFFF00"/>
      </patternFill>
    </fill>
  </fills>
  <borders count="44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hair">
        <color rgb="FFA6A6A6"/>
      </left>
      <right/>
      <top style="thin"/>
      <bottom/>
      <diagonal/>
    </border>
    <border diagonalUp="false" diagonalDown="false">
      <left style="hair">
        <color rgb="FFA6A6A6"/>
      </left>
      <right style="hair">
        <color rgb="FFA6A6A6"/>
      </right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hair">
        <color rgb="FFA6A6A6"/>
      </left>
      <right style="hair">
        <color rgb="FFA6A6A6"/>
      </right>
      <top style="thin"/>
      <bottom style="thin"/>
      <diagonal/>
    </border>
    <border diagonalUp="false" diagonalDown="false">
      <left style="hair">
        <color rgb="FFA6A6A6"/>
      </left>
      <right/>
      <top style="thin"/>
      <bottom style="thin"/>
      <diagonal/>
    </border>
    <border diagonalUp="false" diagonalDown="false">
      <left style="thin"/>
      <right/>
      <top/>
      <bottom style="hair">
        <color rgb="FFC0C0C0"/>
      </bottom>
      <diagonal/>
    </border>
    <border diagonalUp="false" diagonalDown="false">
      <left/>
      <right/>
      <top/>
      <bottom style="hair">
        <color rgb="FFC0C0C0"/>
      </bottom>
      <diagonal/>
    </border>
    <border diagonalUp="false" diagonalDown="false">
      <left style="hair">
        <color rgb="FFA6A6A6"/>
      </left>
      <right/>
      <top/>
      <bottom style="hair">
        <color rgb="FFC0C0C0"/>
      </bottom>
      <diagonal/>
    </border>
    <border diagonalUp="false" diagonalDown="false">
      <left style="hair">
        <color rgb="FFA6A6A6"/>
      </left>
      <right style="hair">
        <color rgb="FFA6A6A6"/>
      </right>
      <top/>
      <bottom style="hair">
        <color rgb="FFC0C0C0"/>
      </bottom>
      <diagonal/>
    </border>
    <border diagonalUp="false" diagonalDown="false">
      <left style="thin"/>
      <right/>
      <top style="hair">
        <color rgb="FFC0C0C0"/>
      </top>
      <bottom style="hair">
        <color rgb="FFC0C0C0"/>
      </bottom>
      <diagonal/>
    </border>
    <border diagonalUp="false" diagonalDown="false">
      <left/>
      <right/>
      <top style="hair">
        <color rgb="FFC0C0C0"/>
      </top>
      <bottom style="hair">
        <color rgb="FFC0C0C0"/>
      </bottom>
      <diagonal/>
    </border>
    <border diagonalUp="false" diagonalDown="false">
      <left style="hair">
        <color rgb="FFA6A6A6"/>
      </left>
      <right/>
      <top style="hair">
        <color rgb="FFC0C0C0"/>
      </top>
      <bottom style="hair">
        <color rgb="FFC0C0C0"/>
      </bottom>
      <diagonal/>
    </border>
    <border diagonalUp="false" diagonalDown="false">
      <left style="hair">
        <color rgb="FFA6A6A6"/>
      </left>
      <right style="hair">
        <color rgb="FFA6A6A6"/>
      </right>
      <top style="hair">
        <color rgb="FFC0C0C0"/>
      </top>
      <bottom style="hair">
        <color rgb="FFC0C0C0"/>
      </bottom>
      <diagonal/>
    </border>
    <border diagonalUp="false" diagonalDown="false">
      <left style="thin"/>
      <right/>
      <top style="hair">
        <color rgb="FFC0C0C0"/>
      </top>
      <bottom/>
      <diagonal/>
    </border>
    <border diagonalUp="false" diagonalDown="false">
      <left/>
      <right/>
      <top style="hair">
        <color rgb="FFC0C0C0"/>
      </top>
      <bottom/>
      <diagonal/>
    </border>
    <border diagonalUp="false" diagonalDown="false">
      <left style="hair">
        <color rgb="FFA6A6A6"/>
      </left>
      <right/>
      <top style="hair">
        <color rgb="FFC0C0C0"/>
      </top>
      <bottom/>
      <diagonal/>
    </border>
    <border diagonalUp="false" diagonalDown="false">
      <left style="hair">
        <color rgb="FFA6A6A6"/>
      </left>
      <right style="hair">
        <color rgb="FFA6A6A6"/>
      </right>
      <top style="hair">
        <color rgb="FFC0C0C0"/>
      </top>
      <bottom/>
      <diagonal/>
    </border>
    <border diagonalUp="false" diagonalDown="false">
      <left style="thin"/>
      <right/>
      <top style="hair">
        <color rgb="FFC0C0C0"/>
      </top>
      <bottom style="thin"/>
      <diagonal/>
    </border>
    <border diagonalUp="false" diagonalDown="false">
      <left/>
      <right/>
      <top style="hair">
        <color rgb="FFC0C0C0"/>
      </top>
      <bottom style="thin"/>
      <diagonal/>
    </border>
    <border diagonalUp="false" diagonalDown="false">
      <left style="hair">
        <color rgb="FFA6A6A6"/>
      </left>
      <right/>
      <top style="hair">
        <color rgb="FFC0C0C0"/>
      </top>
      <bottom style="thin"/>
      <diagonal/>
    </border>
    <border diagonalUp="false" diagonalDown="false">
      <left style="hair">
        <color rgb="FFA6A6A6"/>
      </left>
      <right style="hair">
        <color rgb="FFA6A6A6"/>
      </right>
      <top style="hair">
        <color rgb="FFC0C0C0"/>
      </top>
      <bottom style="thin"/>
      <diagonal/>
    </border>
    <border diagonalUp="false" diagonalDown="false">
      <left/>
      <right style="hair">
        <color rgb="FFA6A6A6"/>
      </right>
      <top style="thin"/>
      <bottom/>
      <diagonal/>
    </border>
    <border diagonalUp="false" diagonalDown="false">
      <left/>
      <right style="hair">
        <color rgb="FFA6A6A6"/>
      </right>
      <top style="thin"/>
      <bottom style="thin"/>
      <diagonal/>
    </border>
    <border diagonalUp="false" diagonalDown="false">
      <left/>
      <right style="hair">
        <color rgb="FFA6A6A6"/>
      </right>
      <top/>
      <bottom style="hair">
        <color rgb="FFC0C0C0"/>
      </bottom>
      <diagonal/>
    </border>
    <border diagonalUp="false" diagonalDown="false">
      <left/>
      <right style="hair">
        <color rgb="FFA6A6A6"/>
      </right>
      <top style="hair">
        <color rgb="FFC0C0C0"/>
      </top>
      <bottom style="hair">
        <color rgb="FFC0C0C0"/>
      </bottom>
      <diagonal/>
    </border>
    <border diagonalUp="false" diagonalDown="false">
      <left/>
      <right style="hair">
        <color rgb="FFA6A6A6"/>
      </right>
      <top style="hair">
        <color rgb="FFC0C0C0"/>
      </top>
      <bottom style="thin"/>
      <diagonal/>
    </border>
    <border diagonalUp="false" diagonalDown="false">
      <left/>
      <right/>
      <top style="thin"/>
      <bottom style="hair">
        <color rgb="FFC0C0C0"/>
      </bottom>
      <diagonal/>
    </border>
    <border diagonalUp="false" diagonalDown="false">
      <left style="hair">
        <color rgb="FFA6A6A6"/>
      </left>
      <right style="hair">
        <color rgb="FFA6A6A6"/>
      </right>
      <top style="thin"/>
      <bottom style="hair">
        <color rgb="FFC0C0C0"/>
      </bottom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hair">
        <color rgb="FFA6A6A6"/>
      </left>
      <right style="hair">
        <color rgb="FFA6A6A6"/>
      </right>
      <top/>
      <bottom style="thin"/>
      <diagonal/>
    </border>
    <border diagonalUp="false" diagonalDown="false">
      <left style="hair">
        <color rgb="FFA6A6A6"/>
      </left>
      <right/>
      <top/>
      <bottom style="thin"/>
      <diagonal/>
    </border>
    <border diagonalUp="false" diagonalDown="false">
      <left/>
      <right style="hair">
        <color rgb="FFA6A6A6"/>
      </right>
      <top/>
      <bottom style="thin"/>
      <diagonal/>
    </border>
    <border diagonalUp="false" diagonalDown="false">
      <left style="hair">
        <color rgb="FFA6A6A6"/>
      </left>
      <right/>
      <top style="thin"/>
      <bottom style="hair">
        <color rgb="FFC0C0C0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hair">
        <color rgb="FFA6A6A6"/>
      </right>
      <top style="thin"/>
      <bottom style="hair">
        <color rgb="FFC0C0C0"/>
      </bottom>
      <diagonal/>
    </border>
    <border diagonalUp="false" diagonalDown="false">
      <left/>
      <right style="hair">
        <color rgb="FFA6A6A6"/>
      </right>
      <top style="hair">
        <color rgb="FFC0C0C0"/>
      </top>
      <bottom/>
      <diagonal/>
    </border>
    <border diagonalUp="false" diagonalDown="false">
      <left style="hair">
        <color rgb="FFA6A6A6"/>
      </left>
      <right/>
      <top/>
      <bottom/>
      <diagonal/>
    </border>
    <border diagonalUp="false" diagonalDown="false">
      <left style="hair">
        <color rgb="FFA6A6A6"/>
      </left>
      <right style="hair">
        <color rgb="FFA6A6A6"/>
      </right>
      <top/>
      <bottom/>
      <diagonal/>
    </border>
    <border diagonalUp="false" diagonalDown="false">
      <left/>
      <right style="hair">
        <color rgb="FFA6A6A6"/>
      </right>
      <top/>
      <bottom/>
      <diagonal/>
    </border>
  </borders>
  <cellStyleXfs count="2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applyFont="true" applyBorder="false" applyAlignment="true" applyProtection="false">
      <alignment horizontal="right" vertical="bottom" textRotation="0" wrapText="false" indent="0" shrinkToFit="false"/>
    </xf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8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21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21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8" fillId="3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21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7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7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7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4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0" fillId="4" borderId="1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0" fillId="4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4" borderId="1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0" fillId="4" borderId="2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7" fillId="5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7" fillId="5" borderId="6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5" borderId="4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3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3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3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6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6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3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1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3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2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7" fillId="3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8" fillId="3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3" borderId="0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8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4" borderId="3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0" fillId="4" borderId="2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1" fontId="7" fillId="5" borderId="2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7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3" borderId="2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7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3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6" borderId="1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7" fillId="6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6" borderId="2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7" fillId="3" borderId="2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3" borderId="2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7" fillId="3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5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7" fillId="5" borderId="2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5" borderId="2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5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7" fillId="5" borderId="2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5" borderId="2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5" borderId="2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5" borderId="2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1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1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1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1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1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1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1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7" fillId="3" borderId="1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1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1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1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2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2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2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2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27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0" fillId="3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7" fillId="3" borderId="3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3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3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3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3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5" borderId="3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5" borderId="3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5" borderId="2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5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5" borderId="2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5" borderId="2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3" borderId="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3" borderId="1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1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1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17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16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2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2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2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3" borderId="3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3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3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0" fillId="4" borderId="6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0" fillId="4" borderId="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0" fillId="4" borderId="6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0" fillId="4" borderId="5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0" fillId="4" borderId="4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3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7" fillId="5" borderId="3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5" borderId="3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5" borderId="3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5" borderId="3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2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5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70" fontId="10" fillId="4" borderId="24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7" fillId="5" borderId="3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5" borderId="33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5" borderId="3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13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1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1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1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0" fillId="3" borderId="3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3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7" fillId="3" borderId="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3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0" fillId="4" borderId="2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7" fillId="5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5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5" borderId="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5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5" borderId="23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5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7" fillId="3" borderId="3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3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2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3" borderId="29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39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3" borderId="2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1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3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26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3" borderId="1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1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3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4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3" borderId="16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2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3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27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3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3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3" borderId="3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3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3" borderId="3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0" fillId="3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9" fontId="10" fillId="3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12" fillId="3" borderId="3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3" borderId="28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3" borderId="26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7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7" fillId="5" borderId="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5" borderId="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5" borderId="3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5" borderId="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5" borderId="3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5" borderId="23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5" borderId="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3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3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2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28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29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39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28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4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2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2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27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33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3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3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0" fillId="3" borderId="0" xfId="19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9" fontId="10" fillId="3" borderId="0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70" fontId="10" fillId="3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71" fontId="7" fillId="3" borderId="41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41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42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42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43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6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6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5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5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7" fillId="3" borderId="24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1" fontId="7" fillId="3" borderId="4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2" fillId="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0" fontId="12" fillId="3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72" fontId="12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7" fillId="3" borderId="0" xfId="15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7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71" fontId="7" fillId="3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2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3" borderId="4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4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7" fillId="3" borderId="5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1" fontId="7" fillId="3" borderId="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3" borderId="24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12" fillId="3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Menu" xfId="21"/>
    <cellStyle name="Normal 2" xfId="22"/>
    <cellStyle name="Normal 2 2" xfId="23"/>
    <cellStyle name="Normal 2 3" xfId="24"/>
    <cellStyle name="Normal 3" xfId="25"/>
    <cellStyle name="NumberCellStyle" xfId="26"/>
    <cellStyle name="Percent 2" xfId="2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3F2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6E6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externalLink" Target="externalLinks/externalLink1.xml"/><Relationship Id="rId2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306360</xdr:colOff>
      <xdr:row>7</xdr:row>
      <xdr:rowOff>228240</xdr:rowOff>
    </xdr:to>
    <xdr:pic>
      <xdr:nvPicPr>
        <xdr:cNvPr id="0" name="Picture 2" descr=""/>
        <xdr:cNvPicPr/>
      </xdr:nvPicPr>
      <xdr:blipFill>
        <a:blip r:embed="rId1"/>
        <a:stretch/>
      </xdr:blipFill>
      <xdr:spPr>
        <a:xfrm>
          <a:off x="0" y="0"/>
          <a:ext cx="5643360" cy="1761840"/>
        </a:xfrm>
        <a:prstGeom prst="rect">
          <a:avLst/>
        </a:prstGeom>
        <a:ln w="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ttp://epp.eurostat.ec.europa.eu/Energy/RENEWABLES%20(Marek)/SHARES%202011/Received/UK_2011.xls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rt"/>
      <sheetName val="Cover"/>
      <sheetName val="Menu"/>
      <sheetName val="Target Calculation"/>
      <sheetName val="Additional information"/>
      <sheetName val="Transport (VOLUNTARY)"/>
      <sheetName val="R&amp;W"/>
      <sheetName val="T_R&amp;W"/>
      <sheetName val="Coal"/>
      <sheetName val="T_Coal"/>
      <sheetName val="Gas"/>
      <sheetName val="T_Gas"/>
      <sheetName val="Oil"/>
      <sheetName val="T_Oil"/>
      <sheetName val="El.&amp;H."/>
      <sheetName val="T_El.&amp;H."/>
      <sheetName val="LANGUAGE_MATRIX"/>
      <sheetName val="debu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8 Environment and energy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32afaf"/>
      </a:accent1>
      <a:accent2>
        <a:srgbClr val="c84b96"/>
      </a:accent2>
      <a:accent3>
        <a:srgbClr val="286eb4"/>
      </a:accent3>
      <a:accent4>
        <a:srgbClr val="d73c41"/>
      </a:accent4>
      <a:accent5>
        <a:srgbClr val="00a5e6"/>
      </a:accent5>
      <a:accent6>
        <a:srgbClr val="b9c31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tru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3:43 A1"/>
    </sheetView>
  </sheetViews>
  <sheetFormatPr defaultColWidth="9.1484375" defaultRowHeight="17.25" zeroHeight="false" outlineLevelRow="0" outlineLevelCol="0"/>
  <cols>
    <col collapsed="false" customWidth="false" hidden="false" outlineLevel="0" max="3" min="1" style="1" width="9.14"/>
    <col collapsed="false" customWidth="true" hidden="false" outlineLevel="0" max="4" min="4" style="1" width="11.71"/>
    <col collapsed="false" customWidth="false" hidden="false" outlineLevel="0" max="16384" min="5" style="1" width="9.14"/>
  </cols>
  <sheetData>
    <row r="1" customFormat="false" ht="17.25" hidden="false" customHeight="true" outlineLevel="0" collapsed="false">
      <c r="A1" s="2"/>
      <c r="B1" s="3"/>
      <c r="C1" s="3"/>
      <c r="D1" s="3"/>
      <c r="E1" s="3"/>
      <c r="F1" s="3"/>
      <c r="G1" s="3"/>
      <c r="H1" s="3"/>
      <c r="I1" s="3"/>
    </row>
    <row r="2" customFormat="false" ht="17.25" hidden="false" customHeight="true" outlineLevel="0" collapsed="false">
      <c r="A2" s="3"/>
      <c r="B2" s="3"/>
      <c r="C2" s="3"/>
      <c r="D2" s="3"/>
      <c r="E2" s="3"/>
      <c r="F2" s="3"/>
      <c r="G2" s="3"/>
      <c r="H2" s="3"/>
      <c r="I2" s="3"/>
    </row>
    <row r="3" customFormat="false" ht="17.25" hidden="false" customHeight="true" outlineLevel="0" collapsed="false">
      <c r="A3" s="3"/>
      <c r="B3" s="3"/>
      <c r="C3" s="4"/>
      <c r="D3" s="3"/>
      <c r="E3" s="5"/>
      <c r="F3" s="6"/>
      <c r="G3" s="6"/>
      <c r="H3" s="6"/>
      <c r="I3" s="6"/>
    </row>
    <row r="4" customFormat="false" ht="17.25" hidden="false" customHeight="true" outlineLevel="0" collapsed="false">
      <c r="A4" s="3"/>
      <c r="B4" s="3"/>
      <c r="C4" s="4"/>
      <c r="D4" s="3"/>
      <c r="E4" s="5"/>
      <c r="F4" s="6"/>
      <c r="G4" s="6"/>
      <c r="H4" s="6"/>
      <c r="I4" s="6"/>
    </row>
    <row r="5" customFormat="false" ht="17.25" hidden="false" customHeight="true" outlineLevel="0" collapsed="false">
      <c r="A5" s="3"/>
      <c r="B5" s="3"/>
      <c r="C5" s="4"/>
      <c r="D5" s="3"/>
      <c r="E5" s="5"/>
      <c r="F5" s="6"/>
      <c r="G5" s="6"/>
      <c r="H5" s="6"/>
      <c r="I5" s="6"/>
    </row>
    <row r="6" customFormat="false" ht="17.25" hidden="false" customHeight="true" outlineLevel="0" collapsed="false">
      <c r="A6" s="3"/>
      <c r="B6" s="3"/>
      <c r="C6" s="4"/>
      <c r="D6" s="3"/>
      <c r="E6" s="6"/>
      <c r="F6" s="6"/>
      <c r="G6" s="6"/>
      <c r="H6" s="6"/>
      <c r="I6" s="6"/>
    </row>
    <row r="7" customFormat="false" ht="17.25" hidden="false" customHeight="true" outlineLevel="0" collapsed="false">
      <c r="A7" s="3"/>
      <c r="B7" s="3"/>
      <c r="C7" s="3"/>
      <c r="D7" s="3"/>
      <c r="E7" s="3"/>
      <c r="F7" s="3"/>
      <c r="G7" s="3"/>
      <c r="H7" s="3"/>
      <c r="I7" s="3"/>
    </row>
    <row r="8" customFormat="false" ht="45.75" hidden="false" customHeight="true" outlineLevel="0" collapsed="false">
      <c r="A8" s="4"/>
      <c r="B8" s="4"/>
      <c r="C8" s="4"/>
      <c r="D8" s="4"/>
      <c r="E8" s="7" t="s">
        <v>0</v>
      </c>
      <c r="F8" s="4"/>
      <c r="G8" s="4"/>
      <c r="H8" s="3"/>
      <c r="I8" s="3"/>
    </row>
    <row r="9" customFormat="false" ht="12" hidden="false" customHeight="false" outlineLevel="0" collapsed="false">
      <c r="A9" s="3" t="s">
        <v>1</v>
      </c>
      <c r="B9" s="3"/>
      <c r="C9" s="3"/>
      <c r="D9" s="3"/>
      <c r="E9" s="8"/>
      <c r="F9" s="3"/>
      <c r="G9" s="3"/>
      <c r="H9" s="3"/>
      <c r="I9" s="3"/>
    </row>
    <row r="10" customFormat="false" ht="12" hidden="false" customHeight="false" outlineLevel="0" collapsed="false">
      <c r="A10" s="1" t="s">
        <v>2</v>
      </c>
    </row>
    <row r="11" customFormat="false" ht="12" hidden="false" customHeight="false" outlineLevel="0" collapsed="false">
      <c r="A11" s="1" t="s">
        <v>3</v>
      </c>
    </row>
    <row r="12" customFormat="false" ht="12" hidden="false" customHeight="false" outlineLevel="0" collapsed="false">
      <c r="A12" s="1" t="s">
        <v>4</v>
      </c>
    </row>
    <row r="13" customFormat="false" ht="12" hidden="false" customHeight="false" outlineLevel="0" collapsed="false">
      <c r="A13" s="3" t="s">
        <v>5</v>
      </c>
      <c r="B13" s="9"/>
      <c r="C13" s="9"/>
      <c r="D13" s="9"/>
      <c r="E13" s="9"/>
      <c r="F13" s="9"/>
      <c r="G13" s="9"/>
      <c r="H13" s="9"/>
      <c r="I13" s="9"/>
    </row>
    <row r="14" customFormat="false" ht="12" hidden="false" customHeight="false" outlineLevel="0" collapsed="false">
      <c r="A14" s="1" t="s">
        <v>6</v>
      </c>
      <c r="B14" s="9"/>
      <c r="C14" s="9"/>
      <c r="D14" s="9"/>
      <c r="E14" s="9"/>
      <c r="F14" s="9"/>
      <c r="G14" s="9"/>
      <c r="H14" s="9"/>
      <c r="I14" s="9"/>
    </row>
    <row r="15" customFormat="false" ht="12" hidden="false" customHeight="false" outlineLevel="0" collapsed="false">
      <c r="A15" s="1" t="s">
        <v>7</v>
      </c>
      <c r="B15" s="9"/>
      <c r="C15" s="9"/>
      <c r="D15" s="9"/>
      <c r="E15" s="9"/>
      <c r="F15" s="9"/>
      <c r="G15" s="9"/>
      <c r="H15" s="9"/>
      <c r="I15" s="9"/>
    </row>
    <row r="16" customFormat="false" ht="12" hidden="false" customHeight="false" outlineLevel="0" collapsed="false">
      <c r="A16" s="1" t="s">
        <v>8</v>
      </c>
      <c r="B16" s="9"/>
      <c r="C16" s="9"/>
      <c r="D16" s="9"/>
      <c r="E16" s="9"/>
      <c r="F16" s="9"/>
      <c r="G16" s="9"/>
      <c r="H16" s="9"/>
      <c r="I16" s="9"/>
    </row>
    <row r="17" customFormat="false" ht="12" hidden="false" customHeight="false" outlineLevel="0" collapsed="false">
      <c r="A17" s="1" t="s">
        <v>9</v>
      </c>
      <c r="B17" s="9"/>
      <c r="C17" s="9"/>
      <c r="D17" s="9"/>
      <c r="E17" s="9"/>
      <c r="F17" s="9"/>
      <c r="G17" s="9"/>
      <c r="H17" s="9"/>
      <c r="I17" s="9"/>
    </row>
    <row r="18" customFormat="false" ht="12" hidden="false" customHeight="false" outlineLevel="0" collapsed="false">
      <c r="A18" s="1" t="s">
        <v>10</v>
      </c>
      <c r="B18" s="9"/>
      <c r="C18" s="9"/>
      <c r="D18" s="9"/>
      <c r="E18" s="9"/>
      <c r="F18" s="9"/>
      <c r="G18" s="9"/>
      <c r="H18" s="9"/>
      <c r="I18" s="9"/>
    </row>
    <row r="19" customFormat="false" ht="12" hidden="false" customHeight="false" outlineLevel="0" collapsed="false">
      <c r="A19" s="1" t="s">
        <v>11</v>
      </c>
      <c r="B19" s="9"/>
      <c r="C19" s="9"/>
      <c r="D19" s="9"/>
      <c r="E19" s="9"/>
      <c r="F19" s="9"/>
      <c r="G19" s="9"/>
      <c r="H19" s="9"/>
      <c r="I19" s="9"/>
    </row>
    <row r="20" customFormat="false" ht="12" hidden="false" customHeight="false" outlineLevel="0" collapsed="false">
      <c r="A20" s="1" t="s">
        <v>12</v>
      </c>
      <c r="B20" s="9"/>
      <c r="C20" s="9"/>
      <c r="D20" s="9"/>
      <c r="E20" s="9"/>
      <c r="F20" s="9"/>
      <c r="G20" s="9"/>
      <c r="H20" s="9"/>
      <c r="I20" s="9"/>
    </row>
    <row r="21" customFormat="false" ht="12" hidden="false" customHeight="false" outlineLevel="0" collapsed="false">
      <c r="B21" s="9"/>
      <c r="C21" s="9"/>
      <c r="D21" s="9"/>
      <c r="E21" s="9"/>
      <c r="F21" s="9"/>
      <c r="G21" s="9"/>
      <c r="H21" s="9"/>
      <c r="I21" s="9"/>
    </row>
    <row r="22" customFormat="false" ht="12" hidden="false" customHeight="false" outlineLevel="0" collapsed="false">
      <c r="B22" s="9"/>
      <c r="C22" s="9"/>
      <c r="D22" s="9"/>
      <c r="E22" s="9"/>
      <c r="F22" s="9"/>
      <c r="G22" s="9"/>
      <c r="H22" s="9"/>
      <c r="I22" s="9"/>
    </row>
    <row r="23" customFormat="false" ht="12" hidden="false" customHeight="false" outlineLevel="0" collapsed="false">
      <c r="B23" s="9"/>
      <c r="C23" s="9"/>
      <c r="D23" s="9"/>
      <c r="E23" s="9"/>
      <c r="F23" s="9"/>
      <c r="G23" s="9"/>
      <c r="H23" s="9"/>
      <c r="I23" s="9"/>
    </row>
    <row r="24" customFormat="false" ht="12" hidden="false" customHeight="false" outlineLevel="0" collapsed="false"/>
    <row r="25" customFormat="false" ht="12" hidden="false" customHeight="true" outlineLevel="0" collapsed="false">
      <c r="A25" s="10" t="s">
        <v>13</v>
      </c>
      <c r="B25" s="10"/>
      <c r="C25" s="10"/>
      <c r="D25" s="10"/>
      <c r="E25" s="10"/>
      <c r="F25" s="10"/>
      <c r="G25" s="10"/>
      <c r="H25" s="10"/>
      <c r="I25" s="10"/>
    </row>
    <row r="26" customFormat="false" ht="12" hidden="false" customHeight="false" outlineLevel="0" collapsed="false">
      <c r="A26" s="10"/>
      <c r="B26" s="10"/>
      <c r="C26" s="10"/>
      <c r="D26" s="10"/>
      <c r="E26" s="10"/>
      <c r="F26" s="10"/>
      <c r="G26" s="10"/>
      <c r="H26" s="10"/>
      <c r="I26" s="10"/>
    </row>
    <row r="27" customFormat="false" ht="12" hidden="false" customHeight="false" outlineLevel="0" collapsed="false">
      <c r="A27" s="10"/>
      <c r="B27" s="10"/>
      <c r="C27" s="10"/>
      <c r="D27" s="10"/>
      <c r="E27" s="10"/>
      <c r="F27" s="10"/>
      <c r="G27" s="10"/>
      <c r="H27" s="10"/>
      <c r="I27" s="10"/>
    </row>
    <row r="28" customFormat="false" ht="12" hidden="false" customHeight="false" outlineLevel="0" collapsed="false"/>
    <row r="29" customFormat="false" ht="12" hidden="false" customHeight="false" outlineLevel="0" collapsed="false">
      <c r="A29" s="11"/>
      <c r="B29" s="11"/>
      <c r="C29" s="12" t="s">
        <v>14</v>
      </c>
      <c r="D29" s="11" t="s">
        <v>15</v>
      </c>
      <c r="E29" s="11"/>
      <c r="F29" s="11"/>
      <c r="G29" s="11"/>
      <c r="H29" s="11"/>
    </row>
  </sheetData>
  <mergeCells count="1">
    <mergeCell ref="A25:I27"/>
  </mergeCells>
  <printOptions headings="false" gridLines="false" gridLinesSet="true" horizontalCentered="false" verticalCentered="false"/>
  <pageMargins left="0.708333333333333" right="0.708333333333333" top="0.747916666666667" bottom="0.747916666666667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3:43 A1"/>
    </sheetView>
  </sheetViews>
  <sheetFormatPr defaultColWidth="9.1484375" defaultRowHeight="12" zeroHeight="false" outlineLevelRow="0" outlineLevelCol="0"/>
  <cols>
    <col collapsed="false" customWidth="true" hidden="false" outlineLevel="0" max="1" min="1" style="19" width="21.71"/>
    <col collapsed="false" customWidth="true" hidden="false" outlineLevel="0" max="2" min="2" style="15" width="10.71"/>
    <col collapsed="false" customWidth="true" hidden="false" outlineLevel="0" max="5" min="3" style="16" width="10.71"/>
    <col collapsed="false" customWidth="true" hidden="false" outlineLevel="0" max="7" min="6" style="19" width="10.71"/>
    <col collapsed="false" customWidth="true" hidden="false" outlineLevel="0" max="9" min="8" style="16" width="10.71"/>
    <col collapsed="false" customWidth="true" hidden="false" outlineLevel="0" max="10" min="10" style="15" width="10.71"/>
    <col collapsed="false" customWidth="false" hidden="false" outlineLevel="0" max="11" min="11" style="19" width="9.14"/>
    <col collapsed="false" customWidth="true" hidden="false" outlineLevel="0" max="12" min="12" style="19" width="10"/>
    <col collapsed="false" customWidth="false" hidden="false" outlineLevel="0" max="256" min="13" style="19" width="9.14"/>
    <col collapsed="false" customWidth="true" hidden="false" outlineLevel="0" max="257" min="257" style="19" width="21.71"/>
    <col collapsed="false" customWidth="true" hidden="false" outlineLevel="0" max="258" min="258" style="19" width="9.71"/>
    <col collapsed="false" customWidth="false" hidden="false" outlineLevel="0" max="261" min="259" style="19" width="9.14"/>
    <col collapsed="false" customWidth="true" hidden="false" outlineLevel="0" max="262" min="262" style="19" width="10.71"/>
    <col collapsed="false" customWidth="true" hidden="false" outlineLevel="0" max="263" min="263" style="19" width="9.57"/>
    <col collapsed="false" customWidth="false" hidden="false" outlineLevel="0" max="512" min="264" style="19" width="9.14"/>
    <col collapsed="false" customWidth="true" hidden="false" outlineLevel="0" max="513" min="513" style="19" width="21.71"/>
    <col collapsed="false" customWidth="true" hidden="false" outlineLevel="0" max="514" min="514" style="19" width="9.71"/>
    <col collapsed="false" customWidth="false" hidden="false" outlineLevel="0" max="517" min="515" style="19" width="9.14"/>
    <col collapsed="false" customWidth="true" hidden="false" outlineLevel="0" max="518" min="518" style="19" width="10.71"/>
    <col collapsed="false" customWidth="true" hidden="false" outlineLevel="0" max="519" min="519" style="19" width="9.57"/>
    <col collapsed="false" customWidth="false" hidden="false" outlineLevel="0" max="768" min="520" style="19" width="9.14"/>
    <col collapsed="false" customWidth="true" hidden="false" outlineLevel="0" max="769" min="769" style="19" width="21.71"/>
    <col collapsed="false" customWidth="true" hidden="false" outlineLevel="0" max="770" min="770" style="19" width="9.71"/>
    <col collapsed="false" customWidth="false" hidden="false" outlineLevel="0" max="773" min="771" style="19" width="9.14"/>
    <col collapsed="false" customWidth="true" hidden="false" outlineLevel="0" max="774" min="774" style="19" width="10.71"/>
    <col collapsed="false" customWidth="true" hidden="false" outlineLevel="0" max="775" min="775" style="19" width="9.57"/>
    <col collapsed="false" customWidth="false" hidden="false" outlineLevel="0" max="1024" min="776" style="19" width="9.14"/>
    <col collapsed="false" customWidth="true" hidden="false" outlineLevel="0" max="1025" min="1025" style="19" width="21.71"/>
    <col collapsed="false" customWidth="true" hidden="false" outlineLevel="0" max="1026" min="1026" style="19" width="9.71"/>
    <col collapsed="false" customWidth="false" hidden="false" outlineLevel="0" max="1029" min="1027" style="19" width="9.14"/>
    <col collapsed="false" customWidth="true" hidden="false" outlineLevel="0" max="1030" min="1030" style="19" width="10.71"/>
    <col collapsed="false" customWidth="true" hidden="false" outlineLevel="0" max="1031" min="1031" style="19" width="9.57"/>
    <col collapsed="false" customWidth="false" hidden="false" outlineLevel="0" max="1280" min="1032" style="19" width="9.14"/>
    <col collapsed="false" customWidth="true" hidden="false" outlineLevel="0" max="1281" min="1281" style="19" width="21.71"/>
    <col collapsed="false" customWidth="true" hidden="false" outlineLevel="0" max="1282" min="1282" style="19" width="9.71"/>
    <col collapsed="false" customWidth="false" hidden="false" outlineLevel="0" max="1285" min="1283" style="19" width="9.14"/>
    <col collapsed="false" customWidth="true" hidden="false" outlineLevel="0" max="1286" min="1286" style="19" width="10.71"/>
    <col collapsed="false" customWidth="true" hidden="false" outlineLevel="0" max="1287" min="1287" style="19" width="9.57"/>
    <col collapsed="false" customWidth="false" hidden="false" outlineLevel="0" max="1536" min="1288" style="19" width="9.14"/>
    <col collapsed="false" customWidth="true" hidden="false" outlineLevel="0" max="1537" min="1537" style="19" width="21.71"/>
    <col collapsed="false" customWidth="true" hidden="false" outlineLevel="0" max="1538" min="1538" style="19" width="9.71"/>
    <col collapsed="false" customWidth="false" hidden="false" outlineLevel="0" max="1541" min="1539" style="19" width="9.14"/>
    <col collapsed="false" customWidth="true" hidden="false" outlineLevel="0" max="1542" min="1542" style="19" width="10.71"/>
    <col collapsed="false" customWidth="true" hidden="false" outlineLevel="0" max="1543" min="1543" style="19" width="9.57"/>
    <col collapsed="false" customWidth="false" hidden="false" outlineLevel="0" max="1792" min="1544" style="19" width="9.14"/>
    <col collapsed="false" customWidth="true" hidden="false" outlineLevel="0" max="1793" min="1793" style="19" width="21.71"/>
    <col collapsed="false" customWidth="true" hidden="false" outlineLevel="0" max="1794" min="1794" style="19" width="9.71"/>
    <col collapsed="false" customWidth="false" hidden="false" outlineLevel="0" max="1797" min="1795" style="19" width="9.14"/>
    <col collapsed="false" customWidth="true" hidden="false" outlineLevel="0" max="1798" min="1798" style="19" width="10.71"/>
    <col collapsed="false" customWidth="true" hidden="false" outlineLevel="0" max="1799" min="1799" style="19" width="9.57"/>
    <col collapsed="false" customWidth="false" hidden="false" outlineLevel="0" max="2048" min="1800" style="19" width="9.14"/>
    <col collapsed="false" customWidth="true" hidden="false" outlineLevel="0" max="2049" min="2049" style="19" width="21.71"/>
    <col collapsed="false" customWidth="true" hidden="false" outlineLevel="0" max="2050" min="2050" style="19" width="9.71"/>
    <col collapsed="false" customWidth="false" hidden="false" outlineLevel="0" max="2053" min="2051" style="19" width="9.14"/>
    <col collapsed="false" customWidth="true" hidden="false" outlineLevel="0" max="2054" min="2054" style="19" width="10.71"/>
    <col collapsed="false" customWidth="true" hidden="false" outlineLevel="0" max="2055" min="2055" style="19" width="9.57"/>
    <col collapsed="false" customWidth="false" hidden="false" outlineLevel="0" max="2304" min="2056" style="19" width="9.14"/>
    <col collapsed="false" customWidth="true" hidden="false" outlineLevel="0" max="2305" min="2305" style="19" width="21.71"/>
    <col collapsed="false" customWidth="true" hidden="false" outlineLevel="0" max="2306" min="2306" style="19" width="9.71"/>
    <col collapsed="false" customWidth="false" hidden="false" outlineLevel="0" max="2309" min="2307" style="19" width="9.14"/>
    <col collapsed="false" customWidth="true" hidden="false" outlineLevel="0" max="2310" min="2310" style="19" width="10.71"/>
    <col collapsed="false" customWidth="true" hidden="false" outlineLevel="0" max="2311" min="2311" style="19" width="9.57"/>
    <col collapsed="false" customWidth="false" hidden="false" outlineLevel="0" max="2560" min="2312" style="19" width="9.14"/>
    <col collapsed="false" customWidth="true" hidden="false" outlineLevel="0" max="2561" min="2561" style="19" width="21.71"/>
    <col collapsed="false" customWidth="true" hidden="false" outlineLevel="0" max="2562" min="2562" style="19" width="9.71"/>
    <col collapsed="false" customWidth="false" hidden="false" outlineLevel="0" max="2565" min="2563" style="19" width="9.14"/>
    <col collapsed="false" customWidth="true" hidden="false" outlineLevel="0" max="2566" min="2566" style="19" width="10.71"/>
    <col collapsed="false" customWidth="true" hidden="false" outlineLevel="0" max="2567" min="2567" style="19" width="9.57"/>
    <col collapsed="false" customWidth="false" hidden="false" outlineLevel="0" max="2816" min="2568" style="19" width="9.14"/>
    <col collapsed="false" customWidth="true" hidden="false" outlineLevel="0" max="2817" min="2817" style="19" width="21.71"/>
    <col collapsed="false" customWidth="true" hidden="false" outlineLevel="0" max="2818" min="2818" style="19" width="9.71"/>
    <col collapsed="false" customWidth="false" hidden="false" outlineLevel="0" max="2821" min="2819" style="19" width="9.14"/>
    <col collapsed="false" customWidth="true" hidden="false" outlineLevel="0" max="2822" min="2822" style="19" width="10.71"/>
    <col collapsed="false" customWidth="true" hidden="false" outlineLevel="0" max="2823" min="2823" style="19" width="9.57"/>
    <col collapsed="false" customWidth="false" hidden="false" outlineLevel="0" max="3072" min="2824" style="19" width="9.14"/>
    <col collapsed="false" customWidth="true" hidden="false" outlineLevel="0" max="3073" min="3073" style="19" width="21.71"/>
    <col collapsed="false" customWidth="true" hidden="false" outlineLevel="0" max="3074" min="3074" style="19" width="9.71"/>
    <col collapsed="false" customWidth="false" hidden="false" outlineLevel="0" max="3077" min="3075" style="19" width="9.14"/>
    <col collapsed="false" customWidth="true" hidden="false" outlineLevel="0" max="3078" min="3078" style="19" width="10.71"/>
    <col collapsed="false" customWidth="true" hidden="false" outlineLevel="0" max="3079" min="3079" style="19" width="9.57"/>
    <col collapsed="false" customWidth="false" hidden="false" outlineLevel="0" max="3328" min="3080" style="19" width="9.14"/>
    <col collapsed="false" customWidth="true" hidden="false" outlineLevel="0" max="3329" min="3329" style="19" width="21.71"/>
    <col collapsed="false" customWidth="true" hidden="false" outlineLevel="0" max="3330" min="3330" style="19" width="9.71"/>
    <col collapsed="false" customWidth="false" hidden="false" outlineLevel="0" max="3333" min="3331" style="19" width="9.14"/>
    <col collapsed="false" customWidth="true" hidden="false" outlineLevel="0" max="3334" min="3334" style="19" width="10.71"/>
    <col collapsed="false" customWidth="true" hidden="false" outlineLevel="0" max="3335" min="3335" style="19" width="9.57"/>
    <col collapsed="false" customWidth="false" hidden="false" outlineLevel="0" max="3584" min="3336" style="19" width="9.14"/>
    <col collapsed="false" customWidth="true" hidden="false" outlineLevel="0" max="3585" min="3585" style="19" width="21.71"/>
    <col collapsed="false" customWidth="true" hidden="false" outlineLevel="0" max="3586" min="3586" style="19" width="9.71"/>
    <col collapsed="false" customWidth="false" hidden="false" outlineLevel="0" max="3589" min="3587" style="19" width="9.14"/>
    <col collapsed="false" customWidth="true" hidden="false" outlineLevel="0" max="3590" min="3590" style="19" width="10.71"/>
    <col collapsed="false" customWidth="true" hidden="false" outlineLevel="0" max="3591" min="3591" style="19" width="9.57"/>
    <col collapsed="false" customWidth="false" hidden="false" outlineLevel="0" max="3840" min="3592" style="19" width="9.14"/>
    <col collapsed="false" customWidth="true" hidden="false" outlineLevel="0" max="3841" min="3841" style="19" width="21.71"/>
    <col collapsed="false" customWidth="true" hidden="false" outlineLevel="0" max="3842" min="3842" style="19" width="9.71"/>
    <col collapsed="false" customWidth="false" hidden="false" outlineLevel="0" max="3845" min="3843" style="19" width="9.14"/>
    <col collapsed="false" customWidth="true" hidden="false" outlineLevel="0" max="3846" min="3846" style="19" width="10.71"/>
    <col collapsed="false" customWidth="true" hidden="false" outlineLevel="0" max="3847" min="3847" style="19" width="9.57"/>
    <col collapsed="false" customWidth="false" hidden="false" outlineLevel="0" max="4096" min="3848" style="19" width="9.14"/>
    <col collapsed="false" customWidth="true" hidden="false" outlineLevel="0" max="4097" min="4097" style="19" width="21.71"/>
    <col collapsed="false" customWidth="true" hidden="false" outlineLevel="0" max="4098" min="4098" style="19" width="9.71"/>
    <col collapsed="false" customWidth="false" hidden="false" outlineLevel="0" max="4101" min="4099" style="19" width="9.14"/>
    <col collapsed="false" customWidth="true" hidden="false" outlineLevel="0" max="4102" min="4102" style="19" width="10.71"/>
    <col collapsed="false" customWidth="true" hidden="false" outlineLevel="0" max="4103" min="4103" style="19" width="9.57"/>
    <col collapsed="false" customWidth="false" hidden="false" outlineLevel="0" max="4352" min="4104" style="19" width="9.14"/>
    <col collapsed="false" customWidth="true" hidden="false" outlineLevel="0" max="4353" min="4353" style="19" width="21.71"/>
    <col collapsed="false" customWidth="true" hidden="false" outlineLevel="0" max="4354" min="4354" style="19" width="9.71"/>
    <col collapsed="false" customWidth="false" hidden="false" outlineLevel="0" max="4357" min="4355" style="19" width="9.14"/>
    <col collapsed="false" customWidth="true" hidden="false" outlineLevel="0" max="4358" min="4358" style="19" width="10.71"/>
    <col collapsed="false" customWidth="true" hidden="false" outlineLevel="0" max="4359" min="4359" style="19" width="9.57"/>
    <col collapsed="false" customWidth="false" hidden="false" outlineLevel="0" max="4608" min="4360" style="19" width="9.14"/>
    <col collapsed="false" customWidth="true" hidden="false" outlineLevel="0" max="4609" min="4609" style="19" width="21.71"/>
    <col collapsed="false" customWidth="true" hidden="false" outlineLevel="0" max="4610" min="4610" style="19" width="9.71"/>
    <col collapsed="false" customWidth="false" hidden="false" outlineLevel="0" max="4613" min="4611" style="19" width="9.14"/>
    <col collapsed="false" customWidth="true" hidden="false" outlineLevel="0" max="4614" min="4614" style="19" width="10.71"/>
    <col collapsed="false" customWidth="true" hidden="false" outlineLevel="0" max="4615" min="4615" style="19" width="9.57"/>
    <col collapsed="false" customWidth="false" hidden="false" outlineLevel="0" max="4864" min="4616" style="19" width="9.14"/>
    <col collapsed="false" customWidth="true" hidden="false" outlineLevel="0" max="4865" min="4865" style="19" width="21.71"/>
    <col collapsed="false" customWidth="true" hidden="false" outlineLevel="0" max="4866" min="4866" style="19" width="9.71"/>
    <col collapsed="false" customWidth="false" hidden="false" outlineLevel="0" max="4869" min="4867" style="19" width="9.14"/>
    <col collapsed="false" customWidth="true" hidden="false" outlineLevel="0" max="4870" min="4870" style="19" width="10.71"/>
    <col collapsed="false" customWidth="true" hidden="false" outlineLevel="0" max="4871" min="4871" style="19" width="9.57"/>
    <col collapsed="false" customWidth="false" hidden="false" outlineLevel="0" max="5120" min="4872" style="19" width="9.14"/>
    <col collapsed="false" customWidth="true" hidden="false" outlineLevel="0" max="5121" min="5121" style="19" width="21.71"/>
    <col collapsed="false" customWidth="true" hidden="false" outlineLevel="0" max="5122" min="5122" style="19" width="9.71"/>
    <col collapsed="false" customWidth="false" hidden="false" outlineLevel="0" max="5125" min="5123" style="19" width="9.14"/>
    <col collapsed="false" customWidth="true" hidden="false" outlineLevel="0" max="5126" min="5126" style="19" width="10.71"/>
    <col collapsed="false" customWidth="true" hidden="false" outlineLevel="0" max="5127" min="5127" style="19" width="9.57"/>
    <col collapsed="false" customWidth="false" hidden="false" outlineLevel="0" max="5376" min="5128" style="19" width="9.14"/>
    <col collapsed="false" customWidth="true" hidden="false" outlineLevel="0" max="5377" min="5377" style="19" width="21.71"/>
    <col collapsed="false" customWidth="true" hidden="false" outlineLevel="0" max="5378" min="5378" style="19" width="9.71"/>
    <col collapsed="false" customWidth="false" hidden="false" outlineLevel="0" max="5381" min="5379" style="19" width="9.14"/>
    <col collapsed="false" customWidth="true" hidden="false" outlineLevel="0" max="5382" min="5382" style="19" width="10.71"/>
    <col collapsed="false" customWidth="true" hidden="false" outlineLevel="0" max="5383" min="5383" style="19" width="9.57"/>
    <col collapsed="false" customWidth="false" hidden="false" outlineLevel="0" max="5632" min="5384" style="19" width="9.14"/>
    <col collapsed="false" customWidth="true" hidden="false" outlineLevel="0" max="5633" min="5633" style="19" width="21.71"/>
    <col collapsed="false" customWidth="true" hidden="false" outlineLevel="0" max="5634" min="5634" style="19" width="9.71"/>
    <col collapsed="false" customWidth="false" hidden="false" outlineLevel="0" max="5637" min="5635" style="19" width="9.14"/>
    <col collapsed="false" customWidth="true" hidden="false" outlineLevel="0" max="5638" min="5638" style="19" width="10.71"/>
    <col collapsed="false" customWidth="true" hidden="false" outlineLevel="0" max="5639" min="5639" style="19" width="9.57"/>
    <col collapsed="false" customWidth="false" hidden="false" outlineLevel="0" max="5888" min="5640" style="19" width="9.14"/>
    <col collapsed="false" customWidth="true" hidden="false" outlineLevel="0" max="5889" min="5889" style="19" width="21.71"/>
    <col collapsed="false" customWidth="true" hidden="false" outlineLevel="0" max="5890" min="5890" style="19" width="9.71"/>
    <col collapsed="false" customWidth="false" hidden="false" outlineLevel="0" max="5893" min="5891" style="19" width="9.14"/>
    <col collapsed="false" customWidth="true" hidden="false" outlineLevel="0" max="5894" min="5894" style="19" width="10.71"/>
    <col collapsed="false" customWidth="true" hidden="false" outlineLevel="0" max="5895" min="5895" style="19" width="9.57"/>
    <col collapsed="false" customWidth="false" hidden="false" outlineLevel="0" max="6144" min="5896" style="19" width="9.14"/>
    <col collapsed="false" customWidth="true" hidden="false" outlineLevel="0" max="6145" min="6145" style="19" width="21.71"/>
    <col collapsed="false" customWidth="true" hidden="false" outlineLevel="0" max="6146" min="6146" style="19" width="9.71"/>
    <col collapsed="false" customWidth="false" hidden="false" outlineLevel="0" max="6149" min="6147" style="19" width="9.14"/>
    <col collapsed="false" customWidth="true" hidden="false" outlineLevel="0" max="6150" min="6150" style="19" width="10.71"/>
    <col collapsed="false" customWidth="true" hidden="false" outlineLevel="0" max="6151" min="6151" style="19" width="9.57"/>
    <col collapsed="false" customWidth="false" hidden="false" outlineLevel="0" max="6400" min="6152" style="19" width="9.14"/>
    <col collapsed="false" customWidth="true" hidden="false" outlineLevel="0" max="6401" min="6401" style="19" width="21.71"/>
    <col collapsed="false" customWidth="true" hidden="false" outlineLevel="0" max="6402" min="6402" style="19" width="9.71"/>
    <col collapsed="false" customWidth="false" hidden="false" outlineLevel="0" max="6405" min="6403" style="19" width="9.14"/>
    <col collapsed="false" customWidth="true" hidden="false" outlineLevel="0" max="6406" min="6406" style="19" width="10.71"/>
    <col collapsed="false" customWidth="true" hidden="false" outlineLevel="0" max="6407" min="6407" style="19" width="9.57"/>
    <col collapsed="false" customWidth="false" hidden="false" outlineLevel="0" max="6656" min="6408" style="19" width="9.14"/>
    <col collapsed="false" customWidth="true" hidden="false" outlineLevel="0" max="6657" min="6657" style="19" width="21.71"/>
    <col collapsed="false" customWidth="true" hidden="false" outlineLevel="0" max="6658" min="6658" style="19" width="9.71"/>
    <col collapsed="false" customWidth="false" hidden="false" outlineLevel="0" max="6661" min="6659" style="19" width="9.14"/>
    <col collapsed="false" customWidth="true" hidden="false" outlineLevel="0" max="6662" min="6662" style="19" width="10.71"/>
    <col collapsed="false" customWidth="true" hidden="false" outlineLevel="0" max="6663" min="6663" style="19" width="9.57"/>
    <col collapsed="false" customWidth="false" hidden="false" outlineLevel="0" max="6912" min="6664" style="19" width="9.14"/>
    <col collapsed="false" customWidth="true" hidden="false" outlineLevel="0" max="6913" min="6913" style="19" width="21.71"/>
    <col collapsed="false" customWidth="true" hidden="false" outlineLevel="0" max="6914" min="6914" style="19" width="9.71"/>
    <col collapsed="false" customWidth="false" hidden="false" outlineLevel="0" max="6917" min="6915" style="19" width="9.14"/>
    <col collapsed="false" customWidth="true" hidden="false" outlineLevel="0" max="6918" min="6918" style="19" width="10.71"/>
    <col collapsed="false" customWidth="true" hidden="false" outlineLevel="0" max="6919" min="6919" style="19" width="9.57"/>
    <col collapsed="false" customWidth="false" hidden="false" outlineLevel="0" max="7168" min="6920" style="19" width="9.14"/>
    <col collapsed="false" customWidth="true" hidden="false" outlineLevel="0" max="7169" min="7169" style="19" width="21.71"/>
    <col collapsed="false" customWidth="true" hidden="false" outlineLevel="0" max="7170" min="7170" style="19" width="9.71"/>
    <col collapsed="false" customWidth="false" hidden="false" outlineLevel="0" max="7173" min="7171" style="19" width="9.14"/>
    <col collapsed="false" customWidth="true" hidden="false" outlineLevel="0" max="7174" min="7174" style="19" width="10.71"/>
    <col collapsed="false" customWidth="true" hidden="false" outlineLevel="0" max="7175" min="7175" style="19" width="9.57"/>
    <col collapsed="false" customWidth="false" hidden="false" outlineLevel="0" max="7424" min="7176" style="19" width="9.14"/>
    <col collapsed="false" customWidth="true" hidden="false" outlineLevel="0" max="7425" min="7425" style="19" width="21.71"/>
    <col collapsed="false" customWidth="true" hidden="false" outlineLevel="0" max="7426" min="7426" style="19" width="9.71"/>
    <col collapsed="false" customWidth="false" hidden="false" outlineLevel="0" max="7429" min="7427" style="19" width="9.14"/>
    <col collapsed="false" customWidth="true" hidden="false" outlineLevel="0" max="7430" min="7430" style="19" width="10.71"/>
    <col collapsed="false" customWidth="true" hidden="false" outlineLevel="0" max="7431" min="7431" style="19" width="9.57"/>
    <col collapsed="false" customWidth="false" hidden="false" outlineLevel="0" max="7680" min="7432" style="19" width="9.14"/>
    <col collapsed="false" customWidth="true" hidden="false" outlineLevel="0" max="7681" min="7681" style="19" width="21.71"/>
    <col collapsed="false" customWidth="true" hidden="false" outlineLevel="0" max="7682" min="7682" style="19" width="9.71"/>
    <col collapsed="false" customWidth="false" hidden="false" outlineLevel="0" max="7685" min="7683" style="19" width="9.14"/>
    <col collapsed="false" customWidth="true" hidden="false" outlineLevel="0" max="7686" min="7686" style="19" width="10.71"/>
    <col collapsed="false" customWidth="true" hidden="false" outlineLevel="0" max="7687" min="7687" style="19" width="9.57"/>
    <col collapsed="false" customWidth="false" hidden="false" outlineLevel="0" max="7936" min="7688" style="19" width="9.14"/>
    <col collapsed="false" customWidth="true" hidden="false" outlineLevel="0" max="7937" min="7937" style="19" width="21.71"/>
    <col collapsed="false" customWidth="true" hidden="false" outlineLevel="0" max="7938" min="7938" style="19" width="9.71"/>
    <col collapsed="false" customWidth="false" hidden="false" outlineLevel="0" max="7941" min="7939" style="19" width="9.14"/>
    <col collapsed="false" customWidth="true" hidden="false" outlineLevel="0" max="7942" min="7942" style="19" width="10.71"/>
    <col collapsed="false" customWidth="true" hidden="false" outlineLevel="0" max="7943" min="7943" style="19" width="9.57"/>
    <col collapsed="false" customWidth="false" hidden="false" outlineLevel="0" max="8192" min="7944" style="19" width="9.14"/>
    <col collapsed="false" customWidth="true" hidden="false" outlineLevel="0" max="8193" min="8193" style="19" width="21.71"/>
    <col collapsed="false" customWidth="true" hidden="false" outlineLevel="0" max="8194" min="8194" style="19" width="9.71"/>
    <col collapsed="false" customWidth="false" hidden="false" outlineLevel="0" max="8197" min="8195" style="19" width="9.14"/>
    <col collapsed="false" customWidth="true" hidden="false" outlineLevel="0" max="8198" min="8198" style="19" width="10.71"/>
    <col collapsed="false" customWidth="true" hidden="false" outlineLevel="0" max="8199" min="8199" style="19" width="9.57"/>
    <col collapsed="false" customWidth="false" hidden="false" outlineLevel="0" max="8448" min="8200" style="19" width="9.14"/>
    <col collapsed="false" customWidth="true" hidden="false" outlineLevel="0" max="8449" min="8449" style="19" width="21.71"/>
    <col collapsed="false" customWidth="true" hidden="false" outlineLevel="0" max="8450" min="8450" style="19" width="9.71"/>
    <col collapsed="false" customWidth="false" hidden="false" outlineLevel="0" max="8453" min="8451" style="19" width="9.14"/>
    <col collapsed="false" customWidth="true" hidden="false" outlineLevel="0" max="8454" min="8454" style="19" width="10.71"/>
    <col collapsed="false" customWidth="true" hidden="false" outlineLevel="0" max="8455" min="8455" style="19" width="9.57"/>
    <col collapsed="false" customWidth="false" hidden="false" outlineLevel="0" max="8704" min="8456" style="19" width="9.14"/>
    <col collapsed="false" customWidth="true" hidden="false" outlineLevel="0" max="8705" min="8705" style="19" width="21.71"/>
    <col collapsed="false" customWidth="true" hidden="false" outlineLevel="0" max="8706" min="8706" style="19" width="9.71"/>
    <col collapsed="false" customWidth="false" hidden="false" outlineLevel="0" max="8709" min="8707" style="19" width="9.14"/>
    <col collapsed="false" customWidth="true" hidden="false" outlineLevel="0" max="8710" min="8710" style="19" width="10.71"/>
    <col collapsed="false" customWidth="true" hidden="false" outlineLevel="0" max="8711" min="8711" style="19" width="9.57"/>
    <col collapsed="false" customWidth="false" hidden="false" outlineLevel="0" max="8960" min="8712" style="19" width="9.14"/>
    <col collapsed="false" customWidth="true" hidden="false" outlineLevel="0" max="8961" min="8961" style="19" width="21.71"/>
    <col collapsed="false" customWidth="true" hidden="false" outlineLevel="0" max="8962" min="8962" style="19" width="9.71"/>
    <col collapsed="false" customWidth="false" hidden="false" outlineLevel="0" max="8965" min="8963" style="19" width="9.14"/>
    <col collapsed="false" customWidth="true" hidden="false" outlineLevel="0" max="8966" min="8966" style="19" width="10.71"/>
    <col collapsed="false" customWidth="true" hidden="false" outlineLevel="0" max="8967" min="8967" style="19" width="9.57"/>
    <col collapsed="false" customWidth="false" hidden="false" outlineLevel="0" max="9216" min="8968" style="19" width="9.14"/>
    <col collapsed="false" customWidth="true" hidden="false" outlineLevel="0" max="9217" min="9217" style="19" width="21.71"/>
    <col collapsed="false" customWidth="true" hidden="false" outlineLevel="0" max="9218" min="9218" style="19" width="9.71"/>
    <col collapsed="false" customWidth="false" hidden="false" outlineLevel="0" max="9221" min="9219" style="19" width="9.14"/>
    <col collapsed="false" customWidth="true" hidden="false" outlineLevel="0" max="9222" min="9222" style="19" width="10.71"/>
    <col collapsed="false" customWidth="true" hidden="false" outlineLevel="0" max="9223" min="9223" style="19" width="9.57"/>
    <col collapsed="false" customWidth="false" hidden="false" outlineLevel="0" max="9472" min="9224" style="19" width="9.14"/>
    <col collapsed="false" customWidth="true" hidden="false" outlineLevel="0" max="9473" min="9473" style="19" width="21.71"/>
    <col collapsed="false" customWidth="true" hidden="false" outlineLevel="0" max="9474" min="9474" style="19" width="9.71"/>
    <col collapsed="false" customWidth="false" hidden="false" outlineLevel="0" max="9477" min="9475" style="19" width="9.14"/>
    <col collapsed="false" customWidth="true" hidden="false" outlineLevel="0" max="9478" min="9478" style="19" width="10.71"/>
    <col collapsed="false" customWidth="true" hidden="false" outlineLevel="0" max="9479" min="9479" style="19" width="9.57"/>
    <col collapsed="false" customWidth="false" hidden="false" outlineLevel="0" max="9728" min="9480" style="19" width="9.14"/>
    <col collapsed="false" customWidth="true" hidden="false" outlineLevel="0" max="9729" min="9729" style="19" width="21.71"/>
    <col collapsed="false" customWidth="true" hidden="false" outlineLevel="0" max="9730" min="9730" style="19" width="9.71"/>
    <col collapsed="false" customWidth="false" hidden="false" outlineLevel="0" max="9733" min="9731" style="19" width="9.14"/>
    <col collapsed="false" customWidth="true" hidden="false" outlineLevel="0" max="9734" min="9734" style="19" width="10.71"/>
    <col collapsed="false" customWidth="true" hidden="false" outlineLevel="0" max="9735" min="9735" style="19" width="9.57"/>
    <col collapsed="false" customWidth="false" hidden="false" outlineLevel="0" max="9984" min="9736" style="19" width="9.14"/>
    <col collapsed="false" customWidth="true" hidden="false" outlineLevel="0" max="9985" min="9985" style="19" width="21.71"/>
    <col collapsed="false" customWidth="true" hidden="false" outlineLevel="0" max="9986" min="9986" style="19" width="9.71"/>
    <col collapsed="false" customWidth="false" hidden="false" outlineLevel="0" max="9989" min="9987" style="19" width="9.14"/>
    <col collapsed="false" customWidth="true" hidden="false" outlineLevel="0" max="9990" min="9990" style="19" width="10.71"/>
    <col collapsed="false" customWidth="true" hidden="false" outlineLevel="0" max="9991" min="9991" style="19" width="9.57"/>
    <col collapsed="false" customWidth="false" hidden="false" outlineLevel="0" max="10240" min="9992" style="19" width="9.14"/>
    <col collapsed="false" customWidth="true" hidden="false" outlineLevel="0" max="10241" min="10241" style="19" width="21.71"/>
    <col collapsed="false" customWidth="true" hidden="false" outlineLevel="0" max="10242" min="10242" style="19" width="9.71"/>
    <col collapsed="false" customWidth="false" hidden="false" outlineLevel="0" max="10245" min="10243" style="19" width="9.14"/>
    <col collapsed="false" customWidth="true" hidden="false" outlineLevel="0" max="10246" min="10246" style="19" width="10.71"/>
    <col collapsed="false" customWidth="true" hidden="false" outlineLevel="0" max="10247" min="10247" style="19" width="9.57"/>
    <col collapsed="false" customWidth="false" hidden="false" outlineLevel="0" max="10496" min="10248" style="19" width="9.14"/>
    <col collapsed="false" customWidth="true" hidden="false" outlineLevel="0" max="10497" min="10497" style="19" width="21.71"/>
    <col collapsed="false" customWidth="true" hidden="false" outlineLevel="0" max="10498" min="10498" style="19" width="9.71"/>
    <col collapsed="false" customWidth="false" hidden="false" outlineLevel="0" max="10501" min="10499" style="19" width="9.14"/>
    <col collapsed="false" customWidth="true" hidden="false" outlineLevel="0" max="10502" min="10502" style="19" width="10.71"/>
    <col collapsed="false" customWidth="true" hidden="false" outlineLevel="0" max="10503" min="10503" style="19" width="9.57"/>
    <col collapsed="false" customWidth="false" hidden="false" outlineLevel="0" max="10752" min="10504" style="19" width="9.14"/>
    <col collapsed="false" customWidth="true" hidden="false" outlineLevel="0" max="10753" min="10753" style="19" width="21.71"/>
    <col collapsed="false" customWidth="true" hidden="false" outlineLevel="0" max="10754" min="10754" style="19" width="9.71"/>
    <col collapsed="false" customWidth="false" hidden="false" outlineLevel="0" max="10757" min="10755" style="19" width="9.14"/>
    <col collapsed="false" customWidth="true" hidden="false" outlineLevel="0" max="10758" min="10758" style="19" width="10.71"/>
    <col collapsed="false" customWidth="true" hidden="false" outlineLevel="0" max="10759" min="10759" style="19" width="9.57"/>
    <col collapsed="false" customWidth="false" hidden="false" outlineLevel="0" max="11008" min="10760" style="19" width="9.14"/>
    <col collapsed="false" customWidth="true" hidden="false" outlineLevel="0" max="11009" min="11009" style="19" width="21.71"/>
    <col collapsed="false" customWidth="true" hidden="false" outlineLevel="0" max="11010" min="11010" style="19" width="9.71"/>
    <col collapsed="false" customWidth="false" hidden="false" outlineLevel="0" max="11013" min="11011" style="19" width="9.14"/>
    <col collapsed="false" customWidth="true" hidden="false" outlineLevel="0" max="11014" min="11014" style="19" width="10.71"/>
    <col collapsed="false" customWidth="true" hidden="false" outlineLevel="0" max="11015" min="11015" style="19" width="9.57"/>
    <col collapsed="false" customWidth="false" hidden="false" outlineLevel="0" max="11264" min="11016" style="19" width="9.14"/>
    <col collapsed="false" customWidth="true" hidden="false" outlineLevel="0" max="11265" min="11265" style="19" width="21.71"/>
    <col collapsed="false" customWidth="true" hidden="false" outlineLevel="0" max="11266" min="11266" style="19" width="9.71"/>
    <col collapsed="false" customWidth="false" hidden="false" outlineLevel="0" max="11269" min="11267" style="19" width="9.14"/>
    <col collapsed="false" customWidth="true" hidden="false" outlineLevel="0" max="11270" min="11270" style="19" width="10.71"/>
    <col collapsed="false" customWidth="true" hidden="false" outlineLevel="0" max="11271" min="11271" style="19" width="9.57"/>
    <col collapsed="false" customWidth="false" hidden="false" outlineLevel="0" max="11520" min="11272" style="19" width="9.14"/>
    <col collapsed="false" customWidth="true" hidden="false" outlineLevel="0" max="11521" min="11521" style="19" width="21.71"/>
    <col collapsed="false" customWidth="true" hidden="false" outlineLevel="0" max="11522" min="11522" style="19" width="9.71"/>
    <col collapsed="false" customWidth="false" hidden="false" outlineLevel="0" max="11525" min="11523" style="19" width="9.14"/>
    <col collapsed="false" customWidth="true" hidden="false" outlineLevel="0" max="11526" min="11526" style="19" width="10.71"/>
    <col collapsed="false" customWidth="true" hidden="false" outlineLevel="0" max="11527" min="11527" style="19" width="9.57"/>
    <col collapsed="false" customWidth="false" hidden="false" outlineLevel="0" max="11776" min="11528" style="19" width="9.14"/>
    <col collapsed="false" customWidth="true" hidden="false" outlineLevel="0" max="11777" min="11777" style="19" width="21.71"/>
    <col collapsed="false" customWidth="true" hidden="false" outlineLevel="0" max="11778" min="11778" style="19" width="9.71"/>
    <col collapsed="false" customWidth="false" hidden="false" outlineLevel="0" max="11781" min="11779" style="19" width="9.14"/>
    <col collapsed="false" customWidth="true" hidden="false" outlineLevel="0" max="11782" min="11782" style="19" width="10.71"/>
    <col collapsed="false" customWidth="true" hidden="false" outlineLevel="0" max="11783" min="11783" style="19" width="9.57"/>
    <col collapsed="false" customWidth="false" hidden="false" outlineLevel="0" max="12032" min="11784" style="19" width="9.14"/>
    <col collapsed="false" customWidth="true" hidden="false" outlineLevel="0" max="12033" min="12033" style="19" width="21.71"/>
    <col collapsed="false" customWidth="true" hidden="false" outlineLevel="0" max="12034" min="12034" style="19" width="9.71"/>
    <col collapsed="false" customWidth="false" hidden="false" outlineLevel="0" max="12037" min="12035" style="19" width="9.14"/>
    <col collapsed="false" customWidth="true" hidden="false" outlineLevel="0" max="12038" min="12038" style="19" width="10.71"/>
    <col collapsed="false" customWidth="true" hidden="false" outlineLevel="0" max="12039" min="12039" style="19" width="9.57"/>
    <col collapsed="false" customWidth="false" hidden="false" outlineLevel="0" max="12288" min="12040" style="19" width="9.14"/>
    <col collapsed="false" customWidth="true" hidden="false" outlineLevel="0" max="12289" min="12289" style="19" width="21.71"/>
    <col collapsed="false" customWidth="true" hidden="false" outlineLevel="0" max="12290" min="12290" style="19" width="9.71"/>
    <col collapsed="false" customWidth="false" hidden="false" outlineLevel="0" max="12293" min="12291" style="19" width="9.14"/>
    <col collapsed="false" customWidth="true" hidden="false" outlineLevel="0" max="12294" min="12294" style="19" width="10.71"/>
    <col collapsed="false" customWidth="true" hidden="false" outlineLevel="0" max="12295" min="12295" style="19" width="9.57"/>
    <col collapsed="false" customWidth="false" hidden="false" outlineLevel="0" max="12544" min="12296" style="19" width="9.14"/>
    <col collapsed="false" customWidth="true" hidden="false" outlineLevel="0" max="12545" min="12545" style="19" width="21.71"/>
    <col collapsed="false" customWidth="true" hidden="false" outlineLevel="0" max="12546" min="12546" style="19" width="9.71"/>
    <col collapsed="false" customWidth="false" hidden="false" outlineLevel="0" max="12549" min="12547" style="19" width="9.14"/>
    <col collapsed="false" customWidth="true" hidden="false" outlineLevel="0" max="12550" min="12550" style="19" width="10.71"/>
    <col collapsed="false" customWidth="true" hidden="false" outlineLevel="0" max="12551" min="12551" style="19" width="9.57"/>
    <col collapsed="false" customWidth="false" hidden="false" outlineLevel="0" max="12800" min="12552" style="19" width="9.14"/>
    <col collapsed="false" customWidth="true" hidden="false" outlineLevel="0" max="12801" min="12801" style="19" width="21.71"/>
    <col collapsed="false" customWidth="true" hidden="false" outlineLevel="0" max="12802" min="12802" style="19" width="9.71"/>
    <col collapsed="false" customWidth="false" hidden="false" outlineLevel="0" max="12805" min="12803" style="19" width="9.14"/>
    <col collapsed="false" customWidth="true" hidden="false" outlineLevel="0" max="12806" min="12806" style="19" width="10.71"/>
    <col collapsed="false" customWidth="true" hidden="false" outlineLevel="0" max="12807" min="12807" style="19" width="9.57"/>
    <col collapsed="false" customWidth="false" hidden="false" outlineLevel="0" max="13056" min="12808" style="19" width="9.14"/>
    <col collapsed="false" customWidth="true" hidden="false" outlineLevel="0" max="13057" min="13057" style="19" width="21.71"/>
    <col collapsed="false" customWidth="true" hidden="false" outlineLevel="0" max="13058" min="13058" style="19" width="9.71"/>
    <col collapsed="false" customWidth="false" hidden="false" outlineLevel="0" max="13061" min="13059" style="19" width="9.14"/>
    <col collapsed="false" customWidth="true" hidden="false" outlineLevel="0" max="13062" min="13062" style="19" width="10.71"/>
    <col collapsed="false" customWidth="true" hidden="false" outlineLevel="0" max="13063" min="13063" style="19" width="9.57"/>
    <col collapsed="false" customWidth="false" hidden="false" outlineLevel="0" max="13312" min="13064" style="19" width="9.14"/>
    <col collapsed="false" customWidth="true" hidden="false" outlineLevel="0" max="13313" min="13313" style="19" width="21.71"/>
    <col collapsed="false" customWidth="true" hidden="false" outlineLevel="0" max="13314" min="13314" style="19" width="9.71"/>
    <col collapsed="false" customWidth="false" hidden="false" outlineLevel="0" max="13317" min="13315" style="19" width="9.14"/>
    <col collapsed="false" customWidth="true" hidden="false" outlineLevel="0" max="13318" min="13318" style="19" width="10.71"/>
    <col collapsed="false" customWidth="true" hidden="false" outlineLevel="0" max="13319" min="13319" style="19" width="9.57"/>
    <col collapsed="false" customWidth="false" hidden="false" outlineLevel="0" max="13568" min="13320" style="19" width="9.14"/>
    <col collapsed="false" customWidth="true" hidden="false" outlineLevel="0" max="13569" min="13569" style="19" width="21.71"/>
    <col collapsed="false" customWidth="true" hidden="false" outlineLevel="0" max="13570" min="13570" style="19" width="9.71"/>
    <col collapsed="false" customWidth="false" hidden="false" outlineLevel="0" max="13573" min="13571" style="19" width="9.14"/>
    <col collapsed="false" customWidth="true" hidden="false" outlineLevel="0" max="13574" min="13574" style="19" width="10.71"/>
    <col collapsed="false" customWidth="true" hidden="false" outlineLevel="0" max="13575" min="13575" style="19" width="9.57"/>
    <col collapsed="false" customWidth="false" hidden="false" outlineLevel="0" max="13824" min="13576" style="19" width="9.14"/>
    <col collapsed="false" customWidth="true" hidden="false" outlineLevel="0" max="13825" min="13825" style="19" width="21.71"/>
    <col collapsed="false" customWidth="true" hidden="false" outlineLevel="0" max="13826" min="13826" style="19" width="9.71"/>
    <col collapsed="false" customWidth="false" hidden="false" outlineLevel="0" max="13829" min="13827" style="19" width="9.14"/>
    <col collapsed="false" customWidth="true" hidden="false" outlineLevel="0" max="13830" min="13830" style="19" width="10.71"/>
    <col collapsed="false" customWidth="true" hidden="false" outlineLevel="0" max="13831" min="13831" style="19" width="9.57"/>
    <col collapsed="false" customWidth="false" hidden="false" outlineLevel="0" max="14080" min="13832" style="19" width="9.14"/>
    <col collapsed="false" customWidth="true" hidden="false" outlineLevel="0" max="14081" min="14081" style="19" width="21.71"/>
    <col collapsed="false" customWidth="true" hidden="false" outlineLevel="0" max="14082" min="14082" style="19" width="9.71"/>
    <col collapsed="false" customWidth="false" hidden="false" outlineLevel="0" max="14085" min="14083" style="19" width="9.14"/>
    <col collapsed="false" customWidth="true" hidden="false" outlineLevel="0" max="14086" min="14086" style="19" width="10.71"/>
    <col collapsed="false" customWidth="true" hidden="false" outlineLevel="0" max="14087" min="14087" style="19" width="9.57"/>
    <col collapsed="false" customWidth="false" hidden="false" outlineLevel="0" max="14336" min="14088" style="19" width="9.14"/>
    <col collapsed="false" customWidth="true" hidden="false" outlineLevel="0" max="14337" min="14337" style="19" width="21.71"/>
    <col collapsed="false" customWidth="true" hidden="false" outlineLevel="0" max="14338" min="14338" style="19" width="9.71"/>
    <col collapsed="false" customWidth="false" hidden="false" outlineLevel="0" max="14341" min="14339" style="19" width="9.14"/>
    <col collapsed="false" customWidth="true" hidden="false" outlineLevel="0" max="14342" min="14342" style="19" width="10.71"/>
    <col collapsed="false" customWidth="true" hidden="false" outlineLevel="0" max="14343" min="14343" style="19" width="9.57"/>
    <col collapsed="false" customWidth="false" hidden="false" outlineLevel="0" max="14592" min="14344" style="19" width="9.14"/>
    <col collapsed="false" customWidth="true" hidden="false" outlineLevel="0" max="14593" min="14593" style="19" width="21.71"/>
    <col collapsed="false" customWidth="true" hidden="false" outlineLevel="0" max="14594" min="14594" style="19" width="9.71"/>
    <col collapsed="false" customWidth="false" hidden="false" outlineLevel="0" max="14597" min="14595" style="19" width="9.14"/>
    <col collapsed="false" customWidth="true" hidden="false" outlineLevel="0" max="14598" min="14598" style="19" width="10.71"/>
    <col collapsed="false" customWidth="true" hidden="false" outlineLevel="0" max="14599" min="14599" style="19" width="9.57"/>
    <col collapsed="false" customWidth="false" hidden="false" outlineLevel="0" max="14848" min="14600" style="19" width="9.14"/>
    <col collapsed="false" customWidth="true" hidden="false" outlineLevel="0" max="14849" min="14849" style="19" width="21.71"/>
    <col collapsed="false" customWidth="true" hidden="false" outlineLevel="0" max="14850" min="14850" style="19" width="9.71"/>
    <col collapsed="false" customWidth="false" hidden="false" outlineLevel="0" max="14853" min="14851" style="19" width="9.14"/>
    <col collapsed="false" customWidth="true" hidden="false" outlineLevel="0" max="14854" min="14854" style="19" width="10.71"/>
    <col collapsed="false" customWidth="true" hidden="false" outlineLevel="0" max="14855" min="14855" style="19" width="9.57"/>
    <col collapsed="false" customWidth="false" hidden="false" outlineLevel="0" max="15104" min="14856" style="19" width="9.14"/>
    <col collapsed="false" customWidth="true" hidden="false" outlineLevel="0" max="15105" min="15105" style="19" width="21.71"/>
    <col collapsed="false" customWidth="true" hidden="false" outlineLevel="0" max="15106" min="15106" style="19" width="9.71"/>
    <col collapsed="false" customWidth="false" hidden="false" outlineLevel="0" max="15109" min="15107" style="19" width="9.14"/>
    <col collapsed="false" customWidth="true" hidden="false" outlineLevel="0" max="15110" min="15110" style="19" width="10.71"/>
    <col collapsed="false" customWidth="true" hidden="false" outlineLevel="0" max="15111" min="15111" style="19" width="9.57"/>
    <col collapsed="false" customWidth="false" hidden="false" outlineLevel="0" max="15360" min="15112" style="19" width="9.14"/>
    <col collapsed="false" customWidth="true" hidden="false" outlineLevel="0" max="15361" min="15361" style="19" width="21.71"/>
    <col collapsed="false" customWidth="true" hidden="false" outlineLevel="0" max="15362" min="15362" style="19" width="9.71"/>
    <col collapsed="false" customWidth="false" hidden="false" outlineLevel="0" max="15365" min="15363" style="19" width="9.14"/>
    <col collapsed="false" customWidth="true" hidden="false" outlineLevel="0" max="15366" min="15366" style="19" width="10.71"/>
    <col collapsed="false" customWidth="true" hidden="false" outlineLevel="0" max="15367" min="15367" style="19" width="9.57"/>
    <col collapsed="false" customWidth="false" hidden="false" outlineLevel="0" max="15616" min="15368" style="19" width="9.14"/>
    <col collapsed="false" customWidth="true" hidden="false" outlineLevel="0" max="15617" min="15617" style="19" width="21.71"/>
    <col collapsed="false" customWidth="true" hidden="false" outlineLevel="0" max="15618" min="15618" style="19" width="9.71"/>
    <col collapsed="false" customWidth="false" hidden="false" outlineLevel="0" max="15621" min="15619" style="19" width="9.14"/>
    <col collapsed="false" customWidth="true" hidden="false" outlineLevel="0" max="15622" min="15622" style="19" width="10.71"/>
    <col collapsed="false" customWidth="true" hidden="false" outlineLevel="0" max="15623" min="15623" style="19" width="9.57"/>
    <col collapsed="false" customWidth="false" hidden="false" outlineLevel="0" max="15872" min="15624" style="19" width="9.14"/>
    <col collapsed="false" customWidth="true" hidden="false" outlineLevel="0" max="15873" min="15873" style="19" width="21.71"/>
    <col collapsed="false" customWidth="true" hidden="false" outlineLevel="0" max="15874" min="15874" style="19" width="9.71"/>
    <col collapsed="false" customWidth="false" hidden="false" outlineLevel="0" max="15877" min="15875" style="19" width="9.14"/>
    <col collapsed="false" customWidth="true" hidden="false" outlineLevel="0" max="15878" min="15878" style="19" width="10.71"/>
    <col collapsed="false" customWidth="true" hidden="false" outlineLevel="0" max="15879" min="15879" style="19" width="9.57"/>
    <col collapsed="false" customWidth="false" hidden="false" outlineLevel="0" max="16128" min="15880" style="19" width="9.14"/>
    <col collapsed="false" customWidth="true" hidden="false" outlineLevel="0" max="16129" min="16129" style="19" width="21.71"/>
    <col collapsed="false" customWidth="true" hidden="false" outlineLevel="0" max="16130" min="16130" style="19" width="9.71"/>
    <col collapsed="false" customWidth="false" hidden="false" outlineLevel="0" max="16133" min="16131" style="19" width="9.14"/>
    <col collapsed="false" customWidth="true" hidden="false" outlineLevel="0" max="16134" min="16134" style="19" width="10.71"/>
    <col collapsed="false" customWidth="true" hidden="false" outlineLevel="0" max="16135" min="16135" style="19" width="9.57"/>
    <col collapsed="false" customWidth="false" hidden="false" outlineLevel="0" max="16384" min="16136" style="19" width="9.14"/>
  </cols>
  <sheetData>
    <row r="1" customFormat="false" ht="15.75" hidden="false" customHeight="false" outlineLevel="0" collapsed="false">
      <c r="A1" s="14" t="s">
        <v>126</v>
      </c>
      <c r="F1" s="17"/>
      <c r="G1" s="17"/>
    </row>
    <row r="2" customFormat="false" ht="12" hidden="false" customHeight="false" outlineLevel="0" collapsed="false">
      <c r="F2" s="17"/>
      <c r="G2" s="17"/>
    </row>
    <row r="3" customFormat="false" ht="48" hidden="false" customHeight="false" outlineLevel="0" collapsed="false">
      <c r="A3" s="20" t="n">
        <v>2011</v>
      </c>
      <c r="B3" s="21" t="s">
        <v>17</v>
      </c>
      <c r="C3" s="22" t="s">
        <v>106</v>
      </c>
      <c r="D3" s="22" t="s">
        <v>107</v>
      </c>
      <c r="E3" s="25" t="s">
        <v>108</v>
      </c>
      <c r="F3" s="74" t="s">
        <v>109</v>
      </c>
      <c r="G3" s="24" t="s">
        <v>110</v>
      </c>
      <c r="H3" s="22" t="s">
        <v>106</v>
      </c>
      <c r="I3" s="22" t="s">
        <v>107</v>
      </c>
      <c r="J3" s="178" t="s">
        <v>111</v>
      </c>
    </row>
    <row r="4" customFormat="false" ht="12" hidden="false" customHeight="false" outlineLevel="0" collapsed="false">
      <c r="A4" s="179" t="s">
        <v>95</v>
      </c>
      <c r="B4" s="230" t="n">
        <v>377.727</v>
      </c>
      <c r="C4" s="231"/>
      <c r="D4" s="232"/>
      <c r="E4" s="233" t="n">
        <v>0.112532588770605</v>
      </c>
      <c r="F4" s="230" t="n">
        <v>105.94</v>
      </c>
      <c r="G4" s="234" t="n">
        <v>2994.057</v>
      </c>
      <c r="H4" s="235"/>
      <c r="I4" s="235"/>
      <c r="J4" s="236" t="n">
        <v>265.76</v>
      </c>
    </row>
    <row r="5" customFormat="false" ht="12" hidden="false" customHeight="false" outlineLevel="0" collapsed="false">
      <c r="A5" s="187" t="s">
        <v>96</v>
      </c>
      <c r="B5" s="237" t="n">
        <v>14.459</v>
      </c>
      <c r="C5" s="238" t="n">
        <v>0.61684763814925</v>
      </c>
      <c r="D5" s="239" t="n">
        <v>0.38315236185075</v>
      </c>
      <c r="E5" s="240" t="n">
        <v>0.160356223937539</v>
      </c>
      <c r="F5" s="237" t="n">
        <v>2.629</v>
      </c>
      <c r="G5" s="241" t="n">
        <v>93.719</v>
      </c>
      <c r="H5" s="242" t="n">
        <v>0.279975245147729</v>
      </c>
      <c r="I5" s="242" t="n">
        <v>0.720024754852271</v>
      </c>
      <c r="J5" s="243" t="n">
        <v>5.191</v>
      </c>
      <c r="L5" s="227"/>
      <c r="M5" s="229"/>
    </row>
    <row r="6" customFormat="false" ht="12" hidden="false" customHeight="false" outlineLevel="0" collapsed="false">
      <c r="A6" s="80" t="s">
        <v>27</v>
      </c>
      <c r="B6" s="104" t="n">
        <v>3.386</v>
      </c>
      <c r="C6" s="166" t="n">
        <v>0.979326639102185</v>
      </c>
      <c r="D6" s="105" t="n">
        <v>0.0206733608978145</v>
      </c>
      <c r="E6" s="167" t="n">
        <v>0.0666574797724275</v>
      </c>
      <c r="F6" s="104" t="n">
        <v>1.129</v>
      </c>
      <c r="G6" s="107" t="n">
        <v>38.52</v>
      </c>
      <c r="H6" s="224" t="n">
        <v>0.991822429906542</v>
      </c>
      <c r="I6" s="224" t="n">
        <v>0.00817757009345794</v>
      </c>
      <c r="J6" s="106" t="n">
        <v>4.147</v>
      </c>
    </row>
    <row r="7" customFormat="false" ht="12" hidden="false" customHeight="false" outlineLevel="0" collapsed="false">
      <c r="A7" s="80" t="s">
        <v>28</v>
      </c>
      <c r="B7" s="104" t="n">
        <v>11.184</v>
      </c>
      <c r="C7" s="166" t="n">
        <v>0.735336194563662</v>
      </c>
      <c r="D7" s="105" t="n">
        <v>0.264663805436338</v>
      </c>
      <c r="E7" s="167" t="n">
        <v>0.127884373499211</v>
      </c>
      <c r="F7" s="104" t="n">
        <v>4.657</v>
      </c>
      <c r="G7" s="107" t="n">
        <v>121.111</v>
      </c>
      <c r="H7" s="224" t="n">
        <v>0.647728117181759</v>
      </c>
      <c r="I7" s="224" t="n">
        <v>0.352271882818241</v>
      </c>
      <c r="J7" s="106" t="n">
        <v>23.398</v>
      </c>
    </row>
    <row r="8" customFormat="false" ht="12" hidden="false" customHeight="false" outlineLevel="0" collapsed="false">
      <c r="A8" s="80" t="s">
        <v>29</v>
      </c>
      <c r="B8" s="104" t="n">
        <v>16.266</v>
      </c>
      <c r="C8" s="166" t="n">
        <v>0.871757039222919</v>
      </c>
      <c r="D8" s="105" t="n">
        <v>0.128242960777081</v>
      </c>
      <c r="E8" s="167" t="n">
        <v>0.462483295897188</v>
      </c>
      <c r="F8" s="104" t="n">
        <v>5.529</v>
      </c>
      <c r="G8" s="107" t="n">
        <v>108.131</v>
      </c>
      <c r="H8" s="224" t="n">
        <v>0.756915223201487</v>
      </c>
      <c r="I8" s="224" t="n">
        <v>0.243084776798513</v>
      </c>
      <c r="J8" s="106" t="n">
        <v>9.775</v>
      </c>
    </row>
    <row r="9" customFormat="false" ht="12" hidden="false" customHeight="false" outlineLevel="0" collapsed="false">
      <c r="A9" s="80" t="s">
        <v>30</v>
      </c>
      <c r="B9" s="104" t="n">
        <v>79.564</v>
      </c>
      <c r="C9" s="166" t="n">
        <v>0.642652455884571</v>
      </c>
      <c r="D9" s="105" t="n">
        <v>0.357347544115429</v>
      </c>
      <c r="E9" s="167" t="n">
        <v>0.13067507132076</v>
      </c>
      <c r="F9" s="104" t="n">
        <v>26.613</v>
      </c>
      <c r="G9" s="107" t="n">
        <v>638.857</v>
      </c>
      <c r="H9" s="224" t="n">
        <v>0.524366172711577</v>
      </c>
      <c r="I9" s="224" t="n">
        <v>0.475633827288423</v>
      </c>
      <c r="J9" s="106" t="n">
        <v>65.963</v>
      </c>
    </row>
    <row r="10" customFormat="false" ht="12" hidden="false" customHeight="false" outlineLevel="0" collapsed="false">
      <c r="A10" s="80" t="s">
        <v>127</v>
      </c>
      <c r="B10" s="104" t="n">
        <v>1.335</v>
      </c>
      <c r="C10" s="166" t="n">
        <v>0.928089887640449</v>
      </c>
      <c r="D10" s="105" t="n">
        <v>0.0719101123595506</v>
      </c>
      <c r="E10" s="167" t="n">
        <v>0.103544559063057</v>
      </c>
      <c r="F10" s="104" t="n">
        <v>0.447</v>
      </c>
      <c r="G10" s="107" t="n">
        <v>12.32</v>
      </c>
      <c r="H10" s="224" t="n">
        <v>0.832061688311688</v>
      </c>
      <c r="I10" s="224" t="n">
        <v>0.167938311688312</v>
      </c>
      <c r="J10" s="106" t="n">
        <v>1.468</v>
      </c>
    </row>
    <row r="11" customFormat="false" ht="12" hidden="false" customHeight="false" outlineLevel="0" collapsed="false">
      <c r="A11" s="80" t="s">
        <v>97</v>
      </c>
      <c r="B11" s="104" t="n">
        <v>1.945</v>
      </c>
      <c r="C11" s="166" t="n">
        <v>0</v>
      </c>
      <c r="D11" s="105" t="n">
        <v>1</v>
      </c>
      <c r="E11" s="167" t="n">
        <v>0.0707838998471504</v>
      </c>
      <c r="F11" s="104" t="n">
        <v>0.303</v>
      </c>
      <c r="G11" s="107" t="n">
        <v>11.034</v>
      </c>
      <c r="H11" s="224" t="n">
        <v>0</v>
      </c>
      <c r="I11" s="224" t="n">
        <v>1</v>
      </c>
      <c r="J11" s="106" t="n">
        <v>0.682</v>
      </c>
    </row>
    <row r="12" customFormat="false" ht="12" hidden="false" customHeight="false" outlineLevel="0" collapsed="false">
      <c r="A12" s="80" t="s">
        <v>33</v>
      </c>
      <c r="B12" s="104" t="n">
        <v>2.671</v>
      </c>
      <c r="C12" s="166" t="n">
        <v>0.116061400224635</v>
      </c>
      <c r="D12" s="105" t="n">
        <v>0.883938599775365</v>
      </c>
      <c r="E12" s="167" t="n">
        <v>0.0449390941516926</v>
      </c>
      <c r="F12" s="104" t="n">
        <v>0.585</v>
      </c>
      <c r="G12" s="107" t="n">
        <v>13.817</v>
      </c>
      <c r="H12" s="224" t="n">
        <v>0.552001157993776</v>
      </c>
      <c r="I12" s="224" t="n">
        <v>0.447998842006224</v>
      </c>
      <c r="J12" s="106" t="n">
        <v>0.843</v>
      </c>
    </row>
    <row r="13" customFormat="false" ht="12" hidden="false" customHeight="false" outlineLevel="0" collapsed="false">
      <c r="A13" s="80" t="s">
        <v>34</v>
      </c>
      <c r="B13" s="104" t="n">
        <v>22.092</v>
      </c>
      <c r="C13" s="166" t="n">
        <v>0</v>
      </c>
      <c r="D13" s="105" t="n">
        <v>1</v>
      </c>
      <c r="E13" s="167" t="n">
        <v>0.075720029202184</v>
      </c>
      <c r="F13" s="104" t="n">
        <v>3.022</v>
      </c>
      <c r="G13" s="107" t="n">
        <v>159.049</v>
      </c>
      <c r="H13" s="224" t="n">
        <v>0</v>
      </c>
      <c r="I13" s="224" t="n">
        <v>1</v>
      </c>
      <c r="J13" s="106" t="n">
        <v>7.853</v>
      </c>
    </row>
    <row r="14" customFormat="false" ht="12" hidden="false" customHeight="false" outlineLevel="0" collapsed="false">
      <c r="A14" s="80" t="s">
        <v>128</v>
      </c>
      <c r="B14" s="104" t="n">
        <v>15.689</v>
      </c>
      <c r="C14" s="166" t="n">
        <v>0.526611001338518</v>
      </c>
      <c r="D14" s="105" t="n">
        <v>0.473388998661483</v>
      </c>
      <c r="E14" s="167" t="n">
        <v>0.0279173636072458</v>
      </c>
      <c r="F14" s="104" t="n">
        <v>4.606</v>
      </c>
      <c r="G14" s="107" t="n">
        <v>173.945</v>
      </c>
      <c r="H14" s="224" t="n">
        <v>0.35108223863865</v>
      </c>
      <c r="I14" s="224" t="n">
        <v>0.64891776136135</v>
      </c>
      <c r="J14" s="106" t="n">
        <v>13.325</v>
      </c>
    </row>
    <row r="15" customFormat="false" ht="12" hidden="false" customHeight="false" outlineLevel="0" collapsed="false">
      <c r="A15" s="80" t="s">
        <v>36</v>
      </c>
      <c r="B15" s="104" t="n">
        <v>2.205</v>
      </c>
      <c r="C15" s="166" t="n">
        <v>0.884807256235828</v>
      </c>
      <c r="D15" s="105" t="n">
        <v>0.115192743764172</v>
      </c>
      <c r="E15" s="167" t="n">
        <v>0.200764818355641</v>
      </c>
      <c r="F15" s="104" t="n">
        <v>0.679</v>
      </c>
      <c r="G15" s="107" t="n">
        <v>14.929</v>
      </c>
      <c r="H15" s="224" t="n">
        <v>0.553620470225735</v>
      </c>
      <c r="I15" s="224" t="n">
        <v>0.446379529774265</v>
      </c>
      <c r="J15" s="106" t="n">
        <v>1.696</v>
      </c>
      <c r="L15" s="227"/>
      <c r="M15" s="228"/>
    </row>
    <row r="16" customFormat="false" ht="12" hidden="false" customHeight="false" outlineLevel="0" collapsed="false">
      <c r="A16" s="80" t="s">
        <v>129</v>
      </c>
      <c r="B16" s="104" t="n">
        <v>34.705</v>
      </c>
      <c r="C16" s="166" t="n">
        <v>0.603745857945541</v>
      </c>
      <c r="D16" s="105" t="n">
        <v>0.396254142054459</v>
      </c>
      <c r="E16" s="167" t="n">
        <v>0.114700730409492</v>
      </c>
      <c r="F16" s="104" t="n">
        <v>7.351</v>
      </c>
      <c r="G16" s="107" t="n">
        <v>202.506</v>
      </c>
      <c r="H16" s="224" t="n">
        <v>0.457309906866957</v>
      </c>
      <c r="I16" s="224" t="n">
        <v>0.542690093133043</v>
      </c>
      <c r="J16" s="106" t="n">
        <v>13.872</v>
      </c>
    </row>
    <row r="17" customFormat="false" ht="12" hidden="false" customHeight="false" outlineLevel="0" collapsed="false">
      <c r="A17" s="80" t="s">
        <v>38</v>
      </c>
      <c r="B17" s="104" t="n">
        <v>0.044</v>
      </c>
      <c r="C17" s="166" t="n">
        <v>0.636363636363636</v>
      </c>
      <c r="D17" s="105" t="n">
        <v>0.363636363636364</v>
      </c>
      <c r="E17" s="167" t="n">
        <v>0.00892675999188476</v>
      </c>
      <c r="F17" s="104" t="n">
        <v>0.023</v>
      </c>
      <c r="G17" s="107" t="n">
        <v>0.217</v>
      </c>
      <c r="H17" s="224" t="n">
        <v>0.580645161290323</v>
      </c>
      <c r="I17" s="224" t="n">
        <v>0.419354838709677</v>
      </c>
      <c r="J17" s="106" t="n">
        <v>0.039</v>
      </c>
    </row>
    <row r="18" customFormat="false" ht="12" hidden="false" customHeight="false" outlineLevel="0" collapsed="false">
      <c r="A18" s="80" t="s">
        <v>70</v>
      </c>
      <c r="B18" s="104" t="n">
        <v>2.888</v>
      </c>
      <c r="C18" s="166" t="n">
        <v>0.9851108033241</v>
      </c>
      <c r="D18" s="105" t="n">
        <v>0.0148891966759003</v>
      </c>
      <c r="E18" s="167" t="n">
        <v>0.47383100902379</v>
      </c>
      <c r="F18" s="104" t="n">
        <v>0.883</v>
      </c>
      <c r="G18" s="107" t="n">
        <v>9.277</v>
      </c>
      <c r="H18" s="224" t="n">
        <v>0.977902339118249</v>
      </c>
      <c r="I18" s="224" t="n">
        <v>0.0220976608817506</v>
      </c>
      <c r="J18" s="106" t="n">
        <v>0.879</v>
      </c>
    </row>
    <row r="19" customFormat="false" ht="12" hidden="false" customHeight="false" outlineLevel="0" collapsed="false">
      <c r="A19" s="80" t="s">
        <v>40</v>
      </c>
      <c r="B19" s="104" t="n">
        <v>1.81</v>
      </c>
      <c r="C19" s="166" t="n">
        <v>0.832596685082873</v>
      </c>
      <c r="D19" s="105" t="n">
        <v>0.167403314917127</v>
      </c>
      <c r="E19" s="167" t="n">
        <v>0.375362919950228</v>
      </c>
      <c r="F19" s="104" t="n">
        <v>1.21</v>
      </c>
      <c r="G19" s="107" t="n">
        <v>15.824</v>
      </c>
      <c r="H19" s="224" t="n">
        <v>0.821220930232558</v>
      </c>
      <c r="I19" s="224" t="n">
        <v>0.178779069767442</v>
      </c>
      <c r="J19" s="106" t="n">
        <v>2.522</v>
      </c>
    </row>
    <row r="20" customFormat="false" ht="12" hidden="false" customHeight="false" outlineLevel="0" collapsed="false">
      <c r="A20" s="80" t="s">
        <v>41</v>
      </c>
      <c r="B20" s="104" t="n">
        <v>0.448</v>
      </c>
      <c r="C20" s="166" t="n">
        <v>0.287946428571429</v>
      </c>
      <c r="D20" s="105" t="n">
        <v>0.712053571428571</v>
      </c>
      <c r="E20" s="167" t="n">
        <v>0.120527306967985</v>
      </c>
      <c r="F20" s="104" t="n">
        <v>0.125</v>
      </c>
      <c r="G20" s="107" t="n">
        <v>3.138</v>
      </c>
      <c r="H20" s="224" t="n">
        <v>0.297641810070108</v>
      </c>
      <c r="I20" s="224" t="n">
        <v>0.702358189929892</v>
      </c>
      <c r="J20" s="106" t="s">
        <v>91</v>
      </c>
    </row>
    <row r="21" customFormat="false" ht="12" hidden="false" customHeight="false" outlineLevel="0" collapsed="false">
      <c r="A21" s="80" t="s">
        <v>113</v>
      </c>
      <c r="B21" s="104" t="n">
        <v>5.958</v>
      </c>
      <c r="C21" s="166" t="n">
        <v>0.896106075864384</v>
      </c>
      <c r="D21" s="105" t="n">
        <v>0.103893924135616</v>
      </c>
      <c r="E21" s="167" t="n">
        <v>0.165578189700692</v>
      </c>
      <c r="F21" s="104" t="n">
        <v>1.745</v>
      </c>
      <c r="G21" s="107" t="n">
        <v>35.129</v>
      </c>
      <c r="H21" s="224" t="n">
        <v>0.824133906459051</v>
      </c>
      <c r="I21" s="224" t="n">
        <v>0.175866093540949</v>
      </c>
      <c r="J21" s="106" t="n">
        <v>3.128</v>
      </c>
    </row>
    <row r="22" customFormat="false" ht="12" hidden="false" customHeight="false" outlineLevel="0" collapsed="false">
      <c r="A22" s="80" t="s">
        <v>43</v>
      </c>
      <c r="B22" s="134" t="n">
        <v>0</v>
      </c>
      <c r="C22" s="135" t="n">
        <v>0</v>
      </c>
      <c r="D22" s="195" t="n">
        <v>0</v>
      </c>
      <c r="E22" s="136" t="n">
        <v>0</v>
      </c>
      <c r="F22" s="134" t="n">
        <v>0</v>
      </c>
      <c r="G22" s="196" t="n">
        <v>0</v>
      </c>
      <c r="H22" s="197" t="n">
        <v>0</v>
      </c>
      <c r="I22" s="197" t="n">
        <v>0</v>
      </c>
      <c r="J22" s="198" t="n">
        <v>0</v>
      </c>
    </row>
    <row r="23" customFormat="false" ht="12" hidden="false" customHeight="false" outlineLevel="0" collapsed="false">
      <c r="A23" s="80" t="s">
        <v>72</v>
      </c>
      <c r="B23" s="104" t="n">
        <v>36.709</v>
      </c>
      <c r="C23" s="166" t="n">
        <v>0.469285461331009</v>
      </c>
      <c r="D23" s="105" t="n">
        <v>0.530714538668991</v>
      </c>
      <c r="E23" s="167" t="n">
        <v>0.32495618150594</v>
      </c>
      <c r="F23" s="104" t="n">
        <v>9.171</v>
      </c>
      <c r="G23" s="107" t="n">
        <v>223.996</v>
      </c>
      <c r="H23" s="224" t="n">
        <v>0.429445168663726</v>
      </c>
      <c r="I23" s="224" t="n">
        <v>0.570554831336274</v>
      </c>
      <c r="J23" s="106" t="n">
        <v>18.83</v>
      </c>
    </row>
    <row r="24" customFormat="false" ht="12" hidden="false" customHeight="false" outlineLevel="0" collapsed="false">
      <c r="A24" s="80" t="s">
        <v>45</v>
      </c>
      <c r="B24" s="104" t="n">
        <v>10.295</v>
      </c>
      <c r="C24" s="166" t="n">
        <v>0.445653229723167</v>
      </c>
      <c r="D24" s="105" t="n">
        <v>0.554346770276833</v>
      </c>
      <c r="E24" s="167" t="n">
        <v>0.15669949314297</v>
      </c>
      <c r="F24" s="104" t="n">
        <v>3.654</v>
      </c>
      <c r="G24" s="107" t="n">
        <v>96.352</v>
      </c>
      <c r="H24" s="224" t="n">
        <v>0.316423115244105</v>
      </c>
      <c r="I24" s="224" t="n">
        <v>0.683576884755895</v>
      </c>
      <c r="J24" s="106" t="n">
        <v>8.441</v>
      </c>
    </row>
    <row r="25" customFormat="false" ht="12" hidden="false" customHeight="false" outlineLevel="0" collapsed="false">
      <c r="A25" s="80" t="s">
        <v>46</v>
      </c>
      <c r="B25" s="104" t="n">
        <v>27.113</v>
      </c>
      <c r="C25" s="166" t="n">
        <v>0.756463689005274</v>
      </c>
      <c r="D25" s="105" t="n">
        <v>0.243536310994726</v>
      </c>
      <c r="E25" s="167" t="n">
        <v>0.165780076797026</v>
      </c>
      <c r="F25" s="104" t="n">
        <v>8.839</v>
      </c>
      <c r="G25" s="107" t="n">
        <v>263.485</v>
      </c>
      <c r="H25" s="224" t="n">
        <v>0.595616448754199</v>
      </c>
      <c r="I25" s="224" t="n">
        <v>0.404383551245801</v>
      </c>
      <c r="J25" s="106" t="n">
        <v>24.841</v>
      </c>
    </row>
    <row r="26" customFormat="false" ht="12" hidden="false" customHeight="false" outlineLevel="0" collapsed="false">
      <c r="A26" s="80" t="s">
        <v>98</v>
      </c>
      <c r="B26" s="104" t="n">
        <v>6.644</v>
      </c>
      <c r="C26" s="166" t="n">
        <v>0.745484647802529</v>
      </c>
      <c r="D26" s="105" t="n">
        <v>0.254515352197471</v>
      </c>
      <c r="E26" s="167" t="n">
        <v>0.126651289578528</v>
      </c>
      <c r="F26" s="104" t="n">
        <v>1.43</v>
      </c>
      <c r="G26" s="107" t="n">
        <v>69.273</v>
      </c>
      <c r="H26" s="224" t="n">
        <v>0.600204986069609</v>
      </c>
      <c r="I26" s="224" t="n">
        <v>0.399795013930391</v>
      </c>
      <c r="J26" s="106" t="n">
        <v>4.634</v>
      </c>
    </row>
    <row r="27" customFormat="false" ht="12" hidden="false" customHeight="false" outlineLevel="0" collapsed="false">
      <c r="A27" s="80" t="s">
        <v>48</v>
      </c>
      <c r="B27" s="104" t="n">
        <v>7.284</v>
      </c>
      <c r="C27" s="166" t="n">
        <v>0.825096101043383</v>
      </c>
      <c r="D27" s="105" t="n">
        <v>0.174903898956617</v>
      </c>
      <c r="E27" s="167" t="n">
        <v>0.117072229901315</v>
      </c>
      <c r="F27" s="104" t="n">
        <v>2.161</v>
      </c>
      <c r="G27" s="107" t="n">
        <v>71.858</v>
      </c>
      <c r="H27" s="224" t="n">
        <v>0.764159870856411</v>
      </c>
      <c r="I27" s="224" t="n">
        <v>0.235840129143589</v>
      </c>
      <c r="J27" s="106" t="n">
        <v>10.412</v>
      </c>
    </row>
    <row r="28" customFormat="false" ht="12" hidden="false" customHeight="false" outlineLevel="0" collapsed="false">
      <c r="A28" s="80" t="s">
        <v>99</v>
      </c>
      <c r="B28" s="104" t="n">
        <v>1.145</v>
      </c>
      <c r="C28" s="166" t="n">
        <v>0.800873362445415</v>
      </c>
      <c r="D28" s="105" t="n">
        <v>0.199126637554585</v>
      </c>
      <c r="E28" s="167" t="n">
        <v>0.0713129048330842</v>
      </c>
      <c r="F28" s="104" t="n">
        <v>0.337</v>
      </c>
      <c r="G28" s="107" t="n">
        <v>10.952</v>
      </c>
      <c r="H28" s="224" t="n">
        <v>0.654127100073046</v>
      </c>
      <c r="I28" s="224" t="n">
        <v>0.345872899926954</v>
      </c>
      <c r="J28" s="106" t="n">
        <v>0.82</v>
      </c>
    </row>
    <row r="29" customFormat="false" ht="12" hidden="false" customHeight="false" outlineLevel="0" collapsed="false">
      <c r="A29" s="80" t="s">
        <v>50</v>
      </c>
      <c r="B29" s="104" t="n">
        <v>7.021</v>
      </c>
      <c r="C29" s="166" t="n">
        <v>0.82851445663011</v>
      </c>
      <c r="D29" s="105" t="n">
        <v>0.17148554336989</v>
      </c>
      <c r="E29" s="167" t="n">
        <v>0.24500977107761</v>
      </c>
      <c r="F29" s="104" t="n">
        <v>2.463</v>
      </c>
      <c r="G29" s="107" t="n">
        <v>26.161</v>
      </c>
      <c r="H29" s="224" t="n">
        <v>0.862084782691793</v>
      </c>
      <c r="I29" s="224" t="n">
        <v>0.137915217308207</v>
      </c>
      <c r="J29" s="106" t="n">
        <v>9.736</v>
      </c>
    </row>
    <row r="30" customFormat="false" ht="12" hidden="false" customHeight="false" outlineLevel="0" collapsed="false">
      <c r="A30" s="80" t="s">
        <v>75</v>
      </c>
      <c r="B30" s="104" t="n">
        <v>26.598</v>
      </c>
      <c r="C30" s="166" t="n">
        <v>0.671253477705091</v>
      </c>
      <c r="D30" s="105" t="n">
        <v>0.328746522294909</v>
      </c>
      <c r="E30" s="167" t="n">
        <v>0.361971121786584</v>
      </c>
      <c r="F30" s="104" t="n">
        <v>6.21</v>
      </c>
      <c r="G30" s="107" t="n">
        <v>255.043</v>
      </c>
      <c r="H30" s="224" t="n">
        <v>0.488780323318029</v>
      </c>
      <c r="I30" s="224" t="n">
        <v>0.511219676681971</v>
      </c>
      <c r="J30" s="106" t="n">
        <v>15.988</v>
      </c>
    </row>
    <row r="31" customFormat="false" ht="12" hidden="false" customHeight="false" outlineLevel="0" collapsed="false">
      <c r="A31" s="108" t="s">
        <v>76</v>
      </c>
      <c r="B31" s="109" t="n">
        <v>15.066</v>
      </c>
      <c r="C31" s="138" t="n">
        <v>0.619540687641046</v>
      </c>
      <c r="D31" s="110" t="n">
        <v>0.380459312358954</v>
      </c>
      <c r="E31" s="139" t="n">
        <v>0.100188859924456</v>
      </c>
      <c r="F31" s="109" t="n">
        <v>4.044</v>
      </c>
      <c r="G31" s="112" t="n">
        <v>171.492</v>
      </c>
      <c r="H31" s="244" t="n">
        <v>0.51870058078511</v>
      </c>
      <c r="I31" s="244" t="n">
        <v>0.481299419214891</v>
      </c>
      <c r="J31" s="111" t="n">
        <v>9.434</v>
      </c>
    </row>
    <row r="32" customFormat="false" ht="12" hidden="false" customHeight="false" outlineLevel="0" collapsed="false">
      <c r="A32" s="87" t="s">
        <v>77</v>
      </c>
      <c r="B32" s="114" t="n">
        <v>23.203</v>
      </c>
      <c r="C32" s="245" t="s">
        <v>91</v>
      </c>
      <c r="D32" s="115" t="s">
        <v>91</v>
      </c>
      <c r="E32" s="246" t="n">
        <v>0.0630857447369637</v>
      </c>
      <c r="F32" s="114" t="n">
        <v>6.095</v>
      </c>
      <c r="G32" s="113" t="n">
        <v>153.922</v>
      </c>
      <c r="H32" s="247" t="s">
        <v>91</v>
      </c>
      <c r="I32" s="247" t="s">
        <v>91</v>
      </c>
      <c r="J32" s="116" t="n">
        <v>7.843</v>
      </c>
    </row>
    <row r="33" customFormat="false" ht="12" hidden="false" customHeight="false" outlineLevel="0" collapsed="false">
      <c r="A33" s="119" t="s">
        <v>115</v>
      </c>
      <c r="B33" s="121" t="n">
        <v>0.259</v>
      </c>
      <c r="C33" s="248" t="n">
        <v>1</v>
      </c>
      <c r="D33" s="122" t="n">
        <v>0</v>
      </c>
      <c r="E33" s="249" t="n">
        <v>0.00202110060242844</v>
      </c>
      <c r="F33" s="121" t="n">
        <v>0.071</v>
      </c>
      <c r="G33" s="120" t="n">
        <v>7.493</v>
      </c>
      <c r="H33" s="250" t="n">
        <v>1</v>
      </c>
      <c r="I33" s="250" t="n">
        <v>0</v>
      </c>
      <c r="J33" s="123" t="n">
        <v>0.375</v>
      </c>
    </row>
    <row r="34" customFormat="false" ht="12" hidden="false" customHeight="false" outlineLevel="0" collapsed="false">
      <c r="A34" s="108" t="s">
        <v>130</v>
      </c>
      <c r="B34" s="109" t="n">
        <v>8.865</v>
      </c>
      <c r="C34" s="138" t="n">
        <v>0.563113367174281</v>
      </c>
      <c r="D34" s="110" t="n">
        <v>0.436886632825719</v>
      </c>
      <c r="E34" s="139" t="n">
        <v>0.0386451317596286</v>
      </c>
      <c r="F34" s="109" t="n">
        <v>5.978</v>
      </c>
      <c r="G34" s="112" t="n">
        <v>95.143</v>
      </c>
      <c r="H34" s="244" t="n">
        <v>0.303448493320581</v>
      </c>
      <c r="I34" s="244" t="n">
        <v>0.69655150667942</v>
      </c>
      <c r="J34" s="111" t="s">
        <v>91</v>
      </c>
      <c r="L34" s="227"/>
      <c r="M34" s="229"/>
    </row>
    <row r="35" customFormat="false" ht="12" hidden="false" customHeight="false" outlineLevel="0" collapsed="false">
      <c r="A35" s="87" t="s">
        <v>131</v>
      </c>
      <c r="B35" s="114" t="n">
        <v>0.087</v>
      </c>
      <c r="C35" s="245" t="n">
        <v>1</v>
      </c>
      <c r="D35" s="115" t="n">
        <v>0</v>
      </c>
      <c r="E35" s="246" t="n">
        <v>0.012652705061082</v>
      </c>
      <c r="F35" s="114" t="n">
        <v>0.28</v>
      </c>
      <c r="G35" s="113" t="n">
        <v>0.29</v>
      </c>
      <c r="H35" s="247" t="n">
        <v>0.000696551724137931</v>
      </c>
      <c r="I35" s="247" t="n">
        <v>0</v>
      </c>
      <c r="J35" s="116" t="n">
        <v>0</v>
      </c>
    </row>
    <row r="36" customFormat="false" ht="12" hidden="false" customHeight="false" outlineLevel="0" collapsed="false">
      <c r="F36" s="16"/>
      <c r="G36" s="16"/>
    </row>
    <row r="37" customFormat="false" ht="36" hidden="false" customHeight="false" outlineLevel="0" collapsed="false">
      <c r="A37" s="20" t="n">
        <v>2011</v>
      </c>
      <c r="B37" s="21" t="s">
        <v>55</v>
      </c>
      <c r="C37" s="25" t="s">
        <v>57</v>
      </c>
      <c r="D37" s="22" t="s">
        <v>58</v>
      </c>
      <c r="E37" s="22" t="s">
        <v>59</v>
      </c>
      <c r="F37" s="211" t="s">
        <v>60</v>
      </c>
      <c r="G37" s="211" t="s">
        <v>61</v>
      </c>
    </row>
    <row r="38" customFormat="false" ht="12" hidden="false" customHeight="false" outlineLevel="0" collapsed="false">
      <c r="A38" s="179" t="s">
        <v>95</v>
      </c>
      <c r="B38" s="180" t="n">
        <v>6390.974</v>
      </c>
      <c r="C38" s="181" t="n">
        <f aca="false">0.01*2075.608506622%</f>
        <v>0.2075608506622</v>
      </c>
      <c r="D38" s="183" t="n">
        <v>0.0624568336532115</v>
      </c>
      <c r="E38" s="183" t="n">
        <v>0.483186130940292</v>
      </c>
      <c r="F38" s="183" t="n">
        <v>0.15127475092216</v>
      </c>
      <c r="G38" s="183" t="n">
        <v>0.0955214338221373</v>
      </c>
      <c r="I38" s="251"/>
      <c r="J38" s="252"/>
      <c r="K38" s="253"/>
      <c r="L38" s="253"/>
    </row>
    <row r="39" customFormat="false" ht="12" hidden="false" customHeight="false" outlineLevel="0" collapsed="false">
      <c r="A39" s="187" t="s">
        <v>96</v>
      </c>
      <c r="B39" s="188" t="n">
        <v>176.496</v>
      </c>
      <c r="C39" s="215" t="n">
        <v>0.0146065633215484</v>
      </c>
      <c r="D39" s="216" t="n">
        <v>0.00331452270872994</v>
      </c>
      <c r="E39" s="216" t="n">
        <v>0.646439579367238</v>
      </c>
      <c r="F39" s="216" t="n">
        <v>0.0998719517722781</v>
      </c>
      <c r="G39" s="216" t="n">
        <v>0.235767382830206</v>
      </c>
    </row>
    <row r="40" customFormat="false" ht="12" hidden="false" customHeight="false" outlineLevel="0" collapsed="false">
      <c r="A40" s="80" t="s">
        <v>27</v>
      </c>
      <c r="B40" s="134" t="n">
        <v>64.748</v>
      </c>
      <c r="C40" s="135" t="n">
        <v>0.511120034595663</v>
      </c>
      <c r="D40" s="136" t="n">
        <v>0.0515382714524001</v>
      </c>
      <c r="E40" s="136" t="n">
        <v>0.434268239945635</v>
      </c>
      <c r="F40" s="136" t="n">
        <v>0</v>
      </c>
      <c r="G40" s="136" t="n">
        <v>0.00307345400630135</v>
      </c>
    </row>
    <row r="41" customFormat="false" ht="12" hidden="false" customHeight="false" outlineLevel="0" collapsed="false">
      <c r="A41" s="80" t="s">
        <v>116</v>
      </c>
      <c r="B41" s="134" t="n">
        <v>252.212</v>
      </c>
      <c r="C41" s="135" t="n">
        <v>0.751379791603889</v>
      </c>
      <c r="D41" s="136" t="n">
        <v>0.0146265839849016</v>
      </c>
      <c r="E41" s="136" t="n">
        <v>0.0753612040664203</v>
      </c>
      <c r="F41" s="136" t="n">
        <v>0.0786600161768671</v>
      </c>
      <c r="G41" s="136" t="n">
        <v>0.0799724041679222</v>
      </c>
    </row>
    <row r="42" customFormat="false" ht="12" hidden="false" customHeight="false" outlineLevel="0" collapsed="false">
      <c r="A42" s="80" t="s">
        <v>29</v>
      </c>
      <c r="B42" s="134" t="n">
        <v>270.052</v>
      </c>
      <c r="C42" s="135" t="n">
        <v>0.483751277531735</v>
      </c>
      <c r="D42" s="136" t="n">
        <v>0.0172152029979411</v>
      </c>
      <c r="E42" s="136" t="n">
        <v>0.212333180276391</v>
      </c>
      <c r="F42" s="136" t="n">
        <v>0.230163079703168</v>
      </c>
      <c r="G42" s="136" t="n">
        <v>0.0565372594907647</v>
      </c>
    </row>
    <row r="43" customFormat="false" ht="12" hidden="false" customHeight="false" outlineLevel="0" collapsed="false">
      <c r="A43" s="80" t="s">
        <v>30</v>
      </c>
      <c r="B43" s="134" t="n">
        <v>1211.291</v>
      </c>
      <c r="C43" s="135" t="n">
        <v>0.267868745000169</v>
      </c>
      <c r="D43" s="136" t="n">
        <v>0.0379132677449102</v>
      </c>
      <c r="E43" s="136" t="n">
        <v>0.499486911072566</v>
      </c>
      <c r="F43" s="136" t="n">
        <v>0.10143887802353</v>
      </c>
      <c r="G43" s="136" t="n">
        <v>0.0932921981588239</v>
      </c>
    </row>
    <row r="44" customFormat="false" ht="12" hidden="false" customHeight="false" outlineLevel="0" collapsed="false">
      <c r="A44" s="80" t="s">
        <v>31</v>
      </c>
      <c r="B44" s="134" t="n">
        <v>22.67</v>
      </c>
      <c r="C44" s="135" t="n">
        <v>0.372651080723423</v>
      </c>
      <c r="D44" s="136" t="n">
        <v>0.00269078076753419</v>
      </c>
      <c r="E44" s="136" t="n">
        <v>0.278914865460962</v>
      </c>
      <c r="F44" s="136" t="n">
        <v>0.345743273048081</v>
      </c>
      <c r="G44" s="136" t="n">
        <v>0</v>
      </c>
    </row>
    <row r="45" customFormat="false" ht="12" hidden="false" customHeight="false" outlineLevel="0" collapsed="false">
      <c r="A45" s="80" t="s">
        <v>97</v>
      </c>
      <c r="B45" s="134" t="n">
        <v>21.625</v>
      </c>
      <c r="C45" s="135" t="n">
        <v>0.0348208092485549</v>
      </c>
      <c r="D45" s="136" t="n">
        <v>0.00134104046242775</v>
      </c>
      <c r="E45" s="136" t="n">
        <v>0.918381502890174</v>
      </c>
      <c r="F45" s="136" t="n">
        <v>0.0258959537572254</v>
      </c>
      <c r="G45" s="136" t="n">
        <v>0.0195606936416185</v>
      </c>
    </row>
    <row r="46" customFormat="false" ht="12" hidden="false" customHeight="false" outlineLevel="0" collapsed="false">
      <c r="A46" s="80" t="s">
        <v>33</v>
      </c>
      <c r="B46" s="134" t="n">
        <v>30.986</v>
      </c>
      <c r="C46" s="135" t="n">
        <v>0.0931711095333376</v>
      </c>
      <c r="D46" s="136" t="n">
        <v>0.0844574969340993</v>
      </c>
      <c r="E46" s="136" t="n">
        <v>0.435196540373072</v>
      </c>
      <c r="F46" s="136" t="n">
        <v>0.0570580262053831</v>
      </c>
      <c r="G46" s="136" t="n">
        <v>0.330116826954108</v>
      </c>
    </row>
    <row r="47" customFormat="false" ht="12" hidden="false" customHeight="false" outlineLevel="0" collapsed="false">
      <c r="A47" s="80" t="s">
        <v>34</v>
      </c>
      <c r="B47" s="134" t="n">
        <v>348.579</v>
      </c>
      <c r="C47" s="135" t="n">
        <v>0.0177405982574969</v>
      </c>
      <c r="D47" s="136" t="n">
        <v>0.0657383261757019</v>
      </c>
      <c r="E47" s="136" t="n">
        <v>0.771870938868951</v>
      </c>
      <c r="F47" s="136" t="n">
        <v>0</v>
      </c>
      <c r="G47" s="136" t="n">
        <v>0.14465013669785</v>
      </c>
    </row>
    <row r="48" customFormat="false" ht="12" hidden="false" customHeight="false" outlineLevel="0" collapsed="false">
      <c r="A48" s="80" t="s">
        <v>128</v>
      </c>
      <c r="B48" s="134" t="n">
        <v>281.23</v>
      </c>
      <c r="C48" s="135" t="n">
        <v>0.0588841873199872</v>
      </c>
      <c r="D48" s="136" t="n">
        <v>0.026394765850016</v>
      </c>
      <c r="E48" s="136" t="n">
        <v>0.56504640329979</v>
      </c>
      <c r="F48" s="136" t="n">
        <v>0.230274152828646</v>
      </c>
      <c r="G48" s="136" t="n">
        <v>0.119400490701561</v>
      </c>
    </row>
    <row r="49" customFormat="false" ht="12" hidden="false" customHeight="false" outlineLevel="0" collapsed="false">
      <c r="A49" s="80" t="s">
        <v>36</v>
      </c>
      <c r="B49" s="134" t="n">
        <v>28.442</v>
      </c>
      <c r="C49" s="135" t="n">
        <v>0.0256311089234231</v>
      </c>
      <c r="D49" s="136" t="n">
        <v>0.135644469446593</v>
      </c>
      <c r="E49" s="136" t="n">
        <v>0.832923141832501</v>
      </c>
      <c r="F49" s="136" t="n">
        <v>0.0058012797974826</v>
      </c>
      <c r="G49" s="136" t="n">
        <v>0</v>
      </c>
    </row>
    <row r="50" customFormat="false" ht="12" hidden="false" customHeight="false" outlineLevel="0" collapsed="false">
      <c r="A50" s="80" t="s">
        <v>37</v>
      </c>
      <c r="B50" s="134" t="n">
        <v>1018.122</v>
      </c>
      <c r="C50" s="135" t="n">
        <v>0.0082671821255213</v>
      </c>
      <c r="D50" s="136" t="n">
        <v>0.17074672779883</v>
      </c>
      <c r="E50" s="136" t="n">
        <v>0.696123843704389</v>
      </c>
      <c r="F50" s="136" t="n">
        <v>0.04215113709359</v>
      </c>
      <c r="G50" s="136" t="n">
        <v>0.0827111092776701</v>
      </c>
    </row>
    <row r="51" customFormat="false" ht="12" hidden="false" customHeight="false" outlineLevel="0" collapsed="false">
      <c r="A51" s="80" t="s">
        <v>38</v>
      </c>
      <c r="B51" s="134" t="n">
        <v>0.735</v>
      </c>
      <c r="C51" s="135" t="n">
        <v>0</v>
      </c>
      <c r="D51" s="136" t="n">
        <v>0.32108843537415</v>
      </c>
      <c r="E51" s="136" t="n">
        <v>0</v>
      </c>
      <c r="F51" s="136" t="n">
        <v>0.67891156462585</v>
      </c>
      <c r="G51" s="136" t="n">
        <v>0</v>
      </c>
    </row>
    <row r="52" customFormat="false" ht="12" hidden="false" customHeight="false" outlineLevel="0" collapsed="false">
      <c r="A52" s="80" t="s">
        <v>70</v>
      </c>
      <c r="B52" s="134" t="n">
        <v>24.022</v>
      </c>
      <c r="C52" s="135" t="n">
        <v>0.0122387811173091</v>
      </c>
      <c r="D52" s="136" t="n">
        <v>0.0086587294979602</v>
      </c>
      <c r="E52" s="136" t="n">
        <v>0.937390725168596</v>
      </c>
      <c r="F52" s="136" t="n">
        <v>0.0396303388560486</v>
      </c>
      <c r="G52" s="136" t="n">
        <v>0.00208142536008659</v>
      </c>
    </row>
    <row r="53" customFormat="false" ht="12" hidden="false" customHeight="false" outlineLevel="0" collapsed="false">
      <c r="A53" s="80" t="s">
        <v>40</v>
      </c>
      <c r="B53" s="134" t="n">
        <v>27.269</v>
      </c>
      <c r="C53" s="135" t="n">
        <v>0</v>
      </c>
      <c r="D53" s="136" t="n">
        <v>0.139829109978364</v>
      </c>
      <c r="E53" s="136" t="n">
        <v>0.76475118266163</v>
      </c>
      <c r="F53" s="136" t="n">
        <v>0.0954197073600059</v>
      </c>
      <c r="G53" s="136" t="n">
        <v>0</v>
      </c>
    </row>
    <row r="54" customFormat="false" ht="12" hidden="false" customHeight="false" outlineLevel="0" collapsed="false">
      <c r="A54" s="80" t="s">
        <v>41</v>
      </c>
      <c r="B54" s="134" t="n">
        <v>5.422</v>
      </c>
      <c r="C54" s="135" t="n">
        <v>0</v>
      </c>
      <c r="D54" s="136" t="n">
        <v>0.00129103651789008</v>
      </c>
      <c r="E54" s="136" t="n">
        <v>0.899483585392844</v>
      </c>
      <c r="F54" s="136" t="n">
        <v>0.099225378089266</v>
      </c>
      <c r="G54" s="136" t="n">
        <v>0</v>
      </c>
    </row>
    <row r="55" customFormat="false" ht="12" hidden="false" customHeight="false" outlineLevel="0" collapsed="false">
      <c r="A55" s="80" t="s">
        <v>113</v>
      </c>
      <c r="B55" s="134" t="n">
        <v>84.583</v>
      </c>
      <c r="C55" s="135" t="n">
        <v>0.0346759987231477</v>
      </c>
      <c r="D55" s="136" t="n">
        <v>0.00141872480285637</v>
      </c>
      <c r="E55" s="136" t="n">
        <v>0.789449416549425</v>
      </c>
      <c r="F55" s="136" t="n">
        <v>0.0897934573141175</v>
      </c>
      <c r="G55" s="136" t="n">
        <v>0.0846624026104536</v>
      </c>
    </row>
    <row r="56" customFormat="false" ht="12" hidden="false" customHeight="false" outlineLevel="0" collapsed="false">
      <c r="A56" s="80" t="s">
        <v>43</v>
      </c>
      <c r="B56" s="134" t="n">
        <v>0</v>
      </c>
      <c r="C56" s="135" t="n">
        <v>0</v>
      </c>
      <c r="D56" s="136" t="n">
        <v>0</v>
      </c>
      <c r="E56" s="136" t="n">
        <v>0</v>
      </c>
      <c r="F56" s="136" t="n">
        <v>0</v>
      </c>
      <c r="G56" s="136" t="n">
        <v>0</v>
      </c>
    </row>
    <row r="57" customFormat="false" ht="12" hidden="false" customHeight="false" outlineLevel="0" collapsed="false">
      <c r="A57" s="80" t="s">
        <v>72</v>
      </c>
      <c r="B57" s="134" t="n">
        <v>443.734</v>
      </c>
      <c r="C57" s="135" t="n">
        <v>0.0118877525724871</v>
      </c>
      <c r="D57" s="136" t="n">
        <v>0.00842621931156955</v>
      </c>
      <c r="E57" s="136" t="n">
        <v>0.822650506835176</v>
      </c>
      <c r="F57" s="136" t="n">
        <v>0.023345067089743</v>
      </c>
      <c r="G57" s="136" t="n">
        <v>0.133690454191024</v>
      </c>
    </row>
    <row r="58" customFormat="false" ht="12" hidden="false" customHeight="false" outlineLevel="0" collapsed="false">
      <c r="A58" s="80" t="s">
        <v>45</v>
      </c>
      <c r="B58" s="134" t="n">
        <v>258.961</v>
      </c>
      <c r="C58" s="135" t="n">
        <v>0.122365916103197</v>
      </c>
      <c r="D58" s="136" t="n">
        <v>0.100312402253621</v>
      </c>
      <c r="E58" s="136" t="n">
        <v>0.383926537200582</v>
      </c>
      <c r="F58" s="136" t="n">
        <v>0.308722162796715</v>
      </c>
      <c r="G58" s="136" t="n">
        <v>0.0846729816458849</v>
      </c>
    </row>
    <row r="59" customFormat="false" ht="12" hidden="false" customHeight="false" outlineLevel="0" collapsed="false">
      <c r="A59" s="80" t="s">
        <v>46</v>
      </c>
      <c r="B59" s="134" t="n">
        <v>440.451</v>
      </c>
      <c r="C59" s="135" t="n">
        <v>0.723086109465071</v>
      </c>
      <c r="D59" s="136" t="n">
        <v>0.0901848332731677</v>
      </c>
      <c r="E59" s="136" t="n">
        <v>0.0734610660436689</v>
      </c>
      <c r="F59" s="136" t="n">
        <v>0.0858710730592052</v>
      </c>
      <c r="G59" s="136" t="n">
        <v>0.0273969181588871</v>
      </c>
    </row>
    <row r="60" customFormat="false" ht="12" hidden="false" customHeight="false" outlineLevel="0" collapsed="false">
      <c r="A60" s="80" t="s">
        <v>98</v>
      </c>
      <c r="B60" s="134" t="n">
        <v>114.653</v>
      </c>
      <c r="C60" s="135" t="n">
        <v>0</v>
      </c>
      <c r="D60" s="136" t="n">
        <v>0.13890609055149</v>
      </c>
      <c r="E60" s="136" t="n">
        <v>0.438165595318047</v>
      </c>
      <c r="F60" s="136" t="n">
        <v>0.385231960786024</v>
      </c>
      <c r="G60" s="136" t="n">
        <v>0.0376963533444393</v>
      </c>
    </row>
    <row r="61" customFormat="false" ht="12" hidden="false" customHeight="false" outlineLevel="0" collapsed="false">
      <c r="A61" s="80" t="s">
        <v>48</v>
      </c>
      <c r="B61" s="134" t="n">
        <v>124.247</v>
      </c>
      <c r="C61" s="135" t="n">
        <v>0.382439817460381</v>
      </c>
      <c r="D61" s="136" t="n">
        <v>0.0495786618590389</v>
      </c>
      <c r="E61" s="136" t="n">
        <v>0.52419776735052</v>
      </c>
      <c r="F61" s="136" t="n">
        <v>0.0203465677239692</v>
      </c>
      <c r="G61" s="136" t="n">
        <v>0.0234371856060911</v>
      </c>
    </row>
    <row r="62" customFormat="false" ht="12" hidden="false" customHeight="false" outlineLevel="0" collapsed="false">
      <c r="A62" s="80" t="s">
        <v>99</v>
      </c>
      <c r="B62" s="134" t="n">
        <v>19.83</v>
      </c>
      <c r="C62" s="135" t="n">
        <v>0.587897125567322</v>
      </c>
      <c r="D62" s="136" t="n">
        <v>0.0011094301563288</v>
      </c>
      <c r="E62" s="136" t="n">
        <v>0.228088754412506</v>
      </c>
      <c r="F62" s="136" t="n">
        <v>0.168784669692385</v>
      </c>
      <c r="G62" s="136" t="n">
        <v>0.0141200201714574</v>
      </c>
    </row>
    <row r="63" customFormat="false" ht="12" hidden="false" customHeight="false" outlineLevel="0" collapsed="false">
      <c r="A63" s="80" t="s">
        <v>50</v>
      </c>
      <c r="B63" s="104" t="n">
        <v>119.462</v>
      </c>
      <c r="C63" s="166" t="n">
        <v>0.417831611725904</v>
      </c>
      <c r="D63" s="167" t="n">
        <v>0.0928161256299074</v>
      </c>
      <c r="E63" s="167" t="n">
        <v>0.150834575011301</v>
      </c>
      <c r="F63" s="167" t="n">
        <v>0.0914851584604309</v>
      </c>
      <c r="G63" s="167" t="n">
        <v>0.247032529172457</v>
      </c>
    </row>
    <row r="64" customFormat="false" ht="12" hidden="false" customHeight="false" outlineLevel="0" collapsed="false">
      <c r="A64" s="80" t="s">
        <v>75</v>
      </c>
      <c r="B64" s="134" t="n">
        <v>425.963</v>
      </c>
      <c r="C64" s="135" t="n">
        <v>0.242596187931816</v>
      </c>
      <c r="D64" s="136" t="n">
        <v>0.0174217009458568</v>
      </c>
      <c r="E64" s="136" t="n">
        <v>0.212443334280207</v>
      </c>
      <c r="F64" s="136" t="n">
        <v>0.495435049523081</v>
      </c>
      <c r="G64" s="136" t="n">
        <v>0.0321037273190394</v>
      </c>
    </row>
    <row r="65" customFormat="false" ht="12" hidden="false" customHeight="false" outlineLevel="0" collapsed="false">
      <c r="A65" s="108" t="s">
        <v>76</v>
      </c>
      <c r="B65" s="168" t="n">
        <v>278.453</v>
      </c>
      <c r="C65" s="169" t="n">
        <v>0.0636480842368371</v>
      </c>
      <c r="D65" s="170" t="n">
        <v>0.0412672874775995</v>
      </c>
      <c r="E65" s="170" t="n">
        <v>0.0737646927847788</v>
      </c>
      <c r="F65" s="170" t="n">
        <v>0.71399482138817</v>
      </c>
      <c r="G65" s="170" t="n">
        <v>0.107325114112615</v>
      </c>
    </row>
    <row r="66" customFormat="false" ht="12" hidden="false" customHeight="false" outlineLevel="0" collapsed="false">
      <c r="A66" s="108" t="s">
        <v>77</v>
      </c>
      <c r="B66" s="168" t="n">
        <v>296.736</v>
      </c>
      <c r="C66" s="169" t="n">
        <v>0.0452590855170926</v>
      </c>
      <c r="D66" s="170" t="n">
        <v>0.0144977353607247</v>
      </c>
      <c r="E66" s="170" t="n">
        <v>0.686138520435674</v>
      </c>
      <c r="F66" s="170" t="n">
        <v>0.0510757036557748</v>
      </c>
      <c r="G66" s="170" t="n">
        <v>0.203028955030734</v>
      </c>
    </row>
    <row r="67" customFormat="false" ht="12" hidden="false" customHeight="false" outlineLevel="0" collapsed="false">
      <c r="A67" s="220" t="s">
        <v>115</v>
      </c>
      <c r="B67" s="174" t="n">
        <v>9.658</v>
      </c>
      <c r="C67" s="175" t="n">
        <v>0.0761027127769725</v>
      </c>
      <c r="D67" s="176" t="n">
        <v>0</v>
      </c>
      <c r="E67" s="176" t="n">
        <v>0</v>
      </c>
      <c r="F67" s="176" t="n">
        <v>0.462621660799337</v>
      </c>
      <c r="G67" s="176" t="n">
        <v>0.46127562642369</v>
      </c>
    </row>
    <row r="68" customFormat="false" ht="12" hidden="false" customHeight="false" outlineLevel="0" collapsed="false">
      <c r="A68" s="108" t="s">
        <v>130</v>
      </c>
      <c r="B68" s="168" t="n">
        <v>167.639</v>
      </c>
      <c r="C68" s="169" t="n">
        <v>0.120920549514135</v>
      </c>
      <c r="D68" s="170" t="n">
        <v>0.067460435817441</v>
      </c>
      <c r="E68" s="170" t="n">
        <v>0.744880367933476</v>
      </c>
      <c r="F68" s="170" t="n">
        <v>0.0137915401547373</v>
      </c>
      <c r="G68" s="170" t="n">
        <v>0.0529471065802111</v>
      </c>
    </row>
    <row r="69" customFormat="false" ht="12" hidden="false" customHeight="false" outlineLevel="0" collapsed="false">
      <c r="A69" s="87" t="s">
        <v>131</v>
      </c>
      <c r="B69" s="140" t="n">
        <v>1.217</v>
      </c>
      <c r="C69" s="141" t="n">
        <v>0</v>
      </c>
      <c r="D69" s="142" t="n">
        <v>0</v>
      </c>
      <c r="E69" s="142" t="n">
        <v>0</v>
      </c>
      <c r="F69" s="142" t="n">
        <v>0</v>
      </c>
      <c r="G69" s="142" t="n">
        <v>1</v>
      </c>
    </row>
    <row r="71" customFormat="false" ht="12" hidden="false" customHeight="false" outlineLevel="0" collapsed="false">
      <c r="A71" s="222" t="s">
        <v>132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3:43 A1"/>
    </sheetView>
  </sheetViews>
  <sheetFormatPr defaultColWidth="9.1484375" defaultRowHeight="12" zeroHeight="false" outlineLevelRow="0" outlineLevelCol="0"/>
  <cols>
    <col collapsed="false" customWidth="true" hidden="false" outlineLevel="0" max="1" min="1" style="19" width="21.71"/>
    <col collapsed="false" customWidth="true" hidden="false" outlineLevel="0" max="2" min="2" style="15" width="10.71"/>
    <col collapsed="false" customWidth="true" hidden="false" outlineLevel="0" max="5" min="3" style="16" width="10.71"/>
    <col collapsed="false" customWidth="true" hidden="false" outlineLevel="0" max="7" min="6" style="19" width="10.71"/>
    <col collapsed="false" customWidth="true" hidden="false" outlineLevel="0" max="9" min="8" style="16" width="10.71"/>
    <col collapsed="false" customWidth="true" hidden="false" outlineLevel="0" max="10" min="10" style="15" width="10.71"/>
    <col collapsed="false" customWidth="false" hidden="false" outlineLevel="0" max="11" min="11" style="19" width="9.14"/>
    <col collapsed="false" customWidth="true" hidden="false" outlineLevel="0" max="12" min="12" style="19" width="10.29"/>
    <col collapsed="false" customWidth="false" hidden="false" outlineLevel="0" max="256" min="13" style="19" width="9.14"/>
    <col collapsed="false" customWidth="true" hidden="false" outlineLevel="0" max="257" min="257" style="19" width="21.71"/>
    <col collapsed="false" customWidth="true" hidden="false" outlineLevel="0" max="258" min="258" style="19" width="9.71"/>
    <col collapsed="false" customWidth="false" hidden="false" outlineLevel="0" max="261" min="259" style="19" width="9.14"/>
    <col collapsed="false" customWidth="true" hidden="false" outlineLevel="0" max="262" min="262" style="19" width="10.71"/>
    <col collapsed="false" customWidth="true" hidden="false" outlineLevel="0" max="263" min="263" style="19" width="9.57"/>
    <col collapsed="false" customWidth="false" hidden="false" outlineLevel="0" max="512" min="264" style="19" width="9.14"/>
    <col collapsed="false" customWidth="true" hidden="false" outlineLevel="0" max="513" min="513" style="19" width="21.71"/>
    <col collapsed="false" customWidth="true" hidden="false" outlineLevel="0" max="514" min="514" style="19" width="9.71"/>
    <col collapsed="false" customWidth="false" hidden="false" outlineLevel="0" max="517" min="515" style="19" width="9.14"/>
    <col collapsed="false" customWidth="true" hidden="false" outlineLevel="0" max="518" min="518" style="19" width="10.71"/>
    <col collapsed="false" customWidth="true" hidden="false" outlineLevel="0" max="519" min="519" style="19" width="9.57"/>
    <col collapsed="false" customWidth="false" hidden="false" outlineLevel="0" max="768" min="520" style="19" width="9.14"/>
    <col collapsed="false" customWidth="true" hidden="false" outlineLevel="0" max="769" min="769" style="19" width="21.71"/>
    <col collapsed="false" customWidth="true" hidden="false" outlineLevel="0" max="770" min="770" style="19" width="9.71"/>
    <col collapsed="false" customWidth="false" hidden="false" outlineLevel="0" max="773" min="771" style="19" width="9.14"/>
    <col collapsed="false" customWidth="true" hidden="false" outlineLevel="0" max="774" min="774" style="19" width="10.71"/>
    <col collapsed="false" customWidth="true" hidden="false" outlineLevel="0" max="775" min="775" style="19" width="9.57"/>
    <col collapsed="false" customWidth="false" hidden="false" outlineLevel="0" max="1024" min="776" style="19" width="9.14"/>
    <col collapsed="false" customWidth="true" hidden="false" outlineLevel="0" max="1025" min="1025" style="19" width="21.71"/>
    <col collapsed="false" customWidth="true" hidden="false" outlineLevel="0" max="1026" min="1026" style="19" width="9.71"/>
    <col collapsed="false" customWidth="false" hidden="false" outlineLevel="0" max="1029" min="1027" style="19" width="9.14"/>
    <col collapsed="false" customWidth="true" hidden="false" outlineLevel="0" max="1030" min="1030" style="19" width="10.71"/>
    <col collapsed="false" customWidth="true" hidden="false" outlineLevel="0" max="1031" min="1031" style="19" width="9.57"/>
    <col collapsed="false" customWidth="false" hidden="false" outlineLevel="0" max="1280" min="1032" style="19" width="9.14"/>
    <col collapsed="false" customWidth="true" hidden="false" outlineLevel="0" max="1281" min="1281" style="19" width="21.71"/>
    <col collapsed="false" customWidth="true" hidden="false" outlineLevel="0" max="1282" min="1282" style="19" width="9.71"/>
    <col collapsed="false" customWidth="false" hidden="false" outlineLevel="0" max="1285" min="1283" style="19" width="9.14"/>
    <col collapsed="false" customWidth="true" hidden="false" outlineLevel="0" max="1286" min="1286" style="19" width="10.71"/>
    <col collapsed="false" customWidth="true" hidden="false" outlineLevel="0" max="1287" min="1287" style="19" width="9.57"/>
    <col collapsed="false" customWidth="false" hidden="false" outlineLevel="0" max="1536" min="1288" style="19" width="9.14"/>
    <col collapsed="false" customWidth="true" hidden="false" outlineLevel="0" max="1537" min="1537" style="19" width="21.71"/>
    <col collapsed="false" customWidth="true" hidden="false" outlineLevel="0" max="1538" min="1538" style="19" width="9.71"/>
    <col collapsed="false" customWidth="false" hidden="false" outlineLevel="0" max="1541" min="1539" style="19" width="9.14"/>
    <col collapsed="false" customWidth="true" hidden="false" outlineLevel="0" max="1542" min="1542" style="19" width="10.71"/>
    <col collapsed="false" customWidth="true" hidden="false" outlineLevel="0" max="1543" min="1543" style="19" width="9.57"/>
    <col collapsed="false" customWidth="false" hidden="false" outlineLevel="0" max="1792" min="1544" style="19" width="9.14"/>
    <col collapsed="false" customWidth="true" hidden="false" outlineLevel="0" max="1793" min="1793" style="19" width="21.71"/>
    <col collapsed="false" customWidth="true" hidden="false" outlineLevel="0" max="1794" min="1794" style="19" width="9.71"/>
    <col collapsed="false" customWidth="false" hidden="false" outlineLevel="0" max="1797" min="1795" style="19" width="9.14"/>
    <col collapsed="false" customWidth="true" hidden="false" outlineLevel="0" max="1798" min="1798" style="19" width="10.71"/>
    <col collapsed="false" customWidth="true" hidden="false" outlineLevel="0" max="1799" min="1799" style="19" width="9.57"/>
    <col collapsed="false" customWidth="false" hidden="false" outlineLevel="0" max="2048" min="1800" style="19" width="9.14"/>
    <col collapsed="false" customWidth="true" hidden="false" outlineLevel="0" max="2049" min="2049" style="19" width="21.71"/>
    <col collapsed="false" customWidth="true" hidden="false" outlineLevel="0" max="2050" min="2050" style="19" width="9.71"/>
    <col collapsed="false" customWidth="false" hidden="false" outlineLevel="0" max="2053" min="2051" style="19" width="9.14"/>
    <col collapsed="false" customWidth="true" hidden="false" outlineLevel="0" max="2054" min="2054" style="19" width="10.71"/>
    <col collapsed="false" customWidth="true" hidden="false" outlineLevel="0" max="2055" min="2055" style="19" width="9.57"/>
    <col collapsed="false" customWidth="false" hidden="false" outlineLevel="0" max="2304" min="2056" style="19" width="9.14"/>
    <col collapsed="false" customWidth="true" hidden="false" outlineLevel="0" max="2305" min="2305" style="19" width="21.71"/>
    <col collapsed="false" customWidth="true" hidden="false" outlineLevel="0" max="2306" min="2306" style="19" width="9.71"/>
    <col collapsed="false" customWidth="false" hidden="false" outlineLevel="0" max="2309" min="2307" style="19" width="9.14"/>
    <col collapsed="false" customWidth="true" hidden="false" outlineLevel="0" max="2310" min="2310" style="19" width="10.71"/>
    <col collapsed="false" customWidth="true" hidden="false" outlineLevel="0" max="2311" min="2311" style="19" width="9.57"/>
    <col collapsed="false" customWidth="false" hidden="false" outlineLevel="0" max="2560" min="2312" style="19" width="9.14"/>
    <col collapsed="false" customWidth="true" hidden="false" outlineLevel="0" max="2561" min="2561" style="19" width="21.71"/>
    <col collapsed="false" customWidth="true" hidden="false" outlineLevel="0" max="2562" min="2562" style="19" width="9.71"/>
    <col collapsed="false" customWidth="false" hidden="false" outlineLevel="0" max="2565" min="2563" style="19" width="9.14"/>
    <col collapsed="false" customWidth="true" hidden="false" outlineLevel="0" max="2566" min="2566" style="19" width="10.71"/>
    <col collapsed="false" customWidth="true" hidden="false" outlineLevel="0" max="2567" min="2567" style="19" width="9.57"/>
    <col collapsed="false" customWidth="false" hidden="false" outlineLevel="0" max="2816" min="2568" style="19" width="9.14"/>
    <col collapsed="false" customWidth="true" hidden="false" outlineLevel="0" max="2817" min="2817" style="19" width="21.71"/>
    <col collapsed="false" customWidth="true" hidden="false" outlineLevel="0" max="2818" min="2818" style="19" width="9.71"/>
    <col collapsed="false" customWidth="false" hidden="false" outlineLevel="0" max="2821" min="2819" style="19" width="9.14"/>
    <col collapsed="false" customWidth="true" hidden="false" outlineLevel="0" max="2822" min="2822" style="19" width="10.71"/>
    <col collapsed="false" customWidth="true" hidden="false" outlineLevel="0" max="2823" min="2823" style="19" width="9.57"/>
    <col collapsed="false" customWidth="false" hidden="false" outlineLevel="0" max="3072" min="2824" style="19" width="9.14"/>
    <col collapsed="false" customWidth="true" hidden="false" outlineLevel="0" max="3073" min="3073" style="19" width="21.71"/>
    <col collapsed="false" customWidth="true" hidden="false" outlineLevel="0" max="3074" min="3074" style="19" width="9.71"/>
    <col collapsed="false" customWidth="false" hidden="false" outlineLevel="0" max="3077" min="3075" style="19" width="9.14"/>
    <col collapsed="false" customWidth="true" hidden="false" outlineLevel="0" max="3078" min="3078" style="19" width="10.71"/>
    <col collapsed="false" customWidth="true" hidden="false" outlineLevel="0" max="3079" min="3079" style="19" width="9.57"/>
    <col collapsed="false" customWidth="false" hidden="false" outlineLevel="0" max="3328" min="3080" style="19" width="9.14"/>
    <col collapsed="false" customWidth="true" hidden="false" outlineLevel="0" max="3329" min="3329" style="19" width="21.71"/>
    <col collapsed="false" customWidth="true" hidden="false" outlineLevel="0" max="3330" min="3330" style="19" width="9.71"/>
    <col collapsed="false" customWidth="false" hidden="false" outlineLevel="0" max="3333" min="3331" style="19" width="9.14"/>
    <col collapsed="false" customWidth="true" hidden="false" outlineLevel="0" max="3334" min="3334" style="19" width="10.71"/>
    <col collapsed="false" customWidth="true" hidden="false" outlineLevel="0" max="3335" min="3335" style="19" width="9.57"/>
    <col collapsed="false" customWidth="false" hidden="false" outlineLevel="0" max="3584" min="3336" style="19" width="9.14"/>
    <col collapsed="false" customWidth="true" hidden="false" outlineLevel="0" max="3585" min="3585" style="19" width="21.71"/>
    <col collapsed="false" customWidth="true" hidden="false" outlineLevel="0" max="3586" min="3586" style="19" width="9.71"/>
    <col collapsed="false" customWidth="false" hidden="false" outlineLevel="0" max="3589" min="3587" style="19" width="9.14"/>
    <col collapsed="false" customWidth="true" hidden="false" outlineLevel="0" max="3590" min="3590" style="19" width="10.71"/>
    <col collapsed="false" customWidth="true" hidden="false" outlineLevel="0" max="3591" min="3591" style="19" width="9.57"/>
    <col collapsed="false" customWidth="false" hidden="false" outlineLevel="0" max="3840" min="3592" style="19" width="9.14"/>
    <col collapsed="false" customWidth="true" hidden="false" outlineLevel="0" max="3841" min="3841" style="19" width="21.71"/>
    <col collapsed="false" customWidth="true" hidden="false" outlineLevel="0" max="3842" min="3842" style="19" width="9.71"/>
    <col collapsed="false" customWidth="false" hidden="false" outlineLevel="0" max="3845" min="3843" style="19" width="9.14"/>
    <col collapsed="false" customWidth="true" hidden="false" outlineLevel="0" max="3846" min="3846" style="19" width="10.71"/>
    <col collapsed="false" customWidth="true" hidden="false" outlineLevel="0" max="3847" min="3847" style="19" width="9.57"/>
    <col collapsed="false" customWidth="false" hidden="false" outlineLevel="0" max="4096" min="3848" style="19" width="9.14"/>
    <col collapsed="false" customWidth="true" hidden="false" outlineLevel="0" max="4097" min="4097" style="19" width="21.71"/>
    <col collapsed="false" customWidth="true" hidden="false" outlineLevel="0" max="4098" min="4098" style="19" width="9.71"/>
    <col collapsed="false" customWidth="false" hidden="false" outlineLevel="0" max="4101" min="4099" style="19" width="9.14"/>
    <col collapsed="false" customWidth="true" hidden="false" outlineLevel="0" max="4102" min="4102" style="19" width="10.71"/>
    <col collapsed="false" customWidth="true" hidden="false" outlineLevel="0" max="4103" min="4103" style="19" width="9.57"/>
    <col collapsed="false" customWidth="false" hidden="false" outlineLevel="0" max="4352" min="4104" style="19" width="9.14"/>
    <col collapsed="false" customWidth="true" hidden="false" outlineLevel="0" max="4353" min="4353" style="19" width="21.71"/>
    <col collapsed="false" customWidth="true" hidden="false" outlineLevel="0" max="4354" min="4354" style="19" width="9.71"/>
    <col collapsed="false" customWidth="false" hidden="false" outlineLevel="0" max="4357" min="4355" style="19" width="9.14"/>
    <col collapsed="false" customWidth="true" hidden="false" outlineLevel="0" max="4358" min="4358" style="19" width="10.71"/>
    <col collapsed="false" customWidth="true" hidden="false" outlineLevel="0" max="4359" min="4359" style="19" width="9.57"/>
    <col collapsed="false" customWidth="false" hidden="false" outlineLevel="0" max="4608" min="4360" style="19" width="9.14"/>
    <col collapsed="false" customWidth="true" hidden="false" outlineLevel="0" max="4609" min="4609" style="19" width="21.71"/>
    <col collapsed="false" customWidth="true" hidden="false" outlineLevel="0" max="4610" min="4610" style="19" width="9.71"/>
    <col collapsed="false" customWidth="false" hidden="false" outlineLevel="0" max="4613" min="4611" style="19" width="9.14"/>
    <col collapsed="false" customWidth="true" hidden="false" outlineLevel="0" max="4614" min="4614" style="19" width="10.71"/>
    <col collapsed="false" customWidth="true" hidden="false" outlineLevel="0" max="4615" min="4615" style="19" width="9.57"/>
    <col collapsed="false" customWidth="false" hidden="false" outlineLevel="0" max="4864" min="4616" style="19" width="9.14"/>
    <col collapsed="false" customWidth="true" hidden="false" outlineLevel="0" max="4865" min="4865" style="19" width="21.71"/>
    <col collapsed="false" customWidth="true" hidden="false" outlineLevel="0" max="4866" min="4866" style="19" width="9.71"/>
    <col collapsed="false" customWidth="false" hidden="false" outlineLevel="0" max="4869" min="4867" style="19" width="9.14"/>
    <col collapsed="false" customWidth="true" hidden="false" outlineLevel="0" max="4870" min="4870" style="19" width="10.71"/>
    <col collapsed="false" customWidth="true" hidden="false" outlineLevel="0" max="4871" min="4871" style="19" width="9.57"/>
    <col collapsed="false" customWidth="false" hidden="false" outlineLevel="0" max="5120" min="4872" style="19" width="9.14"/>
    <col collapsed="false" customWidth="true" hidden="false" outlineLevel="0" max="5121" min="5121" style="19" width="21.71"/>
    <col collapsed="false" customWidth="true" hidden="false" outlineLevel="0" max="5122" min="5122" style="19" width="9.71"/>
    <col collapsed="false" customWidth="false" hidden="false" outlineLevel="0" max="5125" min="5123" style="19" width="9.14"/>
    <col collapsed="false" customWidth="true" hidden="false" outlineLevel="0" max="5126" min="5126" style="19" width="10.71"/>
    <col collapsed="false" customWidth="true" hidden="false" outlineLevel="0" max="5127" min="5127" style="19" width="9.57"/>
    <col collapsed="false" customWidth="false" hidden="false" outlineLevel="0" max="5376" min="5128" style="19" width="9.14"/>
    <col collapsed="false" customWidth="true" hidden="false" outlineLevel="0" max="5377" min="5377" style="19" width="21.71"/>
    <col collapsed="false" customWidth="true" hidden="false" outlineLevel="0" max="5378" min="5378" style="19" width="9.71"/>
    <col collapsed="false" customWidth="false" hidden="false" outlineLevel="0" max="5381" min="5379" style="19" width="9.14"/>
    <col collapsed="false" customWidth="true" hidden="false" outlineLevel="0" max="5382" min="5382" style="19" width="10.71"/>
    <col collapsed="false" customWidth="true" hidden="false" outlineLevel="0" max="5383" min="5383" style="19" width="9.57"/>
    <col collapsed="false" customWidth="false" hidden="false" outlineLevel="0" max="5632" min="5384" style="19" width="9.14"/>
    <col collapsed="false" customWidth="true" hidden="false" outlineLevel="0" max="5633" min="5633" style="19" width="21.71"/>
    <col collapsed="false" customWidth="true" hidden="false" outlineLevel="0" max="5634" min="5634" style="19" width="9.71"/>
    <col collapsed="false" customWidth="false" hidden="false" outlineLevel="0" max="5637" min="5635" style="19" width="9.14"/>
    <col collapsed="false" customWidth="true" hidden="false" outlineLevel="0" max="5638" min="5638" style="19" width="10.71"/>
    <col collapsed="false" customWidth="true" hidden="false" outlineLevel="0" max="5639" min="5639" style="19" width="9.57"/>
    <col collapsed="false" customWidth="false" hidden="false" outlineLevel="0" max="5888" min="5640" style="19" width="9.14"/>
    <col collapsed="false" customWidth="true" hidden="false" outlineLevel="0" max="5889" min="5889" style="19" width="21.71"/>
    <col collapsed="false" customWidth="true" hidden="false" outlineLevel="0" max="5890" min="5890" style="19" width="9.71"/>
    <col collapsed="false" customWidth="false" hidden="false" outlineLevel="0" max="5893" min="5891" style="19" width="9.14"/>
    <col collapsed="false" customWidth="true" hidden="false" outlineLevel="0" max="5894" min="5894" style="19" width="10.71"/>
    <col collapsed="false" customWidth="true" hidden="false" outlineLevel="0" max="5895" min="5895" style="19" width="9.57"/>
    <col collapsed="false" customWidth="false" hidden="false" outlineLevel="0" max="6144" min="5896" style="19" width="9.14"/>
    <col collapsed="false" customWidth="true" hidden="false" outlineLevel="0" max="6145" min="6145" style="19" width="21.71"/>
    <col collapsed="false" customWidth="true" hidden="false" outlineLevel="0" max="6146" min="6146" style="19" width="9.71"/>
    <col collapsed="false" customWidth="false" hidden="false" outlineLevel="0" max="6149" min="6147" style="19" width="9.14"/>
    <col collapsed="false" customWidth="true" hidden="false" outlineLevel="0" max="6150" min="6150" style="19" width="10.71"/>
    <col collapsed="false" customWidth="true" hidden="false" outlineLevel="0" max="6151" min="6151" style="19" width="9.57"/>
    <col collapsed="false" customWidth="false" hidden="false" outlineLevel="0" max="6400" min="6152" style="19" width="9.14"/>
    <col collapsed="false" customWidth="true" hidden="false" outlineLevel="0" max="6401" min="6401" style="19" width="21.71"/>
    <col collapsed="false" customWidth="true" hidden="false" outlineLevel="0" max="6402" min="6402" style="19" width="9.71"/>
    <col collapsed="false" customWidth="false" hidden="false" outlineLevel="0" max="6405" min="6403" style="19" width="9.14"/>
    <col collapsed="false" customWidth="true" hidden="false" outlineLevel="0" max="6406" min="6406" style="19" width="10.71"/>
    <col collapsed="false" customWidth="true" hidden="false" outlineLevel="0" max="6407" min="6407" style="19" width="9.57"/>
    <col collapsed="false" customWidth="false" hidden="false" outlineLevel="0" max="6656" min="6408" style="19" width="9.14"/>
    <col collapsed="false" customWidth="true" hidden="false" outlineLevel="0" max="6657" min="6657" style="19" width="21.71"/>
    <col collapsed="false" customWidth="true" hidden="false" outlineLevel="0" max="6658" min="6658" style="19" width="9.71"/>
    <col collapsed="false" customWidth="false" hidden="false" outlineLevel="0" max="6661" min="6659" style="19" width="9.14"/>
    <col collapsed="false" customWidth="true" hidden="false" outlineLevel="0" max="6662" min="6662" style="19" width="10.71"/>
    <col collapsed="false" customWidth="true" hidden="false" outlineLevel="0" max="6663" min="6663" style="19" width="9.57"/>
    <col collapsed="false" customWidth="false" hidden="false" outlineLevel="0" max="6912" min="6664" style="19" width="9.14"/>
    <col collapsed="false" customWidth="true" hidden="false" outlineLevel="0" max="6913" min="6913" style="19" width="21.71"/>
    <col collapsed="false" customWidth="true" hidden="false" outlineLevel="0" max="6914" min="6914" style="19" width="9.71"/>
    <col collapsed="false" customWidth="false" hidden="false" outlineLevel="0" max="6917" min="6915" style="19" width="9.14"/>
    <col collapsed="false" customWidth="true" hidden="false" outlineLevel="0" max="6918" min="6918" style="19" width="10.71"/>
    <col collapsed="false" customWidth="true" hidden="false" outlineLevel="0" max="6919" min="6919" style="19" width="9.57"/>
    <col collapsed="false" customWidth="false" hidden="false" outlineLevel="0" max="7168" min="6920" style="19" width="9.14"/>
    <col collapsed="false" customWidth="true" hidden="false" outlineLevel="0" max="7169" min="7169" style="19" width="21.71"/>
    <col collapsed="false" customWidth="true" hidden="false" outlineLevel="0" max="7170" min="7170" style="19" width="9.71"/>
    <col collapsed="false" customWidth="false" hidden="false" outlineLevel="0" max="7173" min="7171" style="19" width="9.14"/>
    <col collapsed="false" customWidth="true" hidden="false" outlineLevel="0" max="7174" min="7174" style="19" width="10.71"/>
    <col collapsed="false" customWidth="true" hidden="false" outlineLevel="0" max="7175" min="7175" style="19" width="9.57"/>
    <col collapsed="false" customWidth="false" hidden="false" outlineLevel="0" max="7424" min="7176" style="19" width="9.14"/>
    <col collapsed="false" customWidth="true" hidden="false" outlineLevel="0" max="7425" min="7425" style="19" width="21.71"/>
    <col collapsed="false" customWidth="true" hidden="false" outlineLevel="0" max="7426" min="7426" style="19" width="9.71"/>
    <col collapsed="false" customWidth="false" hidden="false" outlineLevel="0" max="7429" min="7427" style="19" width="9.14"/>
    <col collapsed="false" customWidth="true" hidden="false" outlineLevel="0" max="7430" min="7430" style="19" width="10.71"/>
    <col collapsed="false" customWidth="true" hidden="false" outlineLevel="0" max="7431" min="7431" style="19" width="9.57"/>
    <col collapsed="false" customWidth="false" hidden="false" outlineLevel="0" max="7680" min="7432" style="19" width="9.14"/>
    <col collapsed="false" customWidth="true" hidden="false" outlineLevel="0" max="7681" min="7681" style="19" width="21.71"/>
    <col collapsed="false" customWidth="true" hidden="false" outlineLevel="0" max="7682" min="7682" style="19" width="9.71"/>
    <col collapsed="false" customWidth="false" hidden="false" outlineLevel="0" max="7685" min="7683" style="19" width="9.14"/>
    <col collapsed="false" customWidth="true" hidden="false" outlineLevel="0" max="7686" min="7686" style="19" width="10.71"/>
    <col collapsed="false" customWidth="true" hidden="false" outlineLevel="0" max="7687" min="7687" style="19" width="9.57"/>
    <col collapsed="false" customWidth="false" hidden="false" outlineLevel="0" max="7936" min="7688" style="19" width="9.14"/>
    <col collapsed="false" customWidth="true" hidden="false" outlineLevel="0" max="7937" min="7937" style="19" width="21.71"/>
    <col collapsed="false" customWidth="true" hidden="false" outlineLevel="0" max="7938" min="7938" style="19" width="9.71"/>
    <col collapsed="false" customWidth="false" hidden="false" outlineLevel="0" max="7941" min="7939" style="19" width="9.14"/>
    <col collapsed="false" customWidth="true" hidden="false" outlineLevel="0" max="7942" min="7942" style="19" width="10.71"/>
    <col collapsed="false" customWidth="true" hidden="false" outlineLevel="0" max="7943" min="7943" style="19" width="9.57"/>
    <col collapsed="false" customWidth="false" hidden="false" outlineLevel="0" max="8192" min="7944" style="19" width="9.14"/>
    <col collapsed="false" customWidth="true" hidden="false" outlineLevel="0" max="8193" min="8193" style="19" width="21.71"/>
    <col collapsed="false" customWidth="true" hidden="false" outlineLevel="0" max="8194" min="8194" style="19" width="9.71"/>
    <col collapsed="false" customWidth="false" hidden="false" outlineLevel="0" max="8197" min="8195" style="19" width="9.14"/>
    <col collapsed="false" customWidth="true" hidden="false" outlineLevel="0" max="8198" min="8198" style="19" width="10.71"/>
    <col collapsed="false" customWidth="true" hidden="false" outlineLevel="0" max="8199" min="8199" style="19" width="9.57"/>
    <col collapsed="false" customWidth="false" hidden="false" outlineLevel="0" max="8448" min="8200" style="19" width="9.14"/>
    <col collapsed="false" customWidth="true" hidden="false" outlineLevel="0" max="8449" min="8449" style="19" width="21.71"/>
    <col collapsed="false" customWidth="true" hidden="false" outlineLevel="0" max="8450" min="8450" style="19" width="9.71"/>
    <col collapsed="false" customWidth="false" hidden="false" outlineLevel="0" max="8453" min="8451" style="19" width="9.14"/>
    <col collapsed="false" customWidth="true" hidden="false" outlineLevel="0" max="8454" min="8454" style="19" width="10.71"/>
    <col collapsed="false" customWidth="true" hidden="false" outlineLevel="0" max="8455" min="8455" style="19" width="9.57"/>
    <col collapsed="false" customWidth="false" hidden="false" outlineLevel="0" max="8704" min="8456" style="19" width="9.14"/>
    <col collapsed="false" customWidth="true" hidden="false" outlineLevel="0" max="8705" min="8705" style="19" width="21.71"/>
    <col collapsed="false" customWidth="true" hidden="false" outlineLevel="0" max="8706" min="8706" style="19" width="9.71"/>
    <col collapsed="false" customWidth="false" hidden="false" outlineLevel="0" max="8709" min="8707" style="19" width="9.14"/>
    <col collapsed="false" customWidth="true" hidden="false" outlineLevel="0" max="8710" min="8710" style="19" width="10.71"/>
    <col collapsed="false" customWidth="true" hidden="false" outlineLevel="0" max="8711" min="8711" style="19" width="9.57"/>
    <col collapsed="false" customWidth="false" hidden="false" outlineLevel="0" max="8960" min="8712" style="19" width="9.14"/>
    <col collapsed="false" customWidth="true" hidden="false" outlineLevel="0" max="8961" min="8961" style="19" width="21.71"/>
    <col collapsed="false" customWidth="true" hidden="false" outlineLevel="0" max="8962" min="8962" style="19" width="9.71"/>
    <col collapsed="false" customWidth="false" hidden="false" outlineLevel="0" max="8965" min="8963" style="19" width="9.14"/>
    <col collapsed="false" customWidth="true" hidden="false" outlineLevel="0" max="8966" min="8966" style="19" width="10.71"/>
    <col collapsed="false" customWidth="true" hidden="false" outlineLevel="0" max="8967" min="8967" style="19" width="9.57"/>
    <col collapsed="false" customWidth="false" hidden="false" outlineLevel="0" max="9216" min="8968" style="19" width="9.14"/>
    <col collapsed="false" customWidth="true" hidden="false" outlineLevel="0" max="9217" min="9217" style="19" width="21.71"/>
    <col collapsed="false" customWidth="true" hidden="false" outlineLevel="0" max="9218" min="9218" style="19" width="9.71"/>
    <col collapsed="false" customWidth="false" hidden="false" outlineLevel="0" max="9221" min="9219" style="19" width="9.14"/>
    <col collapsed="false" customWidth="true" hidden="false" outlineLevel="0" max="9222" min="9222" style="19" width="10.71"/>
    <col collapsed="false" customWidth="true" hidden="false" outlineLevel="0" max="9223" min="9223" style="19" width="9.57"/>
    <col collapsed="false" customWidth="false" hidden="false" outlineLevel="0" max="9472" min="9224" style="19" width="9.14"/>
    <col collapsed="false" customWidth="true" hidden="false" outlineLevel="0" max="9473" min="9473" style="19" width="21.71"/>
    <col collapsed="false" customWidth="true" hidden="false" outlineLevel="0" max="9474" min="9474" style="19" width="9.71"/>
    <col collapsed="false" customWidth="false" hidden="false" outlineLevel="0" max="9477" min="9475" style="19" width="9.14"/>
    <col collapsed="false" customWidth="true" hidden="false" outlineLevel="0" max="9478" min="9478" style="19" width="10.71"/>
    <col collapsed="false" customWidth="true" hidden="false" outlineLevel="0" max="9479" min="9479" style="19" width="9.57"/>
    <col collapsed="false" customWidth="false" hidden="false" outlineLevel="0" max="9728" min="9480" style="19" width="9.14"/>
    <col collapsed="false" customWidth="true" hidden="false" outlineLevel="0" max="9729" min="9729" style="19" width="21.71"/>
    <col collapsed="false" customWidth="true" hidden="false" outlineLevel="0" max="9730" min="9730" style="19" width="9.71"/>
    <col collapsed="false" customWidth="false" hidden="false" outlineLevel="0" max="9733" min="9731" style="19" width="9.14"/>
    <col collapsed="false" customWidth="true" hidden="false" outlineLevel="0" max="9734" min="9734" style="19" width="10.71"/>
    <col collapsed="false" customWidth="true" hidden="false" outlineLevel="0" max="9735" min="9735" style="19" width="9.57"/>
    <col collapsed="false" customWidth="false" hidden="false" outlineLevel="0" max="9984" min="9736" style="19" width="9.14"/>
    <col collapsed="false" customWidth="true" hidden="false" outlineLevel="0" max="9985" min="9985" style="19" width="21.71"/>
    <col collapsed="false" customWidth="true" hidden="false" outlineLevel="0" max="9986" min="9986" style="19" width="9.71"/>
    <col collapsed="false" customWidth="false" hidden="false" outlineLevel="0" max="9989" min="9987" style="19" width="9.14"/>
    <col collapsed="false" customWidth="true" hidden="false" outlineLevel="0" max="9990" min="9990" style="19" width="10.71"/>
    <col collapsed="false" customWidth="true" hidden="false" outlineLevel="0" max="9991" min="9991" style="19" width="9.57"/>
    <col collapsed="false" customWidth="false" hidden="false" outlineLevel="0" max="10240" min="9992" style="19" width="9.14"/>
    <col collapsed="false" customWidth="true" hidden="false" outlineLevel="0" max="10241" min="10241" style="19" width="21.71"/>
    <col collapsed="false" customWidth="true" hidden="false" outlineLevel="0" max="10242" min="10242" style="19" width="9.71"/>
    <col collapsed="false" customWidth="false" hidden="false" outlineLevel="0" max="10245" min="10243" style="19" width="9.14"/>
    <col collapsed="false" customWidth="true" hidden="false" outlineLevel="0" max="10246" min="10246" style="19" width="10.71"/>
    <col collapsed="false" customWidth="true" hidden="false" outlineLevel="0" max="10247" min="10247" style="19" width="9.57"/>
    <col collapsed="false" customWidth="false" hidden="false" outlineLevel="0" max="10496" min="10248" style="19" width="9.14"/>
    <col collapsed="false" customWidth="true" hidden="false" outlineLevel="0" max="10497" min="10497" style="19" width="21.71"/>
    <col collapsed="false" customWidth="true" hidden="false" outlineLevel="0" max="10498" min="10498" style="19" width="9.71"/>
    <col collapsed="false" customWidth="false" hidden="false" outlineLevel="0" max="10501" min="10499" style="19" width="9.14"/>
    <col collapsed="false" customWidth="true" hidden="false" outlineLevel="0" max="10502" min="10502" style="19" width="10.71"/>
    <col collapsed="false" customWidth="true" hidden="false" outlineLevel="0" max="10503" min="10503" style="19" width="9.57"/>
    <col collapsed="false" customWidth="false" hidden="false" outlineLevel="0" max="10752" min="10504" style="19" width="9.14"/>
    <col collapsed="false" customWidth="true" hidden="false" outlineLevel="0" max="10753" min="10753" style="19" width="21.71"/>
    <col collapsed="false" customWidth="true" hidden="false" outlineLevel="0" max="10754" min="10754" style="19" width="9.71"/>
    <col collapsed="false" customWidth="false" hidden="false" outlineLevel="0" max="10757" min="10755" style="19" width="9.14"/>
    <col collapsed="false" customWidth="true" hidden="false" outlineLevel="0" max="10758" min="10758" style="19" width="10.71"/>
    <col collapsed="false" customWidth="true" hidden="false" outlineLevel="0" max="10759" min="10759" style="19" width="9.57"/>
    <col collapsed="false" customWidth="false" hidden="false" outlineLevel="0" max="11008" min="10760" style="19" width="9.14"/>
    <col collapsed="false" customWidth="true" hidden="false" outlineLevel="0" max="11009" min="11009" style="19" width="21.71"/>
    <col collapsed="false" customWidth="true" hidden="false" outlineLevel="0" max="11010" min="11010" style="19" width="9.71"/>
    <col collapsed="false" customWidth="false" hidden="false" outlineLevel="0" max="11013" min="11011" style="19" width="9.14"/>
    <col collapsed="false" customWidth="true" hidden="false" outlineLevel="0" max="11014" min="11014" style="19" width="10.71"/>
    <col collapsed="false" customWidth="true" hidden="false" outlineLevel="0" max="11015" min="11015" style="19" width="9.57"/>
    <col collapsed="false" customWidth="false" hidden="false" outlineLevel="0" max="11264" min="11016" style="19" width="9.14"/>
    <col collapsed="false" customWidth="true" hidden="false" outlineLevel="0" max="11265" min="11265" style="19" width="21.71"/>
    <col collapsed="false" customWidth="true" hidden="false" outlineLevel="0" max="11266" min="11266" style="19" width="9.71"/>
    <col collapsed="false" customWidth="false" hidden="false" outlineLevel="0" max="11269" min="11267" style="19" width="9.14"/>
    <col collapsed="false" customWidth="true" hidden="false" outlineLevel="0" max="11270" min="11270" style="19" width="10.71"/>
    <col collapsed="false" customWidth="true" hidden="false" outlineLevel="0" max="11271" min="11271" style="19" width="9.57"/>
    <col collapsed="false" customWidth="false" hidden="false" outlineLevel="0" max="11520" min="11272" style="19" width="9.14"/>
    <col collapsed="false" customWidth="true" hidden="false" outlineLevel="0" max="11521" min="11521" style="19" width="21.71"/>
    <col collapsed="false" customWidth="true" hidden="false" outlineLevel="0" max="11522" min="11522" style="19" width="9.71"/>
    <col collapsed="false" customWidth="false" hidden="false" outlineLevel="0" max="11525" min="11523" style="19" width="9.14"/>
    <col collapsed="false" customWidth="true" hidden="false" outlineLevel="0" max="11526" min="11526" style="19" width="10.71"/>
    <col collapsed="false" customWidth="true" hidden="false" outlineLevel="0" max="11527" min="11527" style="19" width="9.57"/>
    <col collapsed="false" customWidth="false" hidden="false" outlineLevel="0" max="11776" min="11528" style="19" width="9.14"/>
    <col collapsed="false" customWidth="true" hidden="false" outlineLevel="0" max="11777" min="11777" style="19" width="21.71"/>
    <col collapsed="false" customWidth="true" hidden="false" outlineLevel="0" max="11778" min="11778" style="19" width="9.71"/>
    <col collapsed="false" customWidth="false" hidden="false" outlineLevel="0" max="11781" min="11779" style="19" width="9.14"/>
    <col collapsed="false" customWidth="true" hidden="false" outlineLevel="0" max="11782" min="11782" style="19" width="10.71"/>
    <col collapsed="false" customWidth="true" hidden="false" outlineLevel="0" max="11783" min="11783" style="19" width="9.57"/>
    <col collapsed="false" customWidth="false" hidden="false" outlineLevel="0" max="12032" min="11784" style="19" width="9.14"/>
    <col collapsed="false" customWidth="true" hidden="false" outlineLevel="0" max="12033" min="12033" style="19" width="21.71"/>
    <col collapsed="false" customWidth="true" hidden="false" outlineLevel="0" max="12034" min="12034" style="19" width="9.71"/>
    <col collapsed="false" customWidth="false" hidden="false" outlineLevel="0" max="12037" min="12035" style="19" width="9.14"/>
    <col collapsed="false" customWidth="true" hidden="false" outlineLevel="0" max="12038" min="12038" style="19" width="10.71"/>
    <col collapsed="false" customWidth="true" hidden="false" outlineLevel="0" max="12039" min="12039" style="19" width="9.57"/>
    <col collapsed="false" customWidth="false" hidden="false" outlineLevel="0" max="12288" min="12040" style="19" width="9.14"/>
    <col collapsed="false" customWidth="true" hidden="false" outlineLevel="0" max="12289" min="12289" style="19" width="21.71"/>
    <col collapsed="false" customWidth="true" hidden="false" outlineLevel="0" max="12290" min="12290" style="19" width="9.71"/>
    <col collapsed="false" customWidth="false" hidden="false" outlineLevel="0" max="12293" min="12291" style="19" width="9.14"/>
    <col collapsed="false" customWidth="true" hidden="false" outlineLevel="0" max="12294" min="12294" style="19" width="10.71"/>
    <col collapsed="false" customWidth="true" hidden="false" outlineLevel="0" max="12295" min="12295" style="19" width="9.57"/>
    <col collapsed="false" customWidth="false" hidden="false" outlineLevel="0" max="12544" min="12296" style="19" width="9.14"/>
    <col collapsed="false" customWidth="true" hidden="false" outlineLevel="0" max="12545" min="12545" style="19" width="21.71"/>
    <col collapsed="false" customWidth="true" hidden="false" outlineLevel="0" max="12546" min="12546" style="19" width="9.71"/>
    <col collapsed="false" customWidth="false" hidden="false" outlineLevel="0" max="12549" min="12547" style="19" width="9.14"/>
    <col collapsed="false" customWidth="true" hidden="false" outlineLevel="0" max="12550" min="12550" style="19" width="10.71"/>
    <col collapsed="false" customWidth="true" hidden="false" outlineLevel="0" max="12551" min="12551" style="19" width="9.57"/>
    <col collapsed="false" customWidth="false" hidden="false" outlineLevel="0" max="12800" min="12552" style="19" width="9.14"/>
    <col collapsed="false" customWidth="true" hidden="false" outlineLevel="0" max="12801" min="12801" style="19" width="21.71"/>
    <col collapsed="false" customWidth="true" hidden="false" outlineLevel="0" max="12802" min="12802" style="19" width="9.71"/>
    <col collapsed="false" customWidth="false" hidden="false" outlineLevel="0" max="12805" min="12803" style="19" width="9.14"/>
    <col collapsed="false" customWidth="true" hidden="false" outlineLevel="0" max="12806" min="12806" style="19" width="10.71"/>
    <col collapsed="false" customWidth="true" hidden="false" outlineLevel="0" max="12807" min="12807" style="19" width="9.57"/>
    <col collapsed="false" customWidth="false" hidden="false" outlineLevel="0" max="13056" min="12808" style="19" width="9.14"/>
    <col collapsed="false" customWidth="true" hidden="false" outlineLevel="0" max="13057" min="13057" style="19" width="21.71"/>
    <col collapsed="false" customWidth="true" hidden="false" outlineLevel="0" max="13058" min="13058" style="19" width="9.71"/>
    <col collapsed="false" customWidth="false" hidden="false" outlineLevel="0" max="13061" min="13059" style="19" width="9.14"/>
    <col collapsed="false" customWidth="true" hidden="false" outlineLevel="0" max="13062" min="13062" style="19" width="10.71"/>
    <col collapsed="false" customWidth="true" hidden="false" outlineLevel="0" max="13063" min="13063" style="19" width="9.57"/>
    <col collapsed="false" customWidth="false" hidden="false" outlineLevel="0" max="13312" min="13064" style="19" width="9.14"/>
    <col collapsed="false" customWidth="true" hidden="false" outlineLevel="0" max="13313" min="13313" style="19" width="21.71"/>
    <col collapsed="false" customWidth="true" hidden="false" outlineLevel="0" max="13314" min="13314" style="19" width="9.71"/>
    <col collapsed="false" customWidth="false" hidden="false" outlineLevel="0" max="13317" min="13315" style="19" width="9.14"/>
    <col collapsed="false" customWidth="true" hidden="false" outlineLevel="0" max="13318" min="13318" style="19" width="10.71"/>
    <col collapsed="false" customWidth="true" hidden="false" outlineLevel="0" max="13319" min="13319" style="19" width="9.57"/>
    <col collapsed="false" customWidth="false" hidden="false" outlineLevel="0" max="13568" min="13320" style="19" width="9.14"/>
    <col collapsed="false" customWidth="true" hidden="false" outlineLevel="0" max="13569" min="13569" style="19" width="21.71"/>
    <col collapsed="false" customWidth="true" hidden="false" outlineLevel="0" max="13570" min="13570" style="19" width="9.71"/>
    <col collapsed="false" customWidth="false" hidden="false" outlineLevel="0" max="13573" min="13571" style="19" width="9.14"/>
    <col collapsed="false" customWidth="true" hidden="false" outlineLevel="0" max="13574" min="13574" style="19" width="10.71"/>
    <col collapsed="false" customWidth="true" hidden="false" outlineLevel="0" max="13575" min="13575" style="19" width="9.57"/>
    <col collapsed="false" customWidth="false" hidden="false" outlineLevel="0" max="13824" min="13576" style="19" width="9.14"/>
    <col collapsed="false" customWidth="true" hidden="false" outlineLevel="0" max="13825" min="13825" style="19" width="21.71"/>
    <col collapsed="false" customWidth="true" hidden="false" outlineLevel="0" max="13826" min="13826" style="19" width="9.71"/>
    <col collapsed="false" customWidth="false" hidden="false" outlineLevel="0" max="13829" min="13827" style="19" width="9.14"/>
    <col collapsed="false" customWidth="true" hidden="false" outlineLevel="0" max="13830" min="13830" style="19" width="10.71"/>
    <col collapsed="false" customWidth="true" hidden="false" outlineLevel="0" max="13831" min="13831" style="19" width="9.57"/>
    <col collapsed="false" customWidth="false" hidden="false" outlineLevel="0" max="14080" min="13832" style="19" width="9.14"/>
    <col collapsed="false" customWidth="true" hidden="false" outlineLevel="0" max="14081" min="14081" style="19" width="21.71"/>
    <col collapsed="false" customWidth="true" hidden="false" outlineLevel="0" max="14082" min="14082" style="19" width="9.71"/>
    <col collapsed="false" customWidth="false" hidden="false" outlineLevel="0" max="14085" min="14083" style="19" width="9.14"/>
    <col collapsed="false" customWidth="true" hidden="false" outlineLevel="0" max="14086" min="14086" style="19" width="10.71"/>
    <col collapsed="false" customWidth="true" hidden="false" outlineLevel="0" max="14087" min="14087" style="19" width="9.57"/>
    <col collapsed="false" customWidth="false" hidden="false" outlineLevel="0" max="14336" min="14088" style="19" width="9.14"/>
    <col collapsed="false" customWidth="true" hidden="false" outlineLevel="0" max="14337" min="14337" style="19" width="21.71"/>
    <col collapsed="false" customWidth="true" hidden="false" outlineLevel="0" max="14338" min="14338" style="19" width="9.71"/>
    <col collapsed="false" customWidth="false" hidden="false" outlineLevel="0" max="14341" min="14339" style="19" width="9.14"/>
    <col collapsed="false" customWidth="true" hidden="false" outlineLevel="0" max="14342" min="14342" style="19" width="10.71"/>
    <col collapsed="false" customWidth="true" hidden="false" outlineLevel="0" max="14343" min="14343" style="19" width="9.57"/>
    <col collapsed="false" customWidth="false" hidden="false" outlineLevel="0" max="14592" min="14344" style="19" width="9.14"/>
    <col collapsed="false" customWidth="true" hidden="false" outlineLevel="0" max="14593" min="14593" style="19" width="21.71"/>
    <col collapsed="false" customWidth="true" hidden="false" outlineLevel="0" max="14594" min="14594" style="19" width="9.71"/>
    <col collapsed="false" customWidth="false" hidden="false" outlineLevel="0" max="14597" min="14595" style="19" width="9.14"/>
    <col collapsed="false" customWidth="true" hidden="false" outlineLevel="0" max="14598" min="14598" style="19" width="10.71"/>
    <col collapsed="false" customWidth="true" hidden="false" outlineLevel="0" max="14599" min="14599" style="19" width="9.57"/>
    <col collapsed="false" customWidth="false" hidden="false" outlineLevel="0" max="14848" min="14600" style="19" width="9.14"/>
    <col collapsed="false" customWidth="true" hidden="false" outlineLevel="0" max="14849" min="14849" style="19" width="21.71"/>
    <col collapsed="false" customWidth="true" hidden="false" outlineLevel="0" max="14850" min="14850" style="19" width="9.71"/>
    <col collapsed="false" customWidth="false" hidden="false" outlineLevel="0" max="14853" min="14851" style="19" width="9.14"/>
    <col collapsed="false" customWidth="true" hidden="false" outlineLevel="0" max="14854" min="14854" style="19" width="10.71"/>
    <col collapsed="false" customWidth="true" hidden="false" outlineLevel="0" max="14855" min="14855" style="19" width="9.57"/>
    <col collapsed="false" customWidth="false" hidden="false" outlineLevel="0" max="15104" min="14856" style="19" width="9.14"/>
    <col collapsed="false" customWidth="true" hidden="false" outlineLevel="0" max="15105" min="15105" style="19" width="21.71"/>
    <col collapsed="false" customWidth="true" hidden="false" outlineLevel="0" max="15106" min="15106" style="19" width="9.71"/>
    <col collapsed="false" customWidth="false" hidden="false" outlineLevel="0" max="15109" min="15107" style="19" width="9.14"/>
    <col collapsed="false" customWidth="true" hidden="false" outlineLevel="0" max="15110" min="15110" style="19" width="10.71"/>
    <col collapsed="false" customWidth="true" hidden="false" outlineLevel="0" max="15111" min="15111" style="19" width="9.57"/>
    <col collapsed="false" customWidth="false" hidden="false" outlineLevel="0" max="15360" min="15112" style="19" width="9.14"/>
    <col collapsed="false" customWidth="true" hidden="false" outlineLevel="0" max="15361" min="15361" style="19" width="21.71"/>
    <col collapsed="false" customWidth="true" hidden="false" outlineLevel="0" max="15362" min="15362" style="19" width="9.71"/>
    <col collapsed="false" customWidth="false" hidden="false" outlineLevel="0" max="15365" min="15363" style="19" width="9.14"/>
    <col collapsed="false" customWidth="true" hidden="false" outlineLevel="0" max="15366" min="15366" style="19" width="10.71"/>
    <col collapsed="false" customWidth="true" hidden="false" outlineLevel="0" max="15367" min="15367" style="19" width="9.57"/>
    <col collapsed="false" customWidth="false" hidden="false" outlineLevel="0" max="15616" min="15368" style="19" width="9.14"/>
    <col collapsed="false" customWidth="true" hidden="false" outlineLevel="0" max="15617" min="15617" style="19" width="21.71"/>
    <col collapsed="false" customWidth="true" hidden="false" outlineLevel="0" max="15618" min="15618" style="19" width="9.71"/>
    <col collapsed="false" customWidth="false" hidden="false" outlineLevel="0" max="15621" min="15619" style="19" width="9.14"/>
    <col collapsed="false" customWidth="true" hidden="false" outlineLevel="0" max="15622" min="15622" style="19" width="10.71"/>
    <col collapsed="false" customWidth="true" hidden="false" outlineLevel="0" max="15623" min="15623" style="19" width="9.57"/>
    <col collapsed="false" customWidth="false" hidden="false" outlineLevel="0" max="15872" min="15624" style="19" width="9.14"/>
    <col collapsed="false" customWidth="true" hidden="false" outlineLevel="0" max="15873" min="15873" style="19" width="21.71"/>
    <col collapsed="false" customWidth="true" hidden="false" outlineLevel="0" max="15874" min="15874" style="19" width="9.71"/>
    <col collapsed="false" customWidth="false" hidden="false" outlineLevel="0" max="15877" min="15875" style="19" width="9.14"/>
    <col collapsed="false" customWidth="true" hidden="false" outlineLevel="0" max="15878" min="15878" style="19" width="10.71"/>
    <col collapsed="false" customWidth="true" hidden="false" outlineLevel="0" max="15879" min="15879" style="19" width="9.57"/>
    <col collapsed="false" customWidth="false" hidden="false" outlineLevel="0" max="16128" min="15880" style="19" width="9.14"/>
    <col collapsed="false" customWidth="true" hidden="false" outlineLevel="0" max="16129" min="16129" style="19" width="21.71"/>
    <col collapsed="false" customWidth="true" hidden="false" outlineLevel="0" max="16130" min="16130" style="19" width="9.71"/>
    <col collapsed="false" customWidth="false" hidden="false" outlineLevel="0" max="16133" min="16131" style="19" width="9.14"/>
    <col collapsed="false" customWidth="true" hidden="false" outlineLevel="0" max="16134" min="16134" style="19" width="10.71"/>
    <col collapsed="false" customWidth="true" hidden="false" outlineLevel="0" max="16135" min="16135" style="19" width="9.57"/>
    <col collapsed="false" customWidth="false" hidden="false" outlineLevel="0" max="16384" min="16136" style="19" width="9.14"/>
  </cols>
  <sheetData>
    <row r="1" customFormat="false" ht="15.75" hidden="false" customHeight="false" outlineLevel="0" collapsed="false">
      <c r="A1" s="14" t="s">
        <v>133</v>
      </c>
      <c r="F1" s="17"/>
      <c r="G1" s="17"/>
    </row>
    <row r="2" customFormat="false" ht="12" hidden="false" customHeight="false" outlineLevel="0" collapsed="false">
      <c r="F2" s="17"/>
      <c r="G2" s="17"/>
    </row>
    <row r="3" customFormat="false" ht="48" hidden="false" customHeight="false" outlineLevel="0" collapsed="false">
      <c r="A3" s="20" t="n">
        <v>2010</v>
      </c>
      <c r="B3" s="21" t="s">
        <v>17</v>
      </c>
      <c r="C3" s="22" t="s">
        <v>106</v>
      </c>
      <c r="D3" s="22" t="s">
        <v>107</v>
      </c>
      <c r="E3" s="25" t="s">
        <v>108</v>
      </c>
      <c r="F3" s="74" t="s">
        <v>109</v>
      </c>
      <c r="G3" s="24" t="s">
        <v>110</v>
      </c>
      <c r="H3" s="22" t="s">
        <v>106</v>
      </c>
      <c r="I3" s="22" t="s">
        <v>107</v>
      </c>
      <c r="J3" s="178" t="s">
        <v>111</v>
      </c>
      <c r="N3" s="19" t="s">
        <v>134</v>
      </c>
    </row>
    <row r="4" customFormat="false" ht="12" hidden="false" customHeight="false" outlineLevel="0" collapsed="false">
      <c r="A4" s="179" t="s">
        <v>95</v>
      </c>
      <c r="B4" s="230" t="n">
        <f aca="false">SUM(B5:B32)</f>
        <v>394.59</v>
      </c>
      <c r="C4" s="231" t="s">
        <v>91</v>
      </c>
      <c r="D4" s="232" t="s">
        <v>91</v>
      </c>
      <c r="E4" s="233" t="n">
        <v>0.117942070922164</v>
      </c>
      <c r="F4" s="230" t="s">
        <v>91</v>
      </c>
      <c r="G4" s="234" t="n">
        <f aca="false">SUM(G5:G32)</f>
        <v>3038.427</v>
      </c>
      <c r="H4" s="235" t="s">
        <v>91</v>
      </c>
      <c r="I4" s="235" t="s">
        <v>91</v>
      </c>
      <c r="J4" s="236" t="n">
        <f aca="false">SUM(J5:J32)</f>
        <v>266.159</v>
      </c>
      <c r="L4" s="227"/>
      <c r="M4" s="228"/>
    </row>
    <row r="5" customFormat="false" ht="12" hidden="false" customHeight="false" outlineLevel="0" collapsed="false">
      <c r="A5" s="187" t="s">
        <v>96</v>
      </c>
      <c r="B5" s="237" t="n">
        <v>15.197</v>
      </c>
      <c r="C5" s="238" t="n">
        <v>0.692373494768704</v>
      </c>
      <c r="D5" s="239" t="n">
        <v>0.307626505231296</v>
      </c>
      <c r="E5" s="240" t="n">
        <v>0.15976661059714</v>
      </c>
      <c r="F5" s="237" t="n">
        <v>2.575</v>
      </c>
      <c r="G5" s="241" t="s">
        <v>91</v>
      </c>
      <c r="H5" s="242" t="s">
        <v>91</v>
      </c>
      <c r="I5" s="242" t="s">
        <v>91</v>
      </c>
      <c r="J5" s="243" t="n">
        <v>4.788</v>
      </c>
      <c r="L5" s="227"/>
      <c r="M5" s="229"/>
    </row>
    <row r="6" customFormat="false" ht="12" hidden="false" customHeight="false" outlineLevel="0" collapsed="false">
      <c r="A6" s="80" t="s">
        <v>27</v>
      </c>
      <c r="B6" s="104" t="n">
        <v>3.722</v>
      </c>
      <c r="C6" s="166" t="n">
        <v>0.949758194519076</v>
      </c>
      <c r="D6" s="105" t="n">
        <v>0.0502418054809242</v>
      </c>
      <c r="E6" s="167" t="n">
        <v>0.0797805071485221</v>
      </c>
      <c r="F6" s="104" t="n">
        <v>1.017</v>
      </c>
      <c r="G6" s="107" t="n">
        <v>40.43</v>
      </c>
      <c r="H6" s="224" t="n">
        <v>0.982290378431858</v>
      </c>
      <c r="I6" s="224" t="n">
        <v>0.0177096215681425</v>
      </c>
      <c r="J6" s="106" t="n">
        <v>3.921</v>
      </c>
    </row>
    <row r="7" customFormat="false" ht="12" hidden="false" customHeight="false" outlineLevel="0" collapsed="false">
      <c r="A7" s="80" t="s">
        <v>28</v>
      </c>
      <c r="B7" s="104" t="n">
        <v>12.24</v>
      </c>
      <c r="C7" s="166" t="n">
        <v>0.739297385620915</v>
      </c>
      <c r="D7" s="105" t="n">
        <v>0.260702614379085</v>
      </c>
      <c r="E7" s="167" t="n">
        <v>0.142474682807589</v>
      </c>
      <c r="F7" s="104" t="n">
        <v>4.792</v>
      </c>
      <c r="G7" s="107" t="n">
        <v>135.672</v>
      </c>
      <c r="H7" s="224" t="n">
        <v>0.647119523556814</v>
      </c>
      <c r="I7" s="224" t="n">
        <v>0.352880476443187</v>
      </c>
      <c r="J7" s="106" t="n">
        <v>20.548</v>
      </c>
    </row>
    <row r="8" customFormat="false" ht="12" hidden="false" customHeight="false" outlineLevel="0" collapsed="false">
      <c r="A8" s="80" t="s">
        <v>29</v>
      </c>
      <c r="B8" s="104" t="n">
        <v>19.1</v>
      </c>
      <c r="C8" s="166" t="s">
        <v>91</v>
      </c>
      <c r="D8" s="105" t="s">
        <v>91</v>
      </c>
      <c r="E8" s="167" t="n">
        <v>0.492458424648704</v>
      </c>
      <c r="F8" s="104" t="n">
        <v>5.806</v>
      </c>
      <c r="G8" s="107" t="n">
        <v>124.736</v>
      </c>
      <c r="H8" s="224" t="s">
        <v>91</v>
      </c>
      <c r="I8" s="224" t="s">
        <v>91</v>
      </c>
      <c r="J8" s="106" t="n">
        <v>10.177</v>
      </c>
    </row>
    <row r="9" customFormat="false" ht="12" hidden="false" customHeight="false" outlineLevel="0" collapsed="false">
      <c r="A9" s="80" t="s">
        <v>30</v>
      </c>
      <c r="B9" s="104" t="n">
        <v>83.199</v>
      </c>
      <c r="C9" s="166" t="n">
        <v>0.641894734311711</v>
      </c>
      <c r="D9" s="105" t="n">
        <v>0.35810526568829</v>
      </c>
      <c r="E9" s="167" t="n">
        <v>0.132499785003774</v>
      </c>
      <c r="F9" s="104" t="s">
        <v>91</v>
      </c>
      <c r="G9" s="107" t="n">
        <v>675.82</v>
      </c>
      <c r="H9" s="224" t="n">
        <v>0.537282116539907</v>
      </c>
      <c r="I9" s="224" t="n">
        <v>0.462717883460093</v>
      </c>
      <c r="J9" s="106" t="n">
        <v>63.927</v>
      </c>
    </row>
    <row r="10" customFormat="false" ht="12" hidden="false" customHeight="false" outlineLevel="0" collapsed="false">
      <c r="A10" s="80" t="s">
        <v>31</v>
      </c>
      <c r="B10" s="104" t="n">
        <v>1.335</v>
      </c>
      <c r="C10" s="166" t="n">
        <v>0.928089887640449</v>
      </c>
      <c r="D10" s="105" t="n">
        <v>0.0719101123595506</v>
      </c>
      <c r="E10" s="167" t="n">
        <v>0.102977476087627</v>
      </c>
      <c r="F10" s="104" t="n">
        <v>0.447</v>
      </c>
      <c r="G10" s="107" t="n">
        <v>12.32</v>
      </c>
      <c r="H10" s="224" t="n">
        <v>0.832061688311688</v>
      </c>
      <c r="I10" s="224" t="n">
        <v>0.167938311688312</v>
      </c>
      <c r="J10" s="106" t="n">
        <v>1.468</v>
      </c>
    </row>
    <row r="11" customFormat="false" ht="12" hidden="false" customHeight="false" outlineLevel="0" collapsed="false">
      <c r="A11" s="80" t="s">
        <v>97</v>
      </c>
      <c r="B11" s="104" t="n">
        <v>1.918</v>
      </c>
      <c r="C11" s="166" t="n">
        <v>0</v>
      </c>
      <c r="D11" s="105" t="n">
        <v>1</v>
      </c>
      <c r="E11" s="167" t="n">
        <v>0.0670371535423439</v>
      </c>
      <c r="F11" s="104" t="n">
        <v>0.285</v>
      </c>
      <c r="G11" s="107" t="n">
        <v>11.962</v>
      </c>
      <c r="H11" s="224" t="n">
        <v>0</v>
      </c>
      <c r="I11" s="224" t="n">
        <v>1</v>
      </c>
      <c r="J11" s="106" t="n">
        <v>0.656</v>
      </c>
    </row>
    <row r="12" customFormat="false" ht="12" hidden="false" customHeight="false" outlineLevel="0" collapsed="false">
      <c r="A12" s="80" t="s">
        <v>33</v>
      </c>
      <c r="B12" s="104" t="n">
        <v>2.478</v>
      </c>
      <c r="C12" s="166" t="n">
        <v>0.0677966101694915</v>
      </c>
      <c r="D12" s="105" t="n">
        <v>0.932203389830508</v>
      </c>
      <c r="E12" s="167" t="n">
        <v>0.0431767493727349</v>
      </c>
      <c r="F12" s="104" t="n">
        <v>0.588</v>
      </c>
      <c r="G12" s="107" t="n">
        <v>12.705</v>
      </c>
      <c r="H12" s="224" t="n">
        <v>0.554191263282172</v>
      </c>
      <c r="I12" s="224" t="n">
        <v>0.445808736717828</v>
      </c>
      <c r="J12" s="106" t="n">
        <v>0.957</v>
      </c>
    </row>
    <row r="13" customFormat="false" ht="12" hidden="false" customHeight="false" outlineLevel="0" collapsed="false">
      <c r="A13" s="80" t="s">
        <v>34</v>
      </c>
      <c r="B13" s="104" t="n">
        <v>22.419</v>
      </c>
      <c r="C13" s="166" t="n">
        <v>0</v>
      </c>
      <c r="D13" s="105" t="n">
        <v>1</v>
      </c>
      <c r="E13" s="167" t="n">
        <v>0.0739676401884576</v>
      </c>
      <c r="F13" s="104" t="n">
        <v>3.382</v>
      </c>
      <c r="G13" s="107" t="n">
        <v>153.314</v>
      </c>
      <c r="H13" s="224" t="n">
        <v>0</v>
      </c>
      <c r="I13" s="224" t="n">
        <v>1</v>
      </c>
      <c r="J13" s="106" t="n">
        <v>10.296</v>
      </c>
    </row>
    <row r="14" customFormat="false" ht="12" hidden="false" customHeight="false" outlineLevel="0" collapsed="false">
      <c r="A14" s="80" t="s">
        <v>35</v>
      </c>
      <c r="B14" s="104" t="n">
        <v>15.689</v>
      </c>
      <c r="C14" s="166" t="n">
        <v>0.526611001338518</v>
      </c>
      <c r="D14" s="105" t="n">
        <v>0.473388998661483</v>
      </c>
      <c r="E14" s="167" t="n">
        <v>0.0275728380568082</v>
      </c>
      <c r="F14" s="104" t="n">
        <v>4.606</v>
      </c>
      <c r="G14" s="107" t="n">
        <v>173.945</v>
      </c>
      <c r="H14" s="224" t="n">
        <v>0.35108223863865</v>
      </c>
      <c r="I14" s="224" t="n">
        <v>0.64891776136135</v>
      </c>
      <c r="J14" s="106" t="n">
        <v>13.325</v>
      </c>
    </row>
    <row r="15" customFormat="false" ht="12" hidden="false" customHeight="false" outlineLevel="0" collapsed="false">
      <c r="A15" s="80" t="s">
        <v>36</v>
      </c>
      <c r="B15" s="104" t="n">
        <v>2.021</v>
      </c>
      <c r="C15" s="166" t="n">
        <v>0.6565</v>
      </c>
      <c r="D15" s="105" t="n">
        <v>0.3434</v>
      </c>
      <c r="E15" s="167" t="n">
        <v>0.158</v>
      </c>
      <c r="F15" s="104" t="n">
        <v>0.691</v>
      </c>
      <c r="G15" s="107" t="n">
        <v>14.923</v>
      </c>
      <c r="H15" s="224" t="n">
        <v>0.527775916370703</v>
      </c>
      <c r="I15" s="224" t="n">
        <v>0.472224083629297</v>
      </c>
      <c r="J15" s="106" t="n">
        <v>1.711</v>
      </c>
      <c r="L15" s="227"/>
      <c r="M15" s="228"/>
    </row>
    <row r="16" customFormat="false" ht="12" hidden="false" customHeight="false" outlineLevel="0" collapsed="false">
      <c r="A16" s="80" t="s">
        <v>37</v>
      </c>
      <c r="B16" s="104" t="n">
        <v>34.705</v>
      </c>
      <c r="C16" s="166" t="n">
        <v>0.603745857945541</v>
      </c>
      <c r="D16" s="105" t="n">
        <v>0.396254142054459</v>
      </c>
      <c r="E16" s="167" t="n">
        <v>0.114893631108845</v>
      </c>
      <c r="F16" s="104" t="n">
        <v>7.351</v>
      </c>
      <c r="G16" s="107" t="n">
        <v>202.506</v>
      </c>
      <c r="H16" s="224" t="n">
        <v>0.457309906866957</v>
      </c>
      <c r="I16" s="224" t="n">
        <v>0.542690093133043</v>
      </c>
      <c r="J16" s="106" t="n">
        <v>13.872</v>
      </c>
    </row>
    <row r="17" customFormat="false" ht="12" hidden="false" customHeight="false" outlineLevel="0" collapsed="false">
      <c r="A17" s="80" t="s">
        <v>38</v>
      </c>
      <c r="B17" s="104" t="n">
        <v>0.056</v>
      </c>
      <c r="C17" s="166" t="s">
        <v>91</v>
      </c>
      <c r="D17" s="105" t="s">
        <v>91</v>
      </c>
      <c r="E17" s="167" t="n">
        <v>0.0104770813844715</v>
      </c>
      <c r="F17" s="104" t="n">
        <v>0.022</v>
      </c>
      <c r="G17" s="107" t="n">
        <v>0.14</v>
      </c>
      <c r="H17" s="224" t="s">
        <v>91</v>
      </c>
      <c r="I17" s="224" t="s">
        <v>91</v>
      </c>
      <c r="J17" s="106" t="n">
        <v>0.036</v>
      </c>
    </row>
    <row r="18" customFormat="false" ht="12" hidden="false" customHeight="false" outlineLevel="0" collapsed="false">
      <c r="A18" s="80" t="s">
        <v>70</v>
      </c>
      <c r="B18" s="104" t="n">
        <v>2.981</v>
      </c>
      <c r="C18" s="166" t="n">
        <v>0.985239852398524</v>
      </c>
      <c r="D18" s="105" t="n">
        <v>0.014760147601476</v>
      </c>
      <c r="E18" s="167" t="n">
        <v>0.449826467481515</v>
      </c>
      <c r="F18" s="104" t="n">
        <v>0.87</v>
      </c>
      <c r="G18" s="107" t="n">
        <v>10.449</v>
      </c>
      <c r="H18" s="224" t="n">
        <v>0.980380897693559</v>
      </c>
      <c r="I18" s="224" t="n">
        <v>0.0196191023064408</v>
      </c>
      <c r="J18" s="106" t="n">
        <v>0.847</v>
      </c>
    </row>
    <row r="19" customFormat="false" ht="12" hidden="false" customHeight="false" outlineLevel="0" collapsed="false">
      <c r="A19" s="80" t="s">
        <v>40</v>
      </c>
      <c r="B19" s="104" t="n">
        <v>1.99</v>
      </c>
      <c r="C19" s="166" t="n">
        <v>0.865829145728643</v>
      </c>
      <c r="D19" s="105" t="n">
        <v>0.134170854271357</v>
      </c>
      <c r="E19" s="167" t="n">
        <v>0.346147156027135</v>
      </c>
      <c r="F19" s="104" t="n">
        <v>1.1</v>
      </c>
      <c r="G19" s="107" t="n">
        <v>19.342</v>
      </c>
      <c r="H19" s="224" t="n">
        <v>0.856736635301417</v>
      </c>
      <c r="I19" s="224" t="n">
        <v>0.143263364698583</v>
      </c>
      <c r="J19" s="106" t="n">
        <v>2.485</v>
      </c>
    </row>
    <row r="20" customFormat="false" ht="12" hidden="false" customHeight="false" outlineLevel="0" collapsed="false">
      <c r="A20" s="80" t="s">
        <v>41</v>
      </c>
      <c r="B20" s="104" t="n">
        <v>0.44</v>
      </c>
      <c r="C20" s="166" t="n">
        <v>0.306818181818182</v>
      </c>
      <c r="D20" s="105" t="n">
        <v>0.693181818181818</v>
      </c>
      <c r="E20" s="167" t="n">
        <v>0.0958188153310105</v>
      </c>
      <c r="F20" s="104" t="n">
        <v>0.121</v>
      </c>
      <c r="G20" s="107" t="n">
        <v>3.209</v>
      </c>
      <c r="H20" s="224" t="n">
        <v>0.331879090059208</v>
      </c>
      <c r="I20" s="224" t="n">
        <v>0.668120909940792</v>
      </c>
      <c r="J20" s="106" t="s">
        <v>91</v>
      </c>
    </row>
    <row r="21" customFormat="false" ht="12" hidden="false" customHeight="false" outlineLevel="0" collapsed="false">
      <c r="A21" s="80" t="s">
        <v>113</v>
      </c>
      <c r="B21" s="104" t="n">
        <v>7.314</v>
      </c>
      <c r="C21" s="166" t="n">
        <v>0.947087776866284</v>
      </c>
      <c r="D21" s="105" t="n">
        <v>0.0529122231337162</v>
      </c>
      <c r="E21" s="167" t="n">
        <v>0.195713253592358</v>
      </c>
      <c r="F21" s="104" t="n">
        <v>1.862</v>
      </c>
      <c r="G21" s="107" t="n">
        <v>42.184</v>
      </c>
      <c r="H21" s="224" t="n">
        <v>0.88092641759909</v>
      </c>
      <c r="I21" s="224" t="n">
        <v>0.11907358240091</v>
      </c>
      <c r="J21" s="106" t="n">
        <v>3.438</v>
      </c>
    </row>
    <row r="22" customFormat="false" ht="12" hidden="false" customHeight="false" outlineLevel="0" collapsed="false">
      <c r="A22" s="80" t="s">
        <v>43</v>
      </c>
      <c r="B22" s="134" t="n">
        <v>0</v>
      </c>
      <c r="C22" s="135" t="n">
        <v>0</v>
      </c>
      <c r="D22" s="195" t="n">
        <v>0</v>
      </c>
      <c r="E22" s="136" t="n">
        <v>0</v>
      </c>
      <c r="F22" s="134" t="n">
        <v>0</v>
      </c>
      <c r="G22" s="196" t="n">
        <v>0</v>
      </c>
      <c r="H22" s="197" t="n">
        <v>0</v>
      </c>
      <c r="I22" s="197" t="n">
        <v>0</v>
      </c>
      <c r="J22" s="198" t="n">
        <v>0</v>
      </c>
    </row>
    <row r="23" customFormat="false" ht="12" hidden="false" customHeight="false" outlineLevel="0" collapsed="false">
      <c r="A23" s="80" t="s">
        <v>72</v>
      </c>
      <c r="B23" s="104" t="n">
        <v>39.241</v>
      </c>
      <c r="C23" s="166" t="s">
        <v>91</v>
      </c>
      <c r="D23" s="105" t="s">
        <v>91</v>
      </c>
      <c r="E23" s="167" t="n">
        <v>0.33215676316235</v>
      </c>
      <c r="F23" s="104" t="n">
        <v>9.3</v>
      </c>
      <c r="G23" s="107" t="n">
        <v>233.612</v>
      </c>
      <c r="H23" s="224" t="s">
        <v>91</v>
      </c>
      <c r="I23" s="224" t="s">
        <v>91</v>
      </c>
      <c r="J23" s="106" t="n">
        <v>18.562</v>
      </c>
    </row>
    <row r="24" customFormat="false" ht="12" hidden="false" customHeight="false" outlineLevel="0" collapsed="false">
      <c r="A24" s="80" t="s">
        <v>45</v>
      </c>
      <c r="B24" s="104" t="n">
        <v>10.964</v>
      </c>
      <c r="C24" s="166" t="s">
        <v>91</v>
      </c>
      <c r="D24" s="105" t="s">
        <v>91</v>
      </c>
      <c r="E24" s="167" t="n">
        <v>0.154146807822627</v>
      </c>
      <c r="F24" s="104" t="n">
        <v>3.157</v>
      </c>
      <c r="G24" s="107" t="n">
        <v>110.612</v>
      </c>
      <c r="H24" s="224" t="s">
        <v>91</v>
      </c>
      <c r="I24" s="224" t="s">
        <v>91</v>
      </c>
      <c r="J24" s="106" t="n">
        <v>8.603</v>
      </c>
    </row>
    <row r="25" customFormat="false" ht="12" hidden="false" customHeight="false" outlineLevel="0" collapsed="false">
      <c r="A25" s="80" t="s">
        <v>46</v>
      </c>
      <c r="B25" s="104" t="n">
        <v>27.705</v>
      </c>
      <c r="C25" s="166" t="n">
        <v>0.770799494676051</v>
      </c>
      <c r="D25" s="105" t="n">
        <v>0.229200505323949</v>
      </c>
      <c r="E25" s="167" t="n">
        <v>0.175729590186291</v>
      </c>
      <c r="F25" s="104" t="n">
        <v>8.693</v>
      </c>
      <c r="G25" s="107" t="n">
        <v>277.097</v>
      </c>
      <c r="H25" s="224" t="n">
        <v>0.620526386066973</v>
      </c>
      <c r="I25" s="224" t="n">
        <v>0.379473613933027</v>
      </c>
      <c r="J25" s="106" t="n">
        <v>24.827</v>
      </c>
    </row>
    <row r="26" customFormat="false" ht="12" hidden="false" customHeight="false" outlineLevel="0" collapsed="false">
      <c r="A26" s="80" t="s">
        <v>98</v>
      </c>
      <c r="B26" s="104" t="n">
        <v>6.356</v>
      </c>
      <c r="C26" s="166" t="n">
        <v>0.712083071113908</v>
      </c>
      <c r="D26" s="105" t="n">
        <v>0.287916928886092</v>
      </c>
      <c r="E26" s="167" t="n">
        <v>0.117507857274912</v>
      </c>
      <c r="F26" s="104" t="n">
        <v>1.31</v>
      </c>
      <c r="G26" s="107" t="n">
        <v>67.218</v>
      </c>
      <c r="H26" s="224" t="n">
        <v>0.616456901425214</v>
      </c>
      <c r="I26" s="224" t="n">
        <v>0.383543098574787</v>
      </c>
      <c r="J26" s="106" t="n">
        <v>4.849</v>
      </c>
    </row>
    <row r="27" customFormat="false" ht="12" hidden="false" customHeight="false" outlineLevel="0" collapsed="false">
      <c r="A27" s="80" t="s">
        <v>48</v>
      </c>
      <c r="B27" s="104" t="n">
        <v>6.54</v>
      </c>
      <c r="C27" s="166" t="n">
        <v>0.823088685015291</v>
      </c>
      <c r="D27" s="105" t="n">
        <v>0.176911314984709</v>
      </c>
      <c r="E27" s="167" t="n">
        <v>0.107886966132731</v>
      </c>
      <c r="F27" s="104" t="n">
        <v>4.582</v>
      </c>
      <c r="G27" s="107" t="n">
        <v>69</v>
      </c>
      <c r="H27" s="224" t="n">
        <v>0.775376811594203</v>
      </c>
      <c r="I27" s="224" t="n">
        <v>0.224623188405797</v>
      </c>
      <c r="J27" s="106" t="n">
        <v>10.771</v>
      </c>
    </row>
    <row r="28" customFormat="false" ht="12" hidden="false" customHeight="false" outlineLevel="0" collapsed="false">
      <c r="A28" s="80" t="s">
        <v>99</v>
      </c>
      <c r="B28" s="104" t="n">
        <v>1.135</v>
      </c>
      <c r="C28" s="166" t="n">
        <v>0.771806167400881</v>
      </c>
      <c r="D28" s="105" t="n">
        <v>0.228193832599119</v>
      </c>
      <c r="E28" s="167" t="n">
        <v>0.0690683381001643</v>
      </c>
      <c r="F28" s="104" t="n">
        <v>0.333</v>
      </c>
      <c r="G28" s="107" t="n">
        <v>11.603</v>
      </c>
      <c r="H28" s="224" t="n">
        <v>0.638714125657158</v>
      </c>
      <c r="I28" s="224" t="n">
        <v>0.361285874342842</v>
      </c>
      <c r="J28" s="106" t="n">
        <v>0.839</v>
      </c>
    </row>
    <row r="29" customFormat="false" ht="12" hidden="false" customHeight="false" outlineLevel="0" collapsed="false">
      <c r="A29" s="80" t="s">
        <v>50</v>
      </c>
      <c r="B29" s="104" t="n">
        <v>4.431</v>
      </c>
      <c r="C29" s="166" t="n">
        <v>0.73595125253893</v>
      </c>
      <c r="D29" s="105" t="n">
        <v>0.26404874746107</v>
      </c>
      <c r="E29" s="167" t="n">
        <v>0.159153766028519</v>
      </c>
      <c r="F29" s="104" t="n">
        <v>2.821</v>
      </c>
      <c r="G29" s="107" t="n">
        <v>20.061</v>
      </c>
      <c r="H29" s="224" t="n">
        <v>0.800358905338717</v>
      </c>
      <c r="I29" s="224" t="n">
        <v>0.199641094661283</v>
      </c>
      <c r="J29" s="106" t="n">
        <v>9.206</v>
      </c>
    </row>
    <row r="30" customFormat="false" ht="12" hidden="false" customHeight="false" outlineLevel="0" collapsed="false">
      <c r="A30" s="80" t="s">
        <v>75</v>
      </c>
      <c r="B30" s="104" t="n">
        <v>29.239</v>
      </c>
      <c r="C30" s="166" t="n">
        <v>0.685043948151442</v>
      </c>
      <c r="D30" s="105" t="n">
        <v>0.314956051848558</v>
      </c>
      <c r="E30" s="167" t="n">
        <v>0.362465444357668</v>
      </c>
      <c r="F30" s="104" t="n">
        <v>6.168</v>
      </c>
      <c r="G30" s="107" t="n">
        <v>272.839</v>
      </c>
      <c r="H30" s="224" t="n">
        <v>0.499243143392257</v>
      </c>
      <c r="I30" s="224" t="n">
        <v>0.500756856607743</v>
      </c>
      <c r="J30" s="106" t="n">
        <v>15.951</v>
      </c>
    </row>
    <row r="31" customFormat="false" ht="12" hidden="false" customHeight="false" outlineLevel="0" collapsed="false">
      <c r="A31" s="108" t="s">
        <v>76</v>
      </c>
      <c r="B31" s="109" t="n">
        <v>18.531</v>
      </c>
      <c r="C31" s="138" t="n">
        <v>0.677405428741029</v>
      </c>
      <c r="D31" s="110" t="n">
        <v>0.322594571258971</v>
      </c>
      <c r="E31" s="139" t="n">
        <v>0.124696350826666</v>
      </c>
      <c r="F31" s="109" t="n">
        <v>5.1</v>
      </c>
      <c r="G31" s="112" t="n">
        <v>187.204</v>
      </c>
      <c r="H31" s="244" t="n">
        <v>0.535554795837696</v>
      </c>
      <c r="I31" s="244" t="n">
        <v>0.464445204162304</v>
      </c>
      <c r="J31" s="111" t="n">
        <v>12.288</v>
      </c>
    </row>
    <row r="32" customFormat="false" ht="12" hidden="false" customHeight="false" outlineLevel="0" collapsed="false">
      <c r="A32" s="87" t="s">
        <v>77</v>
      </c>
      <c r="B32" s="114" t="n">
        <v>23.644</v>
      </c>
      <c r="C32" s="245" t="s">
        <v>91</v>
      </c>
      <c r="D32" s="115" t="s">
        <v>91</v>
      </c>
      <c r="E32" s="246" t="n">
        <v>0.062036738217244</v>
      </c>
      <c r="F32" s="114" t="n">
        <v>6.102</v>
      </c>
      <c r="G32" s="113" t="n">
        <v>155.524</v>
      </c>
      <c r="H32" s="247" t="s">
        <v>91</v>
      </c>
      <c r="I32" s="247" t="s">
        <v>91</v>
      </c>
      <c r="J32" s="116" t="n">
        <v>7.811</v>
      </c>
    </row>
    <row r="33" customFormat="false" ht="12" hidden="false" customHeight="false" outlineLevel="0" collapsed="false">
      <c r="A33" s="65" t="s">
        <v>115</v>
      </c>
      <c r="B33" s="254" t="n">
        <v>0.268</v>
      </c>
      <c r="C33" s="255" t="n">
        <v>1</v>
      </c>
      <c r="D33" s="256" t="n">
        <v>0</v>
      </c>
      <c r="E33" s="257" t="n">
        <v>0.00215252399502028</v>
      </c>
      <c r="F33" s="254" t="s">
        <v>91</v>
      </c>
      <c r="G33" s="258" t="n">
        <v>3.807</v>
      </c>
      <c r="H33" s="259" t="n">
        <v>1</v>
      </c>
      <c r="I33" s="259" t="n">
        <v>0</v>
      </c>
      <c r="J33" s="260" t="n">
        <v>0.2</v>
      </c>
    </row>
    <row r="34" customFormat="false" ht="12" hidden="false" customHeight="false" outlineLevel="0" collapsed="false">
      <c r="A34" s="220" t="s">
        <v>130</v>
      </c>
      <c r="B34" s="261" t="n">
        <v>7.94</v>
      </c>
      <c r="C34" s="262" t="n">
        <v>0.457556675062972</v>
      </c>
      <c r="D34" s="263" t="n">
        <v>0.542443324937028</v>
      </c>
      <c r="E34" s="264" t="n">
        <v>0.037593272982084</v>
      </c>
      <c r="F34" s="261" t="n">
        <v>5.336</v>
      </c>
      <c r="G34" s="265" t="n">
        <v>100.784</v>
      </c>
      <c r="H34" s="266" t="n">
        <v>0.293965311954278</v>
      </c>
      <c r="I34" s="266" t="n">
        <v>0.706034688045722</v>
      </c>
      <c r="J34" s="267" t="s">
        <v>91</v>
      </c>
      <c r="L34" s="227"/>
      <c r="M34" s="229"/>
    </row>
    <row r="35" customFormat="false" ht="12" hidden="false" customHeight="false" outlineLevel="0" collapsed="false">
      <c r="A35" s="65"/>
      <c r="B35" s="268"/>
      <c r="C35" s="269"/>
      <c r="D35" s="269"/>
      <c r="E35" s="269"/>
      <c r="F35" s="270"/>
      <c r="G35" s="270"/>
      <c r="H35" s="269"/>
      <c r="I35" s="269"/>
      <c r="J35" s="268"/>
    </row>
    <row r="36" customFormat="false" ht="12" hidden="false" customHeight="false" outlineLevel="0" collapsed="false">
      <c r="F36" s="16"/>
      <c r="G36" s="16"/>
    </row>
    <row r="37" customFormat="false" ht="36" hidden="false" customHeight="false" outlineLevel="0" collapsed="false">
      <c r="A37" s="20" t="n">
        <v>2010</v>
      </c>
      <c r="B37" s="21" t="s">
        <v>55</v>
      </c>
      <c r="C37" s="25" t="s">
        <v>57</v>
      </c>
      <c r="D37" s="22" t="s">
        <v>58</v>
      </c>
      <c r="E37" s="22" t="s">
        <v>59</v>
      </c>
      <c r="F37" s="211" t="s">
        <v>60</v>
      </c>
      <c r="G37" s="211" t="s">
        <v>61</v>
      </c>
      <c r="H37" s="257"/>
      <c r="I37" s="257"/>
      <c r="J37" s="271"/>
      <c r="K37" s="272"/>
    </row>
    <row r="38" customFormat="false" ht="12" hidden="false" customHeight="false" outlineLevel="0" collapsed="false">
      <c r="A38" s="179" t="s">
        <v>95</v>
      </c>
      <c r="B38" s="180" t="n">
        <v>6497.158</v>
      </c>
      <c r="C38" s="181" t="n">
        <v>0.214068058680426</v>
      </c>
      <c r="D38" s="183" t="n">
        <v>0.0634933194669885</v>
      </c>
      <c r="E38" s="183" t="n">
        <v>0.486580440247875</v>
      </c>
      <c r="F38" s="183" t="n">
        <v>0.146372921822126</v>
      </c>
      <c r="G38" s="183" t="n">
        <v>0.0898868397536277</v>
      </c>
      <c r="H38" s="257"/>
      <c r="I38" s="257"/>
      <c r="J38" s="271"/>
      <c r="K38" s="272"/>
    </row>
    <row r="39" customFormat="false" ht="12" hidden="false" customHeight="false" outlineLevel="0" collapsed="false">
      <c r="A39" s="187" t="s">
        <v>96</v>
      </c>
      <c r="B39" s="188" t="n">
        <v>203.194</v>
      </c>
      <c r="C39" s="215" t="n">
        <v>0.0130712521039007</v>
      </c>
      <c r="D39" s="216" t="n">
        <v>0.00539386005492288</v>
      </c>
      <c r="E39" s="216" t="n">
        <v>0.598039312184415</v>
      </c>
      <c r="F39" s="216" t="n">
        <v>0.139718692481077</v>
      </c>
      <c r="G39" s="216" t="n">
        <v>0.243776883175684</v>
      </c>
      <c r="H39" s="257"/>
      <c r="I39" s="257"/>
      <c r="J39" s="271"/>
      <c r="K39" s="272"/>
    </row>
    <row r="40" customFormat="false" ht="12" hidden="false" customHeight="false" outlineLevel="0" collapsed="false">
      <c r="A40" s="80" t="s">
        <v>27</v>
      </c>
      <c r="B40" s="134" t="n">
        <v>67.969</v>
      </c>
      <c r="C40" s="135" t="n">
        <v>0.513587076461328</v>
      </c>
      <c r="D40" s="136" t="n">
        <v>0.0902617369683238</v>
      </c>
      <c r="E40" s="136" t="n">
        <v>0.395901072547779</v>
      </c>
      <c r="F40" s="136" t="n">
        <v>0</v>
      </c>
      <c r="G40" s="136" t="n">
        <v>0.000250114022569112</v>
      </c>
      <c r="H40" s="257"/>
      <c r="I40" s="257"/>
      <c r="J40" s="271"/>
      <c r="K40" s="272"/>
      <c r="M40" s="272"/>
      <c r="N40" s="272"/>
    </row>
    <row r="41" customFormat="false" ht="12" hidden="false" customHeight="false" outlineLevel="0" collapsed="false">
      <c r="A41" s="80" t="s">
        <v>116</v>
      </c>
      <c r="B41" s="134" t="n">
        <v>268.785</v>
      </c>
      <c r="C41" s="135" t="n">
        <v>0.75940993731049</v>
      </c>
      <c r="D41" s="136" t="n">
        <v>0.01983369607679</v>
      </c>
      <c r="E41" s="136" t="n">
        <v>0.0736759863831687</v>
      </c>
      <c r="F41" s="136" t="n">
        <v>0.0730323492754432</v>
      </c>
      <c r="G41" s="136" t="n">
        <v>0.0740480309541083</v>
      </c>
    </row>
    <row r="42" customFormat="false" ht="12" hidden="false" customHeight="false" outlineLevel="0" collapsed="false">
      <c r="A42" s="80" t="s">
        <v>29</v>
      </c>
      <c r="B42" s="134" t="n">
        <v>321.623</v>
      </c>
      <c r="C42" s="135" t="n">
        <v>0.492110327930527</v>
      </c>
      <c r="D42" s="136" t="n">
        <v>0.0208442804152688</v>
      </c>
      <c r="E42" s="136" t="n">
        <v>0.238378474176287</v>
      </c>
      <c r="F42" s="136" t="n">
        <v>0.200343259033092</v>
      </c>
      <c r="G42" s="136" t="n">
        <v>0.0483236584448252</v>
      </c>
    </row>
    <row r="43" customFormat="false" ht="12" hidden="false" customHeight="false" outlineLevel="0" collapsed="false">
      <c r="A43" s="80" t="s">
        <v>30</v>
      </c>
      <c r="B43" s="134" t="n">
        <v>1268.709</v>
      </c>
      <c r="C43" s="135" t="n">
        <v>0.273826385719657</v>
      </c>
      <c r="D43" s="136" t="n">
        <v>0.0404143109255156</v>
      </c>
      <c r="E43" s="136" t="n">
        <v>0.496304511121148</v>
      </c>
      <c r="F43" s="136" t="n">
        <v>0.0934028212931413</v>
      </c>
      <c r="G43" s="136" t="n">
        <v>0.0960519709405388</v>
      </c>
      <c r="M43" s="273"/>
    </row>
    <row r="44" customFormat="false" ht="12" hidden="false" customHeight="false" outlineLevel="0" collapsed="false">
      <c r="A44" s="80" t="s">
        <v>31</v>
      </c>
      <c r="B44" s="134" t="n">
        <v>22.04</v>
      </c>
      <c r="C44" s="135" t="n">
        <v>0.354718693284937</v>
      </c>
      <c r="D44" s="136" t="n">
        <v>0.00276769509981851</v>
      </c>
      <c r="E44" s="136" t="n">
        <v>0.286887477313975</v>
      </c>
      <c r="F44" s="136" t="n">
        <v>0.35562613430127</v>
      </c>
      <c r="G44" s="136" t="n">
        <v>0</v>
      </c>
      <c r="M44" s="273"/>
    </row>
    <row r="45" customFormat="false" ht="12" hidden="false" customHeight="false" outlineLevel="0" collapsed="false">
      <c r="A45" s="80" t="s">
        <v>97</v>
      </c>
      <c r="B45" s="134" t="n">
        <v>22.306</v>
      </c>
      <c r="C45" s="135" t="n">
        <v>0.0462655787680445</v>
      </c>
      <c r="D45" s="136" t="n">
        <v>0.00143459158970681</v>
      </c>
      <c r="E45" s="136" t="n">
        <v>0.915628082130369</v>
      </c>
      <c r="F45" s="136" t="n">
        <v>0.013807944050928</v>
      </c>
      <c r="G45" s="136" t="n">
        <v>0.0228638034609522</v>
      </c>
      <c r="M45" s="273"/>
    </row>
    <row r="46" customFormat="false" ht="12" hidden="false" customHeight="false" outlineLevel="0" collapsed="false">
      <c r="A46" s="80" t="s">
        <v>33</v>
      </c>
      <c r="B46" s="134" t="n">
        <v>27.97</v>
      </c>
      <c r="C46" s="135" t="n">
        <v>0.104933857704684</v>
      </c>
      <c r="D46" s="136" t="n">
        <v>0.0363603861279943</v>
      </c>
      <c r="E46" s="136" t="n">
        <v>0.471576689309975</v>
      </c>
      <c r="F46" s="136" t="n">
        <v>0.0102252413299964</v>
      </c>
      <c r="G46" s="136" t="n">
        <v>0.376903825527351</v>
      </c>
      <c r="M46" s="273"/>
    </row>
    <row r="47" customFormat="false" ht="12" hidden="false" customHeight="false" outlineLevel="0" collapsed="false">
      <c r="A47" s="80" t="s">
        <v>34</v>
      </c>
      <c r="B47" s="134" t="n">
        <v>322.138</v>
      </c>
      <c r="C47" s="135" t="n">
        <v>0.013000639477491</v>
      </c>
      <c r="D47" s="136" t="n">
        <v>0.0561902041982008</v>
      </c>
      <c r="E47" s="136" t="n">
        <v>0.84819549385667</v>
      </c>
      <c r="F47" s="136" t="n">
        <v>0</v>
      </c>
      <c r="G47" s="136" t="n">
        <v>0.0826136624676381</v>
      </c>
      <c r="M47" s="273"/>
    </row>
    <row r="48" customFormat="false" ht="12" hidden="false" customHeight="false" outlineLevel="0" collapsed="false">
      <c r="A48" s="80" t="s">
        <v>35</v>
      </c>
      <c r="B48" s="134" t="n">
        <v>281.23</v>
      </c>
      <c r="C48" s="135" t="n">
        <v>0.0588841873199872</v>
      </c>
      <c r="D48" s="136" t="n">
        <v>0.026394765850016</v>
      </c>
      <c r="E48" s="136" t="n">
        <v>0.56504640329979</v>
      </c>
      <c r="F48" s="136" t="n">
        <v>0.230274152828646</v>
      </c>
      <c r="G48" s="136" t="n">
        <v>0.119400490701561</v>
      </c>
      <c r="M48" s="273"/>
    </row>
    <row r="49" customFormat="false" ht="12" hidden="false" customHeight="false" outlineLevel="0" collapsed="false">
      <c r="A49" s="80" t="s">
        <v>36</v>
      </c>
      <c r="B49" s="134" t="n">
        <v>27.763</v>
      </c>
      <c r="C49" s="135" t="n">
        <v>0.024817202751864</v>
      </c>
      <c r="D49" s="136" t="n">
        <v>0.157079566329287</v>
      </c>
      <c r="E49" s="136" t="n">
        <v>0.818103230918849</v>
      </c>
      <c r="F49" s="136" t="n">
        <v>0</v>
      </c>
      <c r="G49" s="136" t="n">
        <v>0</v>
      </c>
      <c r="M49" s="273"/>
    </row>
    <row r="50" customFormat="false" ht="12" hidden="false" customHeight="false" outlineLevel="0" collapsed="false">
      <c r="A50" s="80" t="s">
        <v>37</v>
      </c>
      <c r="B50" s="134" t="n">
        <v>1004.784</v>
      </c>
      <c r="C50" s="135" t="n">
        <v>0.00225521107023997</v>
      </c>
      <c r="D50" s="136" t="n">
        <v>0.166926423987643</v>
      </c>
      <c r="E50" s="136" t="n">
        <v>0.705364536059491</v>
      </c>
      <c r="F50" s="136" t="n">
        <v>0.0427106721444609</v>
      </c>
      <c r="G50" s="136" t="n">
        <v>0.0827431567381646</v>
      </c>
      <c r="M50" s="273"/>
    </row>
    <row r="51" customFormat="false" ht="12" hidden="false" customHeight="false" outlineLevel="0" collapsed="false">
      <c r="A51" s="80" t="s">
        <v>38</v>
      </c>
      <c r="B51" s="134" t="n">
        <v>0.68</v>
      </c>
      <c r="C51" s="135" t="n">
        <v>0</v>
      </c>
      <c r="D51" s="136" t="n">
        <v>0.619117647058824</v>
      </c>
      <c r="E51" s="136" t="n">
        <v>0</v>
      </c>
      <c r="F51" s="136" t="n">
        <v>0.380882352941176</v>
      </c>
      <c r="G51" s="136" t="n">
        <v>0</v>
      </c>
    </row>
    <row r="52" customFormat="false" ht="12" hidden="false" customHeight="false" outlineLevel="0" collapsed="false">
      <c r="A52" s="80" t="s">
        <v>70</v>
      </c>
      <c r="B52" s="134" t="n">
        <v>25.458</v>
      </c>
      <c r="C52" s="135" t="n">
        <v>0.0121769188467279</v>
      </c>
      <c r="D52" s="136" t="n">
        <v>0.00824888050907377</v>
      </c>
      <c r="E52" s="136" t="n">
        <v>0.952235053814125</v>
      </c>
      <c r="F52" s="136" t="n">
        <v>0.0273391468300731</v>
      </c>
      <c r="G52" s="136" t="n">
        <v>0</v>
      </c>
    </row>
    <row r="53" customFormat="false" ht="12" hidden="false" customHeight="false" outlineLevel="0" collapsed="false">
      <c r="A53" s="80" t="s">
        <v>40</v>
      </c>
      <c r="B53" s="134" t="n">
        <v>32.56</v>
      </c>
      <c r="C53" s="135" t="n">
        <v>0</v>
      </c>
      <c r="D53" s="136" t="n">
        <v>0.160534398034398</v>
      </c>
      <c r="E53" s="136" t="n">
        <v>0.755405405405405</v>
      </c>
      <c r="F53" s="136" t="n">
        <v>0.0840601965601966</v>
      </c>
      <c r="G53" s="136" t="n">
        <v>0</v>
      </c>
    </row>
    <row r="54" customFormat="false" ht="12" hidden="false" customHeight="false" outlineLevel="0" collapsed="false">
      <c r="A54" s="80" t="s">
        <v>41</v>
      </c>
      <c r="B54" s="134" t="n">
        <v>5.501</v>
      </c>
      <c r="C54" s="135" t="n">
        <v>0</v>
      </c>
      <c r="D54" s="136" t="n">
        <v>0.00127249590983458</v>
      </c>
      <c r="E54" s="136" t="n">
        <v>0.899836393383021</v>
      </c>
      <c r="F54" s="136" t="n">
        <v>0.0988911107071442</v>
      </c>
      <c r="G54" s="136" t="n">
        <v>0</v>
      </c>
    </row>
    <row r="55" customFormat="false" ht="12" hidden="false" customHeight="false" outlineLevel="0" collapsed="false">
      <c r="A55" s="80" t="s">
        <v>113</v>
      </c>
      <c r="B55" s="134" t="n">
        <v>87.343</v>
      </c>
      <c r="C55" s="135" t="n">
        <v>0.037152376263696</v>
      </c>
      <c r="D55" s="136" t="n">
        <v>0.000698395979071019</v>
      </c>
      <c r="E55" s="136" t="n">
        <v>0.811822355540799</v>
      </c>
      <c r="F55" s="136" t="n">
        <v>0.0690152616695099</v>
      </c>
      <c r="G55" s="136" t="n">
        <v>0.0813116105469242</v>
      </c>
    </row>
    <row r="56" customFormat="false" ht="12" hidden="false" customHeight="false" outlineLevel="0" collapsed="false">
      <c r="A56" s="80" t="s">
        <v>43</v>
      </c>
      <c r="B56" s="134" t="n">
        <v>0</v>
      </c>
      <c r="C56" s="135" t="n">
        <v>0</v>
      </c>
      <c r="D56" s="136" t="n">
        <v>0</v>
      </c>
      <c r="E56" s="136" t="n">
        <v>0</v>
      </c>
      <c r="F56" s="136" t="n">
        <v>0</v>
      </c>
      <c r="G56" s="136" t="n">
        <v>0</v>
      </c>
    </row>
    <row r="57" customFormat="false" ht="12" hidden="false" customHeight="false" outlineLevel="0" collapsed="false">
      <c r="A57" s="80" t="s">
        <v>72</v>
      </c>
      <c r="B57" s="134" t="n">
        <v>467.735</v>
      </c>
      <c r="C57" s="135" t="n">
        <v>0.0479994013704341</v>
      </c>
      <c r="D57" s="136" t="n">
        <v>0.00782494361123286</v>
      </c>
      <c r="E57" s="136" t="n">
        <v>0.795822420815205</v>
      </c>
      <c r="F57" s="136" t="n">
        <v>0.0310432189166943</v>
      </c>
      <c r="G57" s="136" t="n">
        <v>0.117310015286434</v>
      </c>
    </row>
    <row r="58" customFormat="false" ht="12" hidden="false" customHeight="false" outlineLevel="0" collapsed="false">
      <c r="A58" s="80" t="s">
        <v>45</v>
      </c>
      <c r="B58" s="134" t="n">
        <v>179.982</v>
      </c>
      <c r="C58" s="135" t="n">
        <v>0.0448822660043782</v>
      </c>
      <c r="D58" s="136" t="n">
        <v>0.0886421975530886</v>
      </c>
      <c r="E58" s="136" t="n">
        <v>0.45308419730862</v>
      </c>
      <c r="F58" s="136" t="n">
        <v>0.33686146392417</v>
      </c>
      <c r="G58" s="136" t="n">
        <v>0.0765298752097432</v>
      </c>
    </row>
    <row r="59" customFormat="false" ht="12" hidden="false" customHeight="false" outlineLevel="0" collapsed="false">
      <c r="A59" s="80" t="s">
        <v>46</v>
      </c>
      <c r="B59" s="134" t="n">
        <v>459.53</v>
      </c>
      <c r="C59" s="135" t="n">
        <v>0.742915587665659</v>
      </c>
      <c r="D59" s="136" t="n">
        <v>0.0876569538441451</v>
      </c>
      <c r="E59" s="136" t="n">
        <v>0.0647901116358018</v>
      </c>
      <c r="F59" s="136" t="n">
        <v>0.076351924792723</v>
      </c>
      <c r="G59" s="136" t="n">
        <v>0.0282854220616717</v>
      </c>
    </row>
    <row r="60" customFormat="false" ht="12" hidden="false" customHeight="false" outlineLevel="0" collapsed="false">
      <c r="A60" s="80" t="s">
        <v>98</v>
      </c>
      <c r="B60" s="134" t="n">
        <v>113.873</v>
      </c>
      <c r="C60" s="135" t="n">
        <v>0</v>
      </c>
      <c r="D60" s="136" t="n">
        <v>0.163884327276879</v>
      </c>
      <c r="E60" s="136" t="n">
        <v>0.410641679766055</v>
      </c>
      <c r="F60" s="136" t="n">
        <v>0.382715832550297</v>
      </c>
      <c r="G60" s="136" t="n">
        <v>0.0427581604067689</v>
      </c>
    </row>
    <row r="61" customFormat="false" ht="12" hidden="false" customHeight="false" outlineLevel="0" collapsed="false">
      <c r="A61" s="80" t="s">
        <v>48</v>
      </c>
      <c r="B61" s="134" t="n">
        <v>117.302</v>
      </c>
      <c r="C61" s="135" t="n">
        <v>0.385423948440777</v>
      </c>
      <c r="D61" s="136" t="n">
        <v>0.0559155001619751</v>
      </c>
      <c r="E61" s="136" t="n">
        <v>0.50800497860224</v>
      </c>
      <c r="F61" s="136" t="n">
        <v>0.0190960085932039</v>
      </c>
      <c r="G61" s="136" t="n">
        <v>0.0315595642018039</v>
      </c>
    </row>
    <row r="62" customFormat="false" ht="12" hidden="false" customHeight="false" outlineLevel="0" collapsed="false">
      <c r="A62" s="80" t="s">
        <v>99</v>
      </c>
      <c r="B62" s="134" t="n">
        <v>20.322</v>
      </c>
      <c r="C62" s="135" t="n">
        <v>0.591526424564511</v>
      </c>
      <c r="D62" s="136" t="n">
        <v>0.0014270248991241</v>
      </c>
      <c r="E62" s="136" t="n">
        <v>0.25578191122921</v>
      </c>
      <c r="F62" s="136" t="n">
        <v>0.145113669914379</v>
      </c>
      <c r="G62" s="136" t="n">
        <v>0.0061509693927763</v>
      </c>
    </row>
    <row r="63" customFormat="false" ht="12" hidden="false" customHeight="false" outlineLevel="0" collapsed="false">
      <c r="A63" s="80" t="s">
        <v>50</v>
      </c>
      <c r="B63" s="104" t="n">
        <v>89.444</v>
      </c>
      <c r="C63" s="166" t="n">
        <v>0.325052546844953</v>
      </c>
      <c r="D63" s="167" t="n">
        <v>0.150518760341666</v>
      </c>
      <c r="E63" s="167" t="n">
        <v>0.205782388980815</v>
      </c>
      <c r="F63" s="167" t="n">
        <v>0.0341107285005143</v>
      </c>
      <c r="G63" s="167" t="n">
        <v>0.284535575332051</v>
      </c>
    </row>
    <row r="64" customFormat="false" ht="12" hidden="false" customHeight="false" outlineLevel="0" collapsed="false">
      <c r="A64" s="80" t="s">
        <v>75</v>
      </c>
      <c r="B64" s="134" t="n">
        <v>450.944</v>
      </c>
      <c r="C64" s="135" t="n">
        <v>0.253408405478286</v>
      </c>
      <c r="D64" s="136" t="n">
        <v>0.0183703519727505</v>
      </c>
      <c r="E64" s="136" t="n">
        <v>0.23706047757593</v>
      </c>
      <c r="F64" s="136" t="n">
        <v>0.464567662503548</v>
      </c>
      <c r="G64" s="136" t="n">
        <v>0.0265931024694862</v>
      </c>
    </row>
    <row r="65" customFormat="false" ht="12" hidden="false" customHeight="false" outlineLevel="0" collapsed="false">
      <c r="A65" s="108" t="s">
        <v>76</v>
      </c>
      <c r="B65" s="168" t="n">
        <v>306.118</v>
      </c>
      <c r="C65" s="169" t="n">
        <v>0.066382898098119</v>
      </c>
      <c r="D65" s="170" t="n">
        <v>0.0724916535453649</v>
      </c>
      <c r="E65" s="170" t="n">
        <v>0.100444926466265</v>
      </c>
      <c r="F65" s="170" t="n">
        <v>0.675850489027107</v>
      </c>
      <c r="G65" s="170" t="n">
        <v>0.0848300328631443</v>
      </c>
    </row>
    <row r="66" customFormat="false" ht="12" hidden="false" customHeight="false" outlineLevel="0" collapsed="false">
      <c r="A66" s="108" t="s">
        <v>77</v>
      </c>
      <c r="B66" s="168" t="n">
        <v>301.855</v>
      </c>
      <c r="C66" s="169" t="n">
        <v>0.0384555498500936</v>
      </c>
      <c r="D66" s="170" t="n">
        <v>0.0187109704990807</v>
      </c>
      <c r="E66" s="170" t="n">
        <v>0.68721737257955</v>
      </c>
      <c r="F66" s="170" t="n">
        <v>0.050491129847112</v>
      </c>
      <c r="G66" s="170" t="n">
        <v>0.205124977224164</v>
      </c>
    </row>
    <row r="67" customFormat="false" ht="12" hidden="false" customHeight="false" outlineLevel="0" collapsed="false">
      <c r="A67" s="274" t="s">
        <v>115</v>
      </c>
      <c r="B67" s="275" t="n">
        <v>7.002</v>
      </c>
      <c r="C67" s="276" t="n">
        <v>0.10497000856898</v>
      </c>
      <c r="D67" s="277" t="n">
        <v>0</v>
      </c>
      <c r="E67" s="277" t="n">
        <v>0</v>
      </c>
      <c r="F67" s="277" t="n">
        <v>0.465438446158241</v>
      </c>
      <c r="G67" s="277" t="n">
        <v>0.429591545272779</v>
      </c>
    </row>
    <row r="68" customFormat="false" ht="12" hidden="false" customHeight="false" outlineLevel="0" collapsed="false">
      <c r="A68" s="220" t="s">
        <v>130</v>
      </c>
      <c r="B68" s="174" t="n">
        <v>169.525</v>
      </c>
      <c r="C68" s="175" t="n">
        <v>0.128724376935555</v>
      </c>
      <c r="D68" s="176" t="n">
        <v>0.0819584132133904</v>
      </c>
      <c r="E68" s="176" t="n">
        <v>0.718330629700634</v>
      </c>
      <c r="F68" s="176" t="n">
        <v>0.0102757705353193</v>
      </c>
      <c r="G68" s="176" t="n">
        <v>0.060710809615101</v>
      </c>
    </row>
    <row r="70" customFormat="false" ht="12" hidden="false" customHeight="false" outlineLevel="0" collapsed="false">
      <c r="A70" s="222"/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3:43 A1"/>
    </sheetView>
  </sheetViews>
  <sheetFormatPr defaultColWidth="9.1484375" defaultRowHeight="12" zeroHeight="false" outlineLevelRow="0" outlineLevelCol="0"/>
  <cols>
    <col collapsed="false" customWidth="true" hidden="false" outlineLevel="0" max="1" min="1" style="19" width="21.71"/>
    <col collapsed="false" customWidth="true" hidden="false" outlineLevel="0" max="2" min="2" style="15" width="10.71"/>
    <col collapsed="false" customWidth="true" hidden="false" outlineLevel="0" max="5" min="3" style="16" width="10.71"/>
    <col collapsed="false" customWidth="true" hidden="false" outlineLevel="0" max="7" min="6" style="19" width="10.71"/>
    <col collapsed="false" customWidth="true" hidden="false" outlineLevel="0" max="9" min="8" style="16" width="10.71"/>
    <col collapsed="false" customWidth="true" hidden="false" outlineLevel="0" max="10" min="10" style="15" width="10.71"/>
    <col collapsed="false" customWidth="false" hidden="false" outlineLevel="0" max="13" min="11" style="19" width="9.14"/>
    <col collapsed="false" customWidth="true" hidden="false" outlineLevel="0" max="14" min="14" style="19" width="12.29"/>
    <col collapsed="false" customWidth="false" hidden="false" outlineLevel="0" max="256" min="15" style="19" width="9.14"/>
    <col collapsed="false" customWidth="true" hidden="false" outlineLevel="0" max="257" min="257" style="19" width="21.71"/>
    <col collapsed="false" customWidth="true" hidden="false" outlineLevel="0" max="258" min="258" style="19" width="9.71"/>
    <col collapsed="false" customWidth="false" hidden="false" outlineLevel="0" max="261" min="259" style="19" width="9.14"/>
    <col collapsed="false" customWidth="true" hidden="false" outlineLevel="0" max="262" min="262" style="19" width="10.71"/>
    <col collapsed="false" customWidth="true" hidden="false" outlineLevel="0" max="263" min="263" style="19" width="9.57"/>
    <col collapsed="false" customWidth="false" hidden="false" outlineLevel="0" max="512" min="264" style="19" width="9.14"/>
    <col collapsed="false" customWidth="true" hidden="false" outlineLevel="0" max="513" min="513" style="19" width="21.71"/>
    <col collapsed="false" customWidth="true" hidden="false" outlineLevel="0" max="514" min="514" style="19" width="9.71"/>
    <col collapsed="false" customWidth="false" hidden="false" outlineLevel="0" max="517" min="515" style="19" width="9.14"/>
    <col collapsed="false" customWidth="true" hidden="false" outlineLevel="0" max="518" min="518" style="19" width="10.71"/>
    <col collapsed="false" customWidth="true" hidden="false" outlineLevel="0" max="519" min="519" style="19" width="9.57"/>
    <col collapsed="false" customWidth="false" hidden="false" outlineLevel="0" max="768" min="520" style="19" width="9.14"/>
    <col collapsed="false" customWidth="true" hidden="false" outlineLevel="0" max="769" min="769" style="19" width="21.71"/>
    <col collapsed="false" customWidth="true" hidden="false" outlineLevel="0" max="770" min="770" style="19" width="9.71"/>
    <col collapsed="false" customWidth="false" hidden="false" outlineLevel="0" max="773" min="771" style="19" width="9.14"/>
    <col collapsed="false" customWidth="true" hidden="false" outlineLevel="0" max="774" min="774" style="19" width="10.71"/>
    <col collapsed="false" customWidth="true" hidden="false" outlineLevel="0" max="775" min="775" style="19" width="9.57"/>
    <col collapsed="false" customWidth="false" hidden="false" outlineLevel="0" max="1024" min="776" style="19" width="9.14"/>
    <col collapsed="false" customWidth="true" hidden="false" outlineLevel="0" max="1025" min="1025" style="19" width="21.71"/>
    <col collapsed="false" customWidth="true" hidden="false" outlineLevel="0" max="1026" min="1026" style="19" width="9.71"/>
    <col collapsed="false" customWidth="false" hidden="false" outlineLevel="0" max="1029" min="1027" style="19" width="9.14"/>
    <col collapsed="false" customWidth="true" hidden="false" outlineLevel="0" max="1030" min="1030" style="19" width="10.71"/>
    <col collapsed="false" customWidth="true" hidden="false" outlineLevel="0" max="1031" min="1031" style="19" width="9.57"/>
    <col collapsed="false" customWidth="false" hidden="false" outlineLevel="0" max="1280" min="1032" style="19" width="9.14"/>
    <col collapsed="false" customWidth="true" hidden="false" outlineLevel="0" max="1281" min="1281" style="19" width="21.71"/>
    <col collapsed="false" customWidth="true" hidden="false" outlineLevel="0" max="1282" min="1282" style="19" width="9.71"/>
    <col collapsed="false" customWidth="false" hidden="false" outlineLevel="0" max="1285" min="1283" style="19" width="9.14"/>
    <col collapsed="false" customWidth="true" hidden="false" outlineLevel="0" max="1286" min="1286" style="19" width="10.71"/>
    <col collapsed="false" customWidth="true" hidden="false" outlineLevel="0" max="1287" min="1287" style="19" width="9.57"/>
    <col collapsed="false" customWidth="false" hidden="false" outlineLevel="0" max="1536" min="1288" style="19" width="9.14"/>
    <col collapsed="false" customWidth="true" hidden="false" outlineLevel="0" max="1537" min="1537" style="19" width="21.71"/>
    <col collapsed="false" customWidth="true" hidden="false" outlineLevel="0" max="1538" min="1538" style="19" width="9.71"/>
    <col collapsed="false" customWidth="false" hidden="false" outlineLevel="0" max="1541" min="1539" style="19" width="9.14"/>
    <col collapsed="false" customWidth="true" hidden="false" outlineLevel="0" max="1542" min="1542" style="19" width="10.71"/>
    <col collapsed="false" customWidth="true" hidden="false" outlineLevel="0" max="1543" min="1543" style="19" width="9.57"/>
    <col collapsed="false" customWidth="false" hidden="false" outlineLevel="0" max="1792" min="1544" style="19" width="9.14"/>
    <col collapsed="false" customWidth="true" hidden="false" outlineLevel="0" max="1793" min="1793" style="19" width="21.71"/>
    <col collapsed="false" customWidth="true" hidden="false" outlineLevel="0" max="1794" min="1794" style="19" width="9.71"/>
    <col collapsed="false" customWidth="false" hidden="false" outlineLevel="0" max="1797" min="1795" style="19" width="9.14"/>
    <col collapsed="false" customWidth="true" hidden="false" outlineLevel="0" max="1798" min="1798" style="19" width="10.71"/>
    <col collapsed="false" customWidth="true" hidden="false" outlineLevel="0" max="1799" min="1799" style="19" width="9.57"/>
    <col collapsed="false" customWidth="false" hidden="false" outlineLevel="0" max="2048" min="1800" style="19" width="9.14"/>
    <col collapsed="false" customWidth="true" hidden="false" outlineLevel="0" max="2049" min="2049" style="19" width="21.71"/>
    <col collapsed="false" customWidth="true" hidden="false" outlineLevel="0" max="2050" min="2050" style="19" width="9.71"/>
    <col collapsed="false" customWidth="false" hidden="false" outlineLevel="0" max="2053" min="2051" style="19" width="9.14"/>
    <col collapsed="false" customWidth="true" hidden="false" outlineLevel="0" max="2054" min="2054" style="19" width="10.71"/>
    <col collapsed="false" customWidth="true" hidden="false" outlineLevel="0" max="2055" min="2055" style="19" width="9.57"/>
    <col collapsed="false" customWidth="false" hidden="false" outlineLevel="0" max="2304" min="2056" style="19" width="9.14"/>
    <col collapsed="false" customWidth="true" hidden="false" outlineLevel="0" max="2305" min="2305" style="19" width="21.71"/>
    <col collapsed="false" customWidth="true" hidden="false" outlineLevel="0" max="2306" min="2306" style="19" width="9.71"/>
    <col collapsed="false" customWidth="false" hidden="false" outlineLevel="0" max="2309" min="2307" style="19" width="9.14"/>
    <col collapsed="false" customWidth="true" hidden="false" outlineLevel="0" max="2310" min="2310" style="19" width="10.71"/>
    <col collapsed="false" customWidth="true" hidden="false" outlineLevel="0" max="2311" min="2311" style="19" width="9.57"/>
    <col collapsed="false" customWidth="false" hidden="false" outlineLevel="0" max="2560" min="2312" style="19" width="9.14"/>
    <col collapsed="false" customWidth="true" hidden="false" outlineLevel="0" max="2561" min="2561" style="19" width="21.71"/>
    <col collapsed="false" customWidth="true" hidden="false" outlineLevel="0" max="2562" min="2562" style="19" width="9.71"/>
    <col collapsed="false" customWidth="false" hidden="false" outlineLevel="0" max="2565" min="2563" style="19" width="9.14"/>
    <col collapsed="false" customWidth="true" hidden="false" outlineLevel="0" max="2566" min="2566" style="19" width="10.71"/>
    <col collapsed="false" customWidth="true" hidden="false" outlineLevel="0" max="2567" min="2567" style="19" width="9.57"/>
    <col collapsed="false" customWidth="false" hidden="false" outlineLevel="0" max="2816" min="2568" style="19" width="9.14"/>
    <col collapsed="false" customWidth="true" hidden="false" outlineLevel="0" max="2817" min="2817" style="19" width="21.71"/>
    <col collapsed="false" customWidth="true" hidden="false" outlineLevel="0" max="2818" min="2818" style="19" width="9.71"/>
    <col collapsed="false" customWidth="false" hidden="false" outlineLevel="0" max="2821" min="2819" style="19" width="9.14"/>
    <col collapsed="false" customWidth="true" hidden="false" outlineLevel="0" max="2822" min="2822" style="19" width="10.71"/>
    <col collapsed="false" customWidth="true" hidden="false" outlineLevel="0" max="2823" min="2823" style="19" width="9.57"/>
    <col collapsed="false" customWidth="false" hidden="false" outlineLevel="0" max="3072" min="2824" style="19" width="9.14"/>
    <col collapsed="false" customWidth="true" hidden="false" outlineLevel="0" max="3073" min="3073" style="19" width="21.71"/>
    <col collapsed="false" customWidth="true" hidden="false" outlineLevel="0" max="3074" min="3074" style="19" width="9.71"/>
    <col collapsed="false" customWidth="false" hidden="false" outlineLevel="0" max="3077" min="3075" style="19" width="9.14"/>
    <col collapsed="false" customWidth="true" hidden="false" outlineLevel="0" max="3078" min="3078" style="19" width="10.71"/>
    <col collapsed="false" customWidth="true" hidden="false" outlineLevel="0" max="3079" min="3079" style="19" width="9.57"/>
    <col collapsed="false" customWidth="false" hidden="false" outlineLevel="0" max="3328" min="3080" style="19" width="9.14"/>
    <col collapsed="false" customWidth="true" hidden="false" outlineLevel="0" max="3329" min="3329" style="19" width="21.71"/>
    <col collapsed="false" customWidth="true" hidden="false" outlineLevel="0" max="3330" min="3330" style="19" width="9.71"/>
    <col collapsed="false" customWidth="false" hidden="false" outlineLevel="0" max="3333" min="3331" style="19" width="9.14"/>
    <col collapsed="false" customWidth="true" hidden="false" outlineLevel="0" max="3334" min="3334" style="19" width="10.71"/>
    <col collapsed="false" customWidth="true" hidden="false" outlineLevel="0" max="3335" min="3335" style="19" width="9.57"/>
    <col collapsed="false" customWidth="false" hidden="false" outlineLevel="0" max="3584" min="3336" style="19" width="9.14"/>
    <col collapsed="false" customWidth="true" hidden="false" outlineLevel="0" max="3585" min="3585" style="19" width="21.71"/>
    <col collapsed="false" customWidth="true" hidden="false" outlineLevel="0" max="3586" min="3586" style="19" width="9.71"/>
    <col collapsed="false" customWidth="false" hidden="false" outlineLevel="0" max="3589" min="3587" style="19" width="9.14"/>
    <col collapsed="false" customWidth="true" hidden="false" outlineLevel="0" max="3590" min="3590" style="19" width="10.71"/>
    <col collapsed="false" customWidth="true" hidden="false" outlineLevel="0" max="3591" min="3591" style="19" width="9.57"/>
    <col collapsed="false" customWidth="false" hidden="false" outlineLevel="0" max="3840" min="3592" style="19" width="9.14"/>
    <col collapsed="false" customWidth="true" hidden="false" outlineLevel="0" max="3841" min="3841" style="19" width="21.71"/>
    <col collapsed="false" customWidth="true" hidden="false" outlineLevel="0" max="3842" min="3842" style="19" width="9.71"/>
    <col collapsed="false" customWidth="false" hidden="false" outlineLevel="0" max="3845" min="3843" style="19" width="9.14"/>
    <col collapsed="false" customWidth="true" hidden="false" outlineLevel="0" max="3846" min="3846" style="19" width="10.71"/>
    <col collapsed="false" customWidth="true" hidden="false" outlineLevel="0" max="3847" min="3847" style="19" width="9.57"/>
    <col collapsed="false" customWidth="false" hidden="false" outlineLevel="0" max="4096" min="3848" style="19" width="9.14"/>
    <col collapsed="false" customWidth="true" hidden="false" outlineLevel="0" max="4097" min="4097" style="19" width="21.71"/>
    <col collapsed="false" customWidth="true" hidden="false" outlineLevel="0" max="4098" min="4098" style="19" width="9.71"/>
    <col collapsed="false" customWidth="false" hidden="false" outlineLevel="0" max="4101" min="4099" style="19" width="9.14"/>
    <col collapsed="false" customWidth="true" hidden="false" outlineLevel="0" max="4102" min="4102" style="19" width="10.71"/>
    <col collapsed="false" customWidth="true" hidden="false" outlineLevel="0" max="4103" min="4103" style="19" width="9.57"/>
    <col collapsed="false" customWidth="false" hidden="false" outlineLevel="0" max="4352" min="4104" style="19" width="9.14"/>
    <col collapsed="false" customWidth="true" hidden="false" outlineLevel="0" max="4353" min="4353" style="19" width="21.71"/>
    <col collapsed="false" customWidth="true" hidden="false" outlineLevel="0" max="4354" min="4354" style="19" width="9.71"/>
    <col collapsed="false" customWidth="false" hidden="false" outlineLevel="0" max="4357" min="4355" style="19" width="9.14"/>
    <col collapsed="false" customWidth="true" hidden="false" outlineLevel="0" max="4358" min="4358" style="19" width="10.71"/>
    <col collapsed="false" customWidth="true" hidden="false" outlineLevel="0" max="4359" min="4359" style="19" width="9.57"/>
    <col collapsed="false" customWidth="false" hidden="false" outlineLevel="0" max="4608" min="4360" style="19" width="9.14"/>
    <col collapsed="false" customWidth="true" hidden="false" outlineLevel="0" max="4609" min="4609" style="19" width="21.71"/>
    <col collapsed="false" customWidth="true" hidden="false" outlineLevel="0" max="4610" min="4610" style="19" width="9.71"/>
    <col collapsed="false" customWidth="false" hidden="false" outlineLevel="0" max="4613" min="4611" style="19" width="9.14"/>
    <col collapsed="false" customWidth="true" hidden="false" outlineLevel="0" max="4614" min="4614" style="19" width="10.71"/>
    <col collapsed="false" customWidth="true" hidden="false" outlineLevel="0" max="4615" min="4615" style="19" width="9.57"/>
    <col collapsed="false" customWidth="false" hidden="false" outlineLevel="0" max="4864" min="4616" style="19" width="9.14"/>
    <col collapsed="false" customWidth="true" hidden="false" outlineLevel="0" max="4865" min="4865" style="19" width="21.71"/>
    <col collapsed="false" customWidth="true" hidden="false" outlineLevel="0" max="4866" min="4866" style="19" width="9.71"/>
    <col collapsed="false" customWidth="false" hidden="false" outlineLevel="0" max="4869" min="4867" style="19" width="9.14"/>
    <col collapsed="false" customWidth="true" hidden="false" outlineLevel="0" max="4870" min="4870" style="19" width="10.71"/>
    <col collapsed="false" customWidth="true" hidden="false" outlineLevel="0" max="4871" min="4871" style="19" width="9.57"/>
    <col collapsed="false" customWidth="false" hidden="false" outlineLevel="0" max="5120" min="4872" style="19" width="9.14"/>
    <col collapsed="false" customWidth="true" hidden="false" outlineLevel="0" max="5121" min="5121" style="19" width="21.71"/>
    <col collapsed="false" customWidth="true" hidden="false" outlineLevel="0" max="5122" min="5122" style="19" width="9.71"/>
    <col collapsed="false" customWidth="false" hidden="false" outlineLevel="0" max="5125" min="5123" style="19" width="9.14"/>
    <col collapsed="false" customWidth="true" hidden="false" outlineLevel="0" max="5126" min="5126" style="19" width="10.71"/>
    <col collapsed="false" customWidth="true" hidden="false" outlineLevel="0" max="5127" min="5127" style="19" width="9.57"/>
    <col collapsed="false" customWidth="false" hidden="false" outlineLevel="0" max="5376" min="5128" style="19" width="9.14"/>
    <col collapsed="false" customWidth="true" hidden="false" outlineLevel="0" max="5377" min="5377" style="19" width="21.71"/>
    <col collapsed="false" customWidth="true" hidden="false" outlineLevel="0" max="5378" min="5378" style="19" width="9.71"/>
    <col collapsed="false" customWidth="false" hidden="false" outlineLevel="0" max="5381" min="5379" style="19" width="9.14"/>
    <col collapsed="false" customWidth="true" hidden="false" outlineLevel="0" max="5382" min="5382" style="19" width="10.71"/>
    <col collapsed="false" customWidth="true" hidden="false" outlineLevel="0" max="5383" min="5383" style="19" width="9.57"/>
    <col collapsed="false" customWidth="false" hidden="false" outlineLevel="0" max="5632" min="5384" style="19" width="9.14"/>
    <col collapsed="false" customWidth="true" hidden="false" outlineLevel="0" max="5633" min="5633" style="19" width="21.71"/>
    <col collapsed="false" customWidth="true" hidden="false" outlineLevel="0" max="5634" min="5634" style="19" width="9.71"/>
    <col collapsed="false" customWidth="false" hidden="false" outlineLevel="0" max="5637" min="5635" style="19" width="9.14"/>
    <col collapsed="false" customWidth="true" hidden="false" outlineLevel="0" max="5638" min="5638" style="19" width="10.71"/>
    <col collapsed="false" customWidth="true" hidden="false" outlineLevel="0" max="5639" min="5639" style="19" width="9.57"/>
    <col collapsed="false" customWidth="false" hidden="false" outlineLevel="0" max="5888" min="5640" style="19" width="9.14"/>
    <col collapsed="false" customWidth="true" hidden="false" outlineLevel="0" max="5889" min="5889" style="19" width="21.71"/>
    <col collapsed="false" customWidth="true" hidden="false" outlineLevel="0" max="5890" min="5890" style="19" width="9.71"/>
    <col collapsed="false" customWidth="false" hidden="false" outlineLevel="0" max="5893" min="5891" style="19" width="9.14"/>
    <col collapsed="false" customWidth="true" hidden="false" outlineLevel="0" max="5894" min="5894" style="19" width="10.71"/>
    <col collapsed="false" customWidth="true" hidden="false" outlineLevel="0" max="5895" min="5895" style="19" width="9.57"/>
    <col collapsed="false" customWidth="false" hidden="false" outlineLevel="0" max="6144" min="5896" style="19" width="9.14"/>
    <col collapsed="false" customWidth="true" hidden="false" outlineLevel="0" max="6145" min="6145" style="19" width="21.71"/>
    <col collapsed="false" customWidth="true" hidden="false" outlineLevel="0" max="6146" min="6146" style="19" width="9.71"/>
    <col collapsed="false" customWidth="false" hidden="false" outlineLevel="0" max="6149" min="6147" style="19" width="9.14"/>
    <col collapsed="false" customWidth="true" hidden="false" outlineLevel="0" max="6150" min="6150" style="19" width="10.71"/>
    <col collapsed="false" customWidth="true" hidden="false" outlineLevel="0" max="6151" min="6151" style="19" width="9.57"/>
    <col collapsed="false" customWidth="false" hidden="false" outlineLevel="0" max="6400" min="6152" style="19" width="9.14"/>
    <col collapsed="false" customWidth="true" hidden="false" outlineLevel="0" max="6401" min="6401" style="19" width="21.71"/>
    <col collapsed="false" customWidth="true" hidden="false" outlineLevel="0" max="6402" min="6402" style="19" width="9.71"/>
    <col collapsed="false" customWidth="false" hidden="false" outlineLevel="0" max="6405" min="6403" style="19" width="9.14"/>
    <col collapsed="false" customWidth="true" hidden="false" outlineLevel="0" max="6406" min="6406" style="19" width="10.71"/>
    <col collapsed="false" customWidth="true" hidden="false" outlineLevel="0" max="6407" min="6407" style="19" width="9.57"/>
    <col collapsed="false" customWidth="false" hidden="false" outlineLevel="0" max="6656" min="6408" style="19" width="9.14"/>
    <col collapsed="false" customWidth="true" hidden="false" outlineLevel="0" max="6657" min="6657" style="19" width="21.71"/>
    <col collapsed="false" customWidth="true" hidden="false" outlineLevel="0" max="6658" min="6658" style="19" width="9.71"/>
    <col collapsed="false" customWidth="false" hidden="false" outlineLevel="0" max="6661" min="6659" style="19" width="9.14"/>
    <col collapsed="false" customWidth="true" hidden="false" outlineLevel="0" max="6662" min="6662" style="19" width="10.71"/>
    <col collapsed="false" customWidth="true" hidden="false" outlineLevel="0" max="6663" min="6663" style="19" width="9.57"/>
    <col collapsed="false" customWidth="false" hidden="false" outlineLevel="0" max="6912" min="6664" style="19" width="9.14"/>
    <col collapsed="false" customWidth="true" hidden="false" outlineLevel="0" max="6913" min="6913" style="19" width="21.71"/>
    <col collapsed="false" customWidth="true" hidden="false" outlineLevel="0" max="6914" min="6914" style="19" width="9.71"/>
    <col collapsed="false" customWidth="false" hidden="false" outlineLevel="0" max="6917" min="6915" style="19" width="9.14"/>
    <col collapsed="false" customWidth="true" hidden="false" outlineLevel="0" max="6918" min="6918" style="19" width="10.71"/>
    <col collapsed="false" customWidth="true" hidden="false" outlineLevel="0" max="6919" min="6919" style="19" width="9.57"/>
    <col collapsed="false" customWidth="false" hidden="false" outlineLevel="0" max="7168" min="6920" style="19" width="9.14"/>
    <col collapsed="false" customWidth="true" hidden="false" outlineLevel="0" max="7169" min="7169" style="19" width="21.71"/>
    <col collapsed="false" customWidth="true" hidden="false" outlineLevel="0" max="7170" min="7170" style="19" width="9.71"/>
    <col collapsed="false" customWidth="false" hidden="false" outlineLevel="0" max="7173" min="7171" style="19" width="9.14"/>
    <col collapsed="false" customWidth="true" hidden="false" outlineLevel="0" max="7174" min="7174" style="19" width="10.71"/>
    <col collapsed="false" customWidth="true" hidden="false" outlineLevel="0" max="7175" min="7175" style="19" width="9.57"/>
    <col collapsed="false" customWidth="false" hidden="false" outlineLevel="0" max="7424" min="7176" style="19" width="9.14"/>
    <col collapsed="false" customWidth="true" hidden="false" outlineLevel="0" max="7425" min="7425" style="19" width="21.71"/>
    <col collapsed="false" customWidth="true" hidden="false" outlineLevel="0" max="7426" min="7426" style="19" width="9.71"/>
    <col collapsed="false" customWidth="false" hidden="false" outlineLevel="0" max="7429" min="7427" style="19" width="9.14"/>
    <col collapsed="false" customWidth="true" hidden="false" outlineLevel="0" max="7430" min="7430" style="19" width="10.71"/>
    <col collapsed="false" customWidth="true" hidden="false" outlineLevel="0" max="7431" min="7431" style="19" width="9.57"/>
    <col collapsed="false" customWidth="false" hidden="false" outlineLevel="0" max="7680" min="7432" style="19" width="9.14"/>
    <col collapsed="false" customWidth="true" hidden="false" outlineLevel="0" max="7681" min="7681" style="19" width="21.71"/>
    <col collapsed="false" customWidth="true" hidden="false" outlineLevel="0" max="7682" min="7682" style="19" width="9.71"/>
    <col collapsed="false" customWidth="false" hidden="false" outlineLevel="0" max="7685" min="7683" style="19" width="9.14"/>
    <col collapsed="false" customWidth="true" hidden="false" outlineLevel="0" max="7686" min="7686" style="19" width="10.71"/>
    <col collapsed="false" customWidth="true" hidden="false" outlineLevel="0" max="7687" min="7687" style="19" width="9.57"/>
    <col collapsed="false" customWidth="false" hidden="false" outlineLevel="0" max="7936" min="7688" style="19" width="9.14"/>
    <col collapsed="false" customWidth="true" hidden="false" outlineLevel="0" max="7937" min="7937" style="19" width="21.71"/>
    <col collapsed="false" customWidth="true" hidden="false" outlineLevel="0" max="7938" min="7938" style="19" width="9.71"/>
    <col collapsed="false" customWidth="false" hidden="false" outlineLevel="0" max="7941" min="7939" style="19" width="9.14"/>
    <col collapsed="false" customWidth="true" hidden="false" outlineLevel="0" max="7942" min="7942" style="19" width="10.71"/>
    <col collapsed="false" customWidth="true" hidden="false" outlineLevel="0" max="7943" min="7943" style="19" width="9.57"/>
    <col collapsed="false" customWidth="false" hidden="false" outlineLevel="0" max="8192" min="7944" style="19" width="9.14"/>
    <col collapsed="false" customWidth="true" hidden="false" outlineLevel="0" max="8193" min="8193" style="19" width="21.71"/>
    <col collapsed="false" customWidth="true" hidden="false" outlineLevel="0" max="8194" min="8194" style="19" width="9.71"/>
    <col collapsed="false" customWidth="false" hidden="false" outlineLevel="0" max="8197" min="8195" style="19" width="9.14"/>
    <col collapsed="false" customWidth="true" hidden="false" outlineLevel="0" max="8198" min="8198" style="19" width="10.71"/>
    <col collapsed="false" customWidth="true" hidden="false" outlineLevel="0" max="8199" min="8199" style="19" width="9.57"/>
    <col collapsed="false" customWidth="false" hidden="false" outlineLevel="0" max="8448" min="8200" style="19" width="9.14"/>
    <col collapsed="false" customWidth="true" hidden="false" outlineLevel="0" max="8449" min="8449" style="19" width="21.71"/>
    <col collapsed="false" customWidth="true" hidden="false" outlineLevel="0" max="8450" min="8450" style="19" width="9.71"/>
    <col collapsed="false" customWidth="false" hidden="false" outlineLevel="0" max="8453" min="8451" style="19" width="9.14"/>
    <col collapsed="false" customWidth="true" hidden="false" outlineLevel="0" max="8454" min="8454" style="19" width="10.71"/>
    <col collapsed="false" customWidth="true" hidden="false" outlineLevel="0" max="8455" min="8455" style="19" width="9.57"/>
    <col collapsed="false" customWidth="false" hidden="false" outlineLevel="0" max="8704" min="8456" style="19" width="9.14"/>
    <col collapsed="false" customWidth="true" hidden="false" outlineLevel="0" max="8705" min="8705" style="19" width="21.71"/>
    <col collapsed="false" customWidth="true" hidden="false" outlineLevel="0" max="8706" min="8706" style="19" width="9.71"/>
    <col collapsed="false" customWidth="false" hidden="false" outlineLevel="0" max="8709" min="8707" style="19" width="9.14"/>
    <col collapsed="false" customWidth="true" hidden="false" outlineLevel="0" max="8710" min="8710" style="19" width="10.71"/>
    <col collapsed="false" customWidth="true" hidden="false" outlineLevel="0" max="8711" min="8711" style="19" width="9.57"/>
    <col collapsed="false" customWidth="false" hidden="false" outlineLevel="0" max="8960" min="8712" style="19" width="9.14"/>
    <col collapsed="false" customWidth="true" hidden="false" outlineLevel="0" max="8961" min="8961" style="19" width="21.71"/>
    <col collapsed="false" customWidth="true" hidden="false" outlineLevel="0" max="8962" min="8962" style="19" width="9.71"/>
    <col collapsed="false" customWidth="false" hidden="false" outlineLevel="0" max="8965" min="8963" style="19" width="9.14"/>
    <col collapsed="false" customWidth="true" hidden="false" outlineLevel="0" max="8966" min="8966" style="19" width="10.71"/>
    <col collapsed="false" customWidth="true" hidden="false" outlineLevel="0" max="8967" min="8967" style="19" width="9.57"/>
    <col collapsed="false" customWidth="false" hidden="false" outlineLevel="0" max="9216" min="8968" style="19" width="9.14"/>
    <col collapsed="false" customWidth="true" hidden="false" outlineLevel="0" max="9217" min="9217" style="19" width="21.71"/>
    <col collapsed="false" customWidth="true" hidden="false" outlineLevel="0" max="9218" min="9218" style="19" width="9.71"/>
    <col collapsed="false" customWidth="false" hidden="false" outlineLevel="0" max="9221" min="9219" style="19" width="9.14"/>
    <col collapsed="false" customWidth="true" hidden="false" outlineLevel="0" max="9222" min="9222" style="19" width="10.71"/>
    <col collapsed="false" customWidth="true" hidden="false" outlineLevel="0" max="9223" min="9223" style="19" width="9.57"/>
    <col collapsed="false" customWidth="false" hidden="false" outlineLevel="0" max="9472" min="9224" style="19" width="9.14"/>
    <col collapsed="false" customWidth="true" hidden="false" outlineLevel="0" max="9473" min="9473" style="19" width="21.71"/>
    <col collapsed="false" customWidth="true" hidden="false" outlineLevel="0" max="9474" min="9474" style="19" width="9.71"/>
    <col collapsed="false" customWidth="false" hidden="false" outlineLevel="0" max="9477" min="9475" style="19" width="9.14"/>
    <col collapsed="false" customWidth="true" hidden="false" outlineLevel="0" max="9478" min="9478" style="19" width="10.71"/>
    <col collapsed="false" customWidth="true" hidden="false" outlineLevel="0" max="9479" min="9479" style="19" width="9.57"/>
    <col collapsed="false" customWidth="false" hidden="false" outlineLevel="0" max="9728" min="9480" style="19" width="9.14"/>
    <col collapsed="false" customWidth="true" hidden="false" outlineLevel="0" max="9729" min="9729" style="19" width="21.71"/>
    <col collapsed="false" customWidth="true" hidden="false" outlineLevel="0" max="9730" min="9730" style="19" width="9.71"/>
    <col collapsed="false" customWidth="false" hidden="false" outlineLevel="0" max="9733" min="9731" style="19" width="9.14"/>
    <col collapsed="false" customWidth="true" hidden="false" outlineLevel="0" max="9734" min="9734" style="19" width="10.71"/>
    <col collapsed="false" customWidth="true" hidden="false" outlineLevel="0" max="9735" min="9735" style="19" width="9.57"/>
    <col collapsed="false" customWidth="false" hidden="false" outlineLevel="0" max="9984" min="9736" style="19" width="9.14"/>
    <col collapsed="false" customWidth="true" hidden="false" outlineLevel="0" max="9985" min="9985" style="19" width="21.71"/>
    <col collapsed="false" customWidth="true" hidden="false" outlineLevel="0" max="9986" min="9986" style="19" width="9.71"/>
    <col collapsed="false" customWidth="false" hidden="false" outlineLevel="0" max="9989" min="9987" style="19" width="9.14"/>
    <col collapsed="false" customWidth="true" hidden="false" outlineLevel="0" max="9990" min="9990" style="19" width="10.71"/>
    <col collapsed="false" customWidth="true" hidden="false" outlineLevel="0" max="9991" min="9991" style="19" width="9.57"/>
    <col collapsed="false" customWidth="false" hidden="false" outlineLevel="0" max="10240" min="9992" style="19" width="9.14"/>
    <col collapsed="false" customWidth="true" hidden="false" outlineLevel="0" max="10241" min="10241" style="19" width="21.71"/>
    <col collapsed="false" customWidth="true" hidden="false" outlineLevel="0" max="10242" min="10242" style="19" width="9.71"/>
    <col collapsed="false" customWidth="false" hidden="false" outlineLevel="0" max="10245" min="10243" style="19" width="9.14"/>
    <col collapsed="false" customWidth="true" hidden="false" outlineLevel="0" max="10246" min="10246" style="19" width="10.71"/>
    <col collapsed="false" customWidth="true" hidden="false" outlineLevel="0" max="10247" min="10247" style="19" width="9.57"/>
    <col collapsed="false" customWidth="false" hidden="false" outlineLevel="0" max="10496" min="10248" style="19" width="9.14"/>
    <col collapsed="false" customWidth="true" hidden="false" outlineLevel="0" max="10497" min="10497" style="19" width="21.71"/>
    <col collapsed="false" customWidth="true" hidden="false" outlineLevel="0" max="10498" min="10498" style="19" width="9.71"/>
    <col collapsed="false" customWidth="false" hidden="false" outlineLevel="0" max="10501" min="10499" style="19" width="9.14"/>
    <col collapsed="false" customWidth="true" hidden="false" outlineLevel="0" max="10502" min="10502" style="19" width="10.71"/>
    <col collapsed="false" customWidth="true" hidden="false" outlineLevel="0" max="10503" min="10503" style="19" width="9.57"/>
    <col collapsed="false" customWidth="false" hidden="false" outlineLevel="0" max="10752" min="10504" style="19" width="9.14"/>
    <col collapsed="false" customWidth="true" hidden="false" outlineLevel="0" max="10753" min="10753" style="19" width="21.71"/>
    <col collapsed="false" customWidth="true" hidden="false" outlineLevel="0" max="10754" min="10754" style="19" width="9.71"/>
    <col collapsed="false" customWidth="false" hidden="false" outlineLevel="0" max="10757" min="10755" style="19" width="9.14"/>
    <col collapsed="false" customWidth="true" hidden="false" outlineLevel="0" max="10758" min="10758" style="19" width="10.71"/>
    <col collapsed="false" customWidth="true" hidden="false" outlineLevel="0" max="10759" min="10759" style="19" width="9.57"/>
    <col collapsed="false" customWidth="false" hidden="false" outlineLevel="0" max="11008" min="10760" style="19" width="9.14"/>
    <col collapsed="false" customWidth="true" hidden="false" outlineLevel="0" max="11009" min="11009" style="19" width="21.71"/>
    <col collapsed="false" customWidth="true" hidden="false" outlineLevel="0" max="11010" min="11010" style="19" width="9.71"/>
    <col collapsed="false" customWidth="false" hidden="false" outlineLevel="0" max="11013" min="11011" style="19" width="9.14"/>
    <col collapsed="false" customWidth="true" hidden="false" outlineLevel="0" max="11014" min="11014" style="19" width="10.71"/>
    <col collapsed="false" customWidth="true" hidden="false" outlineLevel="0" max="11015" min="11015" style="19" width="9.57"/>
    <col collapsed="false" customWidth="false" hidden="false" outlineLevel="0" max="11264" min="11016" style="19" width="9.14"/>
    <col collapsed="false" customWidth="true" hidden="false" outlineLevel="0" max="11265" min="11265" style="19" width="21.71"/>
    <col collapsed="false" customWidth="true" hidden="false" outlineLevel="0" max="11266" min="11266" style="19" width="9.71"/>
    <col collapsed="false" customWidth="false" hidden="false" outlineLevel="0" max="11269" min="11267" style="19" width="9.14"/>
    <col collapsed="false" customWidth="true" hidden="false" outlineLevel="0" max="11270" min="11270" style="19" width="10.71"/>
    <col collapsed="false" customWidth="true" hidden="false" outlineLevel="0" max="11271" min="11271" style="19" width="9.57"/>
    <col collapsed="false" customWidth="false" hidden="false" outlineLevel="0" max="11520" min="11272" style="19" width="9.14"/>
    <col collapsed="false" customWidth="true" hidden="false" outlineLevel="0" max="11521" min="11521" style="19" width="21.71"/>
    <col collapsed="false" customWidth="true" hidden="false" outlineLevel="0" max="11522" min="11522" style="19" width="9.71"/>
    <col collapsed="false" customWidth="false" hidden="false" outlineLevel="0" max="11525" min="11523" style="19" width="9.14"/>
    <col collapsed="false" customWidth="true" hidden="false" outlineLevel="0" max="11526" min="11526" style="19" width="10.71"/>
    <col collapsed="false" customWidth="true" hidden="false" outlineLevel="0" max="11527" min="11527" style="19" width="9.57"/>
    <col collapsed="false" customWidth="false" hidden="false" outlineLevel="0" max="11776" min="11528" style="19" width="9.14"/>
    <col collapsed="false" customWidth="true" hidden="false" outlineLevel="0" max="11777" min="11777" style="19" width="21.71"/>
    <col collapsed="false" customWidth="true" hidden="false" outlineLevel="0" max="11778" min="11778" style="19" width="9.71"/>
    <col collapsed="false" customWidth="false" hidden="false" outlineLevel="0" max="11781" min="11779" style="19" width="9.14"/>
    <col collapsed="false" customWidth="true" hidden="false" outlineLevel="0" max="11782" min="11782" style="19" width="10.71"/>
    <col collapsed="false" customWidth="true" hidden="false" outlineLevel="0" max="11783" min="11783" style="19" width="9.57"/>
    <col collapsed="false" customWidth="false" hidden="false" outlineLevel="0" max="12032" min="11784" style="19" width="9.14"/>
    <col collapsed="false" customWidth="true" hidden="false" outlineLevel="0" max="12033" min="12033" style="19" width="21.71"/>
    <col collapsed="false" customWidth="true" hidden="false" outlineLevel="0" max="12034" min="12034" style="19" width="9.71"/>
    <col collapsed="false" customWidth="false" hidden="false" outlineLevel="0" max="12037" min="12035" style="19" width="9.14"/>
    <col collapsed="false" customWidth="true" hidden="false" outlineLevel="0" max="12038" min="12038" style="19" width="10.71"/>
    <col collapsed="false" customWidth="true" hidden="false" outlineLevel="0" max="12039" min="12039" style="19" width="9.57"/>
    <col collapsed="false" customWidth="false" hidden="false" outlineLevel="0" max="12288" min="12040" style="19" width="9.14"/>
    <col collapsed="false" customWidth="true" hidden="false" outlineLevel="0" max="12289" min="12289" style="19" width="21.71"/>
    <col collapsed="false" customWidth="true" hidden="false" outlineLevel="0" max="12290" min="12290" style="19" width="9.71"/>
    <col collapsed="false" customWidth="false" hidden="false" outlineLevel="0" max="12293" min="12291" style="19" width="9.14"/>
    <col collapsed="false" customWidth="true" hidden="false" outlineLevel="0" max="12294" min="12294" style="19" width="10.71"/>
    <col collapsed="false" customWidth="true" hidden="false" outlineLevel="0" max="12295" min="12295" style="19" width="9.57"/>
    <col collapsed="false" customWidth="false" hidden="false" outlineLevel="0" max="12544" min="12296" style="19" width="9.14"/>
    <col collapsed="false" customWidth="true" hidden="false" outlineLevel="0" max="12545" min="12545" style="19" width="21.71"/>
    <col collapsed="false" customWidth="true" hidden="false" outlineLevel="0" max="12546" min="12546" style="19" width="9.71"/>
    <col collapsed="false" customWidth="false" hidden="false" outlineLevel="0" max="12549" min="12547" style="19" width="9.14"/>
    <col collapsed="false" customWidth="true" hidden="false" outlineLevel="0" max="12550" min="12550" style="19" width="10.71"/>
    <col collapsed="false" customWidth="true" hidden="false" outlineLevel="0" max="12551" min="12551" style="19" width="9.57"/>
    <col collapsed="false" customWidth="false" hidden="false" outlineLevel="0" max="12800" min="12552" style="19" width="9.14"/>
    <col collapsed="false" customWidth="true" hidden="false" outlineLevel="0" max="12801" min="12801" style="19" width="21.71"/>
    <col collapsed="false" customWidth="true" hidden="false" outlineLevel="0" max="12802" min="12802" style="19" width="9.71"/>
    <col collapsed="false" customWidth="false" hidden="false" outlineLevel="0" max="12805" min="12803" style="19" width="9.14"/>
    <col collapsed="false" customWidth="true" hidden="false" outlineLevel="0" max="12806" min="12806" style="19" width="10.71"/>
    <col collapsed="false" customWidth="true" hidden="false" outlineLevel="0" max="12807" min="12807" style="19" width="9.57"/>
    <col collapsed="false" customWidth="false" hidden="false" outlineLevel="0" max="13056" min="12808" style="19" width="9.14"/>
    <col collapsed="false" customWidth="true" hidden="false" outlineLevel="0" max="13057" min="13057" style="19" width="21.71"/>
    <col collapsed="false" customWidth="true" hidden="false" outlineLevel="0" max="13058" min="13058" style="19" width="9.71"/>
    <col collapsed="false" customWidth="false" hidden="false" outlineLevel="0" max="13061" min="13059" style="19" width="9.14"/>
    <col collapsed="false" customWidth="true" hidden="false" outlineLevel="0" max="13062" min="13062" style="19" width="10.71"/>
    <col collapsed="false" customWidth="true" hidden="false" outlineLevel="0" max="13063" min="13063" style="19" width="9.57"/>
    <col collapsed="false" customWidth="false" hidden="false" outlineLevel="0" max="13312" min="13064" style="19" width="9.14"/>
    <col collapsed="false" customWidth="true" hidden="false" outlineLevel="0" max="13313" min="13313" style="19" width="21.71"/>
    <col collapsed="false" customWidth="true" hidden="false" outlineLevel="0" max="13314" min="13314" style="19" width="9.71"/>
    <col collapsed="false" customWidth="false" hidden="false" outlineLevel="0" max="13317" min="13315" style="19" width="9.14"/>
    <col collapsed="false" customWidth="true" hidden="false" outlineLevel="0" max="13318" min="13318" style="19" width="10.71"/>
    <col collapsed="false" customWidth="true" hidden="false" outlineLevel="0" max="13319" min="13319" style="19" width="9.57"/>
    <col collapsed="false" customWidth="false" hidden="false" outlineLevel="0" max="13568" min="13320" style="19" width="9.14"/>
    <col collapsed="false" customWidth="true" hidden="false" outlineLevel="0" max="13569" min="13569" style="19" width="21.71"/>
    <col collapsed="false" customWidth="true" hidden="false" outlineLevel="0" max="13570" min="13570" style="19" width="9.71"/>
    <col collapsed="false" customWidth="false" hidden="false" outlineLevel="0" max="13573" min="13571" style="19" width="9.14"/>
    <col collapsed="false" customWidth="true" hidden="false" outlineLevel="0" max="13574" min="13574" style="19" width="10.71"/>
    <col collapsed="false" customWidth="true" hidden="false" outlineLevel="0" max="13575" min="13575" style="19" width="9.57"/>
    <col collapsed="false" customWidth="false" hidden="false" outlineLevel="0" max="13824" min="13576" style="19" width="9.14"/>
    <col collapsed="false" customWidth="true" hidden="false" outlineLevel="0" max="13825" min="13825" style="19" width="21.71"/>
    <col collapsed="false" customWidth="true" hidden="false" outlineLevel="0" max="13826" min="13826" style="19" width="9.71"/>
    <col collapsed="false" customWidth="false" hidden="false" outlineLevel="0" max="13829" min="13827" style="19" width="9.14"/>
    <col collapsed="false" customWidth="true" hidden="false" outlineLevel="0" max="13830" min="13830" style="19" width="10.71"/>
    <col collapsed="false" customWidth="true" hidden="false" outlineLevel="0" max="13831" min="13831" style="19" width="9.57"/>
    <col collapsed="false" customWidth="false" hidden="false" outlineLevel="0" max="14080" min="13832" style="19" width="9.14"/>
    <col collapsed="false" customWidth="true" hidden="false" outlineLevel="0" max="14081" min="14081" style="19" width="21.71"/>
    <col collapsed="false" customWidth="true" hidden="false" outlineLevel="0" max="14082" min="14082" style="19" width="9.71"/>
    <col collapsed="false" customWidth="false" hidden="false" outlineLevel="0" max="14085" min="14083" style="19" width="9.14"/>
    <col collapsed="false" customWidth="true" hidden="false" outlineLevel="0" max="14086" min="14086" style="19" width="10.71"/>
    <col collapsed="false" customWidth="true" hidden="false" outlineLevel="0" max="14087" min="14087" style="19" width="9.57"/>
    <col collapsed="false" customWidth="false" hidden="false" outlineLevel="0" max="14336" min="14088" style="19" width="9.14"/>
    <col collapsed="false" customWidth="true" hidden="false" outlineLevel="0" max="14337" min="14337" style="19" width="21.71"/>
    <col collapsed="false" customWidth="true" hidden="false" outlineLevel="0" max="14338" min="14338" style="19" width="9.71"/>
    <col collapsed="false" customWidth="false" hidden="false" outlineLevel="0" max="14341" min="14339" style="19" width="9.14"/>
    <col collapsed="false" customWidth="true" hidden="false" outlineLevel="0" max="14342" min="14342" style="19" width="10.71"/>
    <col collapsed="false" customWidth="true" hidden="false" outlineLevel="0" max="14343" min="14343" style="19" width="9.57"/>
    <col collapsed="false" customWidth="false" hidden="false" outlineLevel="0" max="14592" min="14344" style="19" width="9.14"/>
    <col collapsed="false" customWidth="true" hidden="false" outlineLevel="0" max="14593" min="14593" style="19" width="21.71"/>
    <col collapsed="false" customWidth="true" hidden="false" outlineLevel="0" max="14594" min="14594" style="19" width="9.71"/>
    <col collapsed="false" customWidth="false" hidden="false" outlineLevel="0" max="14597" min="14595" style="19" width="9.14"/>
    <col collapsed="false" customWidth="true" hidden="false" outlineLevel="0" max="14598" min="14598" style="19" width="10.71"/>
    <col collapsed="false" customWidth="true" hidden="false" outlineLevel="0" max="14599" min="14599" style="19" width="9.57"/>
    <col collapsed="false" customWidth="false" hidden="false" outlineLevel="0" max="14848" min="14600" style="19" width="9.14"/>
    <col collapsed="false" customWidth="true" hidden="false" outlineLevel="0" max="14849" min="14849" style="19" width="21.71"/>
    <col collapsed="false" customWidth="true" hidden="false" outlineLevel="0" max="14850" min="14850" style="19" width="9.71"/>
    <col collapsed="false" customWidth="false" hidden="false" outlineLevel="0" max="14853" min="14851" style="19" width="9.14"/>
    <col collapsed="false" customWidth="true" hidden="false" outlineLevel="0" max="14854" min="14854" style="19" width="10.71"/>
    <col collapsed="false" customWidth="true" hidden="false" outlineLevel="0" max="14855" min="14855" style="19" width="9.57"/>
    <col collapsed="false" customWidth="false" hidden="false" outlineLevel="0" max="15104" min="14856" style="19" width="9.14"/>
    <col collapsed="false" customWidth="true" hidden="false" outlineLevel="0" max="15105" min="15105" style="19" width="21.71"/>
    <col collapsed="false" customWidth="true" hidden="false" outlineLevel="0" max="15106" min="15106" style="19" width="9.71"/>
    <col collapsed="false" customWidth="false" hidden="false" outlineLevel="0" max="15109" min="15107" style="19" width="9.14"/>
    <col collapsed="false" customWidth="true" hidden="false" outlineLevel="0" max="15110" min="15110" style="19" width="10.71"/>
    <col collapsed="false" customWidth="true" hidden="false" outlineLevel="0" max="15111" min="15111" style="19" width="9.57"/>
    <col collapsed="false" customWidth="false" hidden="false" outlineLevel="0" max="15360" min="15112" style="19" width="9.14"/>
    <col collapsed="false" customWidth="true" hidden="false" outlineLevel="0" max="15361" min="15361" style="19" width="21.71"/>
    <col collapsed="false" customWidth="true" hidden="false" outlineLevel="0" max="15362" min="15362" style="19" width="9.71"/>
    <col collapsed="false" customWidth="false" hidden="false" outlineLevel="0" max="15365" min="15363" style="19" width="9.14"/>
    <col collapsed="false" customWidth="true" hidden="false" outlineLevel="0" max="15366" min="15366" style="19" width="10.71"/>
    <col collapsed="false" customWidth="true" hidden="false" outlineLevel="0" max="15367" min="15367" style="19" width="9.57"/>
    <col collapsed="false" customWidth="false" hidden="false" outlineLevel="0" max="15616" min="15368" style="19" width="9.14"/>
    <col collapsed="false" customWidth="true" hidden="false" outlineLevel="0" max="15617" min="15617" style="19" width="21.71"/>
    <col collapsed="false" customWidth="true" hidden="false" outlineLevel="0" max="15618" min="15618" style="19" width="9.71"/>
    <col collapsed="false" customWidth="false" hidden="false" outlineLevel="0" max="15621" min="15619" style="19" width="9.14"/>
    <col collapsed="false" customWidth="true" hidden="false" outlineLevel="0" max="15622" min="15622" style="19" width="10.71"/>
    <col collapsed="false" customWidth="true" hidden="false" outlineLevel="0" max="15623" min="15623" style="19" width="9.57"/>
    <col collapsed="false" customWidth="false" hidden="false" outlineLevel="0" max="15872" min="15624" style="19" width="9.14"/>
    <col collapsed="false" customWidth="true" hidden="false" outlineLevel="0" max="15873" min="15873" style="19" width="21.71"/>
    <col collapsed="false" customWidth="true" hidden="false" outlineLevel="0" max="15874" min="15874" style="19" width="9.71"/>
    <col collapsed="false" customWidth="false" hidden="false" outlineLevel="0" max="15877" min="15875" style="19" width="9.14"/>
    <col collapsed="false" customWidth="true" hidden="false" outlineLevel="0" max="15878" min="15878" style="19" width="10.71"/>
    <col collapsed="false" customWidth="true" hidden="false" outlineLevel="0" max="15879" min="15879" style="19" width="9.57"/>
    <col collapsed="false" customWidth="false" hidden="false" outlineLevel="0" max="16128" min="15880" style="19" width="9.14"/>
    <col collapsed="false" customWidth="true" hidden="false" outlineLevel="0" max="16129" min="16129" style="19" width="21.71"/>
    <col collapsed="false" customWidth="true" hidden="false" outlineLevel="0" max="16130" min="16130" style="19" width="9.71"/>
    <col collapsed="false" customWidth="false" hidden="false" outlineLevel="0" max="16133" min="16131" style="19" width="9.14"/>
    <col collapsed="false" customWidth="true" hidden="false" outlineLevel="0" max="16134" min="16134" style="19" width="10.71"/>
    <col collapsed="false" customWidth="true" hidden="false" outlineLevel="0" max="16135" min="16135" style="19" width="9.57"/>
    <col collapsed="false" customWidth="false" hidden="false" outlineLevel="0" max="16384" min="16136" style="19" width="9.14"/>
  </cols>
  <sheetData>
    <row r="1" customFormat="false" ht="15.75" hidden="false" customHeight="false" outlineLevel="0" collapsed="false">
      <c r="A1" s="14" t="s">
        <v>135</v>
      </c>
      <c r="F1" s="17"/>
      <c r="G1" s="17"/>
    </row>
    <row r="2" customFormat="false" ht="12" hidden="false" customHeight="false" outlineLevel="0" collapsed="false">
      <c r="F2" s="17"/>
      <c r="G2" s="17"/>
    </row>
    <row r="3" customFormat="false" ht="48" hidden="false" customHeight="false" outlineLevel="0" collapsed="false">
      <c r="A3" s="20" t="n">
        <v>2009</v>
      </c>
      <c r="B3" s="21" t="s">
        <v>17</v>
      </c>
      <c r="C3" s="22" t="s">
        <v>106</v>
      </c>
      <c r="D3" s="22" t="s">
        <v>107</v>
      </c>
      <c r="E3" s="25" t="s">
        <v>108</v>
      </c>
      <c r="F3" s="74" t="s">
        <v>109</v>
      </c>
      <c r="G3" s="24" t="s">
        <v>110</v>
      </c>
      <c r="H3" s="22" t="s">
        <v>106</v>
      </c>
      <c r="I3" s="22" t="s">
        <v>107</v>
      </c>
      <c r="J3" s="178" t="s">
        <v>111</v>
      </c>
    </row>
    <row r="4" customFormat="false" ht="12" hidden="false" customHeight="false" outlineLevel="0" collapsed="false">
      <c r="A4" s="179" t="s">
        <v>95</v>
      </c>
      <c r="B4" s="230" t="n">
        <v>368.181</v>
      </c>
      <c r="C4" s="231" t="s">
        <v>91</v>
      </c>
      <c r="D4" s="232" t="s">
        <v>91</v>
      </c>
      <c r="E4" s="233" t="n">
        <v>0.114255489756065</v>
      </c>
      <c r="F4" s="230" t="n">
        <v>100.5855</v>
      </c>
      <c r="G4" s="234" t="n">
        <v>2862.283</v>
      </c>
      <c r="H4" s="235" t="s">
        <v>91</v>
      </c>
      <c r="I4" s="235" t="s">
        <v>91</v>
      </c>
      <c r="J4" s="236" t="n">
        <v>294.535</v>
      </c>
      <c r="L4" s="227"/>
      <c r="M4" s="228"/>
      <c r="O4" s="227"/>
    </row>
    <row r="5" customFormat="false" ht="12" hidden="false" customHeight="false" outlineLevel="0" collapsed="false">
      <c r="A5" s="187" t="s">
        <v>96</v>
      </c>
      <c r="B5" s="237" t="n">
        <v>13.188</v>
      </c>
      <c r="C5" s="238" t="n">
        <v>0.677661510464058</v>
      </c>
      <c r="D5" s="239" t="n">
        <v>0.322338489535942</v>
      </c>
      <c r="E5" s="240" t="n">
        <v>0.144565634420389</v>
      </c>
      <c r="F5" s="237" t="n">
        <v>2.42</v>
      </c>
      <c r="G5" s="241" t="s">
        <v>91</v>
      </c>
      <c r="H5" s="242" t="s">
        <v>91</v>
      </c>
      <c r="I5" s="242" t="s">
        <v>91</v>
      </c>
      <c r="J5" s="243" t="n">
        <v>4.919</v>
      </c>
      <c r="L5" s="227"/>
      <c r="M5" s="229"/>
    </row>
    <row r="6" customFormat="false" ht="12" hidden="false" customHeight="false" outlineLevel="0" collapsed="false">
      <c r="A6" s="80" t="s">
        <v>27</v>
      </c>
      <c r="B6" s="104" t="n">
        <v>4.038</v>
      </c>
      <c r="C6" s="166" t="n">
        <v>0.953937592867756</v>
      </c>
      <c r="D6" s="105" t="n">
        <v>0.0460624071322437</v>
      </c>
      <c r="E6" s="167" t="n">
        <v>0.0939856624150452</v>
      </c>
      <c r="F6" s="104" t="n">
        <v>1.277</v>
      </c>
      <c r="G6" s="107" t="n">
        <v>44.453</v>
      </c>
      <c r="H6" s="224" t="n">
        <v>0.964051920005399</v>
      </c>
      <c r="I6" s="224" t="n">
        <v>0.035948079994601</v>
      </c>
      <c r="J6" s="106" t="n">
        <v>5.818</v>
      </c>
    </row>
    <row r="7" customFormat="false" ht="12" hidden="false" customHeight="false" outlineLevel="0" collapsed="false">
      <c r="A7" s="80" t="s">
        <v>28</v>
      </c>
      <c r="B7" s="104" t="n">
        <v>11.045</v>
      </c>
      <c r="C7" s="166" t="n">
        <v>0.690538705296514</v>
      </c>
      <c r="D7" s="105" t="n">
        <v>0.309461294703486</v>
      </c>
      <c r="E7" s="167" t="n">
        <v>0.134285714285714</v>
      </c>
      <c r="F7" s="104" t="n">
        <v>4.764</v>
      </c>
      <c r="G7" s="107" t="n">
        <v>119.902</v>
      </c>
      <c r="H7" s="224" t="n">
        <v>0.597596370369135</v>
      </c>
      <c r="I7" s="224" t="n">
        <v>0.402403629630865</v>
      </c>
      <c r="J7" s="106" t="n">
        <v>19.011</v>
      </c>
    </row>
    <row r="8" customFormat="false" ht="12" hidden="false" customHeight="false" outlineLevel="0" collapsed="false">
      <c r="A8" s="80" t="s">
        <v>29</v>
      </c>
      <c r="B8" s="104" t="n">
        <v>16.479</v>
      </c>
      <c r="C8" s="166" t="s">
        <v>91</v>
      </c>
      <c r="D8" s="105" t="s">
        <v>91</v>
      </c>
      <c r="E8" s="167" t="n">
        <v>0.453167968320317</v>
      </c>
      <c r="F8" s="104" t="n">
        <v>5.283</v>
      </c>
      <c r="G8" s="107" t="n">
        <v>109.842</v>
      </c>
      <c r="H8" s="224" t="s">
        <v>91</v>
      </c>
      <c r="I8" s="224" t="s">
        <v>91</v>
      </c>
      <c r="J8" s="106" t="n">
        <v>10.26</v>
      </c>
    </row>
    <row r="9" customFormat="false" ht="12" hidden="false" customHeight="false" outlineLevel="0" collapsed="false">
      <c r="A9" s="80" t="s">
        <v>30</v>
      </c>
      <c r="B9" s="104" t="n">
        <v>77.035</v>
      </c>
      <c r="C9" s="166" t="n">
        <v>0.655169728045694</v>
      </c>
      <c r="D9" s="105" t="n">
        <v>0.344830271954307</v>
      </c>
      <c r="E9" s="167" t="n">
        <v>0.130024777876799</v>
      </c>
      <c r="F9" s="104" t="n">
        <v>22.494</v>
      </c>
      <c r="G9" s="107" t="n">
        <v>628.664</v>
      </c>
      <c r="H9" s="224" t="n">
        <v>0.546072305714977</v>
      </c>
      <c r="I9" s="224" t="n">
        <v>0.453927694285024</v>
      </c>
      <c r="J9" s="106" t="n">
        <v>50.07</v>
      </c>
    </row>
    <row r="10" customFormat="false" ht="12" hidden="false" customHeight="false" outlineLevel="0" collapsed="false">
      <c r="A10" s="80" t="s">
        <v>31</v>
      </c>
      <c r="B10" s="104" t="n">
        <v>0.807</v>
      </c>
      <c r="C10" s="166" t="n">
        <v>0.908302354399009</v>
      </c>
      <c r="D10" s="105" t="n">
        <v>0.0916976456009913</v>
      </c>
      <c r="E10" s="167" t="n">
        <v>0.0919239093290808</v>
      </c>
      <c r="F10" s="104" t="n">
        <v>0.415</v>
      </c>
      <c r="G10" s="107" t="n">
        <v>11.51</v>
      </c>
      <c r="H10" s="224" t="n">
        <v>0.838488271068636</v>
      </c>
      <c r="I10" s="224" t="n">
        <v>0.161511728931364</v>
      </c>
      <c r="J10" s="106" t="n">
        <v>1.461</v>
      </c>
    </row>
    <row r="11" customFormat="false" ht="12" hidden="false" customHeight="false" outlineLevel="0" collapsed="false">
      <c r="A11" s="80" t="s">
        <v>97</v>
      </c>
      <c r="B11" s="104" t="n">
        <v>1.785</v>
      </c>
      <c r="C11" s="166" t="n">
        <v>0</v>
      </c>
      <c r="D11" s="105" t="n">
        <v>1</v>
      </c>
      <c r="E11" s="167" t="n">
        <v>0.0632037391119609</v>
      </c>
      <c r="F11" s="104" t="n">
        <v>0.286</v>
      </c>
      <c r="G11" s="107" t="n">
        <v>10.922</v>
      </c>
      <c r="H11" s="224" t="n">
        <v>0</v>
      </c>
      <c r="I11" s="224" t="n">
        <v>1</v>
      </c>
      <c r="J11" s="106" t="n">
        <v>0.658</v>
      </c>
    </row>
    <row r="12" customFormat="false" ht="12" hidden="false" customHeight="false" outlineLevel="0" collapsed="false">
      <c r="A12" s="80" t="s">
        <v>33</v>
      </c>
      <c r="B12" s="104" t="n">
        <v>1.843</v>
      </c>
      <c r="C12" s="166" t="n">
        <v>0.100922409115572</v>
      </c>
      <c r="D12" s="105" t="n">
        <v>0.899077590884428</v>
      </c>
      <c r="E12" s="167" t="n">
        <v>0.0300334066650371</v>
      </c>
      <c r="F12" s="104" t="n">
        <v>0.51</v>
      </c>
      <c r="G12" s="107" t="n">
        <v>10.762</v>
      </c>
      <c r="H12" s="224" t="n">
        <v>0.286470916186582</v>
      </c>
      <c r="I12" s="224" t="n">
        <v>0.713529083813418</v>
      </c>
      <c r="J12" s="106" t="n">
        <v>0.772</v>
      </c>
    </row>
    <row r="13" customFormat="false" ht="12" hidden="false" customHeight="false" outlineLevel="0" collapsed="false">
      <c r="A13" s="80" t="s">
        <v>34</v>
      </c>
      <c r="B13" s="104" t="n">
        <v>21.974</v>
      </c>
      <c r="C13" s="166" t="n">
        <v>0</v>
      </c>
      <c r="D13" s="105" t="n">
        <v>1</v>
      </c>
      <c r="E13" s="167" t="n">
        <v>0.0747804129359837</v>
      </c>
      <c r="F13" s="104" t="n">
        <v>3.65</v>
      </c>
      <c r="G13" s="107" t="n">
        <v>172.689</v>
      </c>
      <c r="H13" s="224" t="n">
        <v>0</v>
      </c>
      <c r="I13" s="224" t="n">
        <v>1</v>
      </c>
      <c r="J13" s="106" t="n">
        <v>10.818</v>
      </c>
    </row>
    <row r="14" customFormat="false" ht="12" hidden="false" customHeight="false" outlineLevel="0" collapsed="false">
      <c r="A14" s="80" t="s">
        <v>35</v>
      </c>
      <c r="B14" s="104" t="n">
        <v>23.369</v>
      </c>
      <c r="C14" s="166" t="n">
        <v>0.490093713894476</v>
      </c>
      <c r="D14" s="105" t="n">
        <v>0.509906286105525</v>
      </c>
      <c r="E14" s="167" t="n">
        <v>0.0430888087840766</v>
      </c>
      <c r="F14" s="104" t="n">
        <v>5.678</v>
      </c>
      <c r="G14" s="107" t="n">
        <v>197.435</v>
      </c>
      <c r="H14" s="224" t="n">
        <v>0.340917263909641</v>
      </c>
      <c r="I14" s="224" t="n">
        <v>0.659082736090359</v>
      </c>
      <c r="J14" s="106" t="n">
        <v>14.901</v>
      </c>
    </row>
    <row r="15" customFormat="false" ht="12" hidden="false" customHeight="false" outlineLevel="0" collapsed="false">
      <c r="A15" s="80" t="s">
        <v>36</v>
      </c>
      <c r="B15" s="104" t="n">
        <v>1.619</v>
      </c>
      <c r="C15" s="166" t="n">
        <v>0.813465101914762</v>
      </c>
      <c r="D15" s="105" t="n">
        <v>0.186534898085238</v>
      </c>
      <c r="E15" s="167" t="n">
        <v>0.126712060734132</v>
      </c>
      <c r="F15" s="104" t="n">
        <v>0.545</v>
      </c>
      <c r="G15" s="107" t="n">
        <v>12.795</v>
      </c>
      <c r="H15" s="224" t="n">
        <v>0.888862837045721</v>
      </c>
      <c r="I15" s="224" t="n">
        <v>0.111137162954279</v>
      </c>
      <c r="J15" s="106" t="n">
        <v>1.465</v>
      </c>
      <c r="L15" s="227"/>
      <c r="M15" s="228"/>
    </row>
    <row r="16" customFormat="false" ht="12" hidden="false" customHeight="false" outlineLevel="0" collapsed="false">
      <c r="A16" s="80" t="s">
        <v>37</v>
      </c>
      <c r="B16" s="104" t="n">
        <v>29.939</v>
      </c>
      <c r="C16" s="166" t="n">
        <v>0.592972377166906</v>
      </c>
      <c r="D16" s="105" t="n">
        <v>0.407027622833094</v>
      </c>
      <c r="E16" s="167" t="n">
        <v>0.102306238702027</v>
      </c>
      <c r="F16" s="104" t="n">
        <v>7.674</v>
      </c>
      <c r="G16" s="107" t="n">
        <v>180.82</v>
      </c>
      <c r="H16" s="224" t="n">
        <v>0.425317995796925</v>
      </c>
      <c r="I16" s="224" t="n">
        <v>0.574682004203075</v>
      </c>
      <c r="J16" s="106" t="n">
        <v>57.92</v>
      </c>
    </row>
    <row r="17" customFormat="false" ht="12" hidden="false" customHeight="false" outlineLevel="0" collapsed="false">
      <c r="A17" s="80" t="s">
        <v>38</v>
      </c>
      <c r="B17" s="104" t="n">
        <v>0.019</v>
      </c>
      <c r="C17" s="166" t="s">
        <v>91</v>
      </c>
      <c r="D17" s="105" t="s">
        <v>91</v>
      </c>
      <c r="E17" s="167" t="n">
        <v>0.00363497225942223</v>
      </c>
      <c r="F17" s="104" t="n">
        <v>0.005</v>
      </c>
      <c r="G17" s="107" t="n">
        <v>0.092</v>
      </c>
      <c r="H17" s="224" t="s">
        <v>91</v>
      </c>
      <c r="I17" s="224" t="s">
        <v>91</v>
      </c>
      <c r="J17" s="106" t="n">
        <v>0.006</v>
      </c>
    </row>
    <row r="18" customFormat="false" ht="12" hidden="false" customHeight="false" outlineLevel="0" collapsed="false">
      <c r="A18" s="80" t="s">
        <v>70</v>
      </c>
      <c r="B18" s="104" t="n">
        <v>1.098</v>
      </c>
      <c r="C18" s="166" t="n">
        <v>0.967213114754098</v>
      </c>
      <c r="D18" s="105" t="n">
        <v>0.0327868852459016</v>
      </c>
      <c r="E18" s="167" t="n">
        <v>0.197162865864608</v>
      </c>
      <c r="F18" s="104" t="n">
        <v>0.256</v>
      </c>
      <c r="G18" s="107" t="n">
        <v>4.94</v>
      </c>
      <c r="H18" s="224" t="n">
        <v>0.965991902834008</v>
      </c>
      <c r="I18" s="224" t="n">
        <v>0.0340080971659919</v>
      </c>
      <c r="J18" s="106" t="n">
        <v>0.374</v>
      </c>
    </row>
    <row r="19" customFormat="false" ht="12" hidden="false" customHeight="false" outlineLevel="0" collapsed="false">
      <c r="A19" s="80" t="s">
        <v>40</v>
      </c>
      <c r="B19" s="104" t="n">
        <v>2.138</v>
      </c>
      <c r="C19" s="166" t="n">
        <v>0.883068288119738</v>
      </c>
      <c r="D19" s="105" t="n">
        <v>0.116931711880262</v>
      </c>
      <c r="E19" s="167" t="n">
        <v>0.139210834744107</v>
      </c>
      <c r="F19" s="104" t="n">
        <v>1.091</v>
      </c>
      <c r="G19" s="107" t="n">
        <v>16.507</v>
      </c>
      <c r="H19" s="224" t="n">
        <v>0.828981644150966</v>
      </c>
      <c r="I19" s="224" t="n">
        <v>0.171018355849034</v>
      </c>
      <c r="J19" s="106" t="n">
        <v>2.437</v>
      </c>
    </row>
    <row r="20" customFormat="false" ht="12" hidden="false" customHeight="false" outlineLevel="0" collapsed="false">
      <c r="A20" s="80" t="s">
        <v>41</v>
      </c>
      <c r="B20" s="104" t="n">
        <v>0.39</v>
      </c>
      <c r="C20" s="166" t="n">
        <v>0</v>
      </c>
      <c r="D20" s="105" t="n">
        <v>1</v>
      </c>
      <c r="E20" s="167" t="n">
        <v>0.100567302733368</v>
      </c>
      <c r="F20" s="104" t="n">
        <v>0.108</v>
      </c>
      <c r="G20" s="107" t="n">
        <v>3.807</v>
      </c>
      <c r="H20" s="224" t="n">
        <v>0</v>
      </c>
      <c r="I20" s="224" t="n">
        <v>1</v>
      </c>
      <c r="J20" s="106" t="s">
        <v>91</v>
      </c>
    </row>
    <row r="21" customFormat="false" ht="12" hidden="false" customHeight="false" outlineLevel="0" collapsed="false">
      <c r="A21" s="80" t="s">
        <v>113</v>
      </c>
      <c r="B21" s="104" t="n">
        <v>7.356</v>
      </c>
      <c r="C21" s="166" t="n">
        <v>0.947253942359978</v>
      </c>
      <c r="D21" s="105" t="n">
        <v>0.0527460576400218</v>
      </c>
      <c r="E21" s="167" t="n">
        <v>0.204856856410828</v>
      </c>
      <c r="F21" s="104" t="n">
        <v>0.2005</v>
      </c>
      <c r="G21" s="107" t="n">
        <v>42.617</v>
      </c>
      <c r="H21" s="224" t="n">
        <v>0.916230612197011</v>
      </c>
      <c r="I21" s="224" t="n">
        <v>0.0837693878029894</v>
      </c>
      <c r="J21" s="106" t="n">
        <v>3.397</v>
      </c>
    </row>
    <row r="22" customFormat="false" ht="12" hidden="false" customHeight="false" outlineLevel="0" collapsed="false">
      <c r="A22" s="80" t="s">
        <v>43</v>
      </c>
      <c r="B22" s="134" t="n">
        <v>0</v>
      </c>
      <c r="C22" s="135" t="n">
        <v>0</v>
      </c>
      <c r="D22" s="195" t="n">
        <v>0</v>
      </c>
      <c r="E22" s="136" t="n">
        <v>0</v>
      </c>
      <c r="F22" s="134" t="n">
        <v>0</v>
      </c>
      <c r="G22" s="196" t="n">
        <v>0</v>
      </c>
      <c r="H22" s="197" t="n">
        <v>0</v>
      </c>
      <c r="I22" s="197" t="n">
        <v>0</v>
      </c>
      <c r="J22" s="198" t="n">
        <v>0</v>
      </c>
    </row>
    <row r="23" customFormat="false" ht="12" hidden="false" customHeight="false" outlineLevel="0" collapsed="false">
      <c r="A23" s="80" t="s">
        <v>72</v>
      </c>
      <c r="B23" s="104" t="n">
        <v>36.384</v>
      </c>
      <c r="C23" s="166" t="s">
        <v>91</v>
      </c>
      <c r="D23" s="105" t="s">
        <v>91</v>
      </c>
      <c r="E23" s="167" t="n">
        <v>0.320558228048845</v>
      </c>
      <c r="F23" s="104" t="n">
        <v>9.251</v>
      </c>
      <c r="G23" s="107" t="n">
        <v>223.017</v>
      </c>
      <c r="H23" s="224" t="s">
        <v>91</v>
      </c>
      <c r="I23" s="224" t="s">
        <v>91</v>
      </c>
      <c r="J23" s="106" t="n">
        <v>19.18</v>
      </c>
    </row>
    <row r="24" customFormat="false" ht="12" hidden="false" customHeight="false" outlineLevel="0" collapsed="false">
      <c r="A24" s="80" t="s">
        <v>45</v>
      </c>
      <c r="B24" s="104" t="n">
        <v>9.104</v>
      </c>
      <c r="C24" s="166" t="s">
        <v>91</v>
      </c>
      <c r="D24" s="105" t="s">
        <v>91</v>
      </c>
      <c r="E24" s="167" t="n">
        <v>0.131963066575831</v>
      </c>
      <c r="F24" s="104" t="n">
        <v>2.912</v>
      </c>
      <c r="G24" s="107" t="n">
        <v>98.441</v>
      </c>
      <c r="H24" s="224" t="s">
        <v>91</v>
      </c>
      <c r="I24" s="224" t="s">
        <v>91</v>
      </c>
      <c r="J24" s="106" t="n">
        <v>8.781</v>
      </c>
    </row>
    <row r="25" customFormat="false" ht="12" hidden="false" customHeight="false" outlineLevel="0" collapsed="false">
      <c r="A25" s="80" t="s">
        <v>46</v>
      </c>
      <c r="B25" s="104" t="n">
        <v>26.079</v>
      </c>
      <c r="C25" s="166" t="n">
        <v>0.787645231795698</v>
      </c>
      <c r="D25" s="105" t="n">
        <v>0.212354768204302</v>
      </c>
      <c r="E25" s="167" t="n">
        <v>0.171889006063802</v>
      </c>
      <c r="F25" s="104" t="n">
        <v>8.631</v>
      </c>
      <c r="G25" s="107" t="n">
        <v>258.377</v>
      </c>
      <c r="H25" s="224" t="n">
        <v>0.635482260417916</v>
      </c>
      <c r="I25" s="224" t="n">
        <v>0.364517739582084</v>
      </c>
      <c r="J25" s="106" t="n">
        <v>24.781</v>
      </c>
    </row>
    <row r="26" customFormat="false" ht="12" hidden="false" customHeight="false" outlineLevel="0" collapsed="false">
      <c r="A26" s="80" t="s">
        <v>98</v>
      </c>
      <c r="B26" s="104" t="n">
        <v>5.53</v>
      </c>
      <c r="C26" s="166" t="n">
        <v>0.73001808318264</v>
      </c>
      <c r="D26" s="105" t="n">
        <v>0.26998191681736</v>
      </c>
      <c r="E26" s="167" t="n">
        <v>0.110144003824168</v>
      </c>
      <c r="F26" s="104" t="n">
        <v>1.296</v>
      </c>
      <c r="G26" s="107" t="n">
        <v>61.018</v>
      </c>
      <c r="H26" s="224" t="n">
        <v>0.567242453046642</v>
      </c>
      <c r="I26" s="224" t="n">
        <v>0.432757546953358</v>
      </c>
      <c r="J26" s="106" t="n">
        <v>5.04</v>
      </c>
    </row>
    <row r="27" customFormat="false" ht="12" hidden="false" customHeight="false" outlineLevel="0" collapsed="false">
      <c r="A27" s="80" t="s">
        <v>48</v>
      </c>
      <c r="B27" s="104" t="n">
        <v>6.26</v>
      </c>
      <c r="C27" s="166" t="n">
        <v>0.862140575079872</v>
      </c>
      <c r="D27" s="105" t="n">
        <v>0.137859424920128</v>
      </c>
      <c r="E27" s="167" t="n">
        <v>0.107901268615554</v>
      </c>
      <c r="F27" s="104" t="n">
        <v>4.459</v>
      </c>
      <c r="G27" s="107" t="n">
        <v>66.314</v>
      </c>
      <c r="H27" s="224" t="n">
        <v>0.824260337183702</v>
      </c>
      <c r="I27" s="224" t="n">
        <v>0.175739662816298</v>
      </c>
      <c r="J27" s="106" t="n">
        <v>10.349</v>
      </c>
    </row>
    <row r="28" customFormat="false" ht="12" hidden="false" customHeight="false" outlineLevel="0" collapsed="false">
      <c r="A28" s="80" t="s">
        <v>99</v>
      </c>
      <c r="B28" s="104" t="n">
        <v>1.025</v>
      </c>
      <c r="C28" s="166" t="n">
        <v>0.760975609756098</v>
      </c>
      <c r="D28" s="105" t="n">
        <v>0.239024390243902</v>
      </c>
      <c r="E28" s="167" t="n">
        <v>0.0624961892567526</v>
      </c>
      <c r="F28" s="104" t="n">
        <v>0.327</v>
      </c>
      <c r="G28" s="107" t="n">
        <v>11.23</v>
      </c>
      <c r="H28" s="224" t="n">
        <v>0.613089937666964</v>
      </c>
      <c r="I28" s="224" t="n">
        <v>0.386910062333037</v>
      </c>
      <c r="J28" s="106" t="n">
        <v>0.832</v>
      </c>
    </row>
    <row r="29" customFormat="false" ht="12" hidden="false" customHeight="false" outlineLevel="0" collapsed="false">
      <c r="A29" s="80" t="s">
        <v>50</v>
      </c>
      <c r="B29" s="104" t="n">
        <v>5.013</v>
      </c>
      <c r="C29" s="166" t="n">
        <v>0.691402353879912</v>
      </c>
      <c r="D29" s="105" t="n">
        <v>0.308597646120088</v>
      </c>
      <c r="E29" s="167" t="n">
        <v>0.191665073599694</v>
      </c>
      <c r="F29" s="104" t="n">
        <v>1.585</v>
      </c>
      <c r="G29" s="107" t="n">
        <v>18.668</v>
      </c>
      <c r="H29" s="224" t="n">
        <v>0.819584315406042</v>
      </c>
      <c r="I29" s="224" t="n">
        <v>0.180415684593958</v>
      </c>
      <c r="J29" s="106" t="n">
        <v>9.404</v>
      </c>
    </row>
    <row r="30" customFormat="false" ht="12" hidden="false" customHeight="false" outlineLevel="0" collapsed="false">
      <c r="A30" s="80" t="s">
        <v>75</v>
      </c>
      <c r="B30" s="104" t="n">
        <v>25.809</v>
      </c>
      <c r="C30" s="166" t="n">
        <v>0.683559998450153</v>
      </c>
      <c r="D30" s="105" t="n">
        <v>0.316440001549847</v>
      </c>
      <c r="E30" s="167" t="n">
        <v>0.358149926452222</v>
      </c>
      <c r="F30" s="104" t="n">
        <v>5.787</v>
      </c>
      <c r="G30" s="107" t="n">
        <v>240.204</v>
      </c>
      <c r="H30" s="224" t="n">
        <v>0.501669414331152</v>
      </c>
      <c r="I30" s="224" t="n">
        <v>0.498330585668848</v>
      </c>
      <c r="J30" s="106" t="n">
        <v>15.698</v>
      </c>
    </row>
    <row r="31" customFormat="false" ht="12" hidden="false" customHeight="false" outlineLevel="0" collapsed="false">
      <c r="A31" s="108" t="s">
        <v>76</v>
      </c>
      <c r="B31" s="109" t="n">
        <v>14.344</v>
      </c>
      <c r="C31" s="138" t="n">
        <v>0.60952314556609</v>
      </c>
      <c r="D31" s="110" t="n">
        <v>0.39047685443391</v>
      </c>
      <c r="E31" s="139" t="n">
        <v>0.104917457229167</v>
      </c>
      <c r="F31" s="109" t="n">
        <v>4.52</v>
      </c>
      <c r="G31" s="112" t="n">
        <v>161.374</v>
      </c>
      <c r="H31" s="244" t="n">
        <v>0.500192100338345</v>
      </c>
      <c r="I31" s="244" t="n">
        <v>0.499807899661656</v>
      </c>
      <c r="J31" s="111" t="n">
        <v>8.828</v>
      </c>
    </row>
    <row r="32" customFormat="false" ht="12" hidden="false" customHeight="false" outlineLevel="0" collapsed="false">
      <c r="A32" s="87" t="s">
        <v>77</v>
      </c>
      <c r="B32" s="114" t="n">
        <v>24.511</v>
      </c>
      <c r="C32" s="245" t="s">
        <v>91</v>
      </c>
      <c r="D32" s="115" t="s">
        <v>91</v>
      </c>
      <c r="E32" s="246" t="n">
        <v>0.0652469620539577</v>
      </c>
      <c r="F32" s="114" t="n">
        <v>5.706</v>
      </c>
      <c r="G32" s="113" t="n">
        <v>155.883</v>
      </c>
      <c r="H32" s="247" t="s">
        <v>91</v>
      </c>
      <c r="I32" s="247" t="s">
        <v>91</v>
      </c>
      <c r="J32" s="116" t="n">
        <v>7.355</v>
      </c>
    </row>
    <row r="33" customFormat="false" ht="12" hidden="false" customHeight="false" outlineLevel="0" collapsed="false">
      <c r="A33" s="65" t="s">
        <v>115</v>
      </c>
      <c r="B33" s="254" t="n">
        <v>0.151</v>
      </c>
      <c r="C33" s="255" t="n">
        <v>1</v>
      </c>
      <c r="D33" s="256" t="n">
        <v>0</v>
      </c>
      <c r="E33" s="257" t="n">
        <v>0.00113723659039901</v>
      </c>
      <c r="F33" s="254" t="s">
        <v>91</v>
      </c>
      <c r="G33" s="258" t="n">
        <v>3.75</v>
      </c>
      <c r="H33" s="259" t="n">
        <v>1</v>
      </c>
      <c r="I33" s="259" t="n">
        <v>0</v>
      </c>
      <c r="J33" s="260" t="n">
        <v>0.148</v>
      </c>
    </row>
    <row r="34" customFormat="false" ht="12" hidden="false" customHeight="false" outlineLevel="0" collapsed="false">
      <c r="A34" s="220" t="s">
        <v>130</v>
      </c>
      <c r="B34" s="261" t="n">
        <v>7.355</v>
      </c>
      <c r="C34" s="262" t="n">
        <v>0.405846363018355</v>
      </c>
      <c r="D34" s="263" t="n">
        <v>0.594153636981645</v>
      </c>
      <c r="E34" s="264" t="n">
        <v>0.0377541539835637</v>
      </c>
      <c r="F34" s="261" t="n">
        <v>5.111</v>
      </c>
      <c r="G34" s="265" t="n">
        <v>92.553</v>
      </c>
      <c r="H34" s="266" t="n">
        <v>0.264832042181237</v>
      </c>
      <c r="I34" s="266" t="n">
        <v>0.735167957818763</v>
      </c>
      <c r="J34" s="267" t="s">
        <v>91</v>
      </c>
      <c r="L34" s="227"/>
      <c r="M34" s="229"/>
    </row>
    <row r="35" customFormat="false" ht="12" hidden="false" customHeight="false" outlineLevel="0" collapsed="false">
      <c r="A35" s="65"/>
      <c r="B35" s="268"/>
      <c r="C35" s="269"/>
      <c r="D35" s="269"/>
      <c r="E35" s="269"/>
      <c r="F35" s="270"/>
      <c r="G35" s="270"/>
      <c r="H35" s="269"/>
      <c r="I35" s="269"/>
      <c r="J35" s="268"/>
    </row>
    <row r="36" customFormat="false" ht="12" hidden="false" customHeight="false" outlineLevel="0" collapsed="false">
      <c r="F36" s="16"/>
      <c r="G36" s="16"/>
    </row>
    <row r="37" customFormat="false" ht="36" hidden="false" customHeight="false" outlineLevel="0" collapsed="false">
      <c r="A37" s="20" t="n">
        <v>2009</v>
      </c>
      <c r="B37" s="21" t="s">
        <v>55</v>
      </c>
      <c r="C37" s="25" t="s">
        <v>57</v>
      </c>
      <c r="D37" s="22" t="s">
        <v>58</v>
      </c>
      <c r="E37" s="22" t="s">
        <v>59</v>
      </c>
      <c r="F37" s="211" t="s">
        <v>60</v>
      </c>
      <c r="G37" s="211" t="s">
        <v>61</v>
      </c>
      <c r="H37" s="257"/>
      <c r="I37" s="257"/>
      <c r="J37" s="271"/>
      <c r="K37" s="272"/>
    </row>
    <row r="38" customFormat="false" ht="12" hidden="false" customHeight="false" outlineLevel="0" collapsed="false">
      <c r="A38" s="179" t="s">
        <v>95</v>
      </c>
      <c r="B38" s="180" t="n">
        <f aca="false">SUM(B39:B66)</f>
        <v>6363.908</v>
      </c>
      <c r="C38" s="181" t="n">
        <v>0.223976</v>
      </c>
      <c r="D38" s="183" t="n">
        <v>0.064822</v>
      </c>
      <c r="E38" s="183" t="n">
        <v>0.482746</v>
      </c>
      <c r="F38" s="183" t="n">
        <v>0.137139642793613</v>
      </c>
      <c r="G38" s="183" t="n">
        <v>0.0921311838375275</v>
      </c>
      <c r="H38" s="257"/>
      <c r="I38" s="257"/>
      <c r="J38" s="271"/>
      <c r="K38" s="272"/>
    </row>
    <row r="39" customFormat="false" ht="12" hidden="false" customHeight="false" outlineLevel="0" collapsed="false">
      <c r="A39" s="187" t="s">
        <v>96</v>
      </c>
      <c r="B39" s="188" t="n">
        <v>108.127</v>
      </c>
      <c r="C39" s="215" t="n">
        <v>0.0211880473887188</v>
      </c>
      <c r="D39" s="216" t="n">
        <v>0.00895243556188556</v>
      </c>
      <c r="E39" s="216" t="n">
        <v>0.765608959834269</v>
      </c>
      <c r="F39" s="216" t="n">
        <v>0.110490441795296</v>
      </c>
      <c r="G39" s="216" t="n">
        <v>0.0937601154198304</v>
      </c>
      <c r="H39" s="257"/>
      <c r="I39" s="257"/>
      <c r="J39" s="271"/>
      <c r="K39" s="272"/>
    </row>
    <row r="40" customFormat="false" ht="12" hidden="false" customHeight="false" outlineLevel="0" collapsed="false">
      <c r="A40" s="80" t="s">
        <v>27</v>
      </c>
      <c r="B40" s="134" t="n">
        <v>74.218</v>
      </c>
      <c r="C40" s="135" t="n">
        <v>0.520022097065402</v>
      </c>
      <c r="D40" s="136" t="n">
        <v>0.0775822576733407</v>
      </c>
      <c r="E40" s="136" t="n">
        <v>0.383923037538064</v>
      </c>
      <c r="F40" s="136" t="n">
        <v>0</v>
      </c>
      <c r="G40" s="136" t="n">
        <v>0.0184726077231938</v>
      </c>
      <c r="H40" s="257"/>
      <c r="I40" s="257"/>
      <c r="J40" s="271"/>
      <c r="K40" s="272"/>
    </row>
    <row r="41" customFormat="false" ht="12" hidden="false" customHeight="false" outlineLevel="0" collapsed="false">
      <c r="A41" s="80" t="s">
        <v>116</v>
      </c>
      <c r="B41" s="134" t="n">
        <v>244.014</v>
      </c>
      <c r="C41" s="135" t="n">
        <v>0.781545321170097</v>
      </c>
      <c r="D41" s="136" t="n">
        <v>0.0243141786946651</v>
      </c>
      <c r="E41" s="136" t="n">
        <v>0.0706557820452925</v>
      </c>
      <c r="F41" s="136" t="n">
        <v>0.0644389256354144</v>
      </c>
      <c r="G41" s="136" t="n">
        <v>0.0590457924545313</v>
      </c>
    </row>
    <row r="42" customFormat="false" ht="12" hidden="false" customHeight="false" outlineLevel="0" collapsed="false">
      <c r="A42" s="80" t="s">
        <v>29</v>
      </c>
      <c r="B42" s="134" t="n">
        <v>304.663</v>
      </c>
      <c r="C42" s="135" t="n">
        <v>0.535234012663172</v>
      </c>
      <c r="D42" s="136" t="n">
        <v>0.0392564899577566</v>
      </c>
      <c r="E42" s="136" t="n">
        <v>0.211847188532904</v>
      </c>
      <c r="F42" s="136" t="n">
        <v>0.159855315545373</v>
      </c>
      <c r="G42" s="136" t="n">
        <v>0.0538069933007946</v>
      </c>
    </row>
    <row r="43" customFormat="false" ht="12" hidden="false" customHeight="false" outlineLevel="0" collapsed="false">
      <c r="A43" s="80" t="s">
        <v>30</v>
      </c>
      <c r="B43" s="134" t="n">
        <v>1185.417</v>
      </c>
      <c r="C43" s="135" t="n">
        <v>0.269571804689827</v>
      </c>
      <c r="D43" s="136" t="n">
        <v>0.0466882118275679</v>
      </c>
      <c r="E43" s="136" t="n">
        <v>0.507114374097891</v>
      </c>
      <c r="F43" s="136" t="n">
        <v>0.0869618033147829</v>
      </c>
      <c r="G43" s="136" t="n">
        <v>0.0896638060699315</v>
      </c>
    </row>
    <row r="44" customFormat="false" ht="12" hidden="false" customHeight="false" outlineLevel="0" collapsed="false">
      <c r="A44" s="80" t="s">
        <v>31</v>
      </c>
      <c r="B44" s="134" t="n">
        <v>17.931</v>
      </c>
      <c r="C44" s="135" t="n">
        <v>0.415258490881713</v>
      </c>
      <c r="D44" s="136" t="n">
        <v>0.00351346829513134</v>
      </c>
      <c r="E44" s="136" t="n">
        <v>0.35391221906196</v>
      </c>
      <c r="F44" s="136" t="n">
        <v>0.227315821761196</v>
      </c>
      <c r="G44" s="136" t="n">
        <v>0</v>
      </c>
    </row>
    <row r="45" customFormat="false" ht="12" hidden="false" customHeight="false" outlineLevel="0" collapsed="false">
      <c r="A45" s="80" t="s">
        <v>97</v>
      </c>
      <c r="B45" s="134" t="n">
        <v>20.576</v>
      </c>
      <c r="C45" s="135" t="n">
        <v>0.0506415241057543</v>
      </c>
      <c r="D45" s="136" t="n">
        <v>0.00072900466562986</v>
      </c>
      <c r="E45" s="136" t="n">
        <v>0.919226283048212</v>
      </c>
      <c r="F45" s="136" t="n">
        <v>0.0106920684292379</v>
      </c>
      <c r="G45" s="136" t="n">
        <v>0.0187111197511664</v>
      </c>
    </row>
    <row r="46" customFormat="false" ht="12" hidden="false" customHeight="false" outlineLevel="0" collapsed="false">
      <c r="A46" s="80" t="s">
        <v>33</v>
      </c>
      <c r="B46" s="134" t="n">
        <v>21.877</v>
      </c>
      <c r="C46" s="135" t="n">
        <v>0.156100013713032</v>
      </c>
      <c r="D46" s="136" t="n">
        <v>0.0427389495817525</v>
      </c>
      <c r="E46" s="136" t="n">
        <v>0.347899620606116</v>
      </c>
      <c r="F46" s="136" t="n">
        <v>0.0340540293458884</v>
      </c>
      <c r="G46" s="136" t="n">
        <v>0.419207386753211</v>
      </c>
    </row>
    <row r="47" customFormat="false" ht="12" hidden="false" customHeight="false" outlineLevel="0" collapsed="false">
      <c r="A47" s="80" t="s">
        <v>34</v>
      </c>
      <c r="B47" s="134" t="n">
        <v>386.37</v>
      </c>
      <c r="C47" s="135" t="n">
        <v>0.0171804229106815</v>
      </c>
      <c r="D47" s="136" t="n">
        <v>0.086013406838005</v>
      </c>
      <c r="E47" s="136" t="n">
        <v>0.740761446282061</v>
      </c>
      <c r="F47" s="136" t="n">
        <v>0.00334394492326009</v>
      </c>
      <c r="G47" s="136" t="n">
        <v>0.152700779045992</v>
      </c>
    </row>
    <row r="48" customFormat="false" ht="12" hidden="false" customHeight="false" outlineLevel="0" collapsed="false">
      <c r="A48" s="80" t="s">
        <v>35</v>
      </c>
      <c r="B48" s="134" t="n">
        <v>376.864</v>
      </c>
      <c r="C48" s="135" t="n">
        <v>0.0457034898531035</v>
      </c>
      <c r="D48" s="136" t="n">
        <v>0.0362146556848094</v>
      </c>
      <c r="E48" s="136" t="n">
        <v>0.54881336503354</v>
      </c>
      <c r="F48" s="136" t="n">
        <v>0.256323235968413</v>
      </c>
      <c r="G48" s="136" t="n">
        <v>0.112945253460134</v>
      </c>
    </row>
    <row r="49" customFormat="false" ht="12" hidden="false" customHeight="false" outlineLevel="0" collapsed="false">
      <c r="A49" s="80" t="s">
        <v>36</v>
      </c>
      <c r="B49" s="134" t="n">
        <v>22.7</v>
      </c>
      <c r="C49" s="135" t="n">
        <v>0.02823</v>
      </c>
      <c r="D49" s="136" t="n">
        <v>0.2313</v>
      </c>
      <c r="E49" s="136" t="n">
        <v>0.740468</v>
      </c>
      <c r="F49" s="136" t="n">
        <v>0</v>
      </c>
      <c r="G49" s="136" t="n">
        <v>0</v>
      </c>
    </row>
    <row r="50" customFormat="false" ht="12" hidden="false" customHeight="false" outlineLevel="0" collapsed="false">
      <c r="A50" s="80" t="s">
        <v>37</v>
      </c>
      <c r="B50" s="134" t="n">
        <v>899.025</v>
      </c>
      <c r="C50" s="135" t="n">
        <v>0.000593976808208893</v>
      </c>
      <c r="D50" s="136" t="n">
        <v>0.171850615945052</v>
      </c>
      <c r="E50" s="136" t="n">
        <v>0.707467534273241</v>
      </c>
      <c r="F50" s="136" t="n">
        <v>0.0376708100442146</v>
      </c>
      <c r="G50" s="136" t="n">
        <v>0.0824170629292845</v>
      </c>
    </row>
    <row r="51" customFormat="false" ht="12" hidden="false" customHeight="false" outlineLevel="0" collapsed="false">
      <c r="A51" s="80" t="s">
        <v>38</v>
      </c>
      <c r="B51" s="134" t="n">
        <v>0.178</v>
      </c>
      <c r="C51" s="135" t="n">
        <v>0</v>
      </c>
      <c r="D51" s="136" t="n">
        <v>1</v>
      </c>
      <c r="E51" s="136" t="n">
        <v>0</v>
      </c>
      <c r="F51" s="136" t="n">
        <v>0</v>
      </c>
      <c r="G51" s="136" t="n">
        <v>0</v>
      </c>
    </row>
    <row r="52" customFormat="false" ht="12" hidden="false" customHeight="false" outlineLevel="0" collapsed="false">
      <c r="A52" s="80" t="s">
        <v>70</v>
      </c>
      <c r="B52" s="134" t="n">
        <v>10.95</v>
      </c>
      <c r="C52" s="135" t="n">
        <v>0.0408219178082192</v>
      </c>
      <c r="D52" s="136" t="n">
        <v>0.00986301369863014</v>
      </c>
      <c r="E52" s="136" t="n">
        <v>0.901187214611872</v>
      </c>
      <c r="F52" s="136" t="n">
        <v>0.0481278538812785</v>
      </c>
      <c r="G52" s="136" t="n">
        <v>0</v>
      </c>
    </row>
    <row r="53" customFormat="false" ht="12" hidden="false" customHeight="false" outlineLevel="0" collapsed="false">
      <c r="A53" s="80" t="s">
        <v>40</v>
      </c>
      <c r="B53" s="134" t="n">
        <v>29.942</v>
      </c>
      <c r="C53" s="135" t="n">
        <v>3.3397902611716E-005</v>
      </c>
      <c r="D53" s="136" t="n">
        <v>0.254325028388217</v>
      </c>
      <c r="E53" s="136" t="n">
        <v>0.66348273328435</v>
      </c>
      <c r="F53" s="136" t="n">
        <v>0.0821588404248213</v>
      </c>
      <c r="G53" s="136" t="n">
        <v>0</v>
      </c>
    </row>
    <row r="54" customFormat="false" ht="12" hidden="false" customHeight="false" outlineLevel="0" collapsed="false">
      <c r="A54" s="80" t="s">
        <v>41</v>
      </c>
      <c r="B54" s="134" t="n">
        <v>6.382</v>
      </c>
      <c r="C54" s="135" t="n">
        <v>0</v>
      </c>
      <c r="D54" s="136" t="n">
        <v>0</v>
      </c>
      <c r="E54" s="136" t="n">
        <v>0.800376057662175</v>
      </c>
      <c r="F54" s="136" t="n">
        <v>0.199623942337825</v>
      </c>
      <c r="G54" s="136" t="n">
        <v>0</v>
      </c>
    </row>
    <row r="55" customFormat="false" ht="12" hidden="false" customHeight="false" outlineLevel="0" collapsed="false">
      <c r="A55" s="80" t="s">
        <v>113</v>
      </c>
      <c r="B55" s="134" t="n">
        <v>86.508</v>
      </c>
      <c r="C55" s="135" t="n">
        <v>0.0554399593101216</v>
      </c>
      <c r="D55" s="136" t="n">
        <v>0.0321241966060942</v>
      </c>
      <c r="E55" s="136" t="n">
        <v>0.782748416331438</v>
      </c>
      <c r="F55" s="136" t="n">
        <v>0.0763050816109493</v>
      </c>
      <c r="G55" s="136" t="n">
        <v>0.0533823461413973</v>
      </c>
    </row>
    <row r="56" customFormat="false" ht="12" hidden="false" customHeight="false" outlineLevel="0" collapsed="false">
      <c r="A56" s="80" t="s">
        <v>43</v>
      </c>
      <c r="B56" s="134" t="n">
        <v>0</v>
      </c>
      <c r="C56" s="135" t="s">
        <v>136</v>
      </c>
      <c r="D56" s="136" t="s">
        <v>136</v>
      </c>
      <c r="E56" s="136" t="s">
        <v>136</v>
      </c>
      <c r="F56" s="136" t="s">
        <v>136</v>
      </c>
      <c r="G56" s="136" t="s">
        <v>136</v>
      </c>
    </row>
    <row r="57" customFormat="false" ht="12" hidden="false" customHeight="false" outlineLevel="0" collapsed="false">
      <c r="A57" s="80" t="s">
        <v>72</v>
      </c>
      <c r="B57" s="134" t="n">
        <v>652.859</v>
      </c>
      <c r="C57" s="135" t="n">
        <v>0.131794154633696</v>
      </c>
      <c r="D57" s="136" t="n">
        <v>0.00340349141238767</v>
      </c>
      <c r="E57" s="136" t="n">
        <v>0.711622264531851</v>
      </c>
      <c r="F57" s="136" t="n">
        <v>0.0368716675423024</v>
      </c>
      <c r="G57" s="136" t="n">
        <v>0.116308421879763</v>
      </c>
    </row>
    <row r="58" customFormat="false" ht="12" hidden="false" customHeight="false" outlineLevel="0" collapsed="false">
      <c r="A58" s="80" t="s">
        <v>45</v>
      </c>
      <c r="B58" s="134" t="n">
        <v>159.408</v>
      </c>
      <c r="C58" s="135" t="n">
        <v>0.0514340560072267</v>
      </c>
      <c r="D58" s="136" t="n">
        <v>0.0340008029709927</v>
      </c>
      <c r="E58" s="136" t="n">
        <v>0.438328063836194</v>
      </c>
      <c r="F58" s="136" t="n">
        <v>0.322380307136405</v>
      </c>
      <c r="G58" s="136" t="n">
        <v>0.153856770049182</v>
      </c>
    </row>
    <row r="59" customFormat="false" ht="12" hidden="false" customHeight="false" outlineLevel="0" collapsed="false">
      <c r="A59" s="80" t="s">
        <v>46</v>
      </c>
      <c r="B59" s="134" t="n">
        <v>429.745</v>
      </c>
      <c r="C59" s="135" t="n">
        <v>0.745393198292011</v>
      </c>
      <c r="D59" s="136" t="n">
        <v>0.0897183213300911</v>
      </c>
      <c r="E59" s="136" t="n">
        <v>0.0698530523915345</v>
      </c>
      <c r="F59" s="136" t="n">
        <v>0.06988562985026</v>
      </c>
      <c r="G59" s="136" t="n">
        <v>0.025149798136104</v>
      </c>
    </row>
    <row r="60" customFormat="false" ht="12" hidden="false" customHeight="false" outlineLevel="0" collapsed="false">
      <c r="A60" s="80" t="s">
        <v>98</v>
      </c>
      <c r="B60" s="134" t="n">
        <v>106.069</v>
      </c>
      <c r="C60" s="135" t="n">
        <v>0</v>
      </c>
      <c r="D60" s="136" t="n">
        <v>0.24297391320744</v>
      </c>
      <c r="E60" s="136" t="n">
        <v>0.320498920514005</v>
      </c>
      <c r="F60" s="136" t="n">
        <v>0.396015801035175</v>
      </c>
      <c r="G60" s="136" t="n">
        <v>0.0405113652433793</v>
      </c>
    </row>
    <row r="61" customFormat="false" ht="12" hidden="false" customHeight="false" outlineLevel="0" collapsed="false">
      <c r="A61" s="80" t="s">
        <v>48</v>
      </c>
      <c r="B61" s="134" t="n">
        <v>112.407</v>
      </c>
      <c r="C61" s="135" t="n">
        <v>0.398231426868433</v>
      </c>
      <c r="D61" s="136" t="n">
        <v>0.0887845063029882</v>
      </c>
      <c r="E61" s="136" t="n">
        <v>0.496979725461937</v>
      </c>
      <c r="F61" s="136" t="n">
        <v>0.00519540598005462</v>
      </c>
      <c r="G61" s="136" t="n">
        <v>0.0108089353865862</v>
      </c>
    </row>
    <row r="62" customFormat="false" ht="12" hidden="false" customHeight="false" outlineLevel="0" collapsed="false">
      <c r="A62" s="80" t="s">
        <v>99</v>
      </c>
      <c r="B62" s="134" t="n">
        <v>19.852</v>
      </c>
      <c r="C62" s="135" t="n">
        <v>0.566290550070522</v>
      </c>
      <c r="D62" s="136" t="n">
        <v>0.0177312109611122</v>
      </c>
      <c r="E62" s="136" t="n">
        <v>0.274380415071529</v>
      </c>
      <c r="F62" s="136" t="n">
        <v>0.135553092887367</v>
      </c>
      <c r="G62" s="136" t="n">
        <v>0.00604473100947008</v>
      </c>
    </row>
    <row r="63" customFormat="false" ht="12" hidden="false" customHeight="false" outlineLevel="0" collapsed="false">
      <c r="A63" s="80" t="s">
        <v>50</v>
      </c>
      <c r="B63" s="104" t="n">
        <v>95.496</v>
      </c>
      <c r="C63" s="166" t="n">
        <v>0.449652341459328</v>
      </c>
      <c r="D63" s="167" t="n">
        <v>0.0426614727318422</v>
      </c>
      <c r="E63" s="167" t="n">
        <v>0.161566976627293</v>
      </c>
      <c r="F63" s="167" t="n">
        <v>0.055635838150289</v>
      </c>
      <c r="G63" s="167" t="n">
        <v>0.290483371031247</v>
      </c>
    </row>
    <row r="64" customFormat="false" ht="12" hidden="false" customHeight="false" outlineLevel="0" collapsed="false">
      <c r="A64" s="80" t="s">
        <v>75</v>
      </c>
      <c r="B64" s="134" t="n">
        <v>437.092</v>
      </c>
      <c r="C64" s="135" t="n">
        <v>0.293125932298006</v>
      </c>
      <c r="D64" s="136" t="n">
        <v>0.0201948331243766</v>
      </c>
      <c r="E64" s="136" t="n">
        <v>0.21928106668619</v>
      </c>
      <c r="F64" s="136" t="n">
        <v>0.426027014907617</v>
      </c>
      <c r="G64" s="136" t="n">
        <v>0.0413711529838112</v>
      </c>
    </row>
    <row r="65" customFormat="false" ht="12" hidden="false" customHeight="false" outlineLevel="0" collapsed="false">
      <c r="A65" s="108" t="s">
        <v>76</v>
      </c>
      <c r="B65" s="168" t="n">
        <v>252.6</v>
      </c>
      <c r="C65" s="169" t="n">
        <v>0.0606967537608868</v>
      </c>
      <c r="D65" s="170" t="n">
        <v>0.048507521773555</v>
      </c>
      <c r="E65" s="170" t="n">
        <v>0.0591409342834521</v>
      </c>
      <c r="F65" s="170" t="n">
        <v>0.748867775138559</v>
      </c>
      <c r="G65" s="170" t="n">
        <v>0.0827870150435471</v>
      </c>
    </row>
    <row r="66" customFormat="false" ht="12" hidden="false" customHeight="false" outlineLevel="0" collapsed="false">
      <c r="A66" s="108" t="s">
        <v>77</v>
      </c>
      <c r="B66" s="168" t="n">
        <v>302.638</v>
      </c>
      <c r="C66" s="169" t="n">
        <v>0.0396678540037933</v>
      </c>
      <c r="D66" s="170" t="n">
        <v>0.0224492628156411</v>
      </c>
      <c r="E66" s="170" t="n">
        <v>0.69599984139467</v>
      </c>
      <c r="F66" s="170" t="n">
        <v>0.036499051672295</v>
      </c>
      <c r="G66" s="170" t="n">
        <v>0.205383990113601</v>
      </c>
    </row>
    <row r="67" customFormat="false" ht="12" hidden="false" customHeight="false" outlineLevel="0" collapsed="false">
      <c r="A67" s="274" t="s">
        <v>115</v>
      </c>
      <c r="B67" s="275" t="n">
        <v>4.773</v>
      </c>
      <c r="C67" s="276" t="n">
        <v>0.156714854389273</v>
      </c>
      <c r="D67" s="277" t="n">
        <v>0</v>
      </c>
      <c r="E67" s="277" t="n">
        <v>0.00356170123611984</v>
      </c>
      <c r="F67" s="277" t="n">
        <v>0.419861722187304</v>
      </c>
      <c r="G67" s="277" t="n">
        <v>0.419861722187304</v>
      </c>
    </row>
    <row r="68" customFormat="false" ht="12" hidden="false" customHeight="false" outlineLevel="0" collapsed="false">
      <c r="A68" s="220" t="s">
        <v>130</v>
      </c>
      <c r="B68" s="174" t="n">
        <v>155.857</v>
      </c>
      <c r="C68" s="175" t="n">
        <v>0.114617886909154</v>
      </c>
      <c r="D68" s="176" t="n">
        <v>0.119224673899793</v>
      </c>
      <c r="E68" s="176" t="n">
        <v>0.682779727570786</v>
      </c>
      <c r="F68" s="176" t="n">
        <v>0.010022007352894</v>
      </c>
      <c r="G68" s="176" t="n">
        <v>0.0733557042673733</v>
      </c>
    </row>
    <row r="71" customFormat="false" ht="12" hidden="false" customHeight="false" outlineLevel="0" collapsed="false">
      <c r="A71" s="2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3:43 A1"/>
    </sheetView>
  </sheetViews>
  <sheetFormatPr defaultColWidth="9.1484375" defaultRowHeight="12" zeroHeight="false" outlineLevelRow="0" outlineLevelCol="0"/>
  <cols>
    <col collapsed="false" customWidth="true" hidden="false" outlineLevel="0" max="1" min="1" style="19" width="21.71"/>
    <col collapsed="false" customWidth="true" hidden="false" outlineLevel="0" max="2" min="2" style="15" width="10.71"/>
    <col collapsed="false" customWidth="true" hidden="false" outlineLevel="0" max="5" min="3" style="16" width="10.71"/>
    <col collapsed="false" customWidth="true" hidden="false" outlineLevel="0" max="7" min="6" style="19" width="10.71"/>
    <col collapsed="false" customWidth="true" hidden="false" outlineLevel="0" max="9" min="8" style="16" width="10.71"/>
    <col collapsed="false" customWidth="false" hidden="false" outlineLevel="0" max="255" min="10" style="19" width="9.14"/>
    <col collapsed="false" customWidth="true" hidden="false" outlineLevel="0" max="256" min="256" style="19" width="21.71"/>
    <col collapsed="false" customWidth="true" hidden="false" outlineLevel="0" max="257" min="257" style="19" width="9.71"/>
    <col collapsed="false" customWidth="false" hidden="false" outlineLevel="0" max="260" min="258" style="19" width="9.14"/>
    <col collapsed="false" customWidth="true" hidden="false" outlineLevel="0" max="261" min="261" style="19" width="10.71"/>
    <col collapsed="false" customWidth="true" hidden="false" outlineLevel="0" max="262" min="262" style="19" width="9.57"/>
    <col collapsed="false" customWidth="false" hidden="false" outlineLevel="0" max="511" min="263" style="19" width="9.14"/>
    <col collapsed="false" customWidth="true" hidden="false" outlineLevel="0" max="512" min="512" style="19" width="21.71"/>
    <col collapsed="false" customWidth="true" hidden="false" outlineLevel="0" max="513" min="513" style="19" width="9.71"/>
    <col collapsed="false" customWidth="false" hidden="false" outlineLevel="0" max="516" min="514" style="19" width="9.14"/>
    <col collapsed="false" customWidth="true" hidden="false" outlineLevel="0" max="517" min="517" style="19" width="10.71"/>
    <col collapsed="false" customWidth="true" hidden="false" outlineLevel="0" max="518" min="518" style="19" width="9.57"/>
    <col collapsed="false" customWidth="false" hidden="false" outlineLevel="0" max="767" min="519" style="19" width="9.14"/>
    <col collapsed="false" customWidth="true" hidden="false" outlineLevel="0" max="768" min="768" style="19" width="21.71"/>
    <col collapsed="false" customWidth="true" hidden="false" outlineLevel="0" max="769" min="769" style="19" width="9.71"/>
    <col collapsed="false" customWidth="false" hidden="false" outlineLevel="0" max="772" min="770" style="19" width="9.14"/>
    <col collapsed="false" customWidth="true" hidden="false" outlineLevel="0" max="773" min="773" style="19" width="10.71"/>
    <col collapsed="false" customWidth="true" hidden="false" outlineLevel="0" max="774" min="774" style="19" width="9.57"/>
    <col collapsed="false" customWidth="false" hidden="false" outlineLevel="0" max="1023" min="775" style="19" width="9.14"/>
    <col collapsed="false" customWidth="true" hidden="false" outlineLevel="0" max="1024" min="1024" style="19" width="21.71"/>
    <col collapsed="false" customWidth="true" hidden="false" outlineLevel="0" max="1025" min="1025" style="19" width="9.71"/>
    <col collapsed="false" customWidth="false" hidden="false" outlineLevel="0" max="1028" min="1026" style="19" width="9.14"/>
    <col collapsed="false" customWidth="true" hidden="false" outlineLevel="0" max="1029" min="1029" style="19" width="10.71"/>
    <col collapsed="false" customWidth="true" hidden="false" outlineLevel="0" max="1030" min="1030" style="19" width="9.57"/>
    <col collapsed="false" customWidth="false" hidden="false" outlineLevel="0" max="1279" min="1031" style="19" width="9.14"/>
    <col collapsed="false" customWidth="true" hidden="false" outlineLevel="0" max="1280" min="1280" style="19" width="21.71"/>
    <col collapsed="false" customWidth="true" hidden="false" outlineLevel="0" max="1281" min="1281" style="19" width="9.71"/>
    <col collapsed="false" customWidth="false" hidden="false" outlineLevel="0" max="1284" min="1282" style="19" width="9.14"/>
    <col collapsed="false" customWidth="true" hidden="false" outlineLevel="0" max="1285" min="1285" style="19" width="10.71"/>
    <col collapsed="false" customWidth="true" hidden="false" outlineLevel="0" max="1286" min="1286" style="19" width="9.57"/>
    <col collapsed="false" customWidth="false" hidden="false" outlineLevel="0" max="1535" min="1287" style="19" width="9.14"/>
    <col collapsed="false" customWidth="true" hidden="false" outlineLevel="0" max="1536" min="1536" style="19" width="21.71"/>
    <col collapsed="false" customWidth="true" hidden="false" outlineLevel="0" max="1537" min="1537" style="19" width="9.71"/>
    <col collapsed="false" customWidth="false" hidden="false" outlineLevel="0" max="1540" min="1538" style="19" width="9.14"/>
    <col collapsed="false" customWidth="true" hidden="false" outlineLevel="0" max="1541" min="1541" style="19" width="10.71"/>
    <col collapsed="false" customWidth="true" hidden="false" outlineLevel="0" max="1542" min="1542" style="19" width="9.57"/>
    <col collapsed="false" customWidth="false" hidden="false" outlineLevel="0" max="1791" min="1543" style="19" width="9.14"/>
    <col collapsed="false" customWidth="true" hidden="false" outlineLevel="0" max="1792" min="1792" style="19" width="21.71"/>
    <col collapsed="false" customWidth="true" hidden="false" outlineLevel="0" max="1793" min="1793" style="19" width="9.71"/>
    <col collapsed="false" customWidth="false" hidden="false" outlineLevel="0" max="1796" min="1794" style="19" width="9.14"/>
    <col collapsed="false" customWidth="true" hidden="false" outlineLevel="0" max="1797" min="1797" style="19" width="10.71"/>
    <col collapsed="false" customWidth="true" hidden="false" outlineLevel="0" max="1798" min="1798" style="19" width="9.57"/>
    <col collapsed="false" customWidth="false" hidden="false" outlineLevel="0" max="2047" min="1799" style="19" width="9.14"/>
    <col collapsed="false" customWidth="true" hidden="false" outlineLevel="0" max="2048" min="2048" style="19" width="21.71"/>
    <col collapsed="false" customWidth="true" hidden="false" outlineLevel="0" max="2049" min="2049" style="19" width="9.71"/>
    <col collapsed="false" customWidth="false" hidden="false" outlineLevel="0" max="2052" min="2050" style="19" width="9.14"/>
    <col collapsed="false" customWidth="true" hidden="false" outlineLevel="0" max="2053" min="2053" style="19" width="10.71"/>
    <col collapsed="false" customWidth="true" hidden="false" outlineLevel="0" max="2054" min="2054" style="19" width="9.57"/>
    <col collapsed="false" customWidth="false" hidden="false" outlineLevel="0" max="2303" min="2055" style="19" width="9.14"/>
    <col collapsed="false" customWidth="true" hidden="false" outlineLevel="0" max="2304" min="2304" style="19" width="21.71"/>
    <col collapsed="false" customWidth="true" hidden="false" outlineLevel="0" max="2305" min="2305" style="19" width="9.71"/>
    <col collapsed="false" customWidth="false" hidden="false" outlineLevel="0" max="2308" min="2306" style="19" width="9.14"/>
    <col collapsed="false" customWidth="true" hidden="false" outlineLevel="0" max="2309" min="2309" style="19" width="10.71"/>
    <col collapsed="false" customWidth="true" hidden="false" outlineLevel="0" max="2310" min="2310" style="19" width="9.57"/>
    <col collapsed="false" customWidth="false" hidden="false" outlineLevel="0" max="2559" min="2311" style="19" width="9.14"/>
    <col collapsed="false" customWidth="true" hidden="false" outlineLevel="0" max="2560" min="2560" style="19" width="21.71"/>
    <col collapsed="false" customWidth="true" hidden="false" outlineLevel="0" max="2561" min="2561" style="19" width="9.71"/>
    <col collapsed="false" customWidth="false" hidden="false" outlineLevel="0" max="2564" min="2562" style="19" width="9.14"/>
    <col collapsed="false" customWidth="true" hidden="false" outlineLevel="0" max="2565" min="2565" style="19" width="10.71"/>
    <col collapsed="false" customWidth="true" hidden="false" outlineLevel="0" max="2566" min="2566" style="19" width="9.57"/>
    <col collapsed="false" customWidth="false" hidden="false" outlineLevel="0" max="2815" min="2567" style="19" width="9.14"/>
    <col collapsed="false" customWidth="true" hidden="false" outlineLevel="0" max="2816" min="2816" style="19" width="21.71"/>
    <col collapsed="false" customWidth="true" hidden="false" outlineLevel="0" max="2817" min="2817" style="19" width="9.71"/>
    <col collapsed="false" customWidth="false" hidden="false" outlineLevel="0" max="2820" min="2818" style="19" width="9.14"/>
    <col collapsed="false" customWidth="true" hidden="false" outlineLevel="0" max="2821" min="2821" style="19" width="10.71"/>
    <col collapsed="false" customWidth="true" hidden="false" outlineLevel="0" max="2822" min="2822" style="19" width="9.57"/>
    <col collapsed="false" customWidth="false" hidden="false" outlineLevel="0" max="3071" min="2823" style="19" width="9.14"/>
    <col collapsed="false" customWidth="true" hidden="false" outlineLevel="0" max="3072" min="3072" style="19" width="21.71"/>
    <col collapsed="false" customWidth="true" hidden="false" outlineLevel="0" max="3073" min="3073" style="19" width="9.71"/>
    <col collapsed="false" customWidth="false" hidden="false" outlineLevel="0" max="3076" min="3074" style="19" width="9.14"/>
    <col collapsed="false" customWidth="true" hidden="false" outlineLevel="0" max="3077" min="3077" style="19" width="10.71"/>
    <col collapsed="false" customWidth="true" hidden="false" outlineLevel="0" max="3078" min="3078" style="19" width="9.57"/>
    <col collapsed="false" customWidth="false" hidden="false" outlineLevel="0" max="3327" min="3079" style="19" width="9.14"/>
    <col collapsed="false" customWidth="true" hidden="false" outlineLevel="0" max="3328" min="3328" style="19" width="21.71"/>
    <col collapsed="false" customWidth="true" hidden="false" outlineLevel="0" max="3329" min="3329" style="19" width="9.71"/>
    <col collapsed="false" customWidth="false" hidden="false" outlineLevel="0" max="3332" min="3330" style="19" width="9.14"/>
    <col collapsed="false" customWidth="true" hidden="false" outlineLevel="0" max="3333" min="3333" style="19" width="10.71"/>
    <col collapsed="false" customWidth="true" hidden="false" outlineLevel="0" max="3334" min="3334" style="19" width="9.57"/>
    <col collapsed="false" customWidth="false" hidden="false" outlineLevel="0" max="3583" min="3335" style="19" width="9.14"/>
    <col collapsed="false" customWidth="true" hidden="false" outlineLevel="0" max="3584" min="3584" style="19" width="21.71"/>
    <col collapsed="false" customWidth="true" hidden="false" outlineLevel="0" max="3585" min="3585" style="19" width="9.71"/>
    <col collapsed="false" customWidth="false" hidden="false" outlineLevel="0" max="3588" min="3586" style="19" width="9.14"/>
    <col collapsed="false" customWidth="true" hidden="false" outlineLevel="0" max="3589" min="3589" style="19" width="10.71"/>
    <col collapsed="false" customWidth="true" hidden="false" outlineLevel="0" max="3590" min="3590" style="19" width="9.57"/>
    <col collapsed="false" customWidth="false" hidden="false" outlineLevel="0" max="3839" min="3591" style="19" width="9.14"/>
    <col collapsed="false" customWidth="true" hidden="false" outlineLevel="0" max="3840" min="3840" style="19" width="21.71"/>
    <col collapsed="false" customWidth="true" hidden="false" outlineLevel="0" max="3841" min="3841" style="19" width="9.71"/>
    <col collapsed="false" customWidth="false" hidden="false" outlineLevel="0" max="3844" min="3842" style="19" width="9.14"/>
    <col collapsed="false" customWidth="true" hidden="false" outlineLevel="0" max="3845" min="3845" style="19" width="10.71"/>
    <col collapsed="false" customWidth="true" hidden="false" outlineLevel="0" max="3846" min="3846" style="19" width="9.57"/>
    <col collapsed="false" customWidth="false" hidden="false" outlineLevel="0" max="4095" min="3847" style="19" width="9.14"/>
    <col collapsed="false" customWidth="true" hidden="false" outlineLevel="0" max="4096" min="4096" style="19" width="21.71"/>
    <col collapsed="false" customWidth="true" hidden="false" outlineLevel="0" max="4097" min="4097" style="19" width="9.71"/>
    <col collapsed="false" customWidth="false" hidden="false" outlineLevel="0" max="4100" min="4098" style="19" width="9.14"/>
    <col collapsed="false" customWidth="true" hidden="false" outlineLevel="0" max="4101" min="4101" style="19" width="10.71"/>
    <col collapsed="false" customWidth="true" hidden="false" outlineLevel="0" max="4102" min="4102" style="19" width="9.57"/>
    <col collapsed="false" customWidth="false" hidden="false" outlineLevel="0" max="4351" min="4103" style="19" width="9.14"/>
    <col collapsed="false" customWidth="true" hidden="false" outlineLevel="0" max="4352" min="4352" style="19" width="21.71"/>
    <col collapsed="false" customWidth="true" hidden="false" outlineLevel="0" max="4353" min="4353" style="19" width="9.71"/>
    <col collapsed="false" customWidth="false" hidden="false" outlineLevel="0" max="4356" min="4354" style="19" width="9.14"/>
    <col collapsed="false" customWidth="true" hidden="false" outlineLevel="0" max="4357" min="4357" style="19" width="10.71"/>
    <col collapsed="false" customWidth="true" hidden="false" outlineLevel="0" max="4358" min="4358" style="19" width="9.57"/>
    <col collapsed="false" customWidth="false" hidden="false" outlineLevel="0" max="4607" min="4359" style="19" width="9.14"/>
    <col collapsed="false" customWidth="true" hidden="false" outlineLevel="0" max="4608" min="4608" style="19" width="21.71"/>
    <col collapsed="false" customWidth="true" hidden="false" outlineLevel="0" max="4609" min="4609" style="19" width="9.71"/>
    <col collapsed="false" customWidth="false" hidden="false" outlineLevel="0" max="4612" min="4610" style="19" width="9.14"/>
    <col collapsed="false" customWidth="true" hidden="false" outlineLevel="0" max="4613" min="4613" style="19" width="10.71"/>
    <col collapsed="false" customWidth="true" hidden="false" outlineLevel="0" max="4614" min="4614" style="19" width="9.57"/>
    <col collapsed="false" customWidth="false" hidden="false" outlineLevel="0" max="4863" min="4615" style="19" width="9.14"/>
    <col collapsed="false" customWidth="true" hidden="false" outlineLevel="0" max="4864" min="4864" style="19" width="21.71"/>
    <col collapsed="false" customWidth="true" hidden="false" outlineLevel="0" max="4865" min="4865" style="19" width="9.71"/>
    <col collapsed="false" customWidth="false" hidden="false" outlineLevel="0" max="4868" min="4866" style="19" width="9.14"/>
    <col collapsed="false" customWidth="true" hidden="false" outlineLevel="0" max="4869" min="4869" style="19" width="10.71"/>
    <col collapsed="false" customWidth="true" hidden="false" outlineLevel="0" max="4870" min="4870" style="19" width="9.57"/>
    <col collapsed="false" customWidth="false" hidden="false" outlineLevel="0" max="5119" min="4871" style="19" width="9.14"/>
    <col collapsed="false" customWidth="true" hidden="false" outlineLevel="0" max="5120" min="5120" style="19" width="21.71"/>
    <col collapsed="false" customWidth="true" hidden="false" outlineLevel="0" max="5121" min="5121" style="19" width="9.71"/>
    <col collapsed="false" customWidth="false" hidden="false" outlineLevel="0" max="5124" min="5122" style="19" width="9.14"/>
    <col collapsed="false" customWidth="true" hidden="false" outlineLevel="0" max="5125" min="5125" style="19" width="10.71"/>
    <col collapsed="false" customWidth="true" hidden="false" outlineLevel="0" max="5126" min="5126" style="19" width="9.57"/>
    <col collapsed="false" customWidth="false" hidden="false" outlineLevel="0" max="5375" min="5127" style="19" width="9.14"/>
    <col collapsed="false" customWidth="true" hidden="false" outlineLevel="0" max="5376" min="5376" style="19" width="21.71"/>
    <col collapsed="false" customWidth="true" hidden="false" outlineLevel="0" max="5377" min="5377" style="19" width="9.71"/>
    <col collapsed="false" customWidth="false" hidden="false" outlineLevel="0" max="5380" min="5378" style="19" width="9.14"/>
    <col collapsed="false" customWidth="true" hidden="false" outlineLevel="0" max="5381" min="5381" style="19" width="10.71"/>
    <col collapsed="false" customWidth="true" hidden="false" outlineLevel="0" max="5382" min="5382" style="19" width="9.57"/>
    <col collapsed="false" customWidth="false" hidden="false" outlineLevel="0" max="5631" min="5383" style="19" width="9.14"/>
    <col collapsed="false" customWidth="true" hidden="false" outlineLevel="0" max="5632" min="5632" style="19" width="21.71"/>
    <col collapsed="false" customWidth="true" hidden="false" outlineLevel="0" max="5633" min="5633" style="19" width="9.71"/>
    <col collapsed="false" customWidth="false" hidden="false" outlineLevel="0" max="5636" min="5634" style="19" width="9.14"/>
    <col collapsed="false" customWidth="true" hidden="false" outlineLevel="0" max="5637" min="5637" style="19" width="10.71"/>
    <col collapsed="false" customWidth="true" hidden="false" outlineLevel="0" max="5638" min="5638" style="19" width="9.57"/>
    <col collapsed="false" customWidth="false" hidden="false" outlineLevel="0" max="5887" min="5639" style="19" width="9.14"/>
    <col collapsed="false" customWidth="true" hidden="false" outlineLevel="0" max="5888" min="5888" style="19" width="21.71"/>
    <col collapsed="false" customWidth="true" hidden="false" outlineLevel="0" max="5889" min="5889" style="19" width="9.71"/>
    <col collapsed="false" customWidth="false" hidden="false" outlineLevel="0" max="5892" min="5890" style="19" width="9.14"/>
    <col collapsed="false" customWidth="true" hidden="false" outlineLevel="0" max="5893" min="5893" style="19" width="10.71"/>
    <col collapsed="false" customWidth="true" hidden="false" outlineLevel="0" max="5894" min="5894" style="19" width="9.57"/>
    <col collapsed="false" customWidth="false" hidden="false" outlineLevel="0" max="6143" min="5895" style="19" width="9.14"/>
    <col collapsed="false" customWidth="true" hidden="false" outlineLevel="0" max="6144" min="6144" style="19" width="21.71"/>
    <col collapsed="false" customWidth="true" hidden="false" outlineLevel="0" max="6145" min="6145" style="19" width="9.71"/>
    <col collapsed="false" customWidth="false" hidden="false" outlineLevel="0" max="6148" min="6146" style="19" width="9.14"/>
    <col collapsed="false" customWidth="true" hidden="false" outlineLevel="0" max="6149" min="6149" style="19" width="10.71"/>
    <col collapsed="false" customWidth="true" hidden="false" outlineLevel="0" max="6150" min="6150" style="19" width="9.57"/>
    <col collapsed="false" customWidth="false" hidden="false" outlineLevel="0" max="6399" min="6151" style="19" width="9.14"/>
    <col collapsed="false" customWidth="true" hidden="false" outlineLevel="0" max="6400" min="6400" style="19" width="21.71"/>
    <col collapsed="false" customWidth="true" hidden="false" outlineLevel="0" max="6401" min="6401" style="19" width="9.71"/>
    <col collapsed="false" customWidth="false" hidden="false" outlineLevel="0" max="6404" min="6402" style="19" width="9.14"/>
    <col collapsed="false" customWidth="true" hidden="false" outlineLevel="0" max="6405" min="6405" style="19" width="10.71"/>
    <col collapsed="false" customWidth="true" hidden="false" outlineLevel="0" max="6406" min="6406" style="19" width="9.57"/>
    <col collapsed="false" customWidth="false" hidden="false" outlineLevel="0" max="6655" min="6407" style="19" width="9.14"/>
    <col collapsed="false" customWidth="true" hidden="false" outlineLevel="0" max="6656" min="6656" style="19" width="21.71"/>
    <col collapsed="false" customWidth="true" hidden="false" outlineLevel="0" max="6657" min="6657" style="19" width="9.71"/>
    <col collapsed="false" customWidth="false" hidden="false" outlineLevel="0" max="6660" min="6658" style="19" width="9.14"/>
    <col collapsed="false" customWidth="true" hidden="false" outlineLevel="0" max="6661" min="6661" style="19" width="10.71"/>
    <col collapsed="false" customWidth="true" hidden="false" outlineLevel="0" max="6662" min="6662" style="19" width="9.57"/>
    <col collapsed="false" customWidth="false" hidden="false" outlineLevel="0" max="6911" min="6663" style="19" width="9.14"/>
    <col collapsed="false" customWidth="true" hidden="false" outlineLevel="0" max="6912" min="6912" style="19" width="21.71"/>
    <col collapsed="false" customWidth="true" hidden="false" outlineLevel="0" max="6913" min="6913" style="19" width="9.71"/>
    <col collapsed="false" customWidth="false" hidden="false" outlineLevel="0" max="6916" min="6914" style="19" width="9.14"/>
    <col collapsed="false" customWidth="true" hidden="false" outlineLevel="0" max="6917" min="6917" style="19" width="10.71"/>
    <col collapsed="false" customWidth="true" hidden="false" outlineLevel="0" max="6918" min="6918" style="19" width="9.57"/>
    <col collapsed="false" customWidth="false" hidden="false" outlineLevel="0" max="7167" min="6919" style="19" width="9.14"/>
    <col collapsed="false" customWidth="true" hidden="false" outlineLevel="0" max="7168" min="7168" style="19" width="21.71"/>
    <col collapsed="false" customWidth="true" hidden="false" outlineLevel="0" max="7169" min="7169" style="19" width="9.71"/>
    <col collapsed="false" customWidth="false" hidden="false" outlineLevel="0" max="7172" min="7170" style="19" width="9.14"/>
    <col collapsed="false" customWidth="true" hidden="false" outlineLevel="0" max="7173" min="7173" style="19" width="10.71"/>
    <col collapsed="false" customWidth="true" hidden="false" outlineLevel="0" max="7174" min="7174" style="19" width="9.57"/>
    <col collapsed="false" customWidth="false" hidden="false" outlineLevel="0" max="7423" min="7175" style="19" width="9.14"/>
    <col collapsed="false" customWidth="true" hidden="false" outlineLevel="0" max="7424" min="7424" style="19" width="21.71"/>
    <col collapsed="false" customWidth="true" hidden="false" outlineLevel="0" max="7425" min="7425" style="19" width="9.71"/>
    <col collapsed="false" customWidth="false" hidden="false" outlineLevel="0" max="7428" min="7426" style="19" width="9.14"/>
    <col collapsed="false" customWidth="true" hidden="false" outlineLevel="0" max="7429" min="7429" style="19" width="10.71"/>
    <col collapsed="false" customWidth="true" hidden="false" outlineLevel="0" max="7430" min="7430" style="19" width="9.57"/>
    <col collapsed="false" customWidth="false" hidden="false" outlineLevel="0" max="7679" min="7431" style="19" width="9.14"/>
    <col collapsed="false" customWidth="true" hidden="false" outlineLevel="0" max="7680" min="7680" style="19" width="21.71"/>
    <col collapsed="false" customWidth="true" hidden="false" outlineLevel="0" max="7681" min="7681" style="19" width="9.71"/>
    <col collapsed="false" customWidth="false" hidden="false" outlineLevel="0" max="7684" min="7682" style="19" width="9.14"/>
    <col collapsed="false" customWidth="true" hidden="false" outlineLevel="0" max="7685" min="7685" style="19" width="10.71"/>
    <col collapsed="false" customWidth="true" hidden="false" outlineLevel="0" max="7686" min="7686" style="19" width="9.57"/>
    <col collapsed="false" customWidth="false" hidden="false" outlineLevel="0" max="7935" min="7687" style="19" width="9.14"/>
    <col collapsed="false" customWidth="true" hidden="false" outlineLevel="0" max="7936" min="7936" style="19" width="21.71"/>
    <col collapsed="false" customWidth="true" hidden="false" outlineLevel="0" max="7937" min="7937" style="19" width="9.71"/>
    <col collapsed="false" customWidth="false" hidden="false" outlineLevel="0" max="7940" min="7938" style="19" width="9.14"/>
    <col collapsed="false" customWidth="true" hidden="false" outlineLevel="0" max="7941" min="7941" style="19" width="10.71"/>
    <col collapsed="false" customWidth="true" hidden="false" outlineLevel="0" max="7942" min="7942" style="19" width="9.57"/>
    <col collapsed="false" customWidth="false" hidden="false" outlineLevel="0" max="8191" min="7943" style="19" width="9.14"/>
    <col collapsed="false" customWidth="true" hidden="false" outlineLevel="0" max="8192" min="8192" style="19" width="21.71"/>
    <col collapsed="false" customWidth="true" hidden="false" outlineLevel="0" max="8193" min="8193" style="19" width="9.71"/>
    <col collapsed="false" customWidth="false" hidden="false" outlineLevel="0" max="8196" min="8194" style="19" width="9.14"/>
    <col collapsed="false" customWidth="true" hidden="false" outlineLevel="0" max="8197" min="8197" style="19" width="10.71"/>
    <col collapsed="false" customWidth="true" hidden="false" outlineLevel="0" max="8198" min="8198" style="19" width="9.57"/>
    <col collapsed="false" customWidth="false" hidden="false" outlineLevel="0" max="8447" min="8199" style="19" width="9.14"/>
    <col collapsed="false" customWidth="true" hidden="false" outlineLevel="0" max="8448" min="8448" style="19" width="21.71"/>
    <col collapsed="false" customWidth="true" hidden="false" outlineLevel="0" max="8449" min="8449" style="19" width="9.71"/>
    <col collapsed="false" customWidth="false" hidden="false" outlineLevel="0" max="8452" min="8450" style="19" width="9.14"/>
    <col collapsed="false" customWidth="true" hidden="false" outlineLevel="0" max="8453" min="8453" style="19" width="10.71"/>
    <col collapsed="false" customWidth="true" hidden="false" outlineLevel="0" max="8454" min="8454" style="19" width="9.57"/>
    <col collapsed="false" customWidth="false" hidden="false" outlineLevel="0" max="8703" min="8455" style="19" width="9.14"/>
    <col collapsed="false" customWidth="true" hidden="false" outlineLevel="0" max="8704" min="8704" style="19" width="21.71"/>
    <col collapsed="false" customWidth="true" hidden="false" outlineLevel="0" max="8705" min="8705" style="19" width="9.71"/>
    <col collapsed="false" customWidth="false" hidden="false" outlineLevel="0" max="8708" min="8706" style="19" width="9.14"/>
    <col collapsed="false" customWidth="true" hidden="false" outlineLevel="0" max="8709" min="8709" style="19" width="10.71"/>
    <col collapsed="false" customWidth="true" hidden="false" outlineLevel="0" max="8710" min="8710" style="19" width="9.57"/>
    <col collapsed="false" customWidth="false" hidden="false" outlineLevel="0" max="8959" min="8711" style="19" width="9.14"/>
    <col collapsed="false" customWidth="true" hidden="false" outlineLevel="0" max="8960" min="8960" style="19" width="21.71"/>
    <col collapsed="false" customWidth="true" hidden="false" outlineLevel="0" max="8961" min="8961" style="19" width="9.71"/>
    <col collapsed="false" customWidth="false" hidden="false" outlineLevel="0" max="8964" min="8962" style="19" width="9.14"/>
    <col collapsed="false" customWidth="true" hidden="false" outlineLevel="0" max="8965" min="8965" style="19" width="10.71"/>
    <col collapsed="false" customWidth="true" hidden="false" outlineLevel="0" max="8966" min="8966" style="19" width="9.57"/>
    <col collapsed="false" customWidth="false" hidden="false" outlineLevel="0" max="9215" min="8967" style="19" width="9.14"/>
    <col collapsed="false" customWidth="true" hidden="false" outlineLevel="0" max="9216" min="9216" style="19" width="21.71"/>
    <col collapsed="false" customWidth="true" hidden="false" outlineLevel="0" max="9217" min="9217" style="19" width="9.71"/>
    <col collapsed="false" customWidth="false" hidden="false" outlineLevel="0" max="9220" min="9218" style="19" width="9.14"/>
    <col collapsed="false" customWidth="true" hidden="false" outlineLevel="0" max="9221" min="9221" style="19" width="10.71"/>
    <col collapsed="false" customWidth="true" hidden="false" outlineLevel="0" max="9222" min="9222" style="19" width="9.57"/>
    <col collapsed="false" customWidth="false" hidden="false" outlineLevel="0" max="9471" min="9223" style="19" width="9.14"/>
    <col collapsed="false" customWidth="true" hidden="false" outlineLevel="0" max="9472" min="9472" style="19" width="21.71"/>
    <col collapsed="false" customWidth="true" hidden="false" outlineLevel="0" max="9473" min="9473" style="19" width="9.71"/>
    <col collapsed="false" customWidth="false" hidden="false" outlineLevel="0" max="9476" min="9474" style="19" width="9.14"/>
    <col collapsed="false" customWidth="true" hidden="false" outlineLevel="0" max="9477" min="9477" style="19" width="10.71"/>
    <col collapsed="false" customWidth="true" hidden="false" outlineLevel="0" max="9478" min="9478" style="19" width="9.57"/>
    <col collapsed="false" customWidth="false" hidden="false" outlineLevel="0" max="9727" min="9479" style="19" width="9.14"/>
    <col collapsed="false" customWidth="true" hidden="false" outlineLevel="0" max="9728" min="9728" style="19" width="21.71"/>
    <col collapsed="false" customWidth="true" hidden="false" outlineLevel="0" max="9729" min="9729" style="19" width="9.71"/>
    <col collapsed="false" customWidth="false" hidden="false" outlineLevel="0" max="9732" min="9730" style="19" width="9.14"/>
    <col collapsed="false" customWidth="true" hidden="false" outlineLevel="0" max="9733" min="9733" style="19" width="10.71"/>
    <col collapsed="false" customWidth="true" hidden="false" outlineLevel="0" max="9734" min="9734" style="19" width="9.57"/>
    <col collapsed="false" customWidth="false" hidden="false" outlineLevel="0" max="9983" min="9735" style="19" width="9.14"/>
    <col collapsed="false" customWidth="true" hidden="false" outlineLevel="0" max="9984" min="9984" style="19" width="21.71"/>
    <col collapsed="false" customWidth="true" hidden="false" outlineLevel="0" max="9985" min="9985" style="19" width="9.71"/>
    <col collapsed="false" customWidth="false" hidden="false" outlineLevel="0" max="9988" min="9986" style="19" width="9.14"/>
    <col collapsed="false" customWidth="true" hidden="false" outlineLevel="0" max="9989" min="9989" style="19" width="10.71"/>
    <col collapsed="false" customWidth="true" hidden="false" outlineLevel="0" max="9990" min="9990" style="19" width="9.57"/>
    <col collapsed="false" customWidth="false" hidden="false" outlineLevel="0" max="10239" min="9991" style="19" width="9.14"/>
    <col collapsed="false" customWidth="true" hidden="false" outlineLevel="0" max="10240" min="10240" style="19" width="21.71"/>
    <col collapsed="false" customWidth="true" hidden="false" outlineLevel="0" max="10241" min="10241" style="19" width="9.71"/>
    <col collapsed="false" customWidth="false" hidden="false" outlineLevel="0" max="10244" min="10242" style="19" width="9.14"/>
    <col collapsed="false" customWidth="true" hidden="false" outlineLevel="0" max="10245" min="10245" style="19" width="10.71"/>
    <col collapsed="false" customWidth="true" hidden="false" outlineLevel="0" max="10246" min="10246" style="19" width="9.57"/>
    <col collapsed="false" customWidth="false" hidden="false" outlineLevel="0" max="10495" min="10247" style="19" width="9.14"/>
    <col collapsed="false" customWidth="true" hidden="false" outlineLevel="0" max="10496" min="10496" style="19" width="21.71"/>
    <col collapsed="false" customWidth="true" hidden="false" outlineLevel="0" max="10497" min="10497" style="19" width="9.71"/>
    <col collapsed="false" customWidth="false" hidden="false" outlineLevel="0" max="10500" min="10498" style="19" width="9.14"/>
    <col collapsed="false" customWidth="true" hidden="false" outlineLevel="0" max="10501" min="10501" style="19" width="10.71"/>
    <col collapsed="false" customWidth="true" hidden="false" outlineLevel="0" max="10502" min="10502" style="19" width="9.57"/>
    <col collapsed="false" customWidth="false" hidden="false" outlineLevel="0" max="10751" min="10503" style="19" width="9.14"/>
    <col collapsed="false" customWidth="true" hidden="false" outlineLevel="0" max="10752" min="10752" style="19" width="21.71"/>
    <col collapsed="false" customWidth="true" hidden="false" outlineLevel="0" max="10753" min="10753" style="19" width="9.71"/>
    <col collapsed="false" customWidth="false" hidden="false" outlineLevel="0" max="10756" min="10754" style="19" width="9.14"/>
    <col collapsed="false" customWidth="true" hidden="false" outlineLevel="0" max="10757" min="10757" style="19" width="10.71"/>
    <col collapsed="false" customWidth="true" hidden="false" outlineLevel="0" max="10758" min="10758" style="19" width="9.57"/>
    <col collapsed="false" customWidth="false" hidden="false" outlineLevel="0" max="11007" min="10759" style="19" width="9.14"/>
    <col collapsed="false" customWidth="true" hidden="false" outlineLevel="0" max="11008" min="11008" style="19" width="21.71"/>
    <col collapsed="false" customWidth="true" hidden="false" outlineLevel="0" max="11009" min="11009" style="19" width="9.71"/>
    <col collapsed="false" customWidth="false" hidden="false" outlineLevel="0" max="11012" min="11010" style="19" width="9.14"/>
    <col collapsed="false" customWidth="true" hidden="false" outlineLevel="0" max="11013" min="11013" style="19" width="10.71"/>
    <col collapsed="false" customWidth="true" hidden="false" outlineLevel="0" max="11014" min="11014" style="19" width="9.57"/>
    <col collapsed="false" customWidth="false" hidden="false" outlineLevel="0" max="11263" min="11015" style="19" width="9.14"/>
    <col collapsed="false" customWidth="true" hidden="false" outlineLevel="0" max="11264" min="11264" style="19" width="21.71"/>
    <col collapsed="false" customWidth="true" hidden="false" outlineLevel="0" max="11265" min="11265" style="19" width="9.71"/>
    <col collapsed="false" customWidth="false" hidden="false" outlineLevel="0" max="11268" min="11266" style="19" width="9.14"/>
    <col collapsed="false" customWidth="true" hidden="false" outlineLevel="0" max="11269" min="11269" style="19" width="10.71"/>
    <col collapsed="false" customWidth="true" hidden="false" outlineLevel="0" max="11270" min="11270" style="19" width="9.57"/>
    <col collapsed="false" customWidth="false" hidden="false" outlineLevel="0" max="11519" min="11271" style="19" width="9.14"/>
    <col collapsed="false" customWidth="true" hidden="false" outlineLevel="0" max="11520" min="11520" style="19" width="21.71"/>
    <col collapsed="false" customWidth="true" hidden="false" outlineLevel="0" max="11521" min="11521" style="19" width="9.71"/>
    <col collapsed="false" customWidth="false" hidden="false" outlineLevel="0" max="11524" min="11522" style="19" width="9.14"/>
    <col collapsed="false" customWidth="true" hidden="false" outlineLevel="0" max="11525" min="11525" style="19" width="10.71"/>
    <col collapsed="false" customWidth="true" hidden="false" outlineLevel="0" max="11526" min="11526" style="19" width="9.57"/>
    <col collapsed="false" customWidth="false" hidden="false" outlineLevel="0" max="11775" min="11527" style="19" width="9.14"/>
    <col collapsed="false" customWidth="true" hidden="false" outlineLevel="0" max="11776" min="11776" style="19" width="21.71"/>
    <col collapsed="false" customWidth="true" hidden="false" outlineLevel="0" max="11777" min="11777" style="19" width="9.71"/>
    <col collapsed="false" customWidth="false" hidden="false" outlineLevel="0" max="11780" min="11778" style="19" width="9.14"/>
    <col collapsed="false" customWidth="true" hidden="false" outlineLevel="0" max="11781" min="11781" style="19" width="10.71"/>
    <col collapsed="false" customWidth="true" hidden="false" outlineLevel="0" max="11782" min="11782" style="19" width="9.57"/>
    <col collapsed="false" customWidth="false" hidden="false" outlineLevel="0" max="12031" min="11783" style="19" width="9.14"/>
    <col collapsed="false" customWidth="true" hidden="false" outlineLevel="0" max="12032" min="12032" style="19" width="21.71"/>
    <col collapsed="false" customWidth="true" hidden="false" outlineLevel="0" max="12033" min="12033" style="19" width="9.71"/>
    <col collapsed="false" customWidth="false" hidden="false" outlineLevel="0" max="12036" min="12034" style="19" width="9.14"/>
    <col collapsed="false" customWidth="true" hidden="false" outlineLevel="0" max="12037" min="12037" style="19" width="10.71"/>
    <col collapsed="false" customWidth="true" hidden="false" outlineLevel="0" max="12038" min="12038" style="19" width="9.57"/>
    <col collapsed="false" customWidth="false" hidden="false" outlineLevel="0" max="12287" min="12039" style="19" width="9.14"/>
    <col collapsed="false" customWidth="true" hidden="false" outlineLevel="0" max="12288" min="12288" style="19" width="21.71"/>
    <col collapsed="false" customWidth="true" hidden="false" outlineLevel="0" max="12289" min="12289" style="19" width="9.71"/>
    <col collapsed="false" customWidth="false" hidden="false" outlineLevel="0" max="12292" min="12290" style="19" width="9.14"/>
    <col collapsed="false" customWidth="true" hidden="false" outlineLevel="0" max="12293" min="12293" style="19" width="10.71"/>
    <col collapsed="false" customWidth="true" hidden="false" outlineLevel="0" max="12294" min="12294" style="19" width="9.57"/>
    <col collapsed="false" customWidth="false" hidden="false" outlineLevel="0" max="12543" min="12295" style="19" width="9.14"/>
    <col collapsed="false" customWidth="true" hidden="false" outlineLevel="0" max="12544" min="12544" style="19" width="21.71"/>
    <col collapsed="false" customWidth="true" hidden="false" outlineLevel="0" max="12545" min="12545" style="19" width="9.71"/>
    <col collapsed="false" customWidth="false" hidden="false" outlineLevel="0" max="12548" min="12546" style="19" width="9.14"/>
    <col collapsed="false" customWidth="true" hidden="false" outlineLevel="0" max="12549" min="12549" style="19" width="10.71"/>
    <col collapsed="false" customWidth="true" hidden="false" outlineLevel="0" max="12550" min="12550" style="19" width="9.57"/>
    <col collapsed="false" customWidth="false" hidden="false" outlineLevel="0" max="12799" min="12551" style="19" width="9.14"/>
    <col collapsed="false" customWidth="true" hidden="false" outlineLevel="0" max="12800" min="12800" style="19" width="21.71"/>
    <col collapsed="false" customWidth="true" hidden="false" outlineLevel="0" max="12801" min="12801" style="19" width="9.71"/>
    <col collapsed="false" customWidth="false" hidden="false" outlineLevel="0" max="12804" min="12802" style="19" width="9.14"/>
    <col collapsed="false" customWidth="true" hidden="false" outlineLevel="0" max="12805" min="12805" style="19" width="10.71"/>
    <col collapsed="false" customWidth="true" hidden="false" outlineLevel="0" max="12806" min="12806" style="19" width="9.57"/>
    <col collapsed="false" customWidth="false" hidden="false" outlineLevel="0" max="13055" min="12807" style="19" width="9.14"/>
    <col collapsed="false" customWidth="true" hidden="false" outlineLevel="0" max="13056" min="13056" style="19" width="21.71"/>
    <col collapsed="false" customWidth="true" hidden="false" outlineLevel="0" max="13057" min="13057" style="19" width="9.71"/>
    <col collapsed="false" customWidth="false" hidden="false" outlineLevel="0" max="13060" min="13058" style="19" width="9.14"/>
    <col collapsed="false" customWidth="true" hidden="false" outlineLevel="0" max="13061" min="13061" style="19" width="10.71"/>
    <col collapsed="false" customWidth="true" hidden="false" outlineLevel="0" max="13062" min="13062" style="19" width="9.57"/>
    <col collapsed="false" customWidth="false" hidden="false" outlineLevel="0" max="13311" min="13063" style="19" width="9.14"/>
    <col collapsed="false" customWidth="true" hidden="false" outlineLevel="0" max="13312" min="13312" style="19" width="21.71"/>
    <col collapsed="false" customWidth="true" hidden="false" outlineLevel="0" max="13313" min="13313" style="19" width="9.71"/>
    <col collapsed="false" customWidth="false" hidden="false" outlineLevel="0" max="13316" min="13314" style="19" width="9.14"/>
    <col collapsed="false" customWidth="true" hidden="false" outlineLevel="0" max="13317" min="13317" style="19" width="10.71"/>
    <col collapsed="false" customWidth="true" hidden="false" outlineLevel="0" max="13318" min="13318" style="19" width="9.57"/>
    <col collapsed="false" customWidth="false" hidden="false" outlineLevel="0" max="13567" min="13319" style="19" width="9.14"/>
    <col collapsed="false" customWidth="true" hidden="false" outlineLevel="0" max="13568" min="13568" style="19" width="21.71"/>
    <col collapsed="false" customWidth="true" hidden="false" outlineLevel="0" max="13569" min="13569" style="19" width="9.71"/>
    <col collapsed="false" customWidth="false" hidden="false" outlineLevel="0" max="13572" min="13570" style="19" width="9.14"/>
    <col collapsed="false" customWidth="true" hidden="false" outlineLevel="0" max="13573" min="13573" style="19" width="10.71"/>
    <col collapsed="false" customWidth="true" hidden="false" outlineLevel="0" max="13574" min="13574" style="19" width="9.57"/>
    <col collapsed="false" customWidth="false" hidden="false" outlineLevel="0" max="13823" min="13575" style="19" width="9.14"/>
    <col collapsed="false" customWidth="true" hidden="false" outlineLevel="0" max="13824" min="13824" style="19" width="21.71"/>
    <col collapsed="false" customWidth="true" hidden="false" outlineLevel="0" max="13825" min="13825" style="19" width="9.71"/>
    <col collapsed="false" customWidth="false" hidden="false" outlineLevel="0" max="13828" min="13826" style="19" width="9.14"/>
    <col collapsed="false" customWidth="true" hidden="false" outlineLevel="0" max="13829" min="13829" style="19" width="10.71"/>
    <col collapsed="false" customWidth="true" hidden="false" outlineLevel="0" max="13830" min="13830" style="19" width="9.57"/>
    <col collapsed="false" customWidth="false" hidden="false" outlineLevel="0" max="14079" min="13831" style="19" width="9.14"/>
    <col collapsed="false" customWidth="true" hidden="false" outlineLevel="0" max="14080" min="14080" style="19" width="21.71"/>
    <col collapsed="false" customWidth="true" hidden="false" outlineLevel="0" max="14081" min="14081" style="19" width="9.71"/>
    <col collapsed="false" customWidth="false" hidden="false" outlineLevel="0" max="14084" min="14082" style="19" width="9.14"/>
    <col collapsed="false" customWidth="true" hidden="false" outlineLevel="0" max="14085" min="14085" style="19" width="10.71"/>
    <col collapsed="false" customWidth="true" hidden="false" outlineLevel="0" max="14086" min="14086" style="19" width="9.57"/>
    <col collapsed="false" customWidth="false" hidden="false" outlineLevel="0" max="14335" min="14087" style="19" width="9.14"/>
    <col collapsed="false" customWidth="true" hidden="false" outlineLevel="0" max="14336" min="14336" style="19" width="21.71"/>
    <col collapsed="false" customWidth="true" hidden="false" outlineLevel="0" max="14337" min="14337" style="19" width="9.71"/>
    <col collapsed="false" customWidth="false" hidden="false" outlineLevel="0" max="14340" min="14338" style="19" width="9.14"/>
    <col collapsed="false" customWidth="true" hidden="false" outlineLevel="0" max="14341" min="14341" style="19" width="10.71"/>
    <col collapsed="false" customWidth="true" hidden="false" outlineLevel="0" max="14342" min="14342" style="19" width="9.57"/>
    <col collapsed="false" customWidth="false" hidden="false" outlineLevel="0" max="14591" min="14343" style="19" width="9.14"/>
    <col collapsed="false" customWidth="true" hidden="false" outlineLevel="0" max="14592" min="14592" style="19" width="21.71"/>
    <col collapsed="false" customWidth="true" hidden="false" outlineLevel="0" max="14593" min="14593" style="19" width="9.71"/>
    <col collapsed="false" customWidth="false" hidden="false" outlineLevel="0" max="14596" min="14594" style="19" width="9.14"/>
    <col collapsed="false" customWidth="true" hidden="false" outlineLevel="0" max="14597" min="14597" style="19" width="10.71"/>
    <col collapsed="false" customWidth="true" hidden="false" outlineLevel="0" max="14598" min="14598" style="19" width="9.57"/>
    <col collapsed="false" customWidth="false" hidden="false" outlineLevel="0" max="14847" min="14599" style="19" width="9.14"/>
    <col collapsed="false" customWidth="true" hidden="false" outlineLevel="0" max="14848" min="14848" style="19" width="21.71"/>
    <col collapsed="false" customWidth="true" hidden="false" outlineLevel="0" max="14849" min="14849" style="19" width="9.71"/>
    <col collapsed="false" customWidth="false" hidden="false" outlineLevel="0" max="14852" min="14850" style="19" width="9.14"/>
    <col collapsed="false" customWidth="true" hidden="false" outlineLevel="0" max="14853" min="14853" style="19" width="10.71"/>
    <col collapsed="false" customWidth="true" hidden="false" outlineLevel="0" max="14854" min="14854" style="19" width="9.57"/>
    <col collapsed="false" customWidth="false" hidden="false" outlineLevel="0" max="15103" min="14855" style="19" width="9.14"/>
    <col collapsed="false" customWidth="true" hidden="false" outlineLevel="0" max="15104" min="15104" style="19" width="21.71"/>
    <col collapsed="false" customWidth="true" hidden="false" outlineLevel="0" max="15105" min="15105" style="19" width="9.71"/>
    <col collapsed="false" customWidth="false" hidden="false" outlineLevel="0" max="15108" min="15106" style="19" width="9.14"/>
    <col collapsed="false" customWidth="true" hidden="false" outlineLevel="0" max="15109" min="15109" style="19" width="10.71"/>
    <col collapsed="false" customWidth="true" hidden="false" outlineLevel="0" max="15110" min="15110" style="19" width="9.57"/>
    <col collapsed="false" customWidth="false" hidden="false" outlineLevel="0" max="15359" min="15111" style="19" width="9.14"/>
    <col collapsed="false" customWidth="true" hidden="false" outlineLevel="0" max="15360" min="15360" style="19" width="21.71"/>
    <col collapsed="false" customWidth="true" hidden="false" outlineLevel="0" max="15361" min="15361" style="19" width="9.71"/>
    <col collapsed="false" customWidth="false" hidden="false" outlineLevel="0" max="15364" min="15362" style="19" width="9.14"/>
    <col collapsed="false" customWidth="true" hidden="false" outlineLevel="0" max="15365" min="15365" style="19" width="10.71"/>
    <col collapsed="false" customWidth="true" hidden="false" outlineLevel="0" max="15366" min="15366" style="19" width="9.57"/>
    <col collapsed="false" customWidth="false" hidden="false" outlineLevel="0" max="15615" min="15367" style="19" width="9.14"/>
    <col collapsed="false" customWidth="true" hidden="false" outlineLevel="0" max="15616" min="15616" style="19" width="21.71"/>
    <col collapsed="false" customWidth="true" hidden="false" outlineLevel="0" max="15617" min="15617" style="19" width="9.71"/>
    <col collapsed="false" customWidth="false" hidden="false" outlineLevel="0" max="15620" min="15618" style="19" width="9.14"/>
    <col collapsed="false" customWidth="true" hidden="false" outlineLevel="0" max="15621" min="15621" style="19" width="10.71"/>
    <col collapsed="false" customWidth="true" hidden="false" outlineLevel="0" max="15622" min="15622" style="19" width="9.57"/>
    <col collapsed="false" customWidth="false" hidden="false" outlineLevel="0" max="15871" min="15623" style="19" width="9.14"/>
    <col collapsed="false" customWidth="true" hidden="false" outlineLevel="0" max="15872" min="15872" style="19" width="21.71"/>
    <col collapsed="false" customWidth="true" hidden="false" outlineLevel="0" max="15873" min="15873" style="19" width="9.71"/>
    <col collapsed="false" customWidth="false" hidden="false" outlineLevel="0" max="15876" min="15874" style="19" width="9.14"/>
    <col collapsed="false" customWidth="true" hidden="false" outlineLevel="0" max="15877" min="15877" style="19" width="10.71"/>
    <col collapsed="false" customWidth="true" hidden="false" outlineLevel="0" max="15878" min="15878" style="19" width="9.57"/>
    <col collapsed="false" customWidth="false" hidden="false" outlineLevel="0" max="16127" min="15879" style="19" width="9.14"/>
    <col collapsed="false" customWidth="true" hidden="false" outlineLevel="0" max="16128" min="16128" style="19" width="21.71"/>
    <col collapsed="false" customWidth="true" hidden="false" outlineLevel="0" max="16129" min="16129" style="19" width="9.71"/>
    <col collapsed="false" customWidth="false" hidden="false" outlineLevel="0" max="16132" min="16130" style="19" width="9.14"/>
    <col collapsed="false" customWidth="true" hidden="false" outlineLevel="0" max="16133" min="16133" style="19" width="10.71"/>
    <col collapsed="false" customWidth="true" hidden="false" outlineLevel="0" max="16134" min="16134" style="19" width="9.57"/>
    <col collapsed="false" customWidth="false" hidden="false" outlineLevel="0" max="16384" min="16135" style="19" width="9.14"/>
  </cols>
  <sheetData>
    <row r="1" customFormat="false" ht="15.75" hidden="false" customHeight="false" outlineLevel="0" collapsed="false">
      <c r="A1" s="14" t="s">
        <v>137</v>
      </c>
      <c r="F1" s="17"/>
      <c r="G1" s="17"/>
    </row>
    <row r="2" customFormat="false" ht="12" hidden="false" customHeight="false" outlineLevel="0" collapsed="false">
      <c r="F2" s="17"/>
      <c r="G2" s="17"/>
    </row>
    <row r="3" customFormat="false" ht="48" hidden="false" customHeight="false" outlineLevel="0" collapsed="false">
      <c r="A3" s="20" t="n">
        <v>2008</v>
      </c>
      <c r="B3" s="21" t="s">
        <v>17</v>
      </c>
      <c r="C3" s="22" t="s">
        <v>106</v>
      </c>
      <c r="D3" s="22" t="s">
        <v>107</v>
      </c>
      <c r="E3" s="25" t="s">
        <v>108</v>
      </c>
      <c r="F3" s="74" t="s">
        <v>109</v>
      </c>
      <c r="G3" s="24" t="s">
        <v>110</v>
      </c>
      <c r="H3" s="22" t="s">
        <v>106</v>
      </c>
      <c r="I3" s="22" t="s">
        <v>107</v>
      </c>
    </row>
    <row r="4" customFormat="false" ht="12" hidden="false" customHeight="false" outlineLevel="0" collapsed="false">
      <c r="A4" s="179" t="s">
        <v>138</v>
      </c>
      <c r="B4" s="230" t="n">
        <v>370.096</v>
      </c>
      <c r="C4" s="231" t="s">
        <v>91</v>
      </c>
      <c r="D4" s="232" t="s">
        <v>91</v>
      </c>
      <c r="E4" s="233" t="n">
        <v>0.109624650736116</v>
      </c>
      <c r="F4" s="230" t="n">
        <v>100.1624</v>
      </c>
      <c r="G4" s="234" t="n">
        <v>3041.716</v>
      </c>
      <c r="H4" s="235" t="s">
        <v>91</v>
      </c>
      <c r="I4" s="233" t="s">
        <v>91</v>
      </c>
    </row>
    <row r="5" customFormat="false" ht="13.5" hidden="false" customHeight="false" outlineLevel="0" collapsed="false">
      <c r="A5" s="187" t="s">
        <v>139</v>
      </c>
      <c r="B5" s="237" t="n">
        <v>11.087</v>
      </c>
      <c r="C5" s="238" t="n">
        <v>0.78713808965455</v>
      </c>
      <c r="D5" s="239" t="n">
        <v>0.21286191034545</v>
      </c>
      <c r="E5" s="240" t="n">
        <v>0.12482548975456</v>
      </c>
      <c r="F5" s="237" t="n">
        <v>2.092</v>
      </c>
      <c r="G5" s="241" t="n">
        <v>76.996</v>
      </c>
      <c r="H5" s="242" t="n">
        <v>0.335134292690529</v>
      </c>
      <c r="I5" s="240" t="n">
        <v>0.664865707309471</v>
      </c>
    </row>
    <row r="6" customFormat="false" ht="12" hidden="false" customHeight="false" outlineLevel="0" collapsed="false">
      <c r="A6" s="80" t="s">
        <v>27</v>
      </c>
      <c r="B6" s="104" t="n">
        <v>4.491</v>
      </c>
      <c r="C6" s="166" t="n">
        <v>0.812959251837007</v>
      </c>
      <c r="D6" s="105" t="n">
        <v>0.187040748162993</v>
      </c>
      <c r="E6" s="167" t="n">
        <v>0.0997180096365211</v>
      </c>
      <c r="F6" s="104" t="n">
        <v>1.372</v>
      </c>
      <c r="G6" s="107" t="n">
        <v>58.908</v>
      </c>
      <c r="H6" s="224" t="n">
        <v>0.839155972024173</v>
      </c>
      <c r="I6" s="167" t="n">
        <v>0.160844027975827</v>
      </c>
    </row>
    <row r="7" customFormat="false" ht="12" hidden="false" customHeight="false" outlineLevel="0" collapsed="false">
      <c r="A7" s="80" t="s">
        <v>28</v>
      </c>
      <c r="B7" s="104" t="n">
        <v>11.876</v>
      </c>
      <c r="C7" s="166" t="n">
        <v>0.67497473896935</v>
      </c>
      <c r="D7" s="105" t="n">
        <v>0.32502526103065</v>
      </c>
      <c r="E7" s="167" t="n">
        <v>0.142196891688019</v>
      </c>
      <c r="F7" s="104" t="n">
        <v>4.822</v>
      </c>
      <c r="G7" s="107" t="n">
        <v>127.617</v>
      </c>
      <c r="H7" s="224" t="n">
        <v>0.587366886856767</v>
      </c>
      <c r="I7" s="167" t="n">
        <v>0.412633113143233</v>
      </c>
    </row>
    <row r="8" customFormat="false" ht="12" hidden="false" customHeight="false" outlineLevel="0" collapsed="false">
      <c r="A8" s="80" t="s">
        <v>29</v>
      </c>
      <c r="B8" s="104" t="n">
        <v>16.777</v>
      </c>
      <c r="C8" s="166" t="s">
        <v>91</v>
      </c>
      <c r="D8" s="105" t="s">
        <v>91</v>
      </c>
      <c r="E8" s="167" t="n">
        <v>0.461058590744201</v>
      </c>
      <c r="F8" s="104" t="n">
        <v>5.365</v>
      </c>
      <c r="G8" s="107" t="n">
        <v>110.318</v>
      </c>
      <c r="H8" s="224" t="s">
        <v>91</v>
      </c>
      <c r="I8" s="167" t="s">
        <v>91</v>
      </c>
    </row>
    <row r="9" customFormat="false" ht="12" hidden="false" customHeight="false" outlineLevel="0" collapsed="false">
      <c r="A9" s="80" t="s">
        <v>30</v>
      </c>
      <c r="B9" s="104" t="n">
        <v>79.485</v>
      </c>
      <c r="C9" s="166" t="n">
        <v>0.676731458765805</v>
      </c>
      <c r="D9" s="105" t="n">
        <v>0.323268541234195</v>
      </c>
      <c r="E9" s="167" t="n">
        <v>0.124738313973014</v>
      </c>
      <c r="F9" s="104" t="n">
        <v>21.993</v>
      </c>
      <c r="G9" s="107" t="n">
        <v>641.75</v>
      </c>
      <c r="H9" s="224" t="n">
        <v>0.240102843786521</v>
      </c>
      <c r="I9" s="167" t="n">
        <v>0.759897156213479</v>
      </c>
    </row>
    <row r="10" customFormat="false" ht="13.5" hidden="false" customHeight="false" outlineLevel="0" collapsed="false">
      <c r="A10" s="80" t="s">
        <v>140</v>
      </c>
      <c r="B10" s="104" t="n">
        <v>0.915</v>
      </c>
      <c r="C10" s="166" t="n">
        <v>0</v>
      </c>
      <c r="D10" s="105" t="n">
        <v>0.103825136612022</v>
      </c>
      <c r="E10" s="167" t="n">
        <v>0.0864757584349305</v>
      </c>
      <c r="F10" s="104" t="n">
        <v>1.607</v>
      </c>
      <c r="G10" s="107" t="n">
        <v>9.126</v>
      </c>
      <c r="H10" s="224" t="n">
        <v>0.773942581634889</v>
      </c>
      <c r="I10" s="167" t="n">
        <v>0.226057418365111</v>
      </c>
    </row>
    <row r="11" customFormat="false" ht="13.5" hidden="false" customHeight="false" outlineLevel="0" collapsed="false">
      <c r="A11" s="80" t="s">
        <v>141</v>
      </c>
      <c r="B11" s="104" t="n">
        <v>1.835</v>
      </c>
      <c r="C11" s="166" t="n">
        <v>0</v>
      </c>
      <c r="D11" s="105" t="n">
        <v>1</v>
      </c>
      <c r="E11" s="167" t="n">
        <v>0.0618157318511033</v>
      </c>
      <c r="F11" s="104" t="n">
        <v>0.277</v>
      </c>
      <c r="G11" s="107" t="n">
        <v>13.542</v>
      </c>
      <c r="H11" s="224" t="n">
        <v>0</v>
      </c>
      <c r="I11" s="167" t="n">
        <v>1</v>
      </c>
    </row>
    <row r="12" customFormat="false" ht="12" hidden="false" customHeight="false" outlineLevel="0" collapsed="false">
      <c r="A12" s="80" t="s">
        <v>33</v>
      </c>
      <c r="B12" s="104" t="n">
        <v>1.199</v>
      </c>
      <c r="C12" s="166" t="n">
        <v>1</v>
      </c>
      <c r="D12" s="105" t="n">
        <v>0</v>
      </c>
      <c r="E12" s="167" t="n">
        <v>0.0189598190989737</v>
      </c>
      <c r="F12" s="104" t="n">
        <v>0.403</v>
      </c>
      <c r="G12" s="107" t="n">
        <v>8.992</v>
      </c>
      <c r="H12" s="224" t="n">
        <v>1</v>
      </c>
      <c r="I12" s="167" t="n">
        <v>0</v>
      </c>
    </row>
    <row r="13" customFormat="false" ht="12" hidden="false" customHeight="false" outlineLevel="0" collapsed="false">
      <c r="A13" s="80" t="s">
        <v>34</v>
      </c>
      <c r="B13" s="104" t="n">
        <v>21.984</v>
      </c>
      <c r="C13" s="166" t="n">
        <v>0</v>
      </c>
      <c r="D13" s="105" t="n">
        <v>1</v>
      </c>
      <c r="E13" s="167" t="n">
        <v>0.070069419211719</v>
      </c>
      <c r="F13" s="104" t="n">
        <v>3.585</v>
      </c>
      <c r="G13" s="107" t="n">
        <v>180.621</v>
      </c>
      <c r="H13" s="224" t="n">
        <v>0</v>
      </c>
      <c r="I13" s="167" t="n">
        <v>1</v>
      </c>
    </row>
    <row r="14" customFormat="false" ht="12" hidden="false" customHeight="false" outlineLevel="0" collapsed="false">
      <c r="A14" s="80" t="s">
        <v>35</v>
      </c>
      <c r="B14" s="104" t="n">
        <v>18.039</v>
      </c>
      <c r="C14" s="166" t="n">
        <v>0.49431786684406</v>
      </c>
      <c r="D14" s="105" t="n">
        <v>0.50568213315594</v>
      </c>
      <c r="E14" s="167" t="n">
        <v>0.031398767303786</v>
      </c>
      <c r="F14" s="104" t="n">
        <v>5.112</v>
      </c>
      <c r="G14" s="107" t="n">
        <v>181.874</v>
      </c>
      <c r="H14" s="224" t="n">
        <v>0.363350451411417</v>
      </c>
      <c r="I14" s="167" t="n">
        <v>0.636649548588583</v>
      </c>
    </row>
    <row r="15" customFormat="false" ht="12" hidden="false" customHeight="false" outlineLevel="0" collapsed="false">
      <c r="A15" s="80" t="s">
        <v>37</v>
      </c>
      <c r="B15" s="104" t="n">
        <v>30.453</v>
      </c>
      <c r="C15" s="166" t="n">
        <v>0.58683873509999</v>
      </c>
      <c r="D15" s="105" t="n">
        <v>0.41316126490001</v>
      </c>
      <c r="E15" s="167" t="n">
        <v>0.0954253609042112</v>
      </c>
      <c r="F15" s="104" t="n">
        <v>6.729</v>
      </c>
      <c r="G15" s="107" t="n">
        <v>198.373</v>
      </c>
      <c r="H15" s="224" t="n">
        <v>0.407389110413211</v>
      </c>
      <c r="I15" s="167" t="n">
        <v>0.592610889586789</v>
      </c>
    </row>
    <row r="16" customFormat="false" ht="12" hidden="false" customHeight="false" outlineLevel="0" collapsed="false">
      <c r="A16" s="80" t="s">
        <v>38</v>
      </c>
      <c r="B16" s="104" t="n">
        <v>0.014</v>
      </c>
      <c r="C16" s="166" t="n">
        <v>0</v>
      </c>
      <c r="D16" s="105" t="n">
        <v>1</v>
      </c>
      <c r="E16" s="167" t="n">
        <v>0.0027564481197086</v>
      </c>
      <c r="F16" s="104" t="n">
        <v>0.005</v>
      </c>
      <c r="G16" s="107" t="n">
        <v>0.067</v>
      </c>
      <c r="H16" s="224" t="n">
        <v>0</v>
      </c>
      <c r="I16" s="167" t="n">
        <v>1</v>
      </c>
    </row>
    <row r="17" customFormat="false" ht="12" hidden="false" customHeight="false" outlineLevel="0" collapsed="false">
      <c r="A17" s="80" t="s">
        <v>70</v>
      </c>
      <c r="B17" s="104" t="n">
        <v>1.772</v>
      </c>
      <c r="C17" s="166" t="n">
        <v>0.976297968397291</v>
      </c>
      <c r="D17" s="105" t="n">
        <v>0.0237020316027088</v>
      </c>
      <c r="E17" s="167" t="n">
        <v>0.335987864998104</v>
      </c>
      <c r="F17" s="104" t="n">
        <v>0.532</v>
      </c>
      <c r="G17" s="107" t="n">
        <v>8.155</v>
      </c>
      <c r="H17" s="224" t="n">
        <v>0.968117719190681</v>
      </c>
      <c r="I17" s="167" t="n">
        <v>0.0318822808093194</v>
      </c>
    </row>
    <row r="18" customFormat="false" ht="12" hidden="false" customHeight="false" outlineLevel="0" collapsed="false">
      <c r="A18" s="80" t="s">
        <v>40</v>
      </c>
      <c r="B18" s="104" t="n">
        <v>1.772</v>
      </c>
      <c r="C18" s="166" t="n">
        <v>0.930022573363431</v>
      </c>
      <c r="D18" s="105" t="n">
        <v>0.0699774266365689</v>
      </c>
      <c r="E18" s="167" t="n">
        <v>0.127372052903968</v>
      </c>
      <c r="F18" s="104" t="n">
        <v>1.082</v>
      </c>
      <c r="G18" s="107" t="n">
        <v>15.184</v>
      </c>
      <c r="H18" s="224" t="n">
        <v>0.883429926238145</v>
      </c>
      <c r="I18" s="167" t="n">
        <v>0.116570073761855</v>
      </c>
    </row>
    <row r="19" customFormat="false" ht="13.5" hidden="false" customHeight="false" outlineLevel="0" collapsed="false">
      <c r="A19" s="80" t="s">
        <v>142</v>
      </c>
      <c r="B19" s="104" t="n">
        <v>0.422</v>
      </c>
      <c r="C19" s="166" t="n">
        <v>0</v>
      </c>
      <c r="D19" s="105" t="n">
        <v>1</v>
      </c>
      <c r="E19" s="167" t="n">
        <v>0.118639302783244</v>
      </c>
      <c r="F19" s="104" t="s">
        <v>91</v>
      </c>
      <c r="G19" s="107" t="n">
        <v>2.366</v>
      </c>
      <c r="H19" s="224" t="n">
        <v>0</v>
      </c>
      <c r="I19" s="167" t="n">
        <v>1</v>
      </c>
    </row>
    <row r="20" customFormat="false" ht="12" hidden="false" customHeight="false" outlineLevel="0" collapsed="false">
      <c r="A20" s="80" t="s">
        <v>113</v>
      </c>
      <c r="B20" s="104" t="n">
        <v>8.43</v>
      </c>
      <c r="C20" s="166" t="n">
        <v>0.961447212336892</v>
      </c>
      <c r="D20" s="105" t="n">
        <v>0.038552787663108</v>
      </c>
      <c r="E20" s="167" t="n">
        <v>0.210618363522798</v>
      </c>
      <c r="F20" s="104" t="n">
        <v>0.1904</v>
      </c>
      <c r="G20" s="107" t="n">
        <v>45.868</v>
      </c>
      <c r="H20" s="224" t="n">
        <v>0.889966861428447</v>
      </c>
      <c r="I20" s="167" t="n">
        <v>0.110033138571553</v>
      </c>
    </row>
    <row r="21" customFormat="false" ht="12" hidden="false" customHeight="false" outlineLevel="0" collapsed="false">
      <c r="A21" s="80" t="s">
        <v>43</v>
      </c>
      <c r="B21" s="104" t="n">
        <v>0</v>
      </c>
      <c r="C21" s="166" t="n">
        <v>0</v>
      </c>
      <c r="D21" s="105" t="n">
        <v>0</v>
      </c>
      <c r="E21" s="167" t="n">
        <v>0</v>
      </c>
      <c r="F21" s="104" t="n">
        <v>0</v>
      </c>
      <c r="G21" s="107" t="n">
        <v>0</v>
      </c>
      <c r="H21" s="224" t="n">
        <v>0</v>
      </c>
      <c r="I21" s="167" t="n">
        <v>0</v>
      </c>
    </row>
    <row r="22" customFormat="false" ht="12" hidden="false" customHeight="false" outlineLevel="0" collapsed="false">
      <c r="A22" s="80" t="s">
        <v>72</v>
      </c>
      <c r="B22" s="104" t="n">
        <v>36.207</v>
      </c>
      <c r="C22" s="166" t="s">
        <v>91</v>
      </c>
      <c r="D22" s="105" t="s">
        <v>91</v>
      </c>
      <c r="E22" s="167" t="n">
        <v>0.336355613358725</v>
      </c>
      <c r="F22" s="104" t="n">
        <v>8.971</v>
      </c>
      <c r="G22" s="107" t="n">
        <v>246.256</v>
      </c>
      <c r="H22" s="224" t="s">
        <v>91</v>
      </c>
      <c r="I22" s="167" t="s">
        <v>91</v>
      </c>
    </row>
    <row r="23" customFormat="false" ht="12" hidden="false" customHeight="false" outlineLevel="0" collapsed="false">
      <c r="A23" s="80" t="s">
        <v>45</v>
      </c>
      <c r="B23" s="104" t="n">
        <v>10.295</v>
      </c>
      <c r="C23" s="166" t="s">
        <v>91</v>
      </c>
      <c r="D23" s="105" t="s">
        <v>91</v>
      </c>
      <c r="E23" s="167" t="n">
        <v>0.153425433302037</v>
      </c>
      <c r="F23" s="104" t="n">
        <v>3.654</v>
      </c>
      <c r="G23" s="107" t="n">
        <v>96.352</v>
      </c>
      <c r="H23" s="224" t="s">
        <v>91</v>
      </c>
      <c r="I23" s="167" t="s">
        <v>91</v>
      </c>
    </row>
    <row r="24" customFormat="false" ht="12" hidden="false" customHeight="false" outlineLevel="0" collapsed="false">
      <c r="A24" s="80" t="s">
        <v>46</v>
      </c>
      <c r="B24" s="104" t="n">
        <v>26.406</v>
      </c>
      <c r="C24" s="166" t="n">
        <v>0.764258123153829</v>
      </c>
      <c r="D24" s="105" t="n">
        <v>0.235741876846171</v>
      </c>
      <c r="E24" s="167" t="n">
        <v>0.169076310363816</v>
      </c>
      <c r="F24" s="104" t="n">
        <v>8.779</v>
      </c>
      <c r="G24" s="107" t="n">
        <v>259.713</v>
      </c>
      <c r="H24" s="224" t="n">
        <v>0.584102451552291</v>
      </c>
      <c r="I24" s="167" t="n">
        <v>0.41589754844771</v>
      </c>
    </row>
    <row r="25" customFormat="false" ht="12" hidden="false" customHeight="false" outlineLevel="0" collapsed="false">
      <c r="A25" s="80" t="s">
        <v>98</v>
      </c>
      <c r="B25" s="104" t="n">
        <v>5.448</v>
      </c>
      <c r="C25" s="166" t="n">
        <v>0.675293685756241</v>
      </c>
      <c r="D25" s="105" t="n">
        <v>0.324706314243759</v>
      </c>
      <c r="E25" s="167" t="n">
        <v>0.118514651177968</v>
      </c>
      <c r="F25" s="104" t="n">
        <v>1.093</v>
      </c>
      <c r="G25" s="107" t="n">
        <v>61.656</v>
      </c>
      <c r="H25" s="224" t="n">
        <v>0.485662384844946</v>
      </c>
      <c r="I25" s="167" t="n">
        <v>0.514337615155054</v>
      </c>
    </row>
    <row r="26" customFormat="false" ht="13.5" hidden="false" customHeight="false" outlineLevel="0" collapsed="false">
      <c r="A26" s="80" t="s">
        <v>143</v>
      </c>
      <c r="B26" s="104" t="n">
        <v>6.206</v>
      </c>
      <c r="C26" s="166" t="n">
        <v>0.843055107960039</v>
      </c>
      <c r="D26" s="105" t="n">
        <v>0.156944892039961</v>
      </c>
      <c r="E26" s="167" t="n">
        <v>0.0955430682780386</v>
      </c>
      <c r="F26" s="104" t="n">
        <v>4.693</v>
      </c>
      <c r="G26" s="107" t="n">
        <v>71.479</v>
      </c>
      <c r="H26" s="224" t="n">
        <v>0.820003077827054</v>
      </c>
      <c r="I26" s="167" t="n">
        <v>0.179996922172946</v>
      </c>
    </row>
    <row r="27" customFormat="false" ht="12" hidden="false" customHeight="false" outlineLevel="0" collapsed="false">
      <c r="A27" s="80" t="s">
        <v>99</v>
      </c>
      <c r="B27" s="104" t="n">
        <v>1.106</v>
      </c>
      <c r="C27" s="166" t="n">
        <v>0.779385171790235</v>
      </c>
      <c r="D27" s="105" t="n">
        <v>0.220614828209765</v>
      </c>
      <c r="E27" s="167" t="n">
        <v>0.0674472496645932</v>
      </c>
      <c r="F27" s="104" t="n">
        <v>0.335</v>
      </c>
      <c r="G27" s="107" t="n">
        <v>11.97</v>
      </c>
      <c r="H27" s="224" t="n">
        <v>0.595739348370927</v>
      </c>
      <c r="I27" s="167" t="n">
        <v>0.404260651629073</v>
      </c>
    </row>
    <row r="28" customFormat="false" ht="12" hidden="false" customHeight="false" outlineLevel="0" collapsed="false">
      <c r="A28" s="80" t="s">
        <v>50</v>
      </c>
      <c r="B28" s="104" t="n">
        <v>6.956</v>
      </c>
      <c r="C28" s="166" t="n">
        <v>0.642179413456009</v>
      </c>
      <c r="D28" s="105" t="n">
        <v>0.357820586543991</v>
      </c>
      <c r="E28" s="167" t="n">
        <v>0.240176783371314</v>
      </c>
      <c r="F28" s="104" t="n">
        <v>2.151</v>
      </c>
      <c r="G28" s="107" t="n">
        <v>26.145</v>
      </c>
      <c r="H28" s="224" t="n">
        <v>0.868426085293555</v>
      </c>
      <c r="I28" s="167" t="n">
        <v>0.131573914706445</v>
      </c>
    </row>
    <row r="29" customFormat="false" ht="12" hidden="false" customHeight="false" outlineLevel="0" collapsed="false">
      <c r="A29" s="80" t="s">
        <v>75</v>
      </c>
      <c r="B29" s="104" t="n">
        <v>27.571</v>
      </c>
      <c r="C29" s="166" t="n">
        <v>0.646440100105183</v>
      </c>
      <c r="D29" s="105" t="n">
        <v>0.353559899894817</v>
      </c>
      <c r="E29" s="167" t="n">
        <v>0.356048866160442</v>
      </c>
      <c r="F29" s="104" t="n">
        <v>5.681</v>
      </c>
      <c r="G29" s="107" t="n">
        <v>261.926</v>
      </c>
      <c r="H29" s="224" t="n">
        <v>0.46559715339447</v>
      </c>
      <c r="I29" s="167" t="n">
        <v>0.53440284660553</v>
      </c>
    </row>
    <row r="30" customFormat="false" ht="12" hidden="false" customHeight="false" outlineLevel="0" collapsed="false">
      <c r="A30" s="108" t="s">
        <v>76</v>
      </c>
      <c r="B30" s="109" t="n">
        <v>14.349</v>
      </c>
      <c r="C30" s="138" t="n">
        <v>0.521151299742142</v>
      </c>
      <c r="D30" s="110" t="n">
        <v>0.478848700257858</v>
      </c>
      <c r="E30" s="139" t="n">
        <v>0.0956561737530499</v>
      </c>
      <c r="F30" s="109" t="n">
        <v>4.112</v>
      </c>
      <c r="G30" s="112" t="n">
        <v>164.87</v>
      </c>
      <c r="H30" s="244" t="n">
        <v>0.44697034026809</v>
      </c>
      <c r="I30" s="139" t="n">
        <v>0.55302965973191</v>
      </c>
    </row>
    <row r="31" customFormat="false" ht="12" hidden="false" customHeight="false" outlineLevel="0" collapsed="false">
      <c r="A31" s="87" t="s">
        <v>77</v>
      </c>
      <c r="B31" s="114" t="n">
        <v>25.001</v>
      </c>
      <c r="C31" s="245" t="n">
        <v>0.00927962881484741</v>
      </c>
      <c r="D31" s="115" t="n">
        <v>0.990720371185153</v>
      </c>
      <c r="E31" s="246" t="n">
        <v>0.0642095098185255</v>
      </c>
      <c r="F31" s="114" t="n">
        <v>5.527</v>
      </c>
      <c r="G31" s="113" t="n">
        <v>161.592</v>
      </c>
      <c r="H31" s="247" t="n">
        <v>0.0141776820634685</v>
      </c>
      <c r="I31" s="246" t="n">
        <v>0.985822317936532</v>
      </c>
    </row>
    <row r="32" customFormat="false" ht="12" hidden="false" customHeight="false" outlineLevel="0" collapsed="false">
      <c r="A32" s="65" t="s">
        <v>115</v>
      </c>
      <c r="B32" s="254" t="n">
        <v>0.177</v>
      </c>
      <c r="C32" s="255" t="n">
        <v>1</v>
      </c>
      <c r="D32" s="256" t="n">
        <v>0</v>
      </c>
      <c r="E32" s="257" t="n">
        <v>0.00124063391486588</v>
      </c>
      <c r="F32" s="254" t="s">
        <v>91</v>
      </c>
      <c r="G32" s="258" t="n">
        <v>3.507</v>
      </c>
      <c r="H32" s="259" t="n">
        <v>1</v>
      </c>
      <c r="I32" s="257" t="n">
        <v>0</v>
      </c>
    </row>
    <row r="33" customFormat="false" ht="13.5" hidden="false" customHeight="false" outlineLevel="0" collapsed="false">
      <c r="A33" s="220" t="s">
        <v>144</v>
      </c>
      <c r="B33" s="261" t="n">
        <v>8.339</v>
      </c>
      <c r="C33" s="262" t="n">
        <v>0.323060318983092</v>
      </c>
      <c r="D33" s="263" t="n">
        <v>0.676939681016909</v>
      </c>
      <c r="E33" s="264" t="n">
        <v>0.0420274370268826</v>
      </c>
      <c r="F33" s="261" t="n">
        <v>4.659</v>
      </c>
      <c r="G33" s="265" t="n">
        <v>95.247</v>
      </c>
      <c r="H33" s="266" t="n">
        <v>0.234012619820047</v>
      </c>
      <c r="I33" s="264" t="n">
        <v>0.765987380179953</v>
      </c>
    </row>
    <row r="34" s="19" customFormat="true" ht="12" hidden="false" customHeight="false" outlineLevel="0" collapsed="false"/>
    <row r="35" customFormat="false" ht="12" hidden="false" customHeight="false" outlineLevel="0" collapsed="false">
      <c r="A35" s="65"/>
      <c r="B35" s="268"/>
      <c r="C35" s="269"/>
      <c r="D35" s="269"/>
      <c r="E35" s="269"/>
      <c r="F35" s="270"/>
      <c r="G35" s="270"/>
      <c r="H35" s="269"/>
      <c r="I35" s="269"/>
    </row>
    <row r="36" customFormat="false" ht="12" hidden="false" customHeight="false" outlineLevel="0" collapsed="false">
      <c r="F36" s="16"/>
      <c r="G36" s="16"/>
    </row>
    <row r="37" customFormat="false" ht="36" hidden="false" customHeight="false" outlineLevel="0" collapsed="false">
      <c r="A37" s="20" t="n">
        <v>2008</v>
      </c>
      <c r="B37" s="21" t="s">
        <v>55</v>
      </c>
      <c r="C37" s="25" t="s">
        <v>57</v>
      </c>
      <c r="D37" s="22" t="s">
        <v>58</v>
      </c>
      <c r="E37" s="22" t="s">
        <v>59</v>
      </c>
      <c r="F37" s="211" t="s">
        <v>60</v>
      </c>
      <c r="G37" s="211" t="s">
        <v>61</v>
      </c>
      <c r="H37" s="257"/>
      <c r="I37" s="257"/>
      <c r="J37" s="272"/>
    </row>
    <row r="38" customFormat="false" ht="12" hidden="false" customHeight="false" outlineLevel="0" collapsed="false">
      <c r="A38" s="179" t="s">
        <v>138</v>
      </c>
      <c r="B38" s="180" t="n">
        <v>8246.181</v>
      </c>
      <c r="C38" s="181" t="n">
        <v>0.347547670855151</v>
      </c>
      <c r="D38" s="183" t="n">
        <v>0.0550122535510681</v>
      </c>
      <c r="E38" s="183" t="n">
        <v>0.394306406808194</v>
      </c>
      <c r="F38" s="183" t="n">
        <v>0.110498302183762</v>
      </c>
      <c r="G38" s="183" t="n">
        <v>0.0926353666018246</v>
      </c>
      <c r="H38" s="257"/>
      <c r="I38" s="257"/>
      <c r="J38" s="272"/>
    </row>
    <row r="39" customFormat="false" ht="12" hidden="false" customHeight="false" outlineLevel="0" collapsed="false">
      <c r="A39" s="187" t="s">
        <v>145</v>
      </c>
      <c r="B39" s="188" t="n">
        <v>147.035</v>
      </c>
      <c r="C39" s="215" t="n">
        <v>0.0151528547624715</v>
      </c>
      <c r="D39" s="216" t="n">
        <v>0.0249260380181589</v>
      </c>
      <c r="E39" s="216" t="n">
        <v>0.649600435270514</v>
      </c>
      <c r="F39" s="216" t="n">
        <v>0.0887815826163839</v>
      </c>
      <c r="G39" s="216" t="n">
        <v>0.221539089332472</v>
      </c>
      <c r="H39" s="257"/>
      <c r="I39" s="257"/>
      <c r="J39" s="272"/>
    </row>
    <row r="40" customFormat="false" ht="12" hidden="false" customHeight="false" outlineLevel="0" collapsed="false">
      <c r="A40" s="80" t="s">
        <v>27</v>
      </c>
      <c r="B40" s="134" t="n">
        <v>109.077</v>
      </c>
      <c r="C40" s="135" t="n">
        <v>0.590967848400671</v>
      </c>
      <c r="D40" s="136" t="n">
        <v>0.0263666950869569</v>
      </c>
      <c r="E40" s="136" t="n">
        <v>0.350302996965446</v>
      </c>
      <c r="F40" s="136" t="n">
        <v>0</v>
      </c>
      <c r="G40" s="136" t="n">
        <v>0.0323624595469256</v>
      </c>
      <c r="H40" s="257"/>
      <c r="I40" s="257"/>
      <c r="J40" s="272"/>
    </row>
    <row r="41" customFormat="false" ht="12" hidden="false" customHeight="false" outlineLevel="0" collapsed="false">
      <c r="A41" s="80" t="s">
        <v>116</v>
      </c>
      <c r="B41" s="134" t="n">
        <v>398.242</v>
      </c>
      <c r="C41" s="135" t="n">
        <v>0.831002254910331</v>
      </c>
      <c r="D41" s="136" t="n">
        <v>0.0156688646601815</v>
      </c>
      <c r="E41" s="136" t="n">
        <v>0.0503186504688104</v>
      </c>
      <c r="F41" s="136" t="n">
        <v>0.0421251399902572</v>
      </c>
      <c r="G41" s="136" t="n">
        <v>0.06088508997042</v>
      </c>
    </row>
    <row r="42" customFormat="false" ht="12" hidden="false" customHeight="false" outlineLevel="0" collapsed="false">
      <c r="A42" s="80" t="s">
        <v>29</v>
      </c>
      <c r="B42" s="134" t="n">
        <v>300.307</v>
      </c>
      <c r="C42" s="135" t="n">
        <v>0.522318827066968</v>
      </c>
      <c r="D42" s="136" t="n">
        <v>0.0362096121635526</v>
      </c>
      <c r="E42" s="136" t="n">
        <v>0.238212895470302</v>
      </c>
      <c r="F42" s="136" t="n">
        <v>0.149080774007932</v>
      </c>
      <c r="G42" s="136" t="n">
        <v>0.0541778912912453</v>
      </c>
    </row>
    <row r="43" customFormat="false" ht="12" hidden="false" customHeight="false" outlineLevel="0" collapsed="false">
      <c r="A43" s="80" t="s">
        <v>30</v>
      </c>
      <c r="B43" s="134" t="n">
        <v>1200.835</v>
      </c>
      <c r="C43" s="135" t="n">
        <v>0.270694974746739</v>
      </c>
      <c r="D43" s="136" t="n">
        <v>0.0465642656984515</v>
      </c>
      <c r="E43" s="136" t="n">
        <v>0.518724054512069</v>
      </c>
      <c r="F43" s="136" t="n">
        <v>0.0668185054566198</v>
      </c>
      <c r="G43" s="136" t="n">
        <v>0.0971981995861213</v>
      </c>
    </row>
    <row r="44" customFormat="false" ht="12" hidden="false" customHeight="false" outlineLevel="0" collapsed="false">
      <c r="A44" s="80" t="s">
        <v>31</v>
      </c>
      <c r="B44" s="134" t="n">
        <v>18.034</v>
      </c>
      <c r="C44" s="135" t="n">
        <v>0.504768770100921</v>
      </c>
      <c r="D44" s="136" t="n">
        <v>0.00460241765553954</v>
      </c>
      <c r="E44" s="136" t="n">
        <v>0.415049351225463</v>
      </c>
      <c r="F44" s="136" t="n">
        <v>0.0710324941776644</v>
      </c>
      <c r="G44" s="136" t="n">
        <v>0.00454696684041255</v>
      </c>
    </row>
    <row r="45" customFormat="false" ht="12" hidden="false" customHeight="false" outlineLevel="0" collapsed="false">
      <c r="A45" s="80" t="s">
        <v>97</v>
      </c>
      <c r="B45" s="134" t="n">
        <v>21.498</v>
      </c>
      <c r="C45" s="135" t="n">
        <v>0.0380500511675505</v>
      </c>
      <c r="D45" s="136" t="n">
        <v>0.000744255279560889</v>
      </c>
      <c r="E45" s="136" t="n">
        <v>0.936645269327379</v>
      </c>
      <c r="F45" s="136" t="n">
        <v>0.00716345706577356</v>
      </c>
      <c r="G45" s="136" t="n">
        <v>0.0173969671597358</v>
      </c>
    </row>
    <row r="46" customFormat="false" ht="12" hidden="false" customHeight="false" outlineLevel="0" collapsed="false">
      <c r="A46" s="80" t="s">
        <v>33</v>
      </c>
      <c r="B46" s="134" t="n">
        <v>103.967</v>
      </c>
      <c r="C46" s="135" t="n">
        <v>0.833851125838006</v>
      </c>
      <c r="D46" s="136" t="n">
        <v>0.0310194580972809</v>
      </c>
      <c r="E46" s="136" t="n">
        <v>0.0328181057450922</v>
      </c>
      <c r="F46" s="136" t="n">
        <v>0.0135812325064684</v>
      </c>
      <c r="G46" s="136" t="n">
        <v>0.0887300778131522</v>
      </c>
    </row>
    <row r="47" customFormat="false" ht="12" hidden="false" customHeight="false" outlineLevel="0" collapsed="false">
      <c r="A47" s="80" t="s">
        <v>34</v>
      </c>
      <c r="B47" s="134" t="n">
        <v>394.357</v>
      </c>
      <c r="C47" s="135" t="n">
        <v>0.0185314321794719</v>
      </c>
      <c r="D47" s="136" t="n">
        <v>0.0781652157816395</v>
      </c>
      <c r="E47" s="136" t="n">
        <v>0.762928006856731</v>
      </c>
      <c r="F47" s="136" t="n">
        <v>0.0499800941786249</v>
      </c>
      <c r="G47" s="136" t="n">
        <v>0.0903952510035323</v>
      </c>
    </row>
    <row r="48" customFormat="false" ht="12" hidden="false" customHeight="false" outlineLevel="0" collapsed="false">
      <c r="A48" s="80" t="s">
        <v>35</v>
      </c>
      <c r="B48" s="134" t="n">
        <v>371.27</v>
      </c>
      <c r="C48" s="135" t="n">
        <v>0.0444097287688205</v>
      </c>
      <c r="D48" s="136" t="n">
        <v>0.0282839981684488</v>
      </c>
      <c r="E48" s="136" t="n">
        <v>0.571826433592803</v>
      </c>
      <c r="F48" s="136" t="n">
        <v>0.235017642147224</v>
      </c>
      <c r="G48" s="136" t="n">
        <v>0.120462197322703</v>
      </c>
    </row>
    <row r="49" customFormat="false" ht="12" hidden="false" customHeight="false" outlineLevel="0" collapsed="false">
      <c r="A49" s="80" t="s">
        <v>37</v>
      </c>
      <c r="B49" s="134" t="n">
        <v>940.402</v>
      </c>
      <c r="C49" s="135" t="n">
        <v>0.00285303519133307</v>
      </c>
      <c r="D49" s="136" t="n">
        <v>0.18698280097235</v>
      </c>
      <c r="E49" s="136" t="n">
        <v>0.68975182953673</v>
      </c>
      <c r="F49" s="136" t="n">
        <v>0.0489886240139855</v>
      </c>
      <c r="G49" s="136" t="n">
        <v>0.0714237102856013</v>
      </c>
    </row>
    <row r="50" customFormat="false" ht="12" hidden="false" customHeight="false" outlineLevel="0" collapsed="false">
      <c r="A50" s="80" t="s">
        <v>38</v>
      </c>
      <c r="B50" s="134" t="n">
        <v>0.285</v>
      </c>
      <c r="C50" s="135" t="n">
        <v>0</v>
      </c>
      <c r="D50" s="136" t="n">
        <v>1</v>
      </c>
      <c r="E50" s="136" t="n">
        <v>0</v>
      </c>
      <c r="F50" s="136" t="n">
        <v>0</v>
      </c>
      <c r="G50" s="136" t="n">
        <v>0</v>
      </c>
    </row>
    <row r="51" customFormat="false" ht="12" hidden="false" customHeight="false" outlineLevel="0" collapsed="false">
      <c r="A51" s="80" t="s">
        <v>70</v>
      </c>
      <c r="B51" s="134" t="n">
        <v>19.704</v>
      </c>
      <c r="C51" s="135" t="n">
        <v>0.0159866017052375</v>
      </c>
      <c r="D51" s="136" t="n">
        <v>0.00822168087697929</v>
      </c>
      <c r="E51" s="136" t="n">
        <v>0.944478278522127</v>
      </c>
      <c r="F51" s="136" t="n">
        <v>0.0313134388956557</v>
      </c>
      <c r="G51" s="136" t="n">
        <v>0</v>
      </c>
    </row>
    <row r="52" customFormat="false" ht="12" hidden="false" customHeight="false" outlineLevel="0" collapsed="false">
      <c r="A52" s="80" t="s">
        <v>40</v>
      </c>
      <c r="B52" s="134" t="n">
        <v>35.561</v>
      </c>
      <c r="C52" s="135" t="n">
        <v>0.00016872416411237</v>
      </c>
      <c r="D52" s="136" t="n">
        <v>0.168358595090127</v>
      </c>
      <c r="E52" s="136" t="n">
        <v>0.785467225331121</v>
      </c>
      <c r="F52" s="136" t="n">
        <v>0.0429965411546357</v>
      </c>
      <c r="G52" s="136" t="n">
        <v>0.00300891426000394</v>
      </c>
    </row>
    <row r="53" customFormat="false" ht="12" hidden="false" customHeight="false" outlineLevel="0" collapsed="false">
      <c r="A53" s="80" t="s">
        <v>41</v>
      </c>
      <c r="B53" s="134" t="n">
        <v>5.283</v>
      </c>
      <c r="C53" s="135" t="n">
        <v>0</v>
      </c>
      <c r="D53" s="136" t="n">
        <v>0</v>
      </c>
      <c r="E53" s="136" t="n">
        <v>0.800870717395419</v>
      </c>
      <c r="F53" s="136" t="n">
        <v>0.0948324815445769</v>
      </c>
      <c r="G53" s="136" t="n">
        <v>0.104296801060004</v>
      </c>
    </row>
    <row r="54" customFormat="false" ht="12" hidden="false" customHeight="false" outlineLevel="0" collapsed="false">
      <c r="A54" s="80" t="s">
        <v>113</v>
      </c>
      <c r="B54" s="134" t="n">
        <v>99.371</v>
      </c>
      <c r="C54" s="135" t="n">
        <v>0.0582262430689034</v>
      </c>
      <c r="D54" s="136" t="n">
        <v>0.00599772569461916</v>
      </c>
      <c r="E54" s="136" t="n">
        <v>0.808817461834942</v>
      </c>
      <c r="F54" s="136" t="n">
        <v>0.0535669360276137</v>
      </c>
      <c r="G54" s="136" t="n">
        <v>0.073391633373922</v>
      </c>
    </row>
    <row r="55" customFormat="false" ht="12" hidden="false" customHeight="false" outlineLevel="0" collapsed="false">
      <c r="A55" s="80" t="s">
        <v>43</v>
      </c>
      <c r="B55" s="134" t="n">
        <v>0</v>
      </c>
      <c r="C55" s="135" t="n">
        <v>0</v>
      </c>
      <c r="D55" s="136" t="n">
        <v>0</v>
      </c>
      <c r="E55" s="136" t="n">
        <v>0</v>
      </c>
      <c r="F55" s="136" t="n">
        <v>0</v>
      </c>
      <c r="G55" s="136" t="n">
        <v>0</v>
      </c>
    </row>
    <row r="56" customFormat="false" ht="12" hidden="false" customHeight="false" outlineLevel="0" collapsed="false">
      <c r="A56" s="80" t="s">
        <v>72</v>
      </c>
      <c r="B56" s="134" t="n">
        <v>662.847</v>
      </c>
      <c r="C56" s="135" t="n">
        <v>0.115470085856917</v>
      </c>
      <c r="D56" s="136" t="n">
        <v>0.0201041869390674</v>
      </c>
      <c r="E56" s="136" t="n">
        <v>0.702677993564126</v>
      </c>
      <c r="F56" s="136" t="n">
        <v>0.0176813050372107</v>
      </c>
      <c r="G56" s="136" t="n">
        <v>0.144066428602679</v>
      </c>
    </row>
    <row r="57" customFormat="false" ht="12" hidden="false" customHeight="false" outlineLevel="0" collapsed="false">
      <c r="A57" s="80" t="s">
        <v>45</v>
      </c>
      <c r="B57" s="134" t="n">
        <v>245.819</v>
      </c>
      <c r="C57" s="135" t="n">
        <v>0.103478575700007</v>
      </c>
      <c r="D57" s="136" t="n">
        <v>0.0776343569862378</v>
      </c>
      <c r="E57" s="136" t="n">
        <v>0.404452056187683</v>
      </c>
      <c r="F57" s="136" t="n">
        <v>0.325235234054325</v>
      </c>
      <c r="G57" s="136" t="n">
        <v>0.0891997770717479</v>
      </c>
    </row>
    <row r="58" customFormat="false" ht="12" hidden="false" customHeight="false" outlineLevel="0" collapsed="false">
      <c r="A58" s="80" t="s">
        <v>46</v>
      </c>
      <c r="B58" s="134" t="n">
        <v>1508.383</v>
      </c>
      <c r="C58" s="135" t="n">
        <v>0.91115784253734</v>
      </c>
      <c r="D58" s="136" t="n">
        <v>0.0288162887012118</v>
      </c>
      <c r="E58" s="136" t="n">
        <v>0.024895533826621</v>
      </c>
      <c r="F58" s="136" t="n">
        <v>0.0191655567584625</v>
      </c>
      <c r="G58" s="136" t="n">
        <v>0.015964778176365</v>
      </c>
    </row>
    <row r="59" customFormat="false" ht="12" hidden="false" customHeight="false" outlineLevel="0" collapsed="false">
      <c r="A59" s="80" t="s">
        <v>98</v>
      </c>
      <c r="B59" s="134" t="n">
        <v>103.115</v>
      </c>
      <c r="C59" s="135" t="n">
        <v>0</v>
      </c>
      <c r="D59" s="136" t="n">
        <v>0.303554284051787</v>
      </c>
      <c r="E59" s="136" t="n">
        <v>0.2545507443146</v>
      </c>
      <c r="F59" s="136" t="n">
        <v>0.395684430005334</v>
      </c>
      <c r="G59" s="136" t="n">
        <v>0.0462105416282791</v>
      </c>
    </row>
    <row r="60" customFormat="false" ht="12" hidden="false" customHeight="false" outlineLevel="0" collapsed="false">
      <c r="A60" s="80" t="s">
        <v>48</v>
      </c>
      <c r="B60" s="134" t="n">
        <v>216.784</v>
      </c>
      <c r="C60" s="135" t="n">
        <v>0.521468374049745</v>
      </c>
      <c r="D60" s="136" t="n">
        <v>0.048656727433759</v>
      </c>
      <c r="E60" s="136" t="n">
        <v>0.421128865598937</v>
      </c>
      <c r="F60" s="136" t="n">
        <v>0</v>
      </c>
      <c r="G60" s="136" t="n">
        <v>0.00874603291755849</v>
      </c>
    </row>
    <row r="61" customFormat="false" ht="12" hidden="false" customHeight="false" outlineLevel="0" collapsed="false">
      <c r="A61" s="80" t="s">
        <v>99</v>
      </c>
      <c r="B61" s="134" t="n">
        <v>64.813</v>
      </c>
      <c r="C61" s="135" t="n">
        <v>0.833212472806381</v>
      </c>
      <c r="D61" s="136" t="n">
        <v>0.00340980976038758</v>
      </c>
      <c r="E61" s="136" t="n">
        <v>0.107586440991776</v>
      </c>
      <c r="F61" s="136" t="n">
        <v>0.0539860830388965</v>
      </c>
      <c r="G61" s="136" t="n">
        <v>0.00180519340255813</v>
      </c>
    </row>
    <row r="62" customFormat="false" ht="12" hidden="false" customHeight="false" outlineLevel="0" collapsed="false">
      <c r="A62" s="80" t="s">
        <v>50</v>
      </c>
      <c r="B62" s="134" t="n">
        <v>233.594</v>
      </c>
      <c r="C62" s="135" t="n">
        <v>0.227921093863712</v>
      </c>
      <c r="D62" s="136" t="n">
        <v>0.0174405164516212</v>
      </c>
      <c r="E62" s="136" t="n">
        <v>0.0747322277113282</v>
      </c>
      <c r="F62" s="136" t="n">
        <v>0.0227445910425782</v>
      </c>
      <c r="G62" s="136" t="n">
        <v>0.65716157093076</v>
      </c>
    </row>
    <row r="63" customFormat="false" ht="12" hidden="false" customHeight="false" outlineLevel="0" collapsed="false">
      <c r="A63" s="80" t="s">
        <v>75</v>
      </c>
      <c r="B63" s="104" t="n">
        <v>488.731</v>
      </c>
      <c r="C63" s="166" t="n">
        <v>0.264671158571893</v>
      </c>
      <c r="D63" s="167" t="n">
        <v>0.0129478179202874</v>
      </c>
      <c r="E63" s="167" t="n">
        <v>0.216462634864578</v>
      </c>
      <c r="F63" s="167" t="n">
        <v>0.459911485050058</v>
      </c>
      <c r="G63" s="167" t="n">
        <v>0.0460069035931832</v>
      </c>
    </row>
    <row r="64" customFormat="false" ht="12" hidden="false" customHeight="false" outlineLevel="0" collapsed="false">
      <c r="A64" s="108" t="s">
        <v>76</v>
      </c>
      <c r="B64" s="168" t="n">
        <v>247.025</v>
      </c>
      <c r="C64" s="169" t="n">
        <v>0.0727942515939682</v>
      </c>
      <c r="D64" s="170" t="n">
        <v>0.054885133083696</v>
      </c>
      <c r="E64" s="170" t="n">
        <v>0.0423398441453294</v>
      </c>
      <c r="F64" s="170" t="n">
        <v>0.752911648618561</v>
      </c>
      <c r="G64" s="170" t="n">
        <v>0.0770691225584455</v>
      </c>
    </row>
    <row r="65" customFormat="false" ht="12" hidden="false" customHeight="false" outlineLevel="0" collapsed="false">
      <c r="A65" s="87" t="s">
        <v>77</v>
      </c>
      <c r="B65" s="140" t="n">
        <v>309.842</v>
      </c>
      <c r="C65" s="141" t="n">
        <v>0.0426669076497053</v>
      </c>
      <c r="D65" s="142" t="n">
        <v>0.0149915118027898</v>
      </c>
      <c r="E65" s="142" t="n">
        <v>0.704759199850246</v>
      </c>
      <c r="F65" s="142" t="n">
        <v>0.0372706088909831</v>
      </c>
      <c r="G65" s="142" t="n">
        <v>0.200311771806275</v>
      </c>
    </row>
    <row r="66" customFormat="false" ht="12" hidden="false" customHeight="false" outlineLevel="0" collapsed="false">
      <c r="A66" s="65" t="s">
        <v>115</v>
      </c>
      <c r="B66" s="278" t="n">
        <v>4.766</v>
      </c>
      <c r="C66" s="279" t="n">
        <v>0.131347041544272</v>
      </c>
      <c r="D66" s="16" t="n">
        <v>0</v>
      </c>
      <c r="E66" s="16" t="n">
        <v>0</v>
      </c>
      <c r="F66" s="16" t="n">
        <v>0.58329836340747</v>
      </c>
      <c r="G66" s="16" t="n">
        <v>0.285354595048259</v>
      </c>
    </row>
    <row r="67" customFormat="false" ht="12" hidden="false" customHeight="false" outlineLevel="0" collapsed="false">
      <c r="A67" s="220" t="s">
        <v>130</v>
      </c>
      <c r="B67" s="174" t="n">
        <v>312.891</v>
      </c>
      <c r="C67" s="175" t="n">
        <v>0.0577741130297771</v>
      </c>
      <c r="D67" s="176" t="n">
        <v>0.0816034977036732</v>
      </c>
      <c r="E67" s="176" t="n">
        <v>0.763783554017214</v>
      </c>
      <c r="F67" s="176" t="n">
        <v>0.00496978180900058</v>
      </c>
      <c r="G67" s="176" t="n">
        <v>0.0918690534403355</v>
      </c>
    </row>
    <row r="68" customFormat="false" ht="12" hidden="false" customHeight="false" outlineLevel="0" collapsed="false">
      <c r="A68" s="16"/>
      <c r="B68" s="16"/>
      <c r="F68" s="16"/>
      <c r="G68" s="16"/>
    </row>
    <row r="69" customFormat="false" ht="13.5" hidden="false" customHeight="false" outlineLevel="0" collapsed="false">
      <c r="A69" s="221" t="s">
        <v>146</v>
      </c>
      <c r="B69" s="268"/>
      <c r="C69" s="269"/>
      <c r="D69" s="269"/>
      <c r="E69" s="269"/>
      <c r="F69" s="280"/>
      <c r="G69" s="280"/>
    </row>
    <row r="70" customFormat="false" ht="13.5" hidden="false" customHeight="false" outlineLevel="0" collapsed="false">
      <c r="A70" s="221" t="s">
        <v>147</v>
      </c>
    </row>
    <row r="71" customFormat="false" ht="13.5" hidden="false" customHeight="false" outlineLevel="0" collapsed="false">
      <c r="A71" s="221" t="s">
        <v>148</v>
      </c>
    </row>
    <row r="72" customFormat="false" ht="13.5" hidden="false" customHeight="false" outlineLevel="0" collapsed="false">
      <c r="A72" s="221" t="s">
        <v>149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3:43 A1"/>
    </sheetView>
  </sheetViews>
  <sheetFormatPr defaultColWidth="9.1484375" defaultRowHeight="12" zeroHeight="false" outlineLevelRow="0" outlineLevelCol="0"/>
  <cols>
    <col collapsed="false" customWidth="true" hidden="false" outlineLevel="0" max="1" min="1" style="19" width="21.71"/>
    <col collapsed="false" customWidth="true" hidden="false" outlineLevel="0" max="2" min="2" style="15" width="10.71"/>
    <col collapsed="false" customWidth="true" hidden="false" outlineLevel="0" max="5" min="3" style="16" width="10.71"/>
    <col collapsed="false" customWidth="true" hidden="false" outlineLevel="0" max="7" min="6" style="19" width="10.71"/>
    <col collapsed="false" customWidth="true" hidden="false" outlineLevel="0" max="9" min="8" style="16" width="10.71"/>
    <col collapsed="false" customWidth="true" hidden="false" outlineLevel="0" max="10" min="10" style="15" width="10.71"/>
    <col collapsed="false" customWidth="false" hidden="false" outlineLevel="0" max="256" min="11" style="19" width="9.14"/>
    <col collapsed="false" customWidth="true" hidden="false" outlineLevel="0" max="257" min="257" style="19" width="21.71"/>
    <col collapsed="false" customWidth="true" hidden="false" outlineLevel="0" max="258" min="258" style="19" width="9.71"/>
    <col collapsed="false" customWidth="false" hidden="false" outlineLevel="0" max="261" min="259" style="19" width="9.14"/>
    <col collapsed="false" customWidth="true" hidden="false" outlineLevel="0" max="262" min="262" style="19" width="10.71"/>
    <col collapsed="false" customWidth="true" hidden="false" outlineLevel="0" max="263" min="263" style="19" width="9.57"/>
    <col collapsed="false" customWidth="false" hidden="false" outlineLevel="0" max="512" min="264" style="19" width="9.14"/>
    <col collapsed="false" customWidth="true" hidden="false" outlineLevel="0" max="513" min="513" style="19" width="21.71"/>
    <col collapsed="false" customWidth="true" hidden="false" outlineLevel="0" max="514" min="514" style="19" width="9.71"/>
    <col collapsed="false" customWidth="false" hidden="false" outlineLevel="0" max="517" min="515" style="19" width="9.14"/>
    <col collapsed="false" customWidth="true" hidden="false" outlineLevel="0" max="518" min="518" style="19" width="10.71"/>
    <col collapsed="false" customWidth="true" hidden="false" outlineLevel="0" max="519" min="519" style="19" width="9.57"/>
    <col collapsed="false" customWidth="false" hidden="false" outlineLevel="0" max="768" min="520" style="19" width="9.14"/>
    <col collapsed="false" customWidth="true" hidden="false" outlineLevel="0" max="769" min="769" style="19" width="21.71"/>
    <col collapsed="false" customWidth="true" hidden="false" outlineLevel="0" max="770" min="770" style="19" width="9.71"/>
    <col collapsed="false" customWidth="false" hidden="false" outlineLevel="0" max="773" min="771" style="19" width="9.14"/>
    <col collapsed="false" customWidth="true" hidden="false" outlineLevel="0" max="774" min="774" style="19" width="10.71"/>
    <col collapsed="false" customWidth="true" hidden="false" outlineLevel="0" max="775" min="775" style="19" width="9.57"/>
    <col collapsed="false" customWidth="false" hidden="false" outlineLevel="0" max="1024" min="776" style="19" width="9.14"/>
    <col collapsed="false" customWidth="true" hidden="false" outlineLevel="0" max="1025" min="1025" style="19" width="21.71"/>
    <col collapsed="false" customWidth="true" hidden="false" outlineLevel="0" max="1026" min="1026" style="19" width="9.71"/>
    <col collapsed="false" customWidth="false" hidden="false" outlineLevel="0" max="1029" min="1027" style="19" width="9.14"/>
    <col collapsed="false" customWidth="true" hidden="false" outlineLevel="0" max="1030" min="1030" style="19" width="10.71"/>
    <col collapsed="false" customWidth="true" hidden="false" outlineLevel="0" max="1031" min="1031" style="19" width="9.57"/>
    <col collapsed="false" customWidth="false" hidden="false" outlineLevel="0" max="1280" min="1032" style="19" width="9.14"/>
    <col collapsed="false" customWidth="true" hidden="false" outlineLevel="0" max="1281" min="1281" style="19" width="21.71"/>
    <col collapsed="false" customWidth="true" hidden="false" outlineLevel="0" max="1282" min="1282" style="19" width="9.71"/>
    <col collapsed="false" customWidth="false" hidden="false" outlineLevel="0" max="1285" min="1283" style="19" width="9.14"/>
    <col collapsed="false" customWidth="true" hidden="false" outlineLevel="0" max="1286" min="1286" style="19" width="10.71"/>
    <col collapsed="false" customWidth="true" hidden="false" outlineLevel="0" max="1287" min="1287" style="19" width="9.57"/>
    <col collapsed="false" customWidth="false" hidden="false" outlineLevel="0" max="1536" min="1288" style="19" width="9.14"/>
    <col collapsed="false" customWidth="true" hidden="false" outlineLevel="0" max="1537" min="1537" style="19" width="21.71"/>
    <col collapsed="false" customWidth="true" hidden="false" outlineLevel="0" max="1538" min="1538" style="19" width="9.71"/>
    <col collapsed="false" customWidth="false" hidden="false" outlineLevel="0" max="1541" min="1539" style="19" width="9.14"/>
    <col collapsed="false" customWidth="true" hidden="false" outlineLevel="0" max="1542" min="1542" style="19" width="10.71"/>
    <col collapsed="false" customWidth="true" hidden="false" outlineLevel="0" max="1543" min="1543" style="19" width="9.57"/>
    <col collapsed="false" customWidth="false" hidden="false" outlineLevel="0" max="1792" min="1544" style="19" width="9.14"/>
    <col collapsed="false" customWidth="true" hidden="false" outlineLevel="0" max="1793" min="1793" style="19" width="21.71"/>
    <col collapsed="false" customWidth="true" hidden="false" outlineLevel="0" max="1794" min="1794" style="19" width="9.71"/>
    <col collapsed="false" customWidth="false" hidden="false" outlineLevel="0" max="1797" min="1795" style="19" width="9.14"/>
    <col collapsed="false" customWidth="true" hidden="false" outlineLevel="0" max="1798" min="1798" style="19" width="10.71"/>
    <col collapsed="false" customWidth="true" hidden="false" outlineLevel="0" max="1799" min="1799" style="19" width="9.57"/>
    <col collapsed="false" customWidth="false" hidden="false" outlineLevel="0" max="2048" min="1800" style="19" width="9.14"/>
    <col collapsed="false" customWidth="true" hidden="false" outlineLevel="0" max="2049" min="2049" style="19" width="21.71"/>
    <col collapsed="false" customWidth="true" hidden="false" outlineLevel="0" max="2050" min="2050" style="19" width="9.71"/>
    <col collapsed="false" customWidth="false" hidden="false" outlineLevel="0" max="2053" min="2051" style="19" width="9.14"/>
    <col collapsed="false" customWidth="true" hidden="false" outlineLevel="0" max="2054" min="2054" style="19" width="10.71"/>
    <col collapsed="false" customWidth="true" hidden="false" outlineLevel="0" max="2055" min="2055" style="19" width="9.57"/>
    <col collapsed="false" customWidth="false" hidden="false" outlineLevel="0" max="2304" min="2056" style="19" width="9.14"/>
    <col collapsed="false" customWidth="true" hidden="false" outlineLevel="0" max="2305" min="2305" style="19" width="21.71"/>
    <col collapsed="false" customWidth="true" hidden="false" outlineLevel="0" max="2306" min="2306" style="19" width="9.71"/>
    <col collapsed="false" customWidth="false" hidden="false" outlineLevel="0" max="2309" min="2307" style="19" width="9.14"/>
    <col collapsed="false" customWidth="true" hidden="false" outlineLevel="0" max="2310" min="2310" style="19" width="10.71"/>
    <col collapsed="false" customWidth="true" hidden="false" outlineLevel="0" max="2311" min="2311" style="19" width="9.57"/>
    <col collapsed="false" customWidth="false" hidden="false" outlineLevel="0" max="2560" min="2312" style="19" width="9.14"/>
    <col collapsed="false" customWidth="true" hidden="false" outlineLevel="0" max="2561" min="2561" style="19" width="21.71"/>
    <col collapsed="false" customWidth="true" hidden="false" outlineLevel="0" max="2562" min="2562" style="19" width="9.71"/>
    <col collapsed="false" customWidth="false" hidden="false" outlineLevel="0" max="2565" min="2563" style="19" width="9.14"/>
    <col collapsed="false" customWidth="true" hidden="false" outlineLevel="0" max="2566" min="2566" style="19" width="10.71"/>
    <col collapsed="false" customWidth="true" hidden="false" outlineLevel="0" max="2567" min="2567" style="19" width="9.57"/>
    <col collapsed="false" customWidth="false" hidden="false" outlineLevel="0" max="2816" min="2568" style="19" width="9.14"/>
    <col collapsed="false" customWidth="true" hidden="false" outlineLevel="0" max="2817" min="2817" style="19" width="21.71"/>
    <col collapsed="false" customWidth="true" hidden="false" outlineLevel="0" max="2818" min="2818" style="19" width="9.71"/>
    <col collapsed="false" customWidth="false" hidden="false" outlineLevel="0" max="2821" min="2819" style="19" width="9.14"/>
    <col collapsed="false" customWidth="true" hidden="false" outlineLevel="0" max="2822" min="2822" style="19" width="10.71"/>
    <col collapsed="false" customWidth="true" hidden="false" outlineLevel="0" max="2823" min="2823" style="19" width="9.57"/>
    <col collapsed="false" customWidth="false" hidden="false" outlineLevel="0" max="3072" min="2824" style="19" width="9.14"/>
    <col collapsed="false" customWidth="true" hidden="false" outlineLevel="0" max="3073" min="3073" style="19" width="21.71"/>
    <col collapsed="false" customWidth="true" hidden="false" outlineLevel="0" max="3074" min="3074" style="19" width="9.71"/>
    <col collapsed="false" customWidth="false" hidden="false" outlineLevel="0" max="3077" min="3075" style="19" width="9.14"/>
    <col collapsed="false" customWidth="true" hidden="false" outlineLevel="0" max="3078" min="3078" style="19" width="10.71"/>
    <col collapsed="false" customWidth="true" hidden="false" outlineLevel="0" max="3079" min="3079" style="19" width="9.57"/>
    <col collapsed="false" customWidth="false" hidden="false" outlineLevel="0" max="3328" min="3080" style="19" width="9.14"/>
    <col collapsed="false" customWidth="true" hidden="false" outlineLevel="0" max="3329" min="3329" style="19" width="21.71"/>
    <col collapsed="false" customWidth="true" hidden="false" outlineLevel="0" max="3330" min="3330" style="19" width="9.71"/>
    <col collapsed="false" customWidth="false" hidden="false" outlineLevel="0" max="3333" min="3331" style="19" width="9.14"/>
    <col collapsed="false" customWidth="true" hidden="false" outlineLevel="0" max="3334" min="3334" style="19" width="10.71"/>
    <col collapsed="false" customWidth="true" hidden="false" outlineLevel="0" max="3335" min="3335" style="19" width="9.57"/>
    <col collapsed="false" customWidth="false" hidden="false" outlineLevel="0" max="3584" min="3336" style="19" width="9.14"/>
    <col collapsed="false" customWidth="true" hidden="false" outlineLevel="0" max="3585" min="3585" style="19" width="21.71"/>
    <col collapsed="false" customWidth="true" hidden="false" outlineLevel="0" max="3586" min="3586" style="19" width="9.71"/>
    <col collapsed="false" customWidth="false" hidden="false" outlineLevel="0" max="3589" min="3587" style="19" width="9.14"/>
    <col collapsed="false" customWidth="true" hidden="false" outlineLevel="0" max="3590" min="3590" style="19" width="10.71"/>
    <col collapsed="false" customWidth="true" hidden="false" outlineLevel="0" max="3591" min="3591" style="19" width="9.57"/>
    <col collapsed="false" customWidth="false" hidden="false" outlineLevel="0" max="3840" min="3592" style="19" width="9.14"/>
    <col collapsed="false" customWidth="true" hidden="false" outlineLevel="0" max="3841" min="3841" style="19" width="21.71"/>
    <col collapsed="false" customWidth="true" hidden="false" outlineLevel="0" max="3842" min="3842" style="19" width="9.71"/>
    <col collapsed="false" customWidth="false" hidden="false" outlineLevel="0" max="3845" min="3843" style="19" width="9.14"/>
    <col collapsed="false" customWidth="true" hidden="false" outlineLevel="0" max="3846" min="3846" style="19" width="10.71"/>
    <col collapsed="false" customWidth="true" hidden="false" outlineLevel="0" max="3847" min="3847" style="19" width="9.57"/>
    <col collapsed="false" customWidth="false" hidden="false" outlineLevel="0" max="4096" min="3848" style="19" width="9.14"/>
    <col collapsed="false" customWidth="true" hidden="false" outlineLevel="0" max="4097" min="4097" style="19" width="21.71"/>
    <col collapsed="false" customWidth="true" hidden="false" outlineLevel="0" max="4098" min="4098" style="19" width="9.71"/>
    <col collapsed="false" customWidth="false" hidden="false" outlineLevel="0" max="4101" min="4099" style="19" width="9.14"/>
    <col collapsed="false" customWidth="true" hidden="false" outlineLevel="0" max="4102" min="4102" style="19" width="10.71"/>
    <col collapsed="false" customWidth="true" hidden="false" outlineLevel="0" max="4103" min="4103" style="19" width="9.57"/>
    <col collapsed="false" customWidth="false" hidden="false" outlineLevel="0" max="4352" min="4104" style="19" width="9.14"/>
    <col collapsed="false" customWidth="true" hidden="false" outlineLevel="0" max="4353" min="4353" style="19" width="21.71"/>
    <col collapsed="false" customWidth="true" hidden="false" outlineLevel="0" max="4354" min="4354" style="19" width="9.71"/>
    <col collapsed="false" customWidth="false" hidden="false" outlineLevel="0" max="4357" min="4355" style="19" width="9.14"/>
    <col collapsed="false" customWidth="true" hidden="false" outlineLevel="0" max="4358" min="4358" style="19" width="10.71"/>
    <col collapsed="false" customWidth="true" hidden="false" outlineLevel="0" max="4359" min="4359" style="19" width="9.57"/>
    <col collapsed="false" customWidth="false" hidden="false" outlineLevel="0" max="4608" min="4360" style="19" width="9.14"/>
    <col collapsed="false" customWidth="true" hidden="false" outlineLevel="0" max="4609" min="4609" style="19" width="21.71"/>
    <col collapsed="false" customWidth="true" hidden="false" outlineLevel="0" max="4610" min="4610" style="19" width="9.71"/>
    <col collapsed="false" customWidth="false" hidden="false" outlineLevel="0" max="4613" min="4611" style="19" width="9.14"/>
    <col collapsed="false" customWidth="true" hidden="false" outlineLevel="0" max="4614" min="4614" style="19" width="10.71"/>
    <col collapsed="false" customWidth="true" hidden="false" outlineLevel="0" max="4615" min="4615" style="19" width="9.57"/>
    <col collapsed="false" customWidth="false" hidden="false" outlineLevel="0" max="4864" min="4616" style="19" width="9.14"/>
    <col collapsed="false" customWidth="true" hidden="false" outlineLevel="0" max="4865" min="4865" style="19" width="21.71"/>
    <col collapsed="false" customWidth="true" hidden="false" outlineLevel="0" max="4866" min="4866" style="19" width="9.71"/>
    <col collapsed="false" customWidth="false" hidden="false" outlineLevel="0" max="4869" min="4867" style="19" width="9.14"/>
    <col collapsed="false" customWidth="true" hidden="false" outlineLevel="0" max="4870" min="4870" style="19" width="10.71"/>
    <col collapsed="false" customWidth="true" hidden="false" outlineLevel="0" max="4871" min="4871" style="19" width="9.57"/>
    <col collapsed="false" customWidth="false" hidden="false" outlineLevel="0" max="5120" min="4872" style="19" width="9.14"/>
    <col collapsed="false" customWidth="true" hidden="false" outlineLevel="0" max="5121" min="5121" style="19" width="21.71"/>
    <col collapsed="false" customWidth="true" hidden="false" outlineLevel="0" max="5122" min="5122" style="19" width="9.71"/>
    <col collapsed="false" customWidth="false" hidden="false" outlineLevel="0" max="5125" min="5123" style="19" width="9.14"/>
    <col collapsed="false" customWidth="true" hidden="false" outlineLevel="0" max="5126" min="5126" style="19" width="10.71"/>
    <col collapsed="false" customWidth="true" hidden="false" outlineLevel="0" max="5127" min="5127" style="19" width="9.57"/>
    <col collapsed="false" customWidth="false" hidden="false" outlineLevel="0" max="5376" min="5128" style="19" width="9.14"/>
    <col collapsed="false" customWidth="true" hidden="false" outlineLevel="0" max="5377" min="5377" style="19" width="21.71"/>
    <col collapsed="false" customWidth="true" hidden="false" outlineLevel="0" max="5378" min="5378" style="19" width="9.71"/>
    <col collapsed="false" customWidth="false" hidden="false" outlineLevel="0" max="5381" min="5379" style="19" width="9.14"/>
    <col collapsed="false" customWidth="true" hidden="false" outlineLevel="0" max="5382" min="5382" style="19" width="10.71"/>
    <col collapsed="false" customWidth="true" hidden="false" outlineLevel="0" max="5383" min="5383" style="19" width="9.57"/>
    <col collapsed="false" customWidth="false" hidden="false" outlineLevel="0" max="5632" min="5384" style="19" width="9.14"/>
    <col collapsed="false" customWidth="true" hidden="false" outlineLevel="0" max="5633" min="5633" style="19" width="21.71"/>
    <col collapsed="false" customWidth="true" hidden="false" outlineLevel="0" max="5634" min="5634" style="19" width="9.71"/>
    <col collapsed="false" customWidth="false" hidden="false" outlineLevel="0" max="5637" min="5635" style="19" width="9.14"/>
    <col collapsed="false" customWidth="true" hidden="false" outlineLevel="0" max="5638" min="5638" style="19" width="10.71"/>
    <col collapsed="false" customWidth="true" hidden="false" outlineLevel="0" max="5639" min="5639" style="19" width="9.57"/>
    <col collapsed="false" customWidth="false" hidden="false" outlineLevel="0" max="5888" min="5640" style="19" width="9.14"/>
    <col collapsed="false" customWidth="true" hidden="false" outlineLevel="0" max="5889" min="5889" style="19" width="21.71"/>
    <col collapsed="false" customWidth="true" hidden="false" outlineLevel="0" max="5890" min="5890" style="19" width="9.71"/>
    <col collapsed="false" customWidth="false" hidden="false" outlineLevel="0" max="5893" min="5891" style="19" width="9.14"/>
    <col collapsed="false" customWidth="true" hidden="false" outlineLevel="0" max="5894" min="5894" style="19" width="10.71"/>
    <col collapsed="false" customWidth="true" hidden="false" outlineLevel="0" max="5895" min="5895" style="19" width="9.57"/>
    <col collapsed="false" customWidth="false" hidden="false" outlineLevel="0" max="6144" min="5896" style="19" width="9.14"/>
    <col collapsed="false" customWidth="true" hidden="false" outlineLevel="0" max="6145" min="6145" style="19" width="21.71"/>
    <col collapsed="false" customWidth="true" hidden="false" outlineLevel="0" max="6146" min="6146" style="19" width="9.71"/>
    <col collapsed="false" customWidth="false" hidden="false" outlineLevel="0" max="6149" min="6147" style="19" width="9.14"/>
    <col collapsed="false" customWidth="true" hidden="false" outlineLevel="0" max="6150" min="6150" style="19" width="10.71"/>
    <col collapsed="false" customWidth="true" hidden="false" outlineLevel="0" max="6151" min="6151" style="19" width="9.57"/>
    <col collapsed="false" customWidth="false" hidden="false" outlineLevel="0" max="6400" min="6152" style="19" width="9.14"/>
    <col collapsed="false" customWidth="true" hidden="false" outlineLevel="0" max="6401" min="6401" style="19" width="21.71"/>
    <col collapsed="false" customWidth="true" hidden="false" outlineLevel="0" max="6402" min="6402" style="19" width="9.71"/>
    <col collapsed="false" customWidth="false" hidden="false" outlineLevel="0" max="6405" min="6403" style="19" width="9.14"/>
    <col collapsed="false" customWidth="true" hidden="false" outlineLevel="0" max="6406" min="6406" style="19" width="10.71"/>
    <col collapsed="false" customWidth="true" hidden="false" outlineLevel="0" max="6407" min="6407" style="19" width="9.57"/>
    <col collapsed="false" customWidth="false" hidden="false" outlineLevel="0" max="6656" min="6408" style="19" width="9.14"/>
    <col collapsed="false" customWidth="true" hidden="false" outlineLevel="0" max="6657" min="6657" style="19" width="21.71"/>
    <col collapsed="false" customWidth="true" hidden="false" outlineLevel="0" max="6658" min="6658" style="19" width="9.71"/>
    <col collapsed="false" customWidth="false" hidden="false" outlineLevel="0" max="6661" min="6659" style="19" width="9.14"/>
    <col collapsed="false" customWidth="true" hidden="false" outlineLevel="0" max="6662" min="6662" style="19" width="10.71"/>
    <col collapsed="false" customWidth="true" hidden="false" outlineLevel="0" max="6663" min="6663" style="19" width="9.57"/>
    <col collapsed="false" customWidth="false" hidden="false" outlineLevel="0" max="6912" min="6664" style="19" width="9.14"/>
    <col collapsed="false" customWidth="true" hidden="false" outlineLevel="0" max="6913" min="6913" style="19" width="21.71"/>
    <col collapsed="false" customWidth="true" hidden="false" outlineLevel="0" max="6914" min="6914" style="19" width="9.71"/>
    <col collapsed="false" customWidth="false" hidden="false" outlineLevel="0" max="6917" min="6915" style="19" width="9.14"/>
    <col collapsed="false" customWidth="true" hidden="false" outlineLevel="0" max="6918" min="6918" style="19" width="10.71"/>
    <col collapsed="false" customWidth="true" hidden="false" outlineLevel="0" max="6919" min="6919" style="19" width="9.57"/>
    <col collapsed="false" customWidth="false" hidden="false" outlineLevel="0" max="7168" min="6920" style="19" width="9.14"/>
    <col collapsed="false" customWidth="true" hidden="false" outlineLevel="0" max="7169" min="7169" style="19" width="21.71"/>
    <col collapsed="false" customWidth="true" hidden="false" outlineLevel="0" max="7170" min="7170" style="19" width="9.71"/>
    <col collapsed="false" customWidth="false" hidden="false" outlineLevel="0" max="7173" min="7171" style="19" width="9.14"/>
    <col collapsed="false" customWidth="true" hidden="false" outlineLevel="0" max="7174" min="7174" style="19" width="10.71"/>
    <col collapsed="false" customWidth="true" hidden="false" outlineLevel="0" max="7175" min="7175" style="19" width="9.57"/>
    <col collapsed="false" customWidth="false" hidden="false" outlineLevel="0" max="7424" min="7176" style="19" width="9.14"/>
    <col collapsed="false" customWidth="true" hidden="false" outlineLevel="0" max="7425" min="7425" style="19" width="21.71"/>
    <col collapsed="false" customWidth="true" hidden="false" outlineLevel="0" max="7426" min="7426" style="19" width="9.71"/>
    <col collapsed="false" customWidth="false" hidden="false" outlineLevel="0" max="7429" min="7427" style="19" width="9.14"/>
    <col collapsed="false" customWidth="true" hidden="false" outlineLevel="0" max="7430" min="7430" style="19" width="10.71"/>
    <col collapsed="false" customWidth="true" hidden="false" outlineLevel="0" max="7431" min="7431" style="19" width="9.57"/>
    <col collapsed="false" customWidth="false" hidden="false" outlineLevel="0" max="7680" min="7432" style="19" width="9.14"/>
    <col collapsed="false" customWidth="true" hidden="false" outlineLevel="0" max="7681" min="7681" style="19" width="21.71"/>
    <col collapsed="false" customWidth="true" hidden="false" outlineLevel="0" max="7682" min="7682" style="19" width="9.71"/>
    <col collapsed="false" customWidth="false" hidden="false" outlineLevel="0" max="7685" min="7683" style="19" width="9.14"/>
    <col collapsed="false" customWidth="true" hidden="false" outlineLevel="0" max="7686" min="7686" style="19" width="10.71"/>
    <col collapsed="false" customWidth="true" hidden="false" outlineLevel="0" max="7687" min="7687" style="19" width="9.57"/>
    <col collapsed="false" customWidth="false" hidden="false" outlineLevel="0" max="7936" min="7688" style="19" width="9.14"/>
    <col collapsed="false" customWidth="true" hidden="false" outlineLevel="0" max="7937" min="7937" style="19" width="21.71"/>
    <col collapsed="false" customWidth="true" hidden="false" outlineLevel="0" max="7938" min="7938" style="19" width="9.71"/>
    <col collapsed="false" customWidth="false" hidden="false" outlineLevel="0" max="7941" min="7939" style="19" width="9.14"/>
    <col collapsed="false" customWidth="true" hidden="false" outlineLevel="0" max="7942" min="7942" style="19" width="10.71"/>
    <col collapsed="false" customWidth="true" hidden="false" outlineLevel="0" max="7943" min="7943" style="19" width="9.57"/>
    <col collapsed="false" customWidth="false" hidden="false" outlineLevel="0" max="8192" min="7944" style="19" width="9.14"/>
    <col collapsed="false" customWidth="true" hidden="false" outlineLevel="0" max="8193" min="8193" style="19" width="21.71"/>
    <col collapsed="false" customWidth="true" hidden="false" outlineLevel="0" max="8194" min="8194" style="19" width="9.71"/>
    <col collapsed="false" customWidth="false" hidden="false" outlineLevel="0" max="8197" min="8195" style="19" width="9.14"/>
    <col collapsed="false" customWidth="true" hidden="false" outlineLevel="0" max="8198" min="8198" style="19" width="10.71"/>
    <col collapsed="false" customWidth="true" hidden="false" outlineLevel="0" max="8199" min="8199" style="19" width="9.57"/>
    <col collapsed="false" customWidth="false" hidden="false" outlineLevel="0" max="8448" min="8200" style="19" width="9.14"/>
    <col collapsed="false" customWidth="true" hidden="false" outlineLevel="0" max="8449" min="8449" style="19" width="21.71"/>
    <col collapsed="false" customWidth="true" hidden="false" outlineLevel="0" max="8450" min="8450" style="19" width="9.71"/>
    <col collapsed="false" customWidth="false" hidden="false" outlineLevel="0" max="8453" min="8451" style="19" width="9.14"/>
    <col collapsed="false" customWidth="true" hidden="false" outlineLevel="0" max="8454" min="8454" style="19" width="10.71"/>
    <col collapsed="false" customWidth="true" hidden="false" outlineLevel="0" max="8455" min="8455" style="19" width="9.57"/>
    <col collapsed="false" customWidth="false" hidden="false" outlineLevel="0" max="8704" min="8456" style="19" width="9.14"/>
    <col collapsed="false" customWidth="true" hidden="false" outlineLevel="0" max="8705" min="8705" style="19" width="21.71"/>
    <col collapsed="false" customWidth="true" hidden="false" outlineLevel="0" max="8706" min="8706" style="19" width="9.71"/>
    <col collapsed="false" customWidth="false" hidden="false" outlineLevel="0" max="8709" min="8707" style="19" width="9.14"/>
    <col collapsed="false" customWidth="true" hidden="false" outlineLevel="0" max="8710" min="8710" style="19" width="10.71"/>
    <col collapsed="false" customWidth="true" hidden="false" outlineLevel="0" max="8711" min="8711" style="19" width="9.57"/>
    <col collapsed="false" customWidth="false" hidden="false" outlineLevel="0" max="8960" min="8712" style="19" width="9.14"/>
    <col collapsed="false" customWidth="true" hidden="false" outlineLevel="0" max="8961" min="8961" style="19" width="21.71"/>
    <col collapsed="false" customWidth="true" hidden="false" outlineLevel="0" max="8962" min="8962" style="19" width="9.71"/>
    <col collapsed="false" customWidth="false" hidden="false" outlineLevel="0" max="8965" min="8963" style="19" width="9.14"/>
    <col collapsed="false" customWidth="true" hidden="false" outlineLevel="0" max="8966" min="8966" style="19" width="10.71"/>
    <col collapsed="false" customWidth="true" hidden="false" outlineLevel="0" max="8967" min="8967" style="19" width="9.57"/>
    <col collapsed="false" customWidth="false" hidden="false" outlineLevel="0" max="9216" min="8968" style="19" width="9.14"/>
    <col collapsed="false" customWidth="true" hidden="false" outlineLevel="0" max="9217" min="9217" style="19" width="21.71"/>
    <col collapsed="false" customWidth="true" hidden="false" outlineLevel="0" max="9218" min="9218" style="19" width="9.71"/>
    <col collapsed="false" customWidth="false" hidden="false" outlineLevel="0" max="9221" min="9219" style="19" width="9.14"/>
    <col collapsed="false" customWidth="true" hidden="false" outlineLevel="0" max="9222" min="9222" style="19" width="10.71"/>
    <col collapsed="false" customWidth="true" hidden="false" outlineLevel="0" max="9223" min="9223" style="19" width="9.57"/>
    <col collapsed="false" customWidth="false" hidden="false" outlineLevel="0" max="9472" min="9224" style="19" width="9.14"/>
    <col collapsed="false" customWidth="true" hidden="false" outlineLevel="0" max="9473" min="9473" style="19" width="21.71"/>
    <col collapsed="false" customWidth="true" hidden="false" outlineLevel="0" max="9474" min="9474" style="19" width="9.71"/>
    <col collapsed="false" customWidth="false" hidden="false" outlineLevel="0" max="9477" min="9475" style="19" width="9.14"/>
    <col collapsed="false" customWidth="true" hidden="false" outlineLevel="0" max="9478" min="9478" style="19" width="10.71"/>
    <col collapsed="false" customWidth="true" hidden="false" outlineLevel="0" max="9479" min="9479" style="19" width="9.57"/>
    <col collapsed="false" customWidth="false" hidden="false" outlineLevel="0" max="9728" min="9480" style="19" width="9.14"/>
    <col collapsed="false" customWidth="true" hidden="false" outlineLevel="0" max="9729" min="9729" style="19" width="21.71"/>
    <col collapsed="false" customWidth="true" hidden="false" outlineLevel="0" max="9730" min="9730" style="19" width="9.71"/>
    <col collapsed="false" customWidth="false" hidden="false" outlineLevel="0" max="9733" min="9731" style="19" width="9.14"/>
    <col collapsed="false" customWidth="true" hidden="false" outlineLevel="0" max="9734" min="9734" style="19" width="10.71"/>
    <col collapsed="false" customWidth="true" hidden="false" outlineLevel="0" max="9735" min="9735" style="19" width="9.57"/>
    <col collapsed="false" customWidth="false" hidden="false" outlineLevel="0" max="9984" min="9736" style="19" width="9.14"/>
    <col collapsed="false" customWidth="true" hidden="false" outlineLevel="0" max="9985" min="9985" style="19" width="21.71"/>
    <col collapsed="false" customWidth="true" hidden="false" outlineLevel="0" max="9986" min="9986" style="19" width="9.71"/>
    <col collapsed="false" customWidth="false" hidden="false" outlineLevel="0" max="9989" min="9987" style="19" width="9.14"/>
    <col collapsed="false" customWidth="true" hidden="false" outlineLevel="0" max="9990" min="9990" style="19" width="10.71"/>
    <col collapsed="false" customWidth="true" hidden="false" outlineLevel="0" max="9991" min="9991" style="19" width="9.57"/>
    <col collapsed="false" customWidth="false" hidden="false" outlineLevel="0" max="10240" min="9992" style="19" width="9.14"/>
    <col collapsed="false" customWidth="true" hidden="false" outlineLevel="0" max="10241" min="10241" style="19" width="21.71"/>
    <col collapsed="false" customWidth="true" hidden="false" outlineLevel="0" max="10242" min="10242" style="19" width="9.71"/>
    <col collapsed="false" customWidth="false" hidden="false" outlineLevel="0" max="10245" min="10243" style="19" width="9.14"/>
    <col collapsed="false" customWidth="true" hidden="false" outlineLevel="0" max="10246" min="10246" style="19" width="10.71"/>
    <col collapsed="false" customWidth="true" hidden="false" outlineLevel="0" max="10247" min="10247" style="19" width="9.57"/>
    <col collapsed="false" customWidth="false" hidden="false" outlineLevel="0" max="10496" min="10248" style="19" width="9.14"/>
    <col collapsed="false" customWidth="true" hidden="false" outlineLevel="0" max="10497" min="10497" style="19" width="21.71"/>
    <col collapsed="false" customWidth="true" hidden="false" outlineLevel="0" max="10498" min="10498" style="19" width="9.71"/>
    <col collapsed="false" customWidth="false" hidden="false" outlineLevel="0" max="10501" min="10499" style="19" width="9.14"/>
    <col collapsed="false" customWidth="true" hidden="false" outlineLevel="0" max="10502" min="10502" style="19" width="10.71"/>
    <col collapsed="false" customWidth="true" hidden="false" outlineLevel="0" max="10503" min="10503" style="19" width="9.57"/>
    <col collapsed="false" customWidth="false" hidden="false" outlineLevel="0" max="10752" min="10504" style="19" width="9.14"/>
    <col collapsed="false" customWidth="true" hidden="false" outlineLevel="0" max="10753" min="10753" style="19" width="21.71"/>
    <col collapsed="false" customWidth="true" hidden="false" outlineLevel="0" max="10754" min="10754" style="19" width="9.71"/>
    <col collapsed="false" customWidth="false" hidden="false" outlineLevel="0" max="10757" min="10755" style="19" width="9.14"/>
    <col collapsed="false" customWidth="true" hidden="false" outlineLevel="0" max="10758" min="10758" style="19" width="10.71"/>
    <col collapsed="false" customWidth="true" hidden="false" outlineLevel="0" max="10759" min="10759" style="19" width="9.57"/>
    <col collapsed="false" customWidth="false" hidden="false" outlineLevel="0" max="11008" min="10760" style="19" width="9.14"/>
    <col collapsed="false" customWidth="true" hidden="false" outlineLevel="0" max="11009" min="11009" style="19" width="21.71"/>
    <col collapsed="false" customWidth="true" hidden="false" outlineLevel="0" max="11010" min="11010" style="19" width="9.71"/>
    <col collapsed="false" customWidth="false" hidden="false" outlineLevel="0" max="11013" min="11011" style="19" width="9.14"/>
    <col collapsed="false" customWidth="true" hidden="false" outlineLevel="0" max="11014" min="11014" style="19" width="10.71"/>
    <col collapsed="false" customWidth="true" hidden="false" outlineLevel="0" max="11015" min="11015" style="19" width="9.57"/>
    <col collapsed="false" customWidth="false" hidden="false" outlineLevel="0" max="11264" min="11016" style="19" width="9.14"/>
    <col collapsed="false" customWidth="true" hidden="false" outlineLevel="0" max="11265" min="11265" style="19" width="21.71"/>
    <col collapsed="false" customWidth="true" hidden="false" outlineLevel="0" max="11266" min="11266" style="19" width="9.71"/>
    <col collapsed="false" customWidth="false" hidden="false" outlineLevel="0" max="11269" min="11267" style="19" width="9.14"/>
    <col collapsed="false" customWidth="true" hidden="false" outlineLevel="0" max="11270" min="11270" style="19" width="10.71"/>
    <col collapsed="false" customWidth="true" hidden="false" outlineLevel="0" max="11271" min="11271" style="19" width="9.57"/>
    <col collapsed="false" customWidth="false" hidden="false" outlineLevel="0" max="11520" min="11272" style="19" width="9.14"/>
    <col collapsed="false" customWidth="true" hidden="false" outlineLevel="0" max="11521" min="11521" style="19" width="21.71"/>
    <col collapsed="false" customWidth="true" hidden="false" outlineLevel="0" max="11522" min="11522" style="19" width="9.71"/>
    <col collapsed="false" customWidth="false" hidden="false" outlineLevel="0" max="11525" min="11523" style="19" width="9.14"/>
    <col collapsed="false" customWidth="true" hidden="false" outlineLevel="0" max="11526" min="11526" style="19" width="10.71"/>
    <col collapsed="false" customWidth="true" hidden="false" outlineLevel="0" max="11527" min="11527" style="19" width="9.57"/>
    <col collapsed="false" customWidth="false" hidden="false" outlineLevel="0" max="11776" min="11528" style="19" width="9.14"/>
    <col collapsed="false" customWidth="true" hidden="false" outlineLevel="0" max="11777" min="11777" style="19" width="21.71"/>
    <col collapsed="false" customWidth="true" hidden="false" outlineLevel="0" max="11778" min="11778" style="19" width="9.71"/>
    <col collapsed="false" customWidth="false" hidden="false" outlineLevel="0" max="11781" min="11779" style="19" width="9.14"/>
    <col collapsed="false" customWidth="true" hidden="false" outlineLevel="0" max="11782" min="11782" style="19" width="10.71"/>
    <col collapsed="false" customWidth="true" hidden="false" outlineLevel="0" max="11783" min="11783" style="19" width="9.57"/>
    <col collapsed="false" customWidth="false" hidden="false" outlineLevel="0" max="12032" min="11784" style="19" width="9.14"/>
    <col collapsed="false" customWidth="true" hidden="false" outlineLevel="0" max="12033" min="12033" style="19" width="21.71"/>
    <col collapsed="false" customWidth="true" hidden="false" outlineLevel="0" max="12034" min="12034" style="19" width="9.71"/>
    <col collapsed="false" customWidth="false" hidden="false" outlineLevel="0" max="12037" min="12035" style="19" width="9.14"/>
    <col collapsed="false" customWidth="true" hidden="false" outlineLevel="0" max="12038" min="12038" style="19" width="10.71"/>
    <col collapsed="false" customWidth="true" hidden="false" outlineLevel="0" max="12039" min="12039" style="19" width="9.57"/>
    <col collapsed="false" customWidth="false" hidden="false" outlineLevel="0" max="12288" min="12040" style="19" width="9.14"/>
    <col collapsed="false" customWidth="true" hidden="false" outlineLevel="0" max="12289" min="12289" style="19" width="21.71"/>
    <col collapsed="false" customWidth="true" hidden="false" outlineLevel="0" max="12290" min="12290" style="19" width="9.71"/>
    <col collapsed="false" customWidth="false" hidden="false" outlineLevel="0" max="12293" min="12291" style="19" width="9.14"/>
    <col collapsed="false" customWidth="true" hidden="false" outlineLevel="0" max="12294" min="12294" style="19" width="10.71"/>
    <col collapsed="false" customWidth="true" hidden="false" outlineLevel="0" max="12295" min="12295" style="19" width="9.57"/>
    <col collapsed="false" customWidth="false" hidden="false" outlineLevel="0" max="12544" min="12296" style="19" width="9.14"/>
    <col collapsed="false" customWidth="true" hidden="false" outlineLevel="0" max="12545" min="12545" style="19" width="21.71"/>
    <col collapsed="false" customWidth="true" hidden="false" outlineLevel="0" max="12546" min="12546" style="19" width="9.71"/>
    <col collapsed="false" customWidth="false" hidden="false" outlineLevel="0" max="12549" min="12547" style="19" width="9.14"/>
    <col collapsed="false" customWidth="true" hidden="false" outlineLevel="0" max="12550" min="12550" style="19" width="10.71"/>
    <col collapsed="false" customWidth="true" hidden="false" outlineLevel="0" max="12551" min="12551" style="19" width="9.57"/>
    <col collapsed="false" customWidth="false" hidden="false" outlineLevel="0" max="12800" min="12552" style="19" width="9.14"/>
    <col collapsed="false" customWidth="true" hidden="false" outlineLevel="0" max="12801" min="12801" style="19" width="21.71"/>
    <col collapsed="false" customWidth="true" hidden="false" outlineLevel="0" max="12802" min="12802" style="19" width="9.71"/>
    <col collapsed="false" customWidth="false" hidden="false" outlineLevel="0" max="12805" min="12803" style="19" width="9.14"/>
    <col collapsed="false" customWidth="true" hidden="false" outlineLevel="0" max="12806" min="12806" style="19" width="10.71"/>
    <col collapsed="false" customWidth="true" hidden="false" outlineLevel="0" max="12807" min="12807" style="19" width="9.57"/>
    <col collapsed="false" customWidth="false" hidden="false" outlineLevel="0" max="13056" min="12808" style="19" width="9.14"/>
    <col collapsed="false" customWidth="true" hidden="false" outlineLevel="0" max="13057" min="13057" style="19" width="21.71"/>
    <col collapsed="false" customWidth="true" hidden="false" outlineLevel="0" max="13058" min="13058" style="19" width="9.71"/>
    <col collapsed="false" customWidth="false" hidden="false" outlineLevel="0" max="13061" min="13059" style="19" width="9.14"/>
    <col collapsed="false" customWidth="true" hidden="false" outlineLevel="0" max="13062" min="13062" style="19" width="10.71"/>
    <col collapsed="false" customWidth="true" hidden="false" outlineLevel="0" max="13063" min="13063" style="19" width="9.57"/>
    <col collapsed="false" customWidth="false" hidden="false" outlineLevel="0" max="13312" min="13064" style="19" width="9.14"/>
    <col collapsed="false" customWidth="true" hidden="false" outlineLevel="0" max="13313" min="13313" style="19" width="21.71"/>
    <col collapsed="false" customWidth="true" hidden="false" outlineLevel="0" max="13314" min="13314" style="19" width="9.71"/>
    <col collapsed="false" customWidth="false" hidden="false" outlineLevel="0" max="13317" min="13315" style="19" width="9.14"/>
    <col collapsed="false" customWidth="true" hidden="false" outlineLevel="0" max="13318" min="13318" style="19" width="10.71"/>
    <col collapsed="false" customWidth="true" hidden="false" outlineLevel="0" max="13319" min="13319" style="19" width="9.57"/>
    <col collapsed="false" customWidth="false" hidden="false" outlineLevel="0" max="13568" min="13320" style="19" width="9.14"/>
    <col collapsed="false" customWidth="true" hidden="false" outlineLevel="0" max="13569" min="13569" style="19" width="21.71"/>
    <col collapsed="false" customWidth="true" hidden="false" outlineLevel="0" max="13570" min="13570" style="19" width="9.71"/>
    <col collapsed="false" customWidth="false" hidden="false" outlineLevel="0" max="13573" min="13571" style="19" width="9.14"/>
    <col collapsed="false" customWidth="true" hidden="false" outlineLevel="0" max="13574" min="13574" style="19" width="10.71"/>
    <col collapsed="false" customWidth="true" hidden="false" outlineLevel="0" max="13575" min="13575" style="19" width="9.57"/>
    <col collapsed="false" customWidth="false" hidden="false" outlineLevel="0" max="13824" min="13576" style="19" width="9.14"/>
    <col collapsed="false" customWidth="true" hidden="false" outlineLevel="0" max="13825" min="13825" style="19" width="21.71"/>
    <col collapsed="false" customWidth="true" hidden="false" outlineLevel="0" max="13826" min="13826" style="19" width="9.71"/>
    <col collapsed="false" customWidth="false" hidden="false" outlineLevel="0" max="13829" min="13827" style="19" width="9.14"/>
    <col collapsed="false" customWidth="true" hidden="false" outlineLevel="0" max="13830" min="13830" style="19" width="10.71"/>
    <col collapsed="false" customWidth="true" hidden="false" outlineLevel="0" max="13831" min="13831" style="19" width="9.57"/>
    <col collapsed="false" customWidth="false" hidden="false" outlineLevel="0" max="14080" min="13832" style="19" width="9.14"/>
    <col collapsed="false" customWidth="true" hidden="false" outlineLevel="0" max="14081" min="14081" style="19" width="21.71"/>
    <col collapsed="false" customWidth="true" hidden="false" outlineLevel="0" max="14082" min="14082" style="19" width="9.71"/>
    <col collapsed="false" customWidth="false" hidden="false" outlineLevel="0" max="14085" min="14083" style="19" width="9.14"/>
    <col collapsed="false" customWidth="true" hidden="false" outlineLevel="0" max="14086" min="14086" style="19" width="10.71"/>
    <col collapsed="false" customWidth="true" hidden="false" outlineLevel="0" max="14087" min="14087" style="19" width="9.57"/>
    <col collapsed="false" customWidth="false" hidden="false" outlineLevel="0" max="14336" min="14088" style="19" width="9.14"/>
    <col collapsed="false" customWidth="true" hidden="false" outlineLevel="0" max="14337" min="14337" style="19" width="21.71"/>
    <col collapsed="false" customWidth="true" hidden="false" outlineLevel="0" max="14338" min="14338" style="19" width="9.71"/>
    <col collapsed="false" customWidth="false" hidden="false" outlineLevel="0" max="14341" min="14339" style="19" width="9.14"/>
    <col collapsed="false" customWidth="true" hidden="false" outlineLevel="0" max="14342" min="14342" style="19" width="10.71"/>
    <col collapsed="false" customWidth="true" hidden="false" outlineLevel="0" max="14343" min="14343" style="19" width="9.57"/>
    <col collapsed="false" customWidth="false" hidden="false" outlineLevel="0" max="14592" min="14344" style="19" width="9.14"/>
    <col collapsed="false" customWidth="true" hidden="false" outlineLevel="0" max="14593" min="14593" style="19" width="21.71"/>
    <col collapsed="false" customWidth="true" hidden="false" outlineLevel="0" max="14594" min="14594" style="19" width="9.71"/>
    <col collapsed="false" customWidth="false" hidden="false" outlineLevel="0" max="14597" min="14595" style="19" width="9.14"/>
    <col collapsed="false" customWidth="true" hidden="false" outlineLevel="0" max="14598" min="14598" style="19" width="10.71"/>
    <col collapsed="false" customWidth="true" hidden="false" outlineLevel="0" max="14599" min="14599" style="19" width="9.57"/>
    <col collapsed="false" customWidth="false" hidden="false" outlineLevel="0" max="14848" min="14600" style="19" width="9.14"/>
    <col collapsed="false" customWidth="true" hidden="false" outlineLevel="0" max="14849" min="14849" style="19" width="21.71"/>
    <col collapsed="false" customWidth="true" hidden="false" outlineLevel="0" max="14850" min="14850" style="19" width="9.71"/>
    <col collapsed="false" customWidth="false" hidden="false" outlineLevel="0" max="14853" min="14851" style="19" width="9.14"/>
    <col collapsed="false" customWidth="true" hidden="false" outlineLevel="0" max="14854" min="14854" style="19" width="10.71"/>
    <col collapsed="false" customWidth="true" hidden="false" outlineLevel="0" max="14855" min="14855" style="19" width="9.57"/>
    <col collapsed="false" customWidth="false" hidden="false" outlineLevel="0" max="15104" min="14856" style="19" width="9.14"/>
    <col collapsed="false" customWidth="true" hidden="false" outlineLevel="0" max="15105" min="15105" style="19" width="21.71"/>
    <col collapsed="false" customWidth="true" hidden="false" outlineLevel="0" max="15106" min="15106" style="19" width="9.71"/>
    <col collapsed="false" customWidth="false" hidden="false" outlineLevel="0" max="15109" min="15107" style="19" width="9.14"/>
    <col collapsed="false" customWidth="true" hidden="false" outlineLevel="0" max="15110" min="15110" style="19" width="10.71"/>
    <col collapsed="false" customWidth="true" hidden="false" outlineLevel="0" max="15111" min="15111" style="19" width="9.57"/>
    <col collapsed="false" customWidth="false" hidden="false" outlineLevel="0" max="15360" min="15112" style="19" width="9.14"/>
    <col collapsed="false" customWidth="true" hidden="false" outlineLevel="0" max="15361" min="15361" style="19" width="21.71"/>
    <col collapsed="false" customWidth="true" hidden="false" outlineLevel="0" max="15362" min="15362" style="19" width="9.71"/>
    <col collapsed="false" customWidth="false" hidden="false" outlineLevel="0" max="15365" min="15363" style="19" width="9.14"/>
    <col collapsed="false" customWidth="true" hidden="false" outlineLevel="0" max="15366" min="15366" style="19" width="10.71"/>
    <col collapsed="false" customWidth="true" hidden="false" outlineLevel="0" max="15367" min="15367" style="19" width="9.57"/>
    <col collapsed="false" customWidth="false" hidden="false" outlineLevel="0" max="15616" min="15368" style="19" width="9.14"/>
    <col collapsed="false" customWidth="true" hidden="false" outlineLevel="0" max="15617" min="15617" style="19" width="21.71"/>
    <col collapsed="false" customWidth="true" hidden="false" outlineLevel="0" max="15618" min="15618" style="19" width="9.71"/>
    <col collapsed="false" customWidth="false" hidden="false" outlineLevel="0" max="15621" min="15619" style="19" width="9.14"/>
    <col collapsed="false" customWidth="true" hidden="false" outlineLevel="0" max="15622" min="15622" style="19" width="10.71"/>
    <col collapsed="false" customWidth="true" hidden="false" outlineLevel="0" max="15623" min="15623" style="19" width="9.57"/>
    <col collapsed="false" customWidth="false" hidden="false" outlineLevel="0" max="15872" min="15624" style="19" width="9.14"/>
    <col collapsed="false" customWidth="true" hidden="false" outlineLevel="0" max="15873" min="15873" style="19" width="21.71"/>
    <col collapsed="false" customWidth="true" hidden="false" outlineLevel="0" max="15874" min="15874" style="19" width="9.71"/>
    <col collapsed="false" customWidth="false" hidden="false" outlineLevel="0" max="15877" min="15875" style="19" width="9.14"/>
    <col collapsed="false" customWidth="true" hidden="false" outlineLevel="0" max="15878" min="15878" style="19" width="10.71"/>
    <col collapsed="false" customWidth="true" hidden="false" outlineLevel="0" max="15879" min="15879" style="19" width="9.57"/>
    <col collapsed="false" customWidth="false" hidden="false" outlineLevel="0" max="16128" min="15880" style="19" width="9.14"/>
    <col collapsed="false" customWidth="true" hidden="false" outlineLevel="0" max="16129" min="16129" style="19" width="21.71"/>
    <col collapsed="false" customWidth="true" hidden="false" outlineLevel="0" max="16130" min="16130" style="19" width="9.71"/>
    <col collapsed="false" customWidth="false" hidden="false" outlineLevel="0" max="16133" min="16131" style="19" width="9.14"/>
    <col collapsed="false" customWidth="true" hidden="false" outlineLevel="0" max="16134" min="16134" style="19" width="10.71"/>
    <col collapsed="false" customWidth="true" hidden="false" outlineLevel="0" max="16135" min="16135" style="19" width="9.57"/>
    <col collapsed="false" customWidth="false" hidden="false" outlineLevel="0" max="16384" min="16136" style="19" width="9.14"/>
  </cols>
  <sheetData>
    <row r="1" customFormat="false" ht="15.75" hidden="false" customHeight="false" outlineLevel="0" collapsed="false">
      <c r="A1" s="14" t="s">
        <v>150</v>
      </c>
      <c r="F1" s="17"/>
      <c r="G1" s="17"/>
      <c r="J1" s="19"/>
    </row>
    <row r="2" customFormat="false" ht="12" hidden="false" customHeight="false" outlineLevel="0" collapsed="false">
      <c r="F2" s="17"/>
      <c r="G2" s="17"/>
      <c r="J2" s="19"/>
    </row>
    <row r="3" s="19" customFormat="true" ht="48" hidden="false" customHeight="false" outlineLevel="0" collapsed="false">
      <c r="A3" s="20" t="n">
        <v>2007</v>
      </c>
      <c r="B3" s="21" t="s">
        <v>17</v>
      </c>
      <c r="C3" s="22" t="s">
        <v>106</v>
      </c>
      <c r="D3" s="22" t="s">
        <v>107</v>
      </c>
      <c r="E3" s="25" t="s">
        <v>108</v>
      </c>
      <c r="F3" s="74" t="s">
        <v>109</v>
      </c>
      <c r="G3" s="24" t="s">
        <v>110</v>
      </c>
      <c r="H3" s="22" t="s">
        <v>106</v>
      </c>
      <c r="I3" s="22" t="s">
        <v>107</v>
      </c>
    </row>
    <row r="4" s="19" customFormat="true" ht="12" hidden="false" customHeight="false" outlineLevel="0" collapsed="false">
      <c r="A4" s="179" t="s">
        <v>138</v>
      </c>
      <c r="B4" s="230" t="n">
        <v>364.431</v>
      </c>
      <c r="C4" s="231" t="s">
        <v>91</v>
      </c>
      <c r="D4" s="232" t="s">
        <v>91</v>
      </c>
      <c r="E4" s="233" t="n">
        <v>0.108527563477566</v>
      </c>
      <c r="F4" s="230" t="n">
        <v>97.7137</v>
      </c>
      <c r="G4" s="234" t="n">
        <v>3042.219</v>
      </c>
      <c r="H4" s="235" t="s">
        <v>91</v>
      </c>
      <c r="I4" s="233" t="s">
        <v>91</v>
      </c>
    </row>
    <row r="5" s="19" customFormat="true" ht="12" hidden="false" customHeight="false" outlineLevel="0" collapsed="false">
      <c r="A5" s="187" t="s">
        <v>96</v>
      </c>
      <c r="B5" s="237" t="n">
        <v>11.087</v>
      </c>
      <c r="C5" s="238" t="n">
        <v>0.78713808965455</v>
      </c>
      <c r="D5" s="239" t="n">
        <v>0.21286191034545</v>
      </c>
      <c r="E5" s="240" t="n">
        <v>0.12482548975456</v>
      </c>
      <c r="F5" s="237" t="n">
        <v>2.092</v>
      </c>
      <c r="G5" s="241" t="n">
        <v>76.996</v>
      </c>
      <c r="H5" s="242" t="n">
        <v>0.335134292690529</v>
      </c>
      <c r="I5" s="240" t="n">
        <v>0.664865707309471</v>
      </c>
    </row>
    <row r="6" s="19" customFormat="true" ht="12" hidden="false" customHeight="false" outlineLevel="0" collapsed="false">
      <c r="A6" s="80" t="s">
        <v>27</v>
      </c>
      <c r="B6" s="104" t="n">
        <v>4.05</v>
      </c>
      <c r="C6" s="166" t="n">
        <v>0.692592592592593</v>
      </c>
      <c r="D6" s="105" t="n">
        <v>0.307407407407407</v>
      </c>
      <c r="E6" s="167" t="n">
        <v>0.093539968127122</v>
      </c>
      <c r="F6" s="104" t="n">
        <v>1.299</v>
      </c>
      <c r="G6" s="107" t="n">
        <v>57.334</v>
      </c>
      <c r="H6" s="224" t="n">
        <v>0.715387030383368</v>
      </c>
      <c r="I6" s="167" t="n">
        <v>0.284612969616632</v>
      </c>
    </row>
    <row r="7" s="19" customFormat="true" ht="12" hidden="false" customHeight="false" outlineLevel="0" collapsed="false">
      <c r="A7" s="80" t="s">
        <v>28</v>
      </c>
      <c r="B7" s="104" t="n">
        <v>11.431</v>
      </c>
      <c r="C7" s="166" t="n">
        <v>0.669320269442743</v>
      </c>
      <c r="D7" s="105" t="n">
        <v>0.330679730557257</v>
      </c>
      <c r="E7" s="167" t="n">
        <v>0.129606113517313</v>
      </c>
      <c r="F7" s="104" t="n">
        <v>4.633</v>
      </c>
      <c r="G7" s="107" t="n">
        <v>124.467</v>
      </c>
      <c r="H7" s="224" t="n">
        <v>0.571757976009705</v>
      </c>
      <c r="I7" s="167" t="n">
        <v>0.428242023990295</v>
      </c>
    </row>
    <row r="8" s="19" customFormat="true" ht="12" hidden="false" customHeight="false" outlineLevel="0" collapsed="false">
      <c r="A8" s="80" t="s">
        <v>29</v>
      </c>
      <c r="B8" s="104" t="n">
        <v>16.739</v>
      </c>
      <c r="C8" s="166" t="s">
        <v>91</v>
      </c>
      <c r="D8" s="105" t="s">
        <v>91</v>
      </c>
      <c r="E8" s="167" t="n">
        <v>0.427516984216172</v>
      </c>
      <c r="F8" s="104" t="n">
        <v>5.602</v>
      </c>
      <c r="G8" s="107" t="n">
        <v>109.232</v>
      </c>
      <c r="H8" s="224" t="s">
        <v>91</v>
      </c>
      <c r="I8" s="167" t="s">
        <v>91</v>
      </c>
    </row>
    <row r="9" s="19" customFormat="true" ht="12" hidden="false" customHeight="false" outlineLevel="0" collapsed="false">
      <c r="A9" s="80" t="s">
        <v>30</v>
      </c>
      <c r="B9" s="104" t="n">
        <v>77.504</v>
      </c>
      <c r="C9" s="166" t="n">
        <v>0.667720375722543</v>
      </c>
      <c r="D9" s="105" t="n">
        <v>0.332279624277457</v>
      </c>
      <c r="E9" s="167" t="n">
        <v>0.121651041200689</v>
      </c>
      <c r="F9" s="104" t="n">
        <v>21.055</v>
      </c>
      <c r="G9" s="107" t="n">
        <v>633.359</v>
      </c>
      <c r="H9" s="224" t="n">
        <v>0.546326806755726</v>
      </c>
      <c r="I9" s="167" t="n">
        <v>0.453673193244274</v>
      </c>
    </row>
    <row r="10" s="19" customFormat="true" ht="13.5" hidden="false" customHeight="false" outlineLevel="0" collapsed="false">
      <c r="A10" s="80" t="s">
        <v>151</v>
      </c>
      <c r="B10" s="104" t="n">
        <v>0.869</v>
      </c>
      <c r="C10" s="166" t="n">
        <v>0.867663981588032</v>
      </c>
      <c r="D10" s="105" t="n">
        <v>0.132336018411968</v>
      </c>
      <c r="E10" s="167" t="n">
        <v>0.0712879409351928</v>
      </c>
      <c r="F10" s="104" t="n">
        <v>1.605</v>
      </c>
      <c r="G10" s="107" t="n">
        <v>9.998</v>
      </c>
      <c r="H10" s="224" t="n">
        <v>0.769253850770154</v>
      </c>
      <c r="I10" s="167" t="n">
        <v>0.230746149229846</v>
      </c>
    </row>
    <row r="11" s="19" customFormat="true" ht="13.5" hidden="false" customHeight="false" outlineLevel="0" collapsed="false">
      <c r="A11" s="80" t="s">
        <v>141</v>
      </c>
      <c r="B11" s="104" t="n">
        <v>1.775</v>
      </c>
      <c r="C11" s="166" t="n">
        <v>0</v>
      </c>
      <c r="D11" s="105" t="n">
        <v>1</v>
      </c>
      <c r="E11" s="167" t="n">
        <v>0.0628852830723446</v>
      </c>
      <c r="F11" s="104" t="n">
        <v>0.268</v>
      </c>
      <c r="G11" s="107" t="n">
        <v>11.589</v>
      </c>
      <c r="H11" s="224" t="n">
        <v>0</v>
      </c>
      <c r="I11" s="167" t="n">
        <v>1</v>
      </c>
    </row>
    <row r="12" s="19" customFormat="true" ht="12" hidden="false" customHeight="false" outlineLevel="0" collapsed="false">
      <c r="A12" s="80" t="s">
        <v>33</v>
      </c>
      <c r="B12" s="104" t="n">
        <v>1.015</v>
      </c>
      <c r="C12" s="166" t="n">
        <v>1</v>
      </c>
      <c r="D12" s="105" t="n">
        <v>0</v>
      </c>
      <c r="E12" s="167" t="n">
        <v>0.0159850071656929</v>
      </c>
      <c r="F12" s="104" t="n">
        <v>0.215</v>
      </c>
      <c r="G12" s="107" t="n">
        <v>9.487</v>
      </c>
      <c r="H12" s="224" t="n">
        <v>1</v>
      </c>
      <c r="I12" s="167" t="n">
        <v>0</v>
      </c>
    </row>
    <row r="13" s="19" customFormat="true" ht="12" hidden="false" customHeight="false" outlineLevel="0" collapsed="false">
      <c r="A13" s="80" t="s">
        <v>34</v>
      </c>
      <c r="B13" s="104" t="n">
        <v>21.647</v>
      </c>
      <c r="C13" s="166" t="n">
        <v>0</v>
      </c>
      <c r="D13" s="105" t="n">
        <v>1</v>
      </c>
      <c r="E13" s="167" t="n">
        <v>0.0713732265499039</v>
      </c>
      <c r="F13" s="104" t="n">
        <v>3.753</v>
      </c>
      <c r="G13" s="107" t="n">
        <v>191.323</v>
      </c>
      <c r="H13" s="224" t="n">
        <v>0</v>
      </c>
      <c r="I13" s="167" t="n">
        <v>1</v>
      </c>
    </row>
    <row r="14" s="19" customFormat="true" ht="12" hidden="false" customHeight="false" outlineLevel="0" collapsed="false">
      <c r="A14" s="80" t="s">
        <v>35</v>
      </c>
      <c r="B14" s="104" t="n">
        <v>18.426</v>
      </c>
      <c r="C14" s="166" t="n">
        <v>0.462444372082926</v>
      </c>
      <c r="D14" s="105" t="n">
        <v>0.537555627917074</v>
      </c>
      <c r="E14" s="167" t="n">
        <v>0.0323353356462592</v>
      </c>
      <c r="F14" s="104" t="n">
        <v>5.344</v>
      </c>
      <c r="G14" s="107" t="n">
        <v>189.089</v>
      </c>
      <c r="H14" s="224" t="n">
        <v>0.309631972245874</v>
      </c>
      <c r="I14" s="167" t="n">
        <v>0.690368027754126</v>
      </c>
    </row>
    <row r="15" s="19" customFormat="true" ht="12" hidden="false" customHeight="false" outlineLevel="0" collapsed="false">
      <c r="A15" s="80" t="s">
        <v>37</v>
      </c>
      <c r="B15" s="104" t="n">
        <v>32.327</v>
      </c>
      <c r="C15" s="166" t="n">
        <v>0.588269867293594</v>
      </c>
      <c r="D15" s="105" t="n">
        <v>0.411730132706406</v>
      </c>
      <c r="E15" s="167" t="n">
        <v>0.102989292324945</v>
      </c>
      <c r="F15" s="104" t="n">
        <v>6.125</v>
      </c>
      <c r="G15" s="107" t="n">
        <v>204.414</v>
      </c>
      <c r="H15" s="224" t="n">
        <v>0.407702016495935</v>
      </c>
      <c r="I15" s="167" t="n">
        <v>0.592297983504065</v>
      </c>
    </row>
    <row r="16" s="19" customFormat="true" ht="12" hidden="false" customHeight="false" outlineLevel="0" collapsed="false">
      <c r="A16" s="80" t="s">
        <v>38</v>
      </c>
      <c r="B16" s="104" t="n">
        <v>0.014</v>
      </c>
      <c r="C16" s="166" t="n">
        <v>0</v>
      </c>
      <c r="D16" s="105" t="n">
        <v>1</v>
      </c>
      <c r="E16" s="167" t="n">
        <v>0.00287415315130363</v>
      </c>
      <c r="F16" s="104" t="n">
        <v>0.005</v>
      </c>
      <c r="G16" s="107" t="n">
        <v>0.067</v>
      </c>
      <c r="H16" s="224" t="n">
        <v>0</v>
      </c>
      <c r="I16" s="167" t="n">
        <v>1</v>
      </c>
    </row>
    <row r="17" s="19" customFormat="true" ht="12" hidden="false" customHeight="false" outlineLevel="0" collapsed="false">
      <c r="A17" s="80" t="s">
        <v>70</v>
      </c>
      <c r="B17" s="104" t="n">
        <v>1.953</v>
      </c>
      <c r="C17" s="166" t="n">
        <v>0.973886328725038</v>
      </c>
      <c r="D17" s="105" t="n">
        <v>0.0261136712749616</v>
      </c>
      <c r="E17" s="167" t="n">
        <v>0.409348145042968</v>
      </c>
      <c r="F17" s="104" t="n">
        <v>0.565</v>
      </c>
      <c r="G17" s="107" t="n">
        <v>9.798</v>
      </c>
      <c r="H17" s="224" t="n">
        <v>0.973770157174934</v>
      </c>
      <c r="I17" s="167" t="n">
        <v>0.0262298428250663</v>
      </c>
    </row>
    <row r="18" s="19" customFormat="true" ht="12" hidden="false" customHeight="false" outlineLevel="0" collapsed="false">
      <c r="A18" s="80" t="s">
        <v>40</v>
      </c>
      <c r="B18" s="104" t="n">
        <v>1.844</v>
      </c>
      <c r="C18" s="166" t="n">
        <v>0.853579175704989</v>
      </c>
      <c r="D18" s="105" t="n">
        <v>0.146420824295011</v>
      </c>
      <c r="E18" s="167" t="n">
        <v>0.131648461483544</v>
      </c>
      <c r="F18" s="104" t="n">
        <v>1.051</v>
      </c>
      <c r="G18" s="107" t="n">
        <v>16.89</v>
      </c>
      <c r="H18" s="224" t="n">
        <v>0.810775606867969</v>
      </c>
      <c r="I18" s="167" t="n">
        <v>0.189224393132031</v>
      </c>
    </row>
    <row r="19" s="19" customFormat="true" ht="13.5" hidden="false" customHeight="false" outlineLevel="0" collapsed="false">
      <c r="A19" s="80" t="s">
        <v>152</v>
      </c>
      <c r="B19" s="104" t="n">
        <v>0.398</v>
      </c>
      <c r="C19" s="166" t="n">
        <v>1</v>
      </c>
      <c r="D19" s="105" t="n">
        <v>0</v>
      </c>
      <c r="E19" s="167" t="n">
        <v>0.0994751312171957</v>
      </c>
      <c r="F19" s="104" t="n">
        <v>0.107</v>
      </c>
      <c r="G19" s="107" t="n">
        <v>2.28</v>
      </c>
      <c r="H19" s="224" t="n">
        <v>1</v>
      </c>
      <c r="I19" s="167" t="n">
        <v>0</v>
      </c>
    </row>
    <row r="20" s="19" customFormat="true" ht="12" hidden="false" customHeight="false" outlineLevel="0" collapsed="false">
      <c r="A20" s="80" t="s">
        <v>113</v>
      </c>
      <c r="B20" s="104" t="n">
        <v>8.568</v>
      </c>
      <c r="C20" s="166" t="n">
        <v>0.940709617180205</v>
      </c>
      <c r="D20" s="105" t="n">
        <v>0.0592903828197946</v>
      </c>
      <c r="E20" s="167" t="n">
        <v>0.214419780274782</v>
      </c>
      <c r="F20" s="104" t="n">
        <v>0.2237</v>
      </c>
      <c r="G20" s="107" t="n">
        <v>49.222</v>
      </c>
      <c r="H20" s="224" t="n">
        <v>0.853744260696437</v>
      </c>
      <c r="I20" s="167" t="n">
        <v>0.146255739303563</v>
      </c>
    </row>
    <row r="21" s="19" customFormat="true" ht="12" hidden="false" customHeight="false" outlineLevel="0" collapsed="false">
      <c r="A21" s="80" t="s">
        <v>43</v>
      </c>
      <c r="B21" s="104" t="n">
        <v>0</v>
      </c>
      <c r="C21" s="166" t="n">
        <v>0</v>
      </c>
      <c r="D21" s="105" t="n">
        <v>0</v>
      </c>
      <c r="E21" s="167" t="n">
        <v>0</v>
      </c>
      <c r="F21" s="104" t="n">
        <v>0</v>
      </c>
      <c r="G21" s="107" t="n">
        <v>0</v>
      </c>
      <c r="H21" s="224" t="n">
        <v>0</v>
      </c>
      <c r="I21" s="167" t="n">
        <v>0</v>
      </c>
    </row>
    <row r="22" s="19" customFormat="true" ht="12" hidden="false" customHeight="false" outlineLevel="0" collapsed="false">
      <c r="A22" s="80" t="s">
        <v>72</v>
      </c>
      <c r="B22" s="104" t="n">
        <v>31.053</v>
      </c>
      <c r="C22" s="166" t="s">
        <v>91</v>
      </c>
      <c r="D22" s="105" t="s">
        <v>91</v>
      </c>
      <c r="E22" s="167" t="n">
        <v>0.300781666198506</v>
      </c>
      <c r="F22" s="104" t="n">
        <v>8.343</v>
      </c>
      <c r="G22" s="107" t="n">
        <v>223.255</v>
      </c>
      <c r="H22" s="224" t="s">
        <v>91</v>
      </c>
      <c r="I22" s="167" t="s">
        <v>91</v>
      </c>
    </row>
    <row r="23" s="19" customFormat="true" ht="12" hidden="false" customHeight="false" outlineLevel="0" collapsed="false">
      <c r="A23" s="80" t="s">
        <v>45</v>
      </c>
      <c r="B23" s="104" t="n">
        <v>9.904</v>
      </c>
      <c r="C23" s="166" t="n">
        <v>0.42376817447496</v>
      </c>
      <c r="D23" s="105" t="n">
        <v>0.57623182552504</v>
      </c>
      <c r="E23" s="167" t="n">
        <v>0.156140627463345</v>
      </c>
      <c r="F23" s="104" t="n">
        <v>3.083</v>
      </c>
      <c r="G23" s="107" t="n">
        <v>97.923</v>
      </c>
      <c r="H23" s="224" t="n">
        <v>0.327389887973203</v>
      </c>
      <c r="I23" s="167" t="n">
        <v>0.672610112026797</v>
      </c>
    </row>
    <row r="24" s="19" customFormat="true" ht="12" hidden="false" customHeight="false" outlineLevel="0" collapsed="false">
      <c r="A24" s="80" t="s">
        <v>46</v>
      </c>
      <c r="B24" s="104" t="n">
        <v>27.565</v>
      </c>
      <c r="C24" s="166" t="n">
        <v>0.734010520587702</v>
      </c>
      <c r="D24" s="105" t="n">
        <v>0.265989479412298</v>
      </c>
      <c r="E24" s="167" t="n">
        <v>0.172986168637197</v>
      </c>
      <c r="F24" s="104" t="n">
        <v>9.02</v>
      </c>
      <c r="G24" s="107" t="n">
        <v>260.996</v>
      </c>
      <c r="H24" s="224" t="n">
        <v>0.614664592560806</v>
      </c>
      <c r="I24" s="167" t="n">
        <v>0.385335407439195</v>
      </c>
    </row>
    <row r="25" s="19" customFormat="true" ht="12" hidden="false" customHeight="false" outlineLevel="0" collapsed="false">
      <c r="A25" s="80" t="s">
        <v>98</v>
      </c>
      <c r="B25" s="104" t="n">
        <v>5.823</v>
      </c>
      <c r="C25" s="166" t="n">
        <v>0.68916366134295</v>
      </c>
      <c r="D25" s="105" t="n">
        <v>0.31083633865705</v>
      </c>
      <c r="E25" s="167" t="n">
        <v>0.123230271093899</v>
      </c>
      <c r="F25" s="104" t="n">
        <v>1.07</v>
      </c>
      <c r="G25" s="107" t="n">
        <v>62.994</v>
      </c>
      <c r="H25" s="224" t="n">
        <v>0.480918817665174</v>
      </c>
      <c r="I25" s="167" t="n">
        <v>0.519081182334826</v>
      </c>
    </row>
    <row r="26" s="19" customFormat="true" ht="13.5" hidden="false" customHeight="false" outlineLevel="0" collapsed="false">
      <c r="A26" s="80" t="s">
        <v>143</v>
      </c>
      <c r="B26" s="104" t="n">
        <v>6.623</v>
      </c>
      <c r="C26" s="166" t="n">
        <v>0.853540691529518</v>
      </c>
      <c r="D26" s="105" t="n">
        <v>0.146459308470482</v>
      </c>
      <c r="E26" s="167" t="n">
        <v>0.107388970862452</v>
      </c>
      <c r="F26" s="104" t="n">
        <v>4.484</v>
      </c>
      <c r="G26" s="107" t="n">
        <v>73.236</v>
      </c>
      <c r="H26" s="224" t="n">
        <v>0.842290676716369</v>
      </c>
      <c r="I26" s="167" t="n">
        <v>0.157709323283631</v>
      </c>
    </row>
    <row r="27" s="19" customFormat="true" ht="12" hidden="false" customHeight="false" outlineLevel="0" collapsed="false">
      <c r="A27" s="80" t="s">
        <v>99</v>
      </c>
      <c r="B27" s="104" t="n">
        <v>1.087</v>
      </c>
      <c r="C27" s="166" t="n">
        <v>0.75344986200552</v>
      </c>
      <c r="D27" s="105" t="n">
        <v>0.24655013799448</v>
      </c>
      <c r="E27" s="167" t="n">
        <v>0.0722595227015888</v>
      </c>
      <c r="F27" s="104" t="n">
        <v>0.333</v>
      </c>
      <c r="G27" s="107" t="n">
        <v>11.892</v>
      </c>
      <c r="H27" s="224" t="n">
        <v>0.561722166162126</v>
      </c>
      <c r="I27" s="167" t="n">
        <v>0.438277833837874</v>
      </c>
    </row>
    <row r="28" s="19" customFormat="true" ht="12" hidden="false" customHeight="false" outlineLevel="0" collapsed="false">
      <c r="A28" s="80" t="s">
        <v>50</v>
      </c>
      <c r="B28" s="104" t="n">
        <v>7.19</v>
      </c>
      <c r="C28" s="166" t="n">
        <v>0.675660639777469</v>
      </c>
      <c r="D28" s="105" t="n">
        <v>0.324339360222531</v>
      </c>
      <c r="E28" s="167" t="n">
        <v>0.256273167949815</v>
      </c>
      <c r="F28" s="104" t="n">
        <v>2.158</v>
      </c>
      <c r="G28" s="107" t="n">
        <v>28.1</v>
      </c>
      <c r="H28" s="224" t="n">
        <v>0.608754448398577</v>
      </c>
      <c r="I28" s="167" t="n">
        <v>0.391245551601424</v>
      </c>
    </row>
    <row r="29" s="19" customFormat="true" ht="12" hidden="false" customHeight="false" outlineLevel="0" collapsed="false">
      <c r="A29" s="80" t="s">
        <v>75</v>
      </c>
      <c r="B29" s="104" t="n">
        <v>27.917</v>
      </c>
      <c r="C29" s="166" t="n">
        <v>0.662356270372891</v>
      </c>
      <c r="D29" s="105" t="n">
        <v>0.337643729627109</v>
      </c>
      <c r="E29" s="167" t="n">
        <v>0.343598075053231</v>
      </c>
      <c r="F29" s="104" t="n">
        <v>5.822</v>
      </c>
      <c r="G29" s="107" t="n">
        <v>269.447</v>
      </c>
      <c r="H29" s="224" t="n">
        <v>0.487873310892309</v>
      </c>
      <c r="I29" s="167" t="n">
        <v>0.512126689107691</v>
      </c>
    </row>
    <row r="30" s="19" customFormat="true" ht="12" hidden="false" customHeight="false" outlineLevel="0" collapsed="false">
      <c r="A30" s="108" t="s">
        <v>76</v>
      </c>
      <c r="B30" s="109" t="n">
        <v>12.279</v>
      </c>
      <c r="C30" s="138" t="n">
        <v>0.51836468767815</v>
      </c>
      <c r="D30" s="110" t="n">
        <v>0.48163531232185</v>
      </c>
      <c r="E30" s="139" t="n">
        <v>0.0824929962579527</v>
      </c>
      <c r="F30" s="109" t="n">
        <v>3.992</v>
      </c>
      <c r="G30" s="112" t="n">
        <v>155.855</v>
      </c>
      <c r="H30" s="244" t="n">
        <v>0.453575438709057</v>
      </c>
      <c r="I30" s="139" t="n">
        <v>0.546424561290944</v>
      </c>
    </row>
    <row r="31" s="19" customFormat="true" ht="12" hidden="false" customHeight="false" outlineLevel="0" collapsed="false">
      <c r="A31" s="87" t="s">
        <v>77</v>
      </c>
      <c r="B31" s="114" t="n">
        <v>25.343</v>
      </c>
      <c r="C31" s="245" t="n">
        <v>0.00690525983506294</v>
      </c>
      <c r="D31" s="115" t="n">
        <v>0.993094740164937</v>
      </c>
      <c r="E31" s="246" t="n">
        <v>0.0639743728905976</v>
      </c>
      <c r="F31" s="114" t="n">
        <v>5.466</v>
      </c>
      <c r="G31" s="113" t="n">
        <v>162.976</v>
      </c>
      <c r="H31" s="247" t="n">
        <v>0.00926516787747889</v>
      </c>
      <c r="I31" s="246" t="n">
        <v>0.990734832122521</v>
      </c>
    </row>
    <row r="32" s="19" customFormat="true" ht="12" hidden="false" customHeight="false" outlineLevel="0" collapsed="false">
      <c r="A32" s="65" t="s">
        <v>115</v>
      </c>
      <c r="B32" s="254" t="n">
        <v>0.151</v>
      </c>
      <c r="C32" s="255" t="n">
        <v>1</v>
      </c>
      <c r="D32" s="256" t="n">
        <v>0</v>
      </c>
      <c r="E32" s="257" t="n">
        <v>0.00109841348357108</v>
      </c>
      <c r="F32" s="254" t="s">
        <v>91</v>
      </c>
      <c r="G32" s="258" t="n">
        <v>3.75</v>
      </c>
      <c r="H32" s="259" t="n">
        <v>1</v>
      </c>
      <c r="I32" s="257" t="n">
        <v>0</v>
      </c>
    </row>
    <row r="33" s="19" customFormat="true" ht="13.5" hidden="false" customHeight="false" outlineLevel="0" collapsed="false">
      <c r="A33" s="220" t="s">
        <v>153</v>
      </c>
      <c r="B33" s="261" t="n">
        <v>8.82</v>
      </c>
      <c r="C33" s="262" t="n">
        <v>0.288775510204082</v>
      </c>
      <c r="D33" s="263" t="n">
        <v>0.711224489795918</v>
      </c>
      <c r="E33" s="264" t="n">
        <v>0.0460434959646687</v>
      </c>
      <c r="F33" s="261" t="n">
        <v>4.435</v>
      </c>
      <c r="G33" s="265" t="n">
        <v>101.505</v>
      </c>
      <c r="H33" s="266" t="n">
        <v>0.235564750504901</v>
      </c>
      <c r="I33" s="264" t="n">
        <v>0.764435249495099</v>
      </c>
    </row>
    <row r="34" s="19" customFormat="true" ht="12" hidden="false" customHeight="false" outlineLevel="0" collapsed="false"/>
    <row r="35" s="19" customFormat="true" ht="12" hidden="false" customHeight="false" outlineLevel="0" collapsed="false">
      <c r="A35" s="65"/>
      <c r="B35" s="268"/>
      <c r="C35" s="269"/>
      <c r="D35" s="269"/>
      <c r="E35" s="269"/>
      <c r="F35" s="270"/>
      <c r="G35" s="270"/>
      <c r="H35" s="269"/>
      <c r="I35" s="269"/>
    </row>
    <row r="36" customFormat="false" ht="12" hidden="false" customHeight="false" outlineLevel="0" collapsed="false">
      <c r="F36" s="16"/>
      <c r="G36" s="16"/>
      <c r="J36" s="19"/>
    </row>
    <row r="37" customFormat="false" ht="36" hidden="false" customHeight="false" outlineLevel="0" collapsed="false">
      <c r="A37" s="20" t="n">
        <v>2007</v>
      </c>
      <c r="B37" s="21" t="s">
        <v>55</v>
      </c>
      <c r="C37" s="25" t="s">
        <v>57</v>
      </c>
      <c r="D37" s="22" t="s">
        <v>58</v>
      </c>
      <c r="E37" s="22" t="s">
        <v>59</v>
      </c>
      <c r="F37" s="211" t="s">
        <v>60</v>
      </c>
      <c r="G37" s="211" t="s">
        <v>61</v>
      </c>
      <c r="H37" s="257"/>
      <c r="I37" s="257"/>
      <c r="J37" s="272"/>
    </row>
    <row r="38" customFormat="false" ht="12" hidden="false" customHeight="false" outlineLevel="0" collapsed="false">
      <c r="A38" s="179" t="s">
        <v>138</v>
      </c>
      <c r="B38" s="180" t="n">
        <v>8412.24</v>
      </c>
      <c r="C38" s="181" t="n">
        <v>0.346450885852044</v>
      </c>
      <c r="D38" s="183" t="n">
        <v>0.0589801289549514</v>
      </c>
      <c r="E38" s="183" t="n">
        <v>0.383876113853147</v>
      </c>
      <c r="F38" s="183" t="n">
        <v>0.11871653685582</v>
      </c>
      <c r="G38" s="183" t="n">
        <v>0.0919763344840375</v>
      </c>
      <c r="H38" s="257"/>
      <c r="I38" s="257"/>
      <c r="J38" s="272"/>
    </row>
    <row r="39" customFormat="false" ht="12" hidden="false" customHeight="false" outlineLevel="0" collapsed="false">
      <c r="A39" s="187" t="s">
        <v>96</v>
      </c>
      <c r="B39" s="188" t="n">
        <v>147.035</v>
      </c>
      <c r="C39" s="215" t="n">
        <v>0.0151528547624715</v>
      </c>
      <c r="D39" s="216" t="n">
        <v>0.0249260380181589</v>
      </c>
      <c r="E39" s="216" t="n">
        <v>0.649600435270514</v>
      </c>
      <c r="F39" s="216" t="n">
        <v>0.0887815826163839</v>
      </c>
      <c r="G39" s="216" t="n">
        <v>0.221539089332472</v>
      </c>
      <c r="H39" s="257"/>
      <c r="I39" s="257"/>
      <c r="J39" s="272"/>
    </row>
    <row r="40" customFormat="false" ht="12" hidden="false" customHeight="false" outlineLevel="0" collapsed="false">
      <c r="A40" s="80" t="s">
        <v>27</v>
      </c>
      <c r="B40" s="134" t="n">
        <v>113.85</v>
      </c>
      <c r="C40" s="135" t="n">
        <v>0.557075098814229</v>
      </c>
      <c r="D40" s="136" t="n">
        <v>0.0504699165568731</v>
      </c>
      <c r="E40" s="136" t="n">
        <v>0.343917435221783</v>
      </c>
      <c r="F40" s="136" t="n">
        <v>0</v>
      </c>
      <c r="G40" s="136" t="n">
        <v>0.0485375494071146</v>
      </c>
      <c r="H40" s="257"/>
      <c r="I40" s="257"/>
      <c r="J40" s="272"/>
    </row>
    <row r="41" customFormat="false" ht="12" hidden="false" customHeight="false" outlineLevel="0" collapsed="false">
      <c r="A41" s="80" t="s">
        <v>116</v>
      </c>
      <c r="B41" s="134" t="n">
        <v>390.646</v>
      </c>
      <c r="C41" s="135" t="n">
        <v>0.834691766970608</v>
      </c>
      <c r="D41" s="136" t="n">
        <v>0.0167261408026704</v>
      </c>
      <c r="E41" s="136" t="n">
        <v>0.0436763719582435</v>
      </c>
      <c r="F41" s="136" t="n">
        <v>0.0401847196694706</v>
      </c>
      <c r="G41" s="136" t="n">
        <v>0.0647210005990078</v>
      </c>
      <c r="J41" s="19"/>
    </row>
    <row r="42" customFormat="false" ht="12" hidden="false" customHeight="false" outlineLevel="0" collapsed="false">
      <c r="A42" s="80" t="s">
        <v>29</v>
      </c>
      <c r="B42" s="134" t="n">
        <v>318.892</v>
      </c>
      <c r="C42" s="135" t="n">
        <v>0.549587321099306</v>
      </c>
      <c r="D42" s="136" t="n">
        <v>0.0362066154058427</v>
      </c>
      <c r="E42" s="136" t="n">
        <v>0.218845251683956</v>
      </c>
      <c r="F42" s="136" t="n">
        <v>0.163033252637257</v>
      </c>
      <c r="G42" s="136" t="n">
        <v>0.0323275591736387</v>
      </c>
      <c r="J42" s="19"/>
    </row>
    <row r="43" customFormat="false" ht="12" hidden="false" customHeight="false" outlineLevel="0" collapsed="false">
      <c r="A43" s="80" t="s">
        <v>30</v>
      </c>
      <c r="B43" s="134" t="n">
        <v>1319</v>
      </c>
      <c r="C43" s="135" t="n">
        <v>0.233708870356331</v>
      </c>
      <c r="D43" s="136" t="n">
        <v>0.0449848369977256</v>
      </c>
      <c r="E43" s="136" t="n">
        <v>0.460960576194087</v>
      </c>
      <c r="F43" s="136" t="n">
        <v>0.150383623957544</v>
      </c>
      <c r="G43" s="136" t="n">
        <v>0.109962092494314</v>
      </c>
      <c r="J43" s="19"/>
    </row>
    <row r="44" customFormat="false" ht="12" hidden="false" customHeight="false" outlineLevel="0" collapsed="false">
      <c r="A44" s="80" t="s">
        <v>31</v>
      </c>
      <c r="B44" s="134" t="n">
        <v>23.976</v>
      </c>
      <c r="C44" s="135" t="n">
        <v>0.609067400734067</v>
      </c>
      <c r="D44" s="136" t="n">
        <v>0.00421254587921255</v>
      </c>
      <c r="E44" s="136" t="n">
        <v>0.3163997330664</v>
      </c>
      <c r="F44" s="136" t="n">
        <v>0.0703203203203203</v>
      </c>
      <c r="G44" s="136" t="n">
        <v>0</v>
      </c>
      <c r="J44" s="19"/>
    </row>
    <row r="45" customFormat="false" ht="12" hidden="false" customHeight="false" outlineLevel="0" collapsed="false">
      <c r="A45" s="80" t="s">
        <v>97</v>
      </c>
      <c r="B45" s="134" t="n">
        <v>21.709</v>
      </c>
      <c r="C45" s="135" t="n">
        <v>0.0365286286793496</v>
      </c>
      <c r="D45" s="136" t="n">
        <v>0.000783085356303837</v>
      </c>
      <c r="E45" s="136" t="n">
        <v>0.930766041733843</v>
      </c>
      <c r="F45" s="136" t="n">
        <v>0.00617255516145377</v>
      </c>
      <c r="G45" s="136" t="n">
        <v>0.0257496890690497</v>
      </c>
      <c r="J45" s="19"/>
    </row>
    <row r="46" customFormat="false" ht="12" hidden="false" customHeight="false" outlineLevel="0" collapsed="false">
      <c r="A46" s="80" t="s">
        <v>33</v>
      </c>
      <c r="B46" s="134" t="n">
        <v>87.4</v>
      </c>
      <c r="C46" s="135" t="n">
        <v>0.890640732265446</v>
      </c>
      <c r="D46" s="136" t="n">
        <v>0.00591533180778032</v>
      </c>
      <c r="E46" s="136" t="n">
        <v>0.00601830663615561</v>
      </c>
      <c r="F46" s="136" t="n">
        <v>0.00258581235697941</v>
      </c>
      <c r="G46" s="136" t="n">
        <v>0.0948398169336384</v>
      </c>
      <c r="J46" s="19"/>
    </row>
    <row r="47" customFormat="false" ht="13.5" hidden="false" customHeight="false" outlineLevel="0" collapsed="false">
      <c r="A47" s="80" t="s">
        <v>154</v>
      </c>
      <c r="B47" s="134" t="n">
        <v>415.428</v>
      </c>
      <c r="C47" s="135" t="n">
        <v>0.0155670778089103</v>
      </c>
      <c r="D47" s="136" t="n">
        <v>0.0875145632937597</v>
      </c>
      <c r="E47" s="136" t="n">
        <v>0.769741086301357</v>
      </c>
      <c r="F47" s="136" t="n">
        <v>0</v>
      </c>
      <c r="G47" s="136" t="n">
        <v>0.127177272595973</v>
      </c>
      <c r="J47" s="19"/>
    </row>
    <row r="48" customFormat="false" ht="12" hidden="false" customHeight="false" outlineLevel="0" collapsed="false">
      <c r="A48" s="80" t="s">
        <v>35</v>
      </c>
      <c r="B48" s="134" t="n">
        <v>378.155</v>
      </c>
      <c r="C48" s="135" t="n">
        <v>0.0443627613015827</v>
      </c>
      <c r="D48" s="136" t="n">
        <v>0.0214647432930941</v>
      </c>
      <c r="E48" s="136" t="n">
        <v>0.561743200539461</v>
      </c>
      <c r="F48" s="136" t="n">
        <v>0.222969417302429</v>
      </c>
      <c r="G48" s="136" t="n">
        <v>0.149459877563433</v>
      </c>
      <c r="J48" s="19"/>
    </row>
    <row r="49" customFormat="false" ht="12" hidden="false" customHeight="false" outlineLevel="0" collapsed="false">
      <c r="A49" s="80" t="s">
        <v>37</v>
      </c>
      <c r="B49" s="134" t="n">
        <v>993.461</v>
      </c>
      <c r="C49" s="135" t="n">
        <v>0.0053067005146654</v>
      </c>
      <c r="D49" s="136" t="n">
        <v>0.19064462520421</v>
      </c>
      <c r="E49" s="136" t="n">
        <v>0.679383488632166</v>
      </c>
      <c r="F49" s="136" t="n">
        <v>0.0518641396089026</v>
      </c>
      <c r="G49" s="136" t="n">
        <v>0.0728010460400559</v>
      </c>
      <c r="J49" s="19"/>
    </row>
    <row r="50" customFormat="false" ht="12" hidden="false" customHeight="false" outlineLevel="0" collapsed="false">
      <c r="A50" s="80" t="s">
        <v>38</v>
      </c>
      <c r="B50" s="134" t="n">
        <v>0.285</v>
      </c>
      <c r="C50" s="135" t="n">
        <v>0</v>
      </c>
      <c r="D50" s="136" t="n">
        <v>1</v>
      </c>
      <c r="E50" s="136" t="n">
        <v>0</v>
      </c>
      <c r="F50" s="136" t="n">
        <v>0</v>
      </c>
      <c r="G50" s="136" t="n">
        <v>0</v>
      </c>
      <c r="J50" s="19"/>
    </row>
    <row r="51" customFormat="false" ht="12" hidden="false" customHeight="false" outlineLevel="0" collapsed="false">
      <c r="A51" s="80" t="s">
        <v>70</v>
      </c>
      <c r="B51" s="134" t="n">
        <v>19.952</v>
      </c>
      <c r="C51" s="135" t="n">
        <v>0.00922213311948677</v>
      </c>
      <c r="D51" s="136" t="n">
        <v>0.0224037690457097</v>
      </c>
      <c r="E51" s="136" t="n">
        <v>0.937951082598236</v>
      </c>
      <c r="F51" s="136" t="n">
        <v>0.0304230152365678</v>
      </c>
      <c r="G51" s="136" t="n">
        <v>0</v>
      </c>
      <c r="J51" s="19"/>
    </row>
    <row r="52" customFormat="false" ht="12" hidden="false" customHeight="false" outlineLevel="0" collapsed="false">
      <c r="A52" s="80" t="s">
        <v>40</v>
      </c>
      <c r="B52" s="134" t="n">
        <v>39.403</v>
      </c>
      <c r="C52" s="135" t="n">
        <v>0.00718219424916885</v>
      </c>
      <c r="D52" s="136" t="n">
        <v>0.166992360987742</v>
      </c>
      <c r="E52" s="136" t="n">
        <v>0.785625459990356</v>
      </c>
      <c r="F52" s="136" t="n">
        <v>0.040199984772733</v>
      </c>
      <c r="G52" s="136" t="n">
        <v>0</v>
      </c>
      <c r="J52" s="19"/>
    </row>
    <row r="53" customFormat="false" ht="12" hidden="false" customHeight="false" outlineLevel="0" collapsed="false">
      <c r="A53" s="80" t="s">
        <v>41</v>
      </c>
      <c r="B53" s="134" t="n">
        <v>4.145</v>
      </c>
      <c r="C53" s="135" t="n">
        <v>0</v>
      </c>
      <c r="D53" s="136" t="n">
        <v>0</v>
      </c>
      <c r="E53" s="136" t="n">
        <v>0.899155609167672</v>
      </c>
      <c r="F53" s="136" t="n">
        <v>0.100844390832328</v>
      </c>
      <c r="G53" s="136" t="n">
        <v>0</v>
      </c>
      <c r="J53" s="19"/>
    </row>
    <row r="54" customFormat="false" ht="12" hidden="false" customHeight="false" outlineLevel="0" collapsed="false">
      <c r="A54" s="80" t="s">
        <v>113</v>
      </c>
      <c r="B54" s="134" t="n">
        <v>104.397</v>
      </c>
      <c r="C54" s="135" t="n">
        <v>0.0626933724149161</v>
      </c>
      <c r="D54" s="136" t="n">
        <v>0.00159966282556012</v>
      </c>
      <c r="E54" s="136" t="n">
        <v>0.820397137848789</v>
      </c>
      <c r="F54" s="136" t="n">
        <v>0.0338419686389456</v>
      </c>
      <c r="G54" s="136" t="n">
        <v>0.0814678582717894</v>
      </c>
      <c r="J54" s="19"/>
    </row>
    <row r="55" customFormat="false" ht="12" hidden="false" customHeight="false" outlineLevel="0" collapsed="false">
      <c r="A55" s="80" t="s">
        <v>43</v>
      </c>
      <c r="B55" s="134" t="n">
        <v>0</v>
      </c>
      <c r="C55" s="135" t="n">
        <v>0</v>
      </c>
      <c r="D55" s="136" t="n">
        <v>0</v>
      </c>
      <c r="E55" s="136" t="n">
        <v>0</v>
      </c>
      <c r="F55" s="136" t="n">
        <v>0</v>
      </c>
      <c r="G55" s="136" t="n">
        <v>0</v>
      </c>
      <c r="J55" s="19"/>
    </row>
    <row r="56" customFormat="false" ht="12" hidden="false" customHeight="false" outlineLevel="0" collapsed="false">
      <c r="A56" s="80" t="s">
        <v>72</v>
      </c>
      <c r="B56" s="134" t="n">
        <v>585.345</v>
      </c>
      <c r="C56" s="135" t="n">
        <v>0.147058572294971</v>
      </c>
      <c r="D56" s="136" t="n">
        <v>0.0246965464811351</v>
      </c>
      <c r="E56" s="136" t="n">
        <v>0.707493871135826</v>
      </c>
      <c r="F56" s="136" t="n">
        <v>0.0513252867966755</v>
      </c>
      <c r="G56" s="136" t="n">
        <v>0.0694257232913923</v>
      </c>
      <c r="J56" s="19"/>
    </row>
    <row r="57" customFormat="false" ht="12" hidden="false" customHeight="false" outlineLevel="0" collapsed="false">
      <c r="A57" s="80" t="s">
        <v>45</v>
      </c>
      <c r="B57" s="134" t="n">
        <v>235.156</v>
      </c>
      <c r="C57" s="135" t="n">
        <v>0.113822313698141</v>
      </c>
      <c r="D57" s="136" t="n">
        <v>0.0895363078126861</v>
      </c>
      <c r="E57" s="136" t="n">
        <v>0.385607851809012</v>
      </c>
      <c r="F57" s="136" t="n">
        <v>0.272057697868649</v>
      </c>
      <c r="G57" s="136" t="n">
        <v>0.138975828811512</v>
      </c>
      <c r="J57" s="19"/>
    </row>
    <row r="58" customFormat="false" ht="12" hidden="false" customHeight="false" outlineLevel="0" collapsed="false">
      <c r="A58" s="80" t="s">
        <v>46</v>
      </c>
      <c r="B58" s="134" t="n">
        <v>1508.383</v>
      </c>
      <c r="C58" s="135" t="n">
        <v>0.91115784253734</v>
      </c>
      <c r="D58" s="136" t="n">
        <v>0.0288162887012118</v>
      </c>
      <c r="E58" s="136" t="n">
        <v>0.024895533826621</v>
      </c>
      <c r="F58" s="136" t="n">
        <v>0.0191655567584625</v>
      </c>
      <c r="G58" s="136" t="n">
        <v>0.015964778176365</v>
      </c>
      <c r="J58" s="19"/>
    </row>
    <row r="59" customFormat="false" ht="12" hidden="false" customHeight="false" outlineLevel="0" collapsed="false">
      <c r="A59" s="80" t="s">
        <v>98</v>
      </c>
      <c r="B59" s="134" t="n">
        <v>106.098</v>
      </c>
      <c r="C59" s="135" t="n">
        <v>0</v>
      </c>
      <c r="D59" s="136" t="n">
        <v>0.338677449150785</v>
      </c>
      <c r="E59" s="136" t="n">
        <v>0.237667062527098</v>
      </c>
      <c r="F59" s="136" t="n">
        <v>0.376529246545646</v>
      </c>
      <c r="G59" s="136" t="n">
        <v>0.0471262417764708</v>
      </c>
      <c r="J59" s="19"/>
    </row>
    <row r="60" customFormat="false" ht="12" hidden="false" customHeight="false" outlineLevel="0" collapsed="false">
      <c r="A60" s="80" t="s">
        <v>48</v>
      </c>
      <c r="B60" s="134" t="n">
        <v>221.417</v>
      </c>
      <c r="C60" s="135" t="n">
        <v>0.521436926703912</v>
      </c>
      <c r="D60" s="136" t="n">
        <v>0.0615716047096655</v>
      </c>
      <c r="E60" s="136" t="n">
        <v>0.407647109300551</v>
      </c>
      <c r="F60" s="136" t="n">
        <v>0</v>
      </c>
      <c r="G60" s="136" t="n">
        <v>0.00934435928587236</v>
      </c>
      <c r="J60" s="19"/>
    </row>
    <row r="61" customFormat="false" ht="12" hidden="false" customHeight="false" outlineLevel="0" collapsed="false">
      <c r="A61" s="80" t="s">
        <v>99</v>
      </c>
      <c r="B61" s="134" t="n">
        <v>64.231</v>
      </c>
      <c r="C61" s="135" t="n">
        <v>0.865905870996871</v>
      </c>
      <c r="D61" s="136" t="n">
        <v>0.00375208232784792</v>
      </c>
      <c r="E61" s="136" t="n">
        <v>0.0955613333125749</v>
      </c>
      <c r="F61" s="136" t="n">
        <v>0.0326166492814996</v>
      </c>
      <c r="G61" s="136" t="n">
        <v>0.00216406408120689</v>
      </c>
      <c r="J61" s="19"/>
    </row>
    <row r="62" customFormat="false" ht="12" hidden="false" customHeight="false" outlineLevel="0" collapsed="false">
      <c r="A62" s="80" t="s">
        <v>50</v>
      </c>
      <c r="B62" s="134" t="n">
        <v>242.977</v>
      </c>
      <c r="C62" s="135" t="n">
        <v>0.241018697242949</v>
      </c>
      <c r="D62" s="136" t="n">
        <v>0.0175695641974343</v>
      </c>
      <c r="E62" s="136" t="n">
        <v>0.0978899237376377</v>
      </c>
      <c r="F62" s="136" t="n">
        <v>0.0120875638434914</v>
      </c>
      <c r="G62" s="136" t="n">
        <v>0.631434250978488</v>
      </c>
      <c r="J62" s="19"/>
    </row>
    <row r="63" customFormat="false" ht="12" hidden="false" customHeight="false" outlineLevel="0" collapsed="false">
      <c r="A63" s="80" t="s">
        <v>75</v>
      </c>
      <c r="B63" s="104" t="n">
        <v>511.073</v>
      </c>
      <c r="C63" s="166" t="n">
        <v>0.317592594404322</v>
      </c>
      <c r="D63" s="167" t="n">
        <v>0.0193201362623343</v>
      </c>
      <c r="E63" s="167" t="n">
        <v>0.199983172658309</v>
      </c>
      <c r="F63" s="167" t="n">
        <v>0.439312974858778</v>
      </c>
      <c r="G63" s="167" t="n">
        <v>0.0237911218162572</v>
      </c>
      <c r="J63" s="19"/>
    </row>
    <row r="64" customFormat="false" ht="12" hidden="false" customHeight="false" outlineLevel="0" collapsed="false">
      <c r="A64" s="108" t="s">
        <v>76</v>
      </c>
      <c r="B64" s="168" t="n">
        <v>241.291</v>
      </c>
      <c r="C64" s="169" t="n">
        <v>0.0759995192526866</v>
      </c>
      <c r="D64" s="170" t="n">
        <v>0.0735004620976331</v>
      </c>
      <c r="E64" s="170" t="n">
        <v>0.0526086758312577</v>
      </c>
      <c r="F64" s="170" t="n">
        <v>0.727805844395357</v>
      </c>
      <c r="G64" s="170" t="n">
        <v>0.0700854984230659</v>
      </c>
      <c r="J64" s="19"/>
    </row>
    <row r="65" customFormat="false" ht="12" hidden="false" customHeight="false" outlineLevel="0" collapsed="false">
      <c r="A65" s="87" t="s">
        <v>77</v>
      </c>
      <c r="B65" s="140" t="n">
        <v>318.535</v>
      </c>
      <c r="C65" s="141" t="n">
        <v>0.0405449950554884</v>
      </c>
      <c r="D65" s="142" t="n">
        <v>0.0209772866404006</v>
      </c>
      <c r="E65" s="142" t="n">
        <v>0.698742681338</v>
      </c>
      <c r="F65" s="142" t="n">
        <v>0.0235484326683096</v>
      </c>
      <c r="G65" s="142" t="n">
        <v>0.216186604297801</v>
      </c>
      <c r="J65" s="19"/>
    </row>
    <row r="66" customFormat="false" ht="12" hidden="false" customHeight="false" outlineLevel="0" collapsed="false">
      <c r="A66" s="65" t="s">
        <v>115</v>
      </c>
      <c r="B66" s="278" t="n">
        <v>4.773</v>
      </c>
      <c r="C66" s="279" t="n">
        <v>0.156714854389273</v>
      </c>
      <c r="D66" s="16" t="n">
        <v>0</v>
      </c>
      <c r="E66" s="16" t="n">
        <v>0.00356170123611984</v>
      </c>
      <c r="F66" s="16" t="n">
        <v>0.419861722187304</v>
      </c>
      <c r="G66" s="16" t="n">
        <v>0.419861722187304</v>
      </c>
      <c r="J66" s="19"/>
    </row>
    <row r="67" customFormat="false" ht="12" hidden="false" customHeight="false" outlineLevel="0" collapsed="false">
      <c r="A67" s="220" t="s">
        <v>130</v>
      </c>
      <c r="B67" s="174" t="n">
        <v>291.085</v>
      </c>
      <c r="C67" s="175" t="n">
        <v>0.0654035762749712</v>
      </c>
      <c r="D67" s="176" t="n">
        <v>0.1418142466977</v>
      </c>
      <c r="E67" s="176" t="n">
        <v>0.701015167390968</v>
      </c>
      <c r="F67" s="176" t="n">
        <v>0.00508442551144855</v>
      </c>
      <c r="G67" s="176" t="n">
        <v>0.086682584124912</v>
      </c>
      <c r="J67" s="19"/>
    </row>
    <row r="68" customFormat="false" ht="12" hidden="false" customHeight="false" outlineLevel="0" collapsed="false">
      <c r="A68" s="65"/>
      <c r="B68" s="268"/>
      <c r="C68" s="269"/>
      <c r="D68" s="269"/>
      <c r="E68" s="269"/>
      <c r="F68" s="280"/>
      <c r="G68" s="280"/>
    </row>
    <row r="69" customFormat="false" ht="13.5" hidden="false" customHeight="false" outlineLevel="0" collapsed="false">
      <c r="A69" s="221" t="s">
        <v>155</v>
      </c>
      <c r="B69" s="268"/>
      <c r="C69" s="269"/>
      <c r="D69" s="269"/>
      <c r="E69" s="269"/>
      <c r="F69" s="280"/>
      <c r="G69" s="280"/>
    </row>
    <row r="70" customFormat="false" ht="13.5" hidden="false" customHeight="false" outlineLevel="0" collapsed="false">
      <c r="A70" s="221" t="s">
        <v>147</v>
      </c>
    </row>
    <row r="71" customFormat="false" ht="13.5" hidden="false" customHeight="false" outlineLevel="0" collapsed="false">
      <c r="A71" s="221" t="s">
        <v>148</v>
      </c>
    </row>
    <row r="72" customFormat="false" ht="13.5" hidden="false" customHeight="false" outlineLevel="0" collapsed="false">
      <c r="A72" s="2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3:43 A1"/>
    </sheetView>
  </sheetViews>
  <sheetFormatPr defaultColWidth="9.1484375" defaultRowHeight="12" zeroHeight="false" outlineLevelRow="0" outlineLevelCol="0"/>
  <cols>
    <col collapsed="false" customWidth="true" hidden="false" outlineLevel="0" max="1" min="1" style="19" width="21.71"/>
    <col collapsed="false" customWidth="true" hidden="false" outlineLevel="0" max="2" min="2" style="15" width="10.71"/>
    <col collapsed="false" customWidth="true" hidden="false" outlineLevel="0" max="5" min="3" style="16" width="10.71"/>
    <col collapsed="false" customWidth="true" hidden="false" outlineLevel="0" max="7" min="6" style="19" width="10.71"/>
    <col collapsed="false" customWidth="true" hidden="false" outlineLevel="0" max="9" min="8" style="16" width="10.71"/>
    <col collapsed="false" customWidth="true" hidden="false" outlineLevel="0" max="10" min="10" style="15" width="10.71"/>
    <col collapsed="false" customWidth="false" hidden="false" outlineLevel="0" max="256" min="11" style="19" width="9.14"/>
    <col collapsed="false" customWidth="true" hidden="false" outlineLevel="0" max="257" min="257" style="19" width="21.71"/>
    <col collapsed="false" customWidth="true" hidden="false" outlineLevel="0" max="258" min="258" style="19" width="9.71"/>
    <col collapsed="false" customWidth="false" hidden="false" outlineLevel="0" max="261" min="259" style="19" width="9.14"/>
    <col collapsed="false" customWidth="true" hidden="false" outlineLevel="0" max="262" min="262" style="19" width="10.71"/>
    <col collapsed="false" customWidth="true" hidden="false" outlineLevel="0" max="263" min="263" style="19" width="9.57"/>
    <col collapsed="false" customWidth="false" hidden="false" outlineLevel="0" max="512" min="264" style="19" width="9.14"/>
    <col collapsed="false" customWidth="true" hidden="false" outlineLevel="0" max="513" min="513" style="19" width="21.71"/>
    <col collapsed="false" customWidth="true" hidden="false" outlineLevel="0" max="514" min="514" style="19" width="9.71"/>
    <col collapsed="false" customWidth="false" hidden="false" outlineLevel="0" max="517" min="515" style="19" width="9.14"/>
    <col collapsed="false" customWidth="true" hidden="false" outlineLevel="0" max="518" min="518" style="19" width="10.71"/>
    <col collapsed="false" customWidth="true" hidden="false" outlineLevel="0" max="519" min="519" style="19" width="9.57"/>
    <col collapsed="false" customWidth="false" hidden="false" outlineLevel="0" max="768" min="520" style="19" width="9.14"/>
    <col collapsed="false" customWidth="true" hidden="false" outlineLevel="0" max="769" min="769" style="19" width="21.71"/>
    <col collapsed="false" customWidth="true" hidden="false" outlineLevel="0" max="770" min="770" style="19" width="9.71"/>
    <col collapsed="false" customWidth="false" hidden="false" outlineLevel="0" max="773" min="771" style="19" width="9.14"/>
    <col collapsed="false" customWidth="true" hidden="false" outlineLevel="0" max="774" min="774" style="19" width="10.71"/>
    <col collapsed="false" customWidth="true" hidden="false" outlineLevel="0" max="775" min="775" style="19" width="9.57"/>
    <col collapsed="false" customWidth="false" hidden="false" outlineLevel="0" max="1024" min="776" style="19" width="9.14"/>
    <col collapsed="false" customWidth="true" hidden="false" outlineLevel="0" max="1025" min="1025" style="19" width="21.71"/>
    <col collapsed="false" customWidth="true" hidden="false" outlineLevel="0" max="1026" min="1026" style="19" width="9.71"/>
    <col collapsed="false" customWidth="false" hidden="false" outlineLevel="0" max="1029" min="1027" style="19" width="9.14"/>
    <col collapsed="false" customWidth="true" hidden="false" outlineLevel="0" max="1030" min="1030" style="19" width="10.71"/>
    <col collapsed="false" customWidth="true" hidden="false" outlineLevel="0" max="1031" min="1031" style="19" width="9.57"/>
    <col collapsed="false" customWidth="false" hidden="false" outlineLevel="0" max="1280" min="1032" style="19" width="9.14"/>
    <col collapsed="false" customWidth="true" hidden="false" outlineLevel="0" max="1281" min="1281" style="19" width="21.71"/>
    <col collapsed="false" customWidth="true" hidden="false" outlineLevel="0" max="1282" min="1282" style="19" width="9.71"/>
    <col collapsed="false" customWidth="false" hidden="false" outlineLevel="0" max="1285" min="1283" style="19" width="9.14"/>
    <col collapsed="false" customWidth="true" hidden="false" outlineLevel="0" max="1286" min="1286" style="19" width="10.71"/>
    <col collapsed="false" customWidth="true" hidden="false" outlineLevel="0" max="1287" min="1287" style="19" width="9.57"/>
    <col collapsed="false" customWidth="false" hidden="false" outlineLevel="0" max="1536" min="1288" style="19" width="9.14"/>
    <col collapsed="false" customWidth="true" hidden="false" outlineLevel="0" max="1537" min="1537" style="19" width="21.71"/>
    <col collapsed="false" customWidth="true" hidden="false" outlineLevel="0" max="1538" min="1538" style="19" width="9.71"/>
    <col collapsed="false" customWidth="false" hidden="false" outlineLevel="0" max="1541" min="1539" style="19" width="9.14"/>
    <col collapsed="false" customWidth="true" hidden="false" outlineLevel="0" max="1542" min="1542" style="19" width="10.71"/>
    <col collapsed="false" customWidth="true" hidden="false" outlineLevel="0" max="1543" min="1543" style="19" width="9.57"/>
    <col collapsed="false" customWidth="false" hidden="false" outlineLevel="0" max="1792" min="1544" style="19" width="9.14"/>
    <col collapsed="false" customWidth="true" hidden="false" outlineLevel="0" max="1793" min="1793" style="19" width="21.71"/>
    <col collapsed="false" customWidth="true" hidden="false" outlineLevel="0" max="1794" min="1794" style="19" width="9.71"/>
    <col collapsed="false" customWidth="false" hidden="false" outlineLevel="0" max="1797" min="1795" style="19" width="9.14"/>
    <col collapsed="false" customWidth="true" hidden="false" outlineLevel="0" max="1798" min="1798" style="19" width="10.71"/>
    <col collapsed="false" customWidth="true" hidden="false" outlineLevel="0" max="1799" min="1799" style="19" width="9.57"/>
    <col collapsed="false" customWidth="false" hidden="false" outlineLevel="0" max="2048" min="1800" style="19" width="9.14"/>
    <col collapsed="false" customWidth="true" hidden="false" outlineLevel="0" max="2049" min="2049" style="19" width="21.71"/>
    <col collapsed="false" customWidth="true" hidden="false" outlineLevel="0" max="2050" min="2050" style="19" width="9.71"/>
    <col collapsed="false" customWidth="false" hidden="false" outlineLevel="0" max="2053" min="2051" style="19" width="9.14"/>
    <col collapsed="false" customWidth="true" hidden="false" outlineLevel="0" max="2054" min="2054" style="19" width="10.71"/>
    <col collapsed="false" customWidth="true" hidden="false" outlineLevel="0" max="2055" min="2055" style="19" width="9.57"/>
    <col collapsed="false" customWidth="false" hidden="false" outlineLevel="0" max="2304" min="2056" style="19" width="9.14"/>
    <col collapsed="false" customWidth="true" hidden="false" outlineLevel="0" max="2305" min="2305" style="19" width="21.71"/>
    <col collapsed="false" customWidth="true" hidden="false" outlineLevel="0" max="2306" min="2306" style="19" width="9.71"/>
    <col collapsed="false" customWidth="false" hidden="false" outlineLevel="0" max="2309" min="2307" style="19" width="9.14"/>
    <col collapsed="false" customWidth="true" hidden="false" outlineLevel="0" max="2310" min="2310" style="19" width="10.71"/>
    <col collapsed="false" customWidth="true" hidden="false" outlineLevel="0" max="2311" min="2311" style="19" width="9.57"/>
    <col collapsed="false" customWidth="false" hidden="false" outlineLevel="0" max="2560" min="2312" style="19" width="9.14"/>
    <col collapsed="false" customWidth="true" hidden="false" outlineLevel="0" max="2561" min="2561" style="19" width="21.71"/>
    <col collapsed="false" customWidth="true" hidden="false" outlineLevel="0" max="2562" min="2562" style="19" width="9.71"/>
    <col collapsed="false" customWidth="false" hidden="false" outlineLevel="0" max="2565" min="2563" style="19" width="9.14"/>
    <col collapsed="false" customWidth="true" hidden="false" outlineLevel="0" max="2566" min="2566" style="19" width="10.71"/>
    <col collapsed="false" customWidth="true" hidden="false" outlineLevel="0" max="2567" min="2567" style="19" width="9.57"/>
    <col collapsed="false" customWidth="false" hidden="false" outlineLevel="0" max="2816" min="2568" style="19" width="9.14"/>
    <col collapsed="false" customWidth="true" hidden="false" outlineLevel="0" max="2817" min="2817" style="19" width="21.71"/>
    <col collapsed="false" customWidth="true" hidden="false" outlineLevel="0" max="2818" min="2818" style="19" width="9.71"/>
    <col collapsed="false" customWidth="false" hidden="false" outlineLevel="0" max="2821" min="2819" style="19" width="9.14"/>
    <col collapsed="false" customWidth="true" hidden="false" outlineLevel="0" max="2822" min="2822" style="19" width="10.71"/>
    <col collapsed="false" customWidth="true" hidden="false" outlineLevel="0" max="2823" min="2823" style="19" width="9.57"/>
    <col collapsed="false" customWidth="false" hidden="false" outlineLevel="0" max="3072" min="2824" style="19" width="9.14"/>
    <col collapsed="false" customWidth="true" hidden="false" outlineLevel="0" max="3073" min="3073" style="19" width="21.71"/>
    <col collapsed="false" customWidth="true" hidden="false" outlineLevel="0" max="3074" min="3074" style="19" width="9.71"/>
    <col collapsed="false" customWidth="false" hidden="false" outlineLevel="0" max="3077" min="3075" style="19" width="9.14"/>
    <col collapsed="false" customWidth="true" hidden="false" outlineLevel="0" max="3078" min="3078" style="19" width="10.71"/>
    <col collapsed="false" customWidth="true" hidden="false" outlineLevel="0" max="3079" min="3079" style="19" width="9.57"/>
    <col collapsed="false" customWidth="false" hidden="false" outlineLevel="0" max="3328" min="3080" style="19" width="9.14"/>
    <col collapsed="false" customWidth="true" hidden="false" outlineLevel="0" max="3329" min="3329" style="19" width="21.71"/>
    <col collapsed="false" customWidth="true" hidden="false" outlineLevel="0" max="3330" min="3330" style="19" width="9.71"/>
    <col collapsed="false" customWidth="false" hidden="false" outlineLevel="0" max="3333" min="3331" style="19" width="9.14"/>
    <col collapsed="false" customWidth="true" hidden="false" outlineLevel="0" max="3334" min="3334" style="19" width="10.71"/>
    <col collapsed="false" customWidth="true" hidden="false" outlineLevel="0" max="3335" min="3335" style="19" width="9.57"/>
    <col collapsed="false" customWidth="false" hidden="false" outlineLevel="0" max="3584" min="3336" style="19" width="9.14"/>
    <col collapsed="false" customWidth="true" hidden="false" outlineLevel="0" max="3585" min="3585" style="19" width="21.71"/>
    <col collapsed="false" customWidth="true" hidden="false" outlineLevel="0" max="3586" min="3586" style="19" width="9.71"/>
    <col collapsed="false" customWidth="false" hidden="false" outlineLevel="0" max="3589" min="3587" style="19" width="9.14"/>
    <col collapsed="false" customWidth="true" hidden="false" outlineLevel="0" max="3590" min="3590" style="19" width="10.71"/>
    <col collapsed="false" customWidth="true" hidden="false" outlineLevel="0" max="3591" min="3591" style="19" width="9.57"/>
    <col collapsed="false" customWidth="false" hidden="false" outlineLevel="0" max="3840" min="3592" style="19" width="9.14"/>
    <col collapsed="false" customWidth="true" hidden="false" outlineLevel="0" max="3841" min="3841" style="19" width="21.71"/>
    <col collapsed="false" customWidth="true" hidden="false" outlineLevel="0" max="3842" min="3842" style="19" width="9.71"/>
    <col collapsed="false" customWidth="false" hidden="false" outlineLevel="0" max="3845" min="3843" style="19" width="9.14"/>
    <col collapsed="false" customWidth="true" hidden="false" outlineLevel="0" max="3846" min="3846" style="19" width="10.71"/>
    <col collapsed="false" customWidth="true" hidden="false" outlineLevel="0" max="3847" min="3847" style="19" width="9.57"/>
    <col collapsed="false" customWidth="false" hidden="false" outlineLevel="0" max="4096" min="3848" style="19" width="9.14"/>
    <col collapsed="false" customWidth="true" hidden="false" outlineLevel="0" max="4097" min="4097" style="19" width="21.71"/>
    <col collapsed="false" customWidth="true" hidden="false" outlineLevel="0" max="4098" min="4098" style="19" width="9.71"/>
    <col collapsed="false" customWidth="false" hidden="false" outlineLevel="0" max="4101" min="4099" style="19" width="9.14"/>
    <col collapsed="false" customWidth="true" hidden="false" outlineLevel="0" max="4102" min="4102" style="19" width="10.71"/>
    <col collapsed="false" customWidth="true" hidden="false" outlineLevel="0" max="4103" min="4103" style="19" width="9.57"/>
    <col collapsed="false" customWidth="false" hidden="false" outlineLevel="0" max="4352" min="4104" style="19" width="9.14"/>
    <col collapsed="false" customWidth="true" hidden="false" outlineLevel="0" max="4353" min="4353" style="19" width="21.71"/>
    <col collapsed="false" customWidth="true" hidden="false" outlineLevel="0" max="4354" min="4354" style="19" width="9.71"/>
    <col collapsed="false" customWidth="false" hidden="false" outlineLevel="0" max="4357" min="4355" style="19" width="9.14"/>
    <col collapsed="false" customWidth="true" hidden="false" outlineLevel="0" max="4358" min="4358" style="19" width="10.71"/>
    <col collapsed="false" customWidth="true" hidden="false" outlineLevel="0" max="4359" min="4359" style="19" width="9.57"/>
    <col collapsed="false" customWidth="false" hidden="false" outlineLevel="0" max="4608" min="4360" style="19" width="9.14"/>
    <col collapsed="false" customWidth="true" hidden="false" outlineLevel="0" max="4609" min="4609" style="19" width="21.71"/>
    <col collapsed="false" customWidth="true" hidden="false" outlineLevel="0" max="4610" min="4610" style="19" width="9.71"/>
    <col collapsed="false" customWidth="false" hidden="false" outlineLevel="0" max="4613" min="4611" style="19" width="9.14"/>
    <col collapsed="false" customWidth="true" hidden="false" outlineLevel="0" max="4614" min="4614" style="19" width="10.71"/>
    <col collapsed="false" customWidth="true" hidden="false" outlineLevel="0" max="4615" min="4615" style="19" width="9.57"/>
    <col collapsed="false" customWidth="false" hidden="false" outlineLevel="0" max="4864" min="4616" style="19" width="9.14"/>
    <col collapsed="false" customWidth="true" hidden="false" outlineLevel="0" max="4865" min="4865" style="19" width="21.71"/>
    <col collapsed="false" customWidth="true" hidden="false" outlineLevel="0" max="4866" min="4866" style="19" width="9.71"/>
    <col collapsed="false" customWidth="false" hidden="false" outlineLevel="0" max="4869" min="4867" style="19" width="9.14"/>
    <col collapsed="false" customWidth="true" hidden="false" outlineLevel="0" max="4870" min="4870" style="19" width="10.71"/>
    <col collapsed="false" customWidth="true" hidden="false" outlineLevel="0" max="4871" min="4871" style="19" width="9.57"/>
    <col collapsed="false" customWidth="false" hidden="false" outlineLevel="0" max="5120" min="4872" style="19" width="9.14"/>
    <col collapsed="false" customWidth="true" hidden="false" outlineLevel="0" max="5121" min="5121" style="19" width="21.71"/>
    <col collapsed="false" customWidth="true" hidden="false" outlineLevel="0" max="5122" min="5122" style="19" width="9.71"/>
    <col collapsed="false" customWidth="false" hidden="false" outlineLevel="0" max="5125" min="5123" style="19" width="9.14"/>
    <col collapsed="false" customWidth="true" hidden="false" outlineLevel="0" max="5126" min="5126" style="19" width="10.71"/>
    <col collapsed="false" customWidth="true" hidden="false" outlineLevel="0" max="5127" min="5127" style="19" width="9.57"/>
    <col collapsed="false" customWidth="false" hidden="false" outlineLevel="0" max="5376" min="5128" style="19" width="9.14"/>
    <col collapsed="false" customWidth="true" hidden="false" outlineLevel="0" max="5377" min="5377" style="19" width="21.71"/>
    <col collapsed="false" customWidth="true" hidden="false" outlineLevel="0" max="5378" min="5378" style="19" width="9.71"/>
    <col collapsed="false" customWidth="false" hidden="false" outlineLevel="0" max="5381" min="5379" style="19" width="9.14"/>
    <col collapsed="false" customWidth="true" hidden="false" outlineLevel="0" max="5382" min="5382" style="19" width="10.71"/>
    <col collapsed="false" customWidth="true" hidden="false" outlineLevel="0" max="5383" min="5383" style="19" width="9.57"/>
    <col collapsed="false" customWidth="false" hidden="false" outlineLevel="0" max="5632" min="5384" style="19" width="9.14"/>
    <col collapsed="false" customWidth="true" hidden="false" outlineLevel="0" max="5633" min="5633" style="19" width="21.71"/>
    <col collapsed="false" customWidth="true" hidden="false" outlineLevel="0" max="5634" min="5634" style="19" width="9.71"/>
    <col collapsed="false" customWidth="false" hidden="false" outlineLevel="0" max="5637" min="5635" style="19" width="9.14"/>
    <col collapsed="false" customWidth="true" hidden="false" outlineLevel="0" max="5638" min="5638" style="19" width="10.71"/>
    <col collapsed="false" customWidth="true" hidden="false" outlineLevel="0" max="5639" min="5639" style="19" width="9.57"/>
    <col collapsed="false" customWidth="false" hidden="false" outlineLevel="0" max="5888" min="5640" style="19" width="9.14"/>
    <col collapsed="false" customWidth="true" hidden="false" outlineLevel="0" max="5889" min="5889" style="19" width="21.71"/>
    <col collapsed="false" customWidth="true" hidden="false" outlineLevel="0" max="5890" min="5890" style="19" width="9.71"/>
    <col collapsed="false" customWidth="false" hidden="false" outlineLevel="0" max="5893" min="5891" style="19" width="9.14"/>
    <col collapsed="false" customWidth="true" hidden="false" outlineLevel="0" max="5894" min="5894" style="19" width="10.71"/>
    <col collapsed="false" customWidth="true" hidden="false" outlineLevel="0" max="5895" min="5895" style="19" width="9.57"/>
    <col collapsed="false" customWidth="false" hidden="false" outlineLevel="0" max="6144" min="5896" style="19" width="9.14"/>
    <col collapsed="false" customWidth="true" hidden="false" outlineLevel="0" max="6145" min="6145" style="19" width="21.71"/>
    <col collapsed="false" customWidth="true" hidden="false" outlineLevel="0" max="6146" min="6146" style="19" width="9.71"/>
    <col collapsed="false" customWidth="false" hidden="false" outlineLevel="0" max="6149" min="6147" style="19" width="9.14"/>
    <col collapsed="false" customWidth="true" hidden="false" outlineLevel="0" max="6150" min="6150" style="19" width="10.71"/>
    <col collapsed="false" customWidth="true" hidden="false" outlineLevel="0" max="6151" min="6151" style="19" width="9.57"/>
    <col collapsed="false" customWidth="false" hidden="false" outlineLevel="0" max="6400" min="6152" style="19" width="9.14"/>
    <col collapsed="false" customWidth="true" hidden="false" outlineLevel="0" max="6401" min="6401" style="19" width="21.71"/>
    <col collapsed="false" customWidth="true" hidden="false" outlineLevel="0" max="6402" min="6402" style="19" width="9.71"/>
    <col collapsed="false" customWidth="false" hidden="false" outlineLevel="0" max="6405" min="6403" style="19" width="9.14"/>
    <col collapsed="false" customWidth="true" hidden="false" outlineLevel="0" max="6406" min="6406" style="19" width="10.71"/>
    <col collapsed="false" customWidth="true" hidden="false" outlineLevel="0" max="6407" min="6407" style="19" width="9.57"/>
    <col collapsed="false" customWidth="false" hidden="false" outlineLevel="0" max="6656" min="6408" style="19" width="9.14"/>
    <col collapsed="false" customWidth="true" hidden="false" outlineLevel="0" max="6657" min="6657" style="19" width="21.71"/>
    <col collapsed="false" customWidth="true" hidden="false" outlineLevel="0" max="6658" min="6658" style="19" width="9.71"/>
    <col collapsed="false" customWidth="false" hidden="false" outlineLevel="0" max="6661" min="6659" style="19" width="9.14"/>
    <col collapsed="false" customWidth="true" hidden="false" outlineLevel="0" max="6662" min="6662" style="19" width="10.71"/>
    <col collapsed="false" customWidth="true" hidden="false" outlineLevel="0" max="6663" min="6663" style="19" width="9.57"/>
    <col collapsed="false" customWidth="false" hidden="false" outlineLevel="0" max="6912" min="6664" style="19" width="9.14"/>
    <col collapsed="false" customWidth="true" hidden="false" outlineLevel="0" max="6913" min="6913" style="19" width="21.71"/>
    <col collapsed="false" customWidth="true" hidden="false" outlineLevel="0" max="6914" min="6914" style="19" width="9.71"/>
    <col collapsed="false" customWidth="false" hidden="false" outlineLevel="0" max="6917" min="6915" style="19" width="9.14"/>
    <col collapsed="false" customWidth="true" hidden="false" outlineLevel="0" max="6918" min="6918" style="19" width="10.71"/>
    <col collapsed="false" customWidth="true" hidden="false" outlineLevel="0" max="6919" min="6919" style="19" width="9.57"/>
    <col collapsed="false" customWidth="false" hidden="false" outlineLevel="0" max="7168" min="6920" style="19" width="9.14"/>
    <col collapsed="false" customWidth="true" hidden="false" outlineLevel="0" max="7169" min="7169" style="19" width="21.71"/>
    <col collapsed="false" customWidth="true" hidden="false" outlineLevel="0" max="7170" min="7170" style="19" width="9.71"/>
    <col collapsed="false" customWidth="false" hidden="false" outlineLevel="0" max="7173" min="7171" style="19" width="9.14"/>
    <col collapsed="false" customWidth="true" hidden="false" outlineLevel="0" max="7174" min="7174" style="19" width="10.71"/>
    <col collapsed="false" customWidth="true" hidden="false" outlineLevel="0" max="7175" min="7175" style="19" width="9.57"/>
    <col collapsed="false" customWidth="false" hidden="false" outlineLevel="0" max="7424" min="7176" style="19" width="9.14"/>
    <col collapsed="false" customWidth="true" hidden="false" outlineLevel="0" max="7425" min="7425" style="19" width="21.71"/>
    <col collapsed="false" customWidth="true" hidden="false" outlineLevel="0" max="7426" min="7426" style="19" width="9.71"/>
    <col collapsed="false" customWidth="false" hidden="false" outlineLevel="0" max="7429" min="7427" style="19" width="9.14"/>
    <col collapsed="false" customWidth="true" hidden="false" outlineLevel="0" max="7430" min="7430" style="19" width="10.71"/>
    <col collapsed="false" customWidth="true" hidden="false" outlineLevel="0" max="7431" min="7431" style="19" width="9.57"/>
    <col collapsed="false" customWidth="false" hidden="false" outlineLevel="0" max="7680" min="7432" style="19" width="9.14"/>
    <col collapsed="false" customWidth="true" hidden="false" outlineLevel="0" max="7681" min="7681" style="19" width="21.71"/>
    <col collapsed="false" customWidth="true" hidden="false" outlineLevel="0" max="7682" min="7682" style="19" width="9.71"/>
    <col collapsed="false" customWidth="false" hidden="false" outlineLevel="0" max="7685" min="7683" style="19" width="9.14"/>
    <col collapsed="false" customWidth="true" hidden="false" outlineLevel="0" max="7686" min="7686" style="19" width="10.71"/>
    <col collapsed="false" customWidth="true" hidden="false" outlineLevel="0" max="7687" min="7687" style="19" width="9.57"/>
    <col collapsed="false" customWidth="false" hidden="false" outlineLevel="0" max="7936" min="7688" style="19" width="9.14"/>
    <col collapsed="false" customWidth="true" hidden="false" outlineLevel="0" max="7937" min="7937" style="19" width="21.71"/>
    <col collapsed="false" customWidth="true" hidden="false" outlineLevel="0" max="7938" min="7938" style="19" width="9.71"/>
    <col collapsed="false" customWidth="false" hidden="false" outlineLevel="0" max="7941" min="7939" style="19" width="9.14"/>
    <col collapsed="false" customWidth="true" hidden="false" outlineLevel="0" max="7942" min="7942" style="19" width="10.71"/>
    <col collapsed="false" customWidth="true" hidden="false" outlineLevel="0" max="7943" min="7943" style="19" width="9.57"/>
    <col collapsed="false" customWidth="false" hidden="false" outlineLevel="0" max="8192" min="7944" style="19" width="9.14"/>
    <col collapsed="false" customWidth="true" hidden="false" outlineLevel="0" max="8193" min="8193" style="19" width="21.71"/>
    <col collapsed="false" customWidth="true" hidden="false" outlineLevel="0" max="8194" min="8194" style="19" width="9.71"/>
    <col collapsed="false" customWidth="false" hidden="false" outlineLevel="0" max="8197" min="8195" style="19" width="9.14"/>
    <col collapsed="false" customWidth="true" hidden="false" outlineLevel="0" max="8198" min="8198" style="19" width="10.71"/>
    <col collapsed="false" customWidth="true" hidden="false" outlineLevel="0" max="8199" min="8199" style="19" width="9.57"/>
    <col collapsed="false" customWidth="false" hidden="false" outlineLevel="0" max="8448" min="8200" style="19" width="9.14"/>
    <col collapsed="false" customWidth="true" hidden="false" outlineLevel="0" max="8449" min="8449" style="19" width="21.71"/>
    <col collapsed="false" customWidth="true" hidden="false" outlineLevel="0" max="8450" min="8450" style="19" width="9.71"/>
    <col collapsed="false" customWidth="false" hidden="false" outlineLevel="0" max="8453" min="8451" style="19" width="9.14"/>
    <col collapsed="false" customWidth="true" hidden="false" outlineLevel="0" max="8454" min="8454" style="19" width="10.71"/>
    <col collapsed="false" customWidth="true" hidden="false" outlineLevel="0" max="8455" min="8455" style="19" width="9.57"/>
    <col collapsed="false" customWidth="false" hidden="false" outlineLevel="0" max="8704" min="8456" style="19" width="9.14"/>
    <col collapsed="false" customWidth="true" hidden="false" outlineLevel="0" max="8705" min="8705" style="19" width="21.71"/>
    <col collapsed="false" customWidth="true" hidden="false" outlineLevel="0" max="8706" min="8706" style="19" width="9.71"/>
    <col collapsed="false" customWidth="false" hidden="false" outlineLevel="0" max="8709" min="8707" style="19" width="9.14"/>
    <col collapsed="false" customWidth="true" hidden="false" outlineLevel="0" max="8710" min="8710" style="19" width="10.71"/>
    <col collapsed="false" customWidth="true" hidden="false" outlineLevel="0" max="8711" min="8711" style="19" width="9.57"/>
    <col collapsed="false" customWidth="false" hidden="false" outlineLevel="0" max="8960" min="8712" style="19" width="9.14"/>
    <col collapsed="false" customWidth="true" hidden="false" outlineLevel="0" max="8961" min="8961" style="19" width="21.71"/>
    <col collapsed="false" customWidth="true" hidden="false" outlineLevel="0" max="8962" min="8962" style="19" width="9.71"/>
    <col collapsed="false" customWidth="false" hidden="false" outlineLevel="0" max="8965" min="8963" style="19" width="9.14"/>
    <col collapsed="false" customWidth="true" hidden="false" outlineLevel="0" max="8966" min="8966" style="19" width="10.71"/>
    <col collapsed="false" customWidth="true" hidden="false" outlineLevel="0" max="8967" min="8967" style="19" width="9.57"/>
    <col collapsed="false" customWidth="false" hidden="false" outlineLevel="0" max="9216" min="8968" style="19" width="9.14"/>
    <col collapsed="false" customWidth="true" hidden="false" outlineLevel="0" max="9217" min="9217" style="19" width="21.71"/>
    <col collapsed="false" customWidth="true" hidden="false" outlineLevel="0" max="9218" min="9218" style="19" width="9.71"/>
    <col collapsed="false" customWidth="false" hidden="false" outlineLevel="0" max="9221" min="9219" style="19" width="9.14"/>
    <col collapsed="false" customWidth="true" hidden="false" outlineLevel="0" max="9222" min="9222" style="19" width="10.71"/>
    <col collapsed="false" customWidth="true" hidden="false" outlineLevel="0" max="9223" min="9223" style="19" width="9.57"/>
    <col collapsed="false" customWidth="false" hidden="false" outlineLevel="0" max="9472" min="9224" style="19" width="9.14"/>
    <col collapsed="false" customWidth="true" hidden="false" outlineLevel="0" max="9473" min="9473" style="19" width="21.71"/>
    <col collapsed="false" customWidth="true" hidden="false" outlineLevel="0" max="9474" min="9474" style="19" width="9.71"/>
    <col collapsed="false" customWidth="false" hidden="false" outlineLevel="0" max="9477" min="9475" style="19" width="9.14"/>
    <col collapsed="false" customWidth="true" hidden="false" outlineLevel="0" max="9478" min="9478" style="19" width="10.71"/>
    <col collapsed="false" customWidth="true" hidden="false" outlineLevel="0" max="9479" min="9479" style="19" width="9.57"/>
    <col collapsed="false" customWidth="false" hidden="false" outlineLevel="0" max="9728" min="9480" style="19" width="9.14"/>
    <col collapsed="false" customWidth="true" hidden="false" outlineLevel="0" max="9729" min="9729" style="19" width="21.71"/>
    <col collapsed="false" customWidth="true" hidden="false" outlineLevel="0" max="9730" min="9730" style="19" width="9.71"/>
    <col collapsed="false" customWidth="false" hidden="false" outlineLevel="0" max="9733" min="9731" style="19" width="9.14"/>
    <col collapsed="false" customWidth="true" hidden="false" outlineLevel="0" max="9734" min="9734" style="19" width="10.71"/>
    <col collapsed="false" customWidth="true" hidden="false" outlineLevel="0" max="9735" min="9735" style="19" width="9.57"/>
    <col collapsed="false" customWidth="false" hidden="false" outlineLevel="0" max="9984" min="9736" style="19" width="9.14"/>
    <col collapsed="false" customWidth="true" hidden="false" outlineLevel="0" max="9985" min="9985" style="19" width="21.71"/>
    <col collapsed="false" customWidth="true" hidden="false" outlineLevel="0" max="9986" min="9986" style="19" width="9.71"/>
    <col collapsed="false" customWidth="false" hidden="false" outlineLevel="0" max="9989" min="9987" style="19" width="9.14"/>
    <col collapsed="false" customWidth="true" hidden="false" outlineLevel="0" max="9990" min="9990" style="19" width="10.71"/>
    <col collapsed="false" customWidth="true" hidden="false" outlineLevel="0" max="9991" min="9991" style="19" width="9.57"/>
    <col collapsed="false" customWidth="false" hidden="false" outlineLevel="0" max="10240" min="9992" style="19" width="9.14"/>
    <col collapsed="false" customWidth="true" hidden="false" outlineLevel="0" max="10241" min="10241" style="19" width="21.71"/>
    <col collapsed="false" customWidth="true" hidden="false" outlineLevel="0" max="10242" min="10242" style="19" width="9.71"/>
    <col collapsed="false" customWidth="false" hidden="false" outlineLevel="0" max="10245" min="10243" style="19" width="9.14"/>
    <col collapsed="false" customWidth="true" hidden="false" outlineLevel="0" max="10246" min="10246" style="19" width="10.71"/>
    <col collapsed="false" customWidth="true" hidden="false" outlineLevel="0" max="10247" min="10247" style="19" width="9.57"/>
    <col collapsed="false" customWidth="false" hidden="false" outlineLevel="0" max="10496" min="10248" style="19" width="9.14"/>
    <col collapsed="false" customWidth="true" hidden="false" outlineLevel="0" max="10497" min="10497" style="19" width="21.71"/>
    <col collapsed="false" customWidth="true" hidden="false" outlineLevel="0" max="10498" min="10498" style="19" width="9.71"/>
    <col collapsed="false" customWidth="false" hidden="false" outlineLevel="0" max="10501" min="10499" style="19" width="9.14"/>
    <col collapsed="false" customWidth="true" hidden="false" outlineLevel="0" max="10502" min="10502" style="19" width="10.71"/>
    <col collapsed="false" customWidth="true" hidden="false" outlineLevel="0" max="10503" min="10503" style="19" width="9.57"/>
    <col collapsed="false" customWidth="false" hidden="false" outlineLevel="0" max="10752" min="10504" style="19" width="9.14"/>
    <col collapsed="false" customWidth="true" hidden="false" outlineLevel="0" max="10753" min="10753" style="19" width="21.71"/>
    <col collapsed="false" customWidth="true" hidden="false" outlineLevel="0" max="10754" min="10754" style="19" width="9.71"/>
    <col collapsed="false" customWidth="false" hidden="false" outlineLevel="0" max="10757" min="10755" style="19" width="9.14"/>
    <col collapsed="false" customWidth="true" hidden="false" outlineLevel="0" max="10758" min="10758" style="19" width="10.71"/>
    <col collapsed="false" customWidth="true" hidden="false" outlineLevel="0" max="10759" min="10759" style="19" width="9.57"/>
    <col collapsed="false" customWidth="false" hidden="false" outlineLevel="0" max="11008" min="10760" style="19" width="9.14"/>
    <col collapsed="false" customWidth="true" hidden="false" outlineLevel="0" max="11009" min="11009" style="19" width="21.71"/>
    <col collapsed="false" customWidth="true" hidden="false" outlineLevel="0" max="11010" min="11010" style="19" width="9.71"/>
    <col collapsed="false" customWidth="false" hidden="false" outlineLevel="0" max="11013" min="11011" style="19" width="9.14"/>
    <col collapsed="false" customWidth="true" hidden="false" outlineLevel="0" max="11014" min="11014" style="19" width="10.71"/>
    <col collapsed="false" customWidth="true" hidden="false" outlineLevel="0" max="11015" min="11015" style="19" width="9.57"/>
    <col collapsed="false" customWidth="false" hidden="false" outlineLevel="0" max="11264" min="11016" style="19" width="9.14"/>
    <col collapsed="false" customWidth="true" hidden="false" outlineLevel="0" max="11265" min="11265" style="19" width="21.71"/>
    <col collapsed="false" customWidth="true" hidden="false" outlineLevel="0" max="11266" min="11266" style="19" width="9.71"/>
    <col collapsed="false" customWidth="false" hidden="false" outlineLevel="0" max="11269" min="11267" style="19" width="9.14"/>
    <col collapsed="false" customWidth="true" hidden="false" outlineLevel="0" max="11270" min="11270" style="19" width="10.71"/>
    <col collapsed="false" customWidth="true" hidden="false" outlineLevel="0" max="11271" min="11271" style="19" width="9.57"/>
    <col collapsed="false" customWidth="false" hidden="false" outlineLevel="0" max="11520" min="11272" style="19" width="9.14"/>
    <col collapsed="false" customWidth="true" hidden="false" outlineLevel="0" max="11521" min="11521" style="19" width="21.71"/>
    <col collapsed="false" customWidth="true" hidden="false" outlineLevel="0" max="11522" min="11522" style="19" width="9.71"/>
    <col collapsed="false" customWidth="false" hidden="false" outlineLevel="0" max="11525" min="11523" style="19" width="9.14"/>
    <col collapsed="false" customWidth="true" hidden="false" outlineLevel="0" max="11526" min="11526" style="19" width="10.71"/>
    <col collapsed="false" customWidth="true" hidden="false" outlineLevel="0" max="11527" min="11527" style="19" width="9.57"/>
    <col collapsed="false" customWidth="false" hidden="false" outlineLevel="0" max="11776" min="11528" style="19" width="9.14"/>
    <col collapsed="false" customWidth="true" hidden="false" outlineLevel="0" max="11777" min="11777" style="19" width="21.71"/>
    <col collapsed="false" customWidth="true" hidden="false" outlineLevel="0" max="11778" min="11778" style="19" width="9.71"/>
    <col collapsed="false" customWidth="false" hidden="false" outlineLevel="0" max="11781" min="11779" style="19" width="9.14"/>
    <col collapsed="false" customWidth="true" hidden="false" outlineLevel="0" max="11782" min="11782" style="19" width="10.71"/>
    <col collapsed="false" customWidth="true" hidden="false" outlineLevel="0" max="11783" min="11783" style="19" width="9.57"/>
    <col collapsed="false" customWidth="false" hidden="false" outlineLevel="0" max="12032" min="11784" style="19" width="9.14"/>
    <col collapsed="false" customWidth="true" hidden="false" outlineLevel="0" max="12033" min="12033" style="19" width="21.71"/>
    <col collapsed="false" customWidth="true" hidden="false" outlineLevel="0" max="12034" min="12034" style="19" width="9.71"/>
    <col collapsed="false" customWidth="false" hidden="false" outlineLevel="0" max="12037" min="12035" style="19" width="9.14"/>
    <col collapsed="false" customWidth="true" hidden="false" outlineLevel="0" max="12038" min="12038" style="19" width="10.71"/>
    <col collapsed="false" customWidth="true" hidden="false" outlineLevel="0" max="12039" min="12039" style="19" width="9.57"/>
    <col collapsed="false" customWidth="false" hidden="false" outlineLevel="0" max="12288" min="12040" style="19" width="9.14"/>
    <col collapsed="false" customWidth="true" hidden="false" outlineLevel="0" max="12289" min="12289" style="19" width="21.71"/>
    <col collapsed="false" customWidth="true" hidden="false" outlineLevel="0" max="12290" min="12290" style="19" width="9.71"/>
    <col collapsed="false" customWidth="false" hidden="false" outlineLevel="0" max="12293" min="12291" style="19" width="9.14"/>
    <col collapsed="false" customWidth="true" hidden="false" outlineLevel="0" max="12294" min="12294" style="19" width="10.71"/>
    <col collapsed="false" customWidth="true" hidden="false" outlineLevel="0" max="12295" min="12295" style="19" width="9.57"/>
    <col collapsed="false" customWidth="false" hidden="false" outlineLevel="0" max="12544" min="12296" style="19" width="9.14"/>
    <col collapsed="false" customWidth="true" hidden="false" outlineLevel="0" max="12545" min="12545" style="19" width="21.71"/>
    <col collapsed="false" customWidth="true" hidden="false" outlineLevel="0" max="12546" min="12546" style="19" width="9.71"/>
    <col collapsed="false" customWidth="false" hidden="false" outlineLevel="0" max="12549" min="12547" style="19" width="9.14"/>
    <col collapsed="false" customWidth="true" hidden="false" outlineLevel="0" max="12550" min="12550" style="19" width="10.71"/>
    <col collapsed="false" customWidth="true" hidden="false" outlineLevel="0" max="12551" min="12551" style="19" width="9.57"/>
    <col collapsed="false" customWidth="false" hidden="false" outlineLevel="0" max="12800" min="12552" style="19" width="9.14"/>
    <col collapsed="false" customWidth="true" hidden="false" outlineLevel="0" max="12801" min="12801" style="19" width="21.71"/>
    <col collapsed="false" customWidth="true" hidden="false" outlineLevel="0" max="12802" min="12802" style="19" width="9.71"/>
    <col collapsed="false" customWidth="false" hidden="false" outlineLevel="0" max="12805" min="12803" style="19" width="9.14"/>
    <col collapsed="false" customWidth="true" hidden="false" outlineLevel="0" max="12806" min="12806" style="19" width="10.71"/>
    <col collapsed="false" customWidth="true" hidden="false" outlineLevel="0" max="12807" min="12807" style="19" width="9.57"/>
    <col collapsed="false" customWidth="false" hidden="false" outlineLevel="0" max="13056" min="12808" style="19" width="9.14"/>
    <col collapsed="false" customWidth="true" hidden="false" outlineLevel="0" max="13057" min="13057" style="19" width="21.71"/>
    <col collapsed="false" customWidth="true" hidden="false" outlineLevel="0" max="13058" min="13058" style="19" width="9.71"/>
    <col collapsed="false" customWidth="false" hidden="false" outlineLevel="0" max="13061" min="13059" style="19" width="9.14"/>
    <col collapsed="false" customWidth="true" hidden="false" outlineLevel="0" max="13062" min="13062" style="19" width="10.71"/>
    <col collapsed="false" customWidth="true" hidden="false" outlineLevel="0" max="13063" min="13063" style="19" width="9.57"/>
    <col collapsed="false" customWidth="false" hidden="false" outlineLevel="0" max="13312" min="13064" style="19" width="9.14"/>
    <col collapsed="false" customWidth="true" hidden="false" outlineLevel="0" max="13313" min="13313" style="19" width="21.71"/>
    <col collapsed="false" customWidth="true" hidden="false" outlineLevel="0" max="13314" min="13314" style="19" width="9.71"/>
    <col collapsed="false" customWidth="false" hidden="false" outlineLevel="0" max="13317" min="13315" style="19" width="9.14"/>
    <col collapsed="false" customWidth="true" hidden="false" outlineLevel="0" max="13318" min="13318" style="19" width="10.71"/>
    <col collapsed="false" customWidth="true" hidden="false" outlineLevel="0" max="13319" min="13319" style="19" width="9.57"/>
    <col collapsed="false" customWidth="false" hidden="false" outlineLevel="0" max="13568" min="13320" style="19" width="9.14"/>
    <col collapsed="false" customWidth="true" hidden="false" outlineLevel="0" max="13569" min="13569" style="19" width="21.71"/>
    <col collapsed="false" customWidth="true" hidden="false" outlineLevel="0" max="13570" min="13570" style="19" width="9.71"/>
    <col collapsed="false" customWidth="false" hidden="false" outlineLevel="0" max="13573" min="13571" style="19" width="9.14"/>
    <col collapsed="false" customWidth="true" hidden="false" outlineLevel="0" max="13574" min="13574" style="19" width="10.71"/>
    <col collapsed="false" customWidth="true" hidden="false" outlineLevel="0" max="13575" min="13575" style="19" width="9.57"/>
    <col collapsed="false" customWidth="false" hidden="false" outlineLevel="0" max="13824" min="13576" style="19" width="9.14"/>
    <col collapsed="false" customWidth="true" hidden="false" outlineLevel="0" max="13825" min="13825" style="19" width="21.71"/>
    <col collapsed="false" customWidth="true" hidden="false" outlineLevel="0" max="13826" min="13826" style="19" width="9.71"/>
    <col collapsed="false" customWidth="false" hidden="false" outlineLevel="0" max="13829" min="13827" style="19" width="9.14"/>
    <col collapsed="false" customWidth="true" hidden="false" outlineLevel="0" max="13830" min="13830" style="19" width="10.71"/>
    <col collapsed="false" customWidth="true" hidden="false" outlineLevel="0" max="13831" min="13831" style="19" width="9.57"/>
    <col collapsed="false" customWidth="false" hidden="false" outlineLevel="0" max="14080" min="13832" style="19" width="9.14"/>
    <col collapsed="false" customWidth="true" hidden="false" outlineLevel="0" max="14081" min="14081" style="19" width="21.71"/>
    <col collapsed="false" customWidth="true" hidden="false" outlineLevel="0" max="14082" min="14082" style="19" width="9.71"/>
    <col collapsed="false" customWidth="false" hidden="false" outlineLevel="0" max="14085" min="14083" style="19" width="9.14"/>
    <col collapsed="false" customWidth="true" hidden="false" outlineLevel="0" max="14086" min="14086" style="19" width="10.71"/>
    <col collapsed="false" customWidth="true" hidden="false" outlineLevel="0" max="14087" min="14087" style="19" width="9.57"/>
    <col collapsed="false" customWidth="false" hidden="false" outlineLevel="0" max="14336" min="14088" style="19" width="9.14"/>
    <col collapsed="false" customWidth="true" hidden="false" outlineLevel="0" max="14337" min="14337" style="19" width="21.71"/>
    <col collapsed="false" customWidth="true" hidden="false" outlineLevel="0" max="14338" min="14338" style="19" width="9.71"/>
    <col collapsed="false" customWidth="false" hidden="false" outlineLevel="0" max="14341" min="14339" style="19" width="9.14"/>
    <col collapsed="false" customWidth="true" hidden="false" outlineLevel="0" max="14342" min="14342" style="19" width="10.71"/>
    <col collapsed="false" customWidth="true" hidden="false" outlineLevel="0" max="14343" min="14343" style="19" width="9.57"/>
    <col collapsed="false" customWidth="false" hidden="false" outlineLevel="0" max="14592" min="14344" style="19" width="9.14"/>
    <col collapsed="false" customWidth="true" hidden="false" outlineLevel="0" max="14593" min="14593" style="19" width="21.71"/>
    <col collapsed="false" customWidth="true" hidden="false" outlineLevel="0" max="14594" min="14594" style="19" width="9.71"/>
    <col collapsed="false" customWidth="false" hidden="false" outlineLevel="0" max="14597" min="14595" style="19" width="9.14"/>
    <col collapsed="false" customWidth="true" hidden="false" outlineLevel="0" max="14598" min="14598" style="19" width="10.71"/>
    <col collapsed="false" customWidth="true" hidden="false" outlineLevel="0" max="14599" min="14599" style="19" width="9.57"/>
    <col collapsed="false" customWidth="false" hidden="false" outlineLevel="0" max="14848" min="14600" style="19" width="9.14"/>
    <col collapsed="false" customWidth="true" hidden="false" outlineLevel="0" max="14849" min="14849" style="19" width="21.71"/>
    <col collapsed="false" customWidth="true" hidden="false" outlineLevel="0" max="14850" min="14850" style="19" width="9.71"/>
    <col collapsed="false" customWidth="false" hidden="false" outlineLevel="0" max="14853" min="14851" style="19" width="9.14"/>
    <col collapsed="false" customWidth="true" hidden="false" outlineLevel="0" max="14854" min="14854" style="19" width="10.71"/>
    <col collapsed="false" customWidth="true" hidden="false" outlineLevel="0" max="14855" min="14855" style="19" width="9.57"/>
    <col collapsed="false" customWidth="false" hidden="false" outlineLevel="0" max="15104" min="14856" style="19" width="9.14"/>
    <col collapsed="false" customWidth="true" hidden="false" outlineLevel="0" max="15105" min="15105" style="19" width="21.71"/>
    <col collapsed="false" customWidth="true" hidden="false" outlineLevel="0" max="15106" min="15106" style="19" width="9.71"/>
    <col collapsed="false" customWidth="false" hidden="false" outlineLevel="0" max="15109" min="15107" style="19" width="9.14"/>
    <col collapsed="false" customWidth="true" hidden="false" outlineLevel="0" max="15110" min="15110" style="19" width="10.71"/>
    <col collapsed="false" customWidth="true" hidden="false" outlineLevel="0" max="15111" min="15111" style="19" width="9.57"/>
    <col collapsed="false" customWidth="false" hidden="false" outlineLevel="0" max="15360" min="15112" style="19" width="9.14"/>
    <col collapsed="false" customWidth="true" hidden="false" outlineLevel="0" max="15361" min="15361" style="19" width="21.71"/>
    <col collapsed="false" customWidth="true" hidden="false" outlineLevel="0" max="15362" min="15362" style="19" width="9.71"/>
    <col collapsed="false" customWidth="false" hidden="false" outlineLevel="0" max="15365" min="15363" style="19" width="9.14"/>
    <col collapsed="false" customWidth="true" hidden="false" outlineLevel="0" max="15366" min="15366" style="19" width="10.71"/>
    <col collapsed="false" customWidth="true" hidden="false" outlineLevel="0" max="15367" min="15367" style="19" width="9.57"/>
    <col collapsed="false" customWidth="false" hidden="false" outlineLevel="0" max="15616" min="15368" style="19" width="9.14"/>
    <col collapsed="false" customWidth="true" hidden="false" outlineLevel="0" max="15617" min="15617" style="19" width="21.71"/>
    <col collapsed="false" customWidth="true" hidden="false" outlineLevel="0" max="15618" min="15618" style="19" width="9.71"/>
    <col collapsed="false" customWidth="false" hidden="false" outlineLevel="0" max="15621" min="15619" style="19" width="9.14"/>
    <col collapsed="false" customWidth="true" hidden="false" outlineLevel="0" max="15622" min="15622" style="19" width="10.71"/>
    <col collapsed="false" customWidth="true" hidden="false" outlineLevel="0" max="15623" min="15623" style="19" width="9.57"/>
    <col collapsed="false" customWidth="false" hidden="false" outlineLevel="0" max="15872" min="15624" style="19" width="9.14"/>
    <col collapsed="false" customWidth="true" hidden="false" outlineLevel="0" max="15873" min="15873" style="19" width="21.71"/>
    <col collapsed="false" customWidth="true" hidden="false" outlineLevel="0" max="15874" min="15874" style="19" width="9.71"/>
    <col collapsed="false" customWidth="false" hidden="false" outlineLevel="0" max="15877" min="15875" style="19" width="9.14"/>
    <col collapsed="false" customWidth="true" hidden="false" outlineLevel="0" max="15878" min="15878" style="19" width="10.71"/>
    <col collapsed="false" customWidth="true" hidden="false" outlineLevel="0" max="15879" min="15879" style="19" width="9.57"/>
    <col collapsed="false" customWidth="false" hidden="false" outlineLevel="0" max="16128" min="15880" style="19" width="9.14"/>
    <col collapsed="false" customWidth="true" hidden="false" outlineLevel="0" max="16129" min="16129" style="19" width="21.71"/>
    <col collapsed="false" customWidth="true" hidden="false" outlineLevel="0" max="16130" min="16130" style="19" width="9.71"/>
    <col collapsed="false" customWidth="false" hidden="false" outlineLevel="0" max="16133" min="16131" style="19" width="9.14"/>
    <col collapsed="false" customWidth="true" hidden="false" outlineLevel="0" max="16134" min="16134" style="19" width="10.71"/>
    <col collapsed="false" customWidth="true" hidden="false" outlineLevel="0" max="16135" min="16135" style="19" width="9.57"/>
    <col collapsed="false" customWidth="false" hidden="false" outlineLevel="0" max="16384" min="16136" style="19" width="9.14"/>
  </cols>
  <sheetData>
    <row r="1" customFormat="false" ht="15.75" hidden="false" customHeight="false" outlineLevel="0" collapsed="false">
      <c r="A1" s="14" t="s">
        <v>156</v>
      </c>
      <c r="F1" s="17"/>
      <c r="G1" s="17"/>
    </row>
    <row r="2" customFormat="false" ht="12" hidden="false" customHeight="false" outlineLevel="0" collapsed="false">
      <c r="F2" s="17"/>
      <c r="G2" s="17"/>
    </row>
    <row r="3" customFormat="false" ht="48" hidden="false" customHeight="false" outlineLevel="0" collapsed="false">
      <c r="A3" s="20" t="n">
        <v>2006</v>
      </c>
      <c r="B3" s="21" t="s">
        <v>17</v>
      </c>
      <c r="C3" s="22" t="s">
        <v>106</v>
      </c>
      <c r="D3" s="22" t="s">
        <v>107</v>
      </c>
      <c r="E3" s="25" t="s">
        <v>108</v>
      </c>
      <c r="F3" s="74" t="s">
        <v>109</v>
      </c>
      <c r="G3" s="24" t="s">
        <v>110</v>
      </c>
      <c r="H3" s="22" t="s">
        <v>106</v>
      </c>
      <c r="I3" s="22" t="s">
        <v>107</v>
      </c>
      <c r="J3" s="213"/>
    </row>
    <row r="4" customFormat="false" ht="12" hidden="false" customHeight="false" outlineLevel="0" collapsed="false">
      <c r="A4" s="179" t="s">
        <v>138</v>
      </c>
      <c r="B4" s="230" t="n">
        <v>366.302</v>
      </c>
      <c r="C4" s="231" t="s">
        <v>91</v>
      </c>
      <c r="D4" s="232" t="s">
        <v>91</v>
      </c>
      <c r="E4" s="233" t="n">
        <v>0.109084747337519</v>
      </c>
      <c r="F4" s="230" t="n">
        <v>134.249</v>
      </c>
      <c r="G4" s="234" t="n">
        <v>3107.237</v>
      </c>
      <c r="H4" s="235" t="s">
        <v>91</v>
      </c>
      <c r="I4" s="233" t="s">
        <v>91</v>
      </c>
      <c r="J4" s="268"/>
    </row>
    <row r="5" customFormat="false" ht="12" hidden="false" customHeight="false" outlineLevel="0" collapsed="false">
      <c r="A5" s="187" t="s">
        <v>96</v>
      </c>
      <c r="B5" s="237" t="n">
        <v>7.437</v>
      </c>
      <c r="C5" s="238" t="n">
        <v>0.673255344897136</v>
      </c>
      <c r="D5" s="239" t="n">
        <v>0.326744655102864</v>
      </c>
      <c r="E5" s="240" t="n">
        <v>0.0869468638569007</v>
      </c>
      <c r="F5" s="237" t="n">
        <v>1.64</v>
      </c>
      <c r="G5" s="241" t="n">
        <v>74.451</v>
      </c>
      <c r="H5" s="242" t="n">
        <v>0.320371788155968</v>
      </c>
      <c r="I5" s="240" t="n">
        <v>0.679628211844032</v>
      </c>
      <c r="J5" s="268"/>
    </row>
    <row r="6" customFormat="false" ht="12" hidden="false" customHeight="false" outlineLevel="0" collapsed="false">
      <c r="A6" s="80" t="s">
        <v>27</v>
      </c>
      <c r="B6" s="104" t="n">
        <v>2.766</v>
      </c>
      <c r="C6" s="166" t="n">
        <v>0.815618221258134</v>
      </c>
      <c r="D6" s="105" t="n">
        <v>0.184381778741866</v>
      </c>
      <c r="E6" s="167" t="n">
        <v>0.0603363654211112</v>
      </c>
      <c r="F6" s="104" t="n">
        <v>1.14</v>
      </c>
      <c r="G6" s="107" t="n">
        <v>47.97</v>
      </c>
      <c r="H6" s="224" t="n">
        <v>0.69161976235147</v>
      </c>
      <c r="I6" s="167" t="n">
        <v>0.30838023764853</v>
      </c>
      <c r="J6" s="268"/>
    </row>
    <row r="7" customFormat="false" ht="13.5" hidden="false" customHeight="false" outlineLevel="0" collapsed="false">
      <c r="A7" s="80" t="s">
        <v>157</v>
      </c>
      <c r="B7" s="104" t="n">
        <v>12.709</v>
      </c>
      <c r="C7" s="166" t="n">
        <v>0.70257297977811</v>
      </c>
      <c r="D7" s="105" t="n">
        <v>0.29742702022189</v>
      </c>
      <c r="E7" s="167" t="n">
        <v>0.150650181956117</v>
      </c>
      <c r="F7" s="104" t="n">
        <v>4.87</v>
      </c>
      <c r="G7" s="107" t="n">
        <v>143.214</v>
      </c>
      <c r="H7" s="224" t="n">
        <v>0.604968787967657</v>
      </c>
      <c r="I7" s="167" t="n">
        <v>0.395031212032343</v>
      </c>
      <c r="J7" s="268"/>
    </row>
    <row r="8" customFormat="false" ht="12" hidden="false" customHeight="false" outlineLevel="0" collapsed="false">
      <c r="A8" s="80" t="s">
        <v>29</v>
      </c>
      <c r="B8" s="104" t="n">
        <v>18.626</v>
      </c>
      <c r="C8" s="166" t="s">
        <v>91</v>
      </c>
      <c r="D8" s="105" t="s">
        <v>91</v>
      </c>
      <c r="E8" s="167" t="n">
        <v>0.407428471432321</v>
      </c>
      <c r="F8" s="104" t="n">
        <v>5.7</v>
      </c>
      <c r="G8" s="107" t="n">
        <v>117.243</v>
      </c>
      <c r="H8" s="224" t="s">
        <v>91</v>
      </c>
      <c r="I8" s="167" t="s">
        <v>91</v>
      </c>
      <c r="J8" s="268"/>
    </row>
    <row r="9" customFormat="false" ht="13.5" hidden="false" customHeight="false" outlineLevel="0" collapsed="false">
      <c r="A9" s="80" t="s">
        <v>158</v>
      </c>
      <c r="B9" s="104" t="n">
        <v>79.721</v>
      </c>
      <c r="C9" s="166" t="n">
        <v>0.677362301024824</v>
      </c>
      <c r="D9" s="105" t="n">
        <v>0.322637698975176</v>
      </c>
      <c r="E9" s="167" t="n">
        <v>0.125229343386742</v>
      </c>
      <c r="F9" s="104" t="n">
        <v>56.33</v>
      </c>
      <c r="G9" s="107" t="n">
        <v>646.506</v>
      </c>
      <c r="H9" s="224" t="n">
        <v>0.564735671440018</v>
      </c>
      <c r="I9" s="167" t="n">
        <v>0.435264328559982</v>
      </c>
      <c r="J9" s="268"/>
    </row>
    <row r="10" customFormat="false" ht="13.5" hidden="false" customHeight="false" outlineLevel="0" collapsed="false">
      <c r="A10" s="80" t="s">
        <v>151</v>
      </c>
      <c r="B10" s="104" t="n">
        <v>1.043</v>
      </c>
      <c r="C10" s="166" t="n">
        <v>0.89261744966443</v>
      </c>
      <c r="D10" s="105" t="n">
        <v>0.10738255033557</v>
      </c>
      <c r="E10" s="167" t="n">
        <v>0.107183228856233</v>
      </c>
      <c r="F10" s="104" t="n">
        <v>1.6</v>
      </c>
      <c r="G10" s="107" t="n">
        <v>11.587</v>
      </c>
      <c r="H10" s="224" t="n">
        <v>0.782860101838267</v>
      </c>
      <c r="I10" s="167" t="n">
        <v>0.217139898161733</v>
      </c>
      <c r="J10" s="268"/>
    </row>
    <row r="11" customFormat="false" ht="13.5" hidden="false" customHeight="false" outlineLevel="0" collapsed="false">
      <c r="A11" s="80" t="s">
        <v>141</v>
      </c>
      <c r="B11" s="104" t="n">
        <v>1.54</v>
      </c>
      <c r="C11" s="166" t="n">
        <v>0</v>
      </c>
      <c r="D11" s="105" t="n">
        <v>1</v>
      </c>
      <c r="E11" s="167" t="n">
        <v>0.0560427963171877</v>
      </c>
      <c r="F11" s="104" t="n">
        <v>0.262</v>
      </c>
      <c r="G11" s="107" t="n">
        <v>9.955</v>
      </c>
      <c r="H11" s="224" t="n">
        <v>0</v>
      </c>
      <c r="I11" s="167" t="n">
        <v>1</v>
      </c>
      <c r="J11" s="268"/>
    </row>
    <row r="12" customFormat="false" ht="12" hidden="false" customHeight="false" outlineLevel="0" collapsed="false">
      <c r="A12" s="80" t="s">
        <v>33</v>
      </c>
      <c r="B12" s="104" t="n">
        <v>1.05</v>
      </c>
      <c r="C12" s="166" t="n">
        <v>0.2</v>
      </c>
      <c r="D12" s="105" t="n">
        <v>0.8</v>
      </c>
      <c r="E12" s="167" t="n">
        <v>0.0172728618664561</v>
      </c>
      <c r="F12" s="104" t="n">
        <v>0.25</v>
      </c>
      <c r="G12" s="107" t="n">
        <v>8.28</v>
      </c>
      <c r="H12" s="224" t="n">
        <v>0.283454106280193</v>
      </c>
      <c r="I12" s="167" t="n">
        <v>0.716545893719807</v>
      </c>
      <c r="J12" s="268"/>
    </row>
    <row r="13" customFormat="false" ht="12" hidden="false" customHeight="false" outlineLevel="0" collapsed="false">
      <c r="A13" s="80" t="s">
        <v>34</v>
      </c>
      <c r="B13" s="104" t="n">
        <v>21.937</v>
      </c>
      <c r="C13" s="166" t="n">
        <v>0</v>
      </c>
      <c r="D13" s="105" t="n">
        <v>1</v>
      </c>
      <c r="E13" s="167" t="n">
        <v>0.0723976673806216</v>
      </c>
      <c r="F13" s="104" t="n">
        <v>3.868</v>
      </c>
      <c r="G13" s="107" t="n">
        <v>188.83</v>
      </c>
      <c r="H13" s="224" t="n">
        <v>0</v>
      </c>
      <c r="I13" s="167" t="n">
        <v>1</v>
      </c>
      <c r="J13" s="268"/>
    </row>
    <row r="14" customFormat="false" ht="12" hidden="false" customHeight="false" outlineLevel="0" collapsed="false">
      <c r="A14" s="80" t="s">
        <v>35</v>
      </c>
      <c r="B14" s="104" t="n">
        <v>18.422</v>
      </c>
      <c r="C14" s="166" t="n">
        <v>0.45299098903485</v>
      </c>
      <c r="D14" s="105" t="n">
        <v>0.54700901096515</v>
      </c>
      <c r="E14" s="167" t="n">
        <v>0.0320676515693514</v>
      </c>
      <c r="F14" s="104" t="n">
        <v>5.779</v>
      </c>
      <c r="G14" s="107" t="n">
        <v>187.386</v>
      </c>
      <c r="H14" s="224" t="n">
        <v>0.301970264587536</v>
      </c>
      <c r="I14" s="167" t="n">
        <v>0.698029735412464</v>
      </c>
      <c r="J14" s="268"/>
    </row>
    <row r="15" customFormat="false" ht="12" hidden="false" customHeight="false" outlineLevel="0" collapsed="false">
      <c r="A15" s="80" t="s">
        <v>37</v>
      </c>
      <c r="B15" s="104" t="n">
        <v>30.889</v>
      </c>
      <c r="C15" s="166" t="n">
        <v>0.590889960827479</v>
      </c>
      <c r="D15" s="105" t="n">
        <v>0.409110039172521</v>
      </c>
      <c r="E15" s="167" t="n">
        <v>0.0983344051037495</v>
      </c>
      <c r="F15" s="104" t="n">
        <v>6.24</v>
      </c>
      <c r="G15" s="107" t="n">
        <v>208.301</v>
      </c>
      <c r="H15" s="224" t="n">
        <v>0.396133479916083</v>
      </c>
      <c r="I15" s="167" t="n">
        <v>0.603866520083917</v>
      </c>
      <c r="J15" s="268"/>
    </row>
    <row r="16" customFormat="false" ht="12" hidden="false" customHeight="false" outlineLevel="0" collapsed="false">
      <c r="A16" s="80" t="s">
        <v>38</v>
      </c>
      <c r="B16" s="104" t="n">
        <v>0.014</v>
      </c>
      <c r="C16" s="166" t="n">
        <v>0</v>
      </c>
      <c r="D16" s="105" t="n">
        <v>1</v>
      </c>
      <c r="E16" s="167" t="n">
        <v>0.00300945829750645</v>
      </c>
      <c r="F16" s="104" t="n">
        <v>0.005</v>
      </c>
      <c r="G16" s="107" t="n">
        <v>0.067</v>
      </c>
      <c r="H16" s="224" t="n">
        <v>0</v>
      </c>
      <c r="I16" s="167" t="n">
        <v>1</v>
      </c>
      <c r="J16" s="268"/>
    </row>
    <row r="17" customFormat="false" ht="13.5" hidden="false" customHeight="false" outlineLevel="0" collapsed="false">
      <c r="A17" s="80" t="s">
        <v>159</v>
      </c>
      <c r="B17" s="104" t="n">
        <v>2.084</v>
      </c>
      <c r="C17" s="166" t="n">
        <v>0.974568138195777</v>
      </c>
      <c r="D17" s="105" t="n">
        <v>0.0254318618042227</v>
      </c>
      <c r="E17" s="167" t="n">
        <v>0.426088734410141</v>
      </c>
      <c r="F17" s="104" t="n">
        <v>0.588</v>
      </c>
      <c r="G17" s="107" t="n">
        <v>12.078</v>
      </c>
      <c r="H17" s="224" t="n">
        <v>0.995611856267594</v>
      </c>
      <c r="I17" s="167" t="n">
        <v>0.00438814373240603</v>
      </c>
      <c r="J17" s="268"/>
    </row>
    <row r="18" customFormat="false" ht="12" hidden="false" customHeight="false" outlineLevel="0" collapsed="false">
      <c r="A18" s="80" t="s">
        <v>40</v>
      </c>
      <c r="B18" s="104" t="n">
        <v>1.784</v>
      </c>
      <c r="C18" s="166" t="n">
        <v>0.905829596412556</v>
      </c>
      <c r="D18" s="105" t="n">
        <v>0.0941704035874439</v>
      </c>
      <c r="E18" s="167" t="n">
        <v>0.142925813170966</v>
      </c>
      <c r="F18" s="104" t="n">
        <v>1.039</v>
      </c>
      <c r="G18" s="107" t="n">
        <v>16.941</v>
      </c>
      <c r="H18" s="224" t="n">
        <v>0.934065285402279</v>
      </c>
      <c r="I18" s="167" t="n">
        <v>0.0659347145977215</v>
      </c>
      <c r="J18" s="268"/>
    </row>
    <row r="19" customFormat="false" ht="13.5" hidden="false" customHeight="false" outlineLevel="0" collapsed="false">
      <c r="A19" s="80" t="s">
        <v>152</v>
      </c>
      <c r="B19" s="104" t="n">
        <v>0.471</v>
      </c>
      <c r="C19" s="166" t="n">
        <v>0.902335456475584</v>
      </c>
      <c r="D19" s="105" t="n">
        <v>0.0976645435244161</v>
      </c>
      <c r="E19" s="167" t="n">
        <v>0.108700669282252</v>
      </c>
      <c r="F19" s="104" t="n">
        <v>0.107</v>
      </c>
      <c r="G19" s="107" t="n">
        <v>2.69</v>
      </c>
      <c r="H19" s="224" t="s">
        <v>91</v>
      </c>
      <c r="I19" s="167" t="s">
        <v>91</v>
      </c>
      <c r="J19" s="268"/>
    </row>
    <row r="20" customFormat="false" ht="12" hidden="false" customHeight="false" outlineLevel="0" collapsed="false">
      <c r="A20" s="80" t="s">
        <v>113</v>
      </c>
      <c r="B20" s="104" t="n">
        <v>8.02</v>
      </c>
      <c r="C20" s="166" t="n">
        <v>0.888653366583541</v>
      </c>
      <c r="D20" s="105" t="n">
        <v>0.111346633416459</v>
      </c>
      <c r="E20" s="167" t="n">
        <v>0.223653754984802</v>
      </c>
      <c r="F20" s="104" t="n">
        <v>1.975</v>
      </c>
      <c r="G20" s="107" t="n">
        <v>46.88</v>
      </c>
      <c r="H20" s="224" t="n">
        <v>0.808105802047782</v>
      </c>
      <c r="I20" s="167" t="n">
        <v>0.191894197952218</v>
      </c>
      <c r="J20" s="268"/>
    </row>
    <row r="21" customFormat="false" ht="12" hidden="false" customHeight="false" outlineLevel="0" collapsed="false">
      <c r="A21" s="80" t="s">
        <v>43</v>
      </c>
      <c r="B21" s="104" t="n">
        <v>0</v>
      </c>
      <c r="C21" s="166" t="n">
        <v>0</v>
      </c>
      <c r="D21" s="105" t="n">
        <v>0</v>
      </c>
      <c r="E21" s="167" t="n">
        <v>0</v>
      </c>
      <c r="F21" s="104" t="n">
        <v>0</v>
      </c>
      <c r="G21" s="107" t="n">
        <v>0</v>
      </c>
      <c r="H21" s="224" t="n">
        <v>0</v>
      </c>
      <c r="I21" s="167" t="n">
        <v>0</v>
      </c>
      <c r="J21" s="268"/>
    </row>
    <row r="22" customFormat="false" ht="12" hidden="false" customHeight="false" outlineLevel="0" collapsed="false">
      <c r="A22" s="80" t="s">
        <v>72</v>
      </c>
      <c r="B22" s="104" t="n">
        <v>29.421</v>
      </c>
      <c r="C22" s="166" t="s">
        <v>91</v>
      </c>
      <c r="D22" s="105" t="s">
        <v>91</v>
      </c>
      <c r="E22" s="167" t="n">
        <v>0.299018212862834</v>
      </c>
      <c r="F22" s="104" t="n">
        <v>7.692</v>
      </c>
      <c r="G22" s="107" t="n">
        <v>219.912</v>
      </c>
      <c r="H22" s="224" t="s">
        <v>91</v>
      </c>
      <c r="I22" s="167" t="s">
        <v>91</v>
      </c>
      <c r="J22" s="268"/>
    </row>
    <row r="23" customFormat="false" ht="12" hidden="false" customHeight="false" outlineLevel="0" collapsed="false">
      <c r="A23" s="80" t="s">
        <v>45</v>
      </c>
      <c r="B23" s="104" t="n">
        <v>10.236</v>
      </c>
      <c r="C23" s="166" t="n">
        <v>0.477921062915201</v>
      </c>
      <c r="D23" s="105" t="n">
        <v>0.522078937084799</v>
      </c>
      <c r="E23" s="167" t="n">
        <v>0.161189235154245</v>
      </c>
      <c r="F23" s="104" t="n">
        <v>3.268</v>
      </c>
      <c r="G23" s="107" t="n">
        <v>98.871</v>
      </c>
      <c r="H23" s="224" t="n">
        <v>0.320528769811168</v>
      </c>
      <c r="I23" s="167" t="n">
        <v>0.679471230188832</v>
      </c>
      <c r="J23" s="268"/>
    </row>
    <row r="24" customFormat="false" ht="12" hidden="false" customHeight="false" outlineLevel="0" collapsed="false">
      <c r="A24" s="80" t="s">
        <v>46</v>
      </c>
      <c r="B24" s="104" t="n">
        <v>25.959</v>
      </c>
      <c r="C24" s="166" t="n">
        <v>0.773373396509881</v>
      </c>
      <c r="D24" s="105" t="n">
        <v>0.226626603490119</v>
      </c>
      <c r="E24" s="167" t="n">
        <v>0.160495353740193</v>
      </c>
      <c r="F24" s="104" t="n">
        <v>8.471</v>
      </c>
      <c r="G24" s="107" t="n">
        <v>264.598</v>
      </c>
      <c r="H24" s="224" t="n">
        <v>0.605269125239042</v>
      </c>
      <c r="I24" s="167" t="n">
        <v>0.394730874760958</v>
      </c>
      <c r="J24" s="268"/>
    </row>
    <row r="25" customFormat="false" ht="12" hidden="false" customHeight="false" outlineLevel="0" collapsed="false">
      <c r="A25" s="80" t="s">
        <v>98</v>
      </c>
      <c r="B25" s="104" t="n">
        <v>5.698</v>
      </c>
      <c r="C25" s="166" t="n">
        <v>0.691997191997192</v>
      </c>
      <c r="D25" s="105" t="n">
        <v>0.308002808002808</v>
      </c>
      <c r="E25" s="167" t="n">
        <v>0.116188495340633</v>
      </c>
      <c r="F25" s="104" t="n">
        <v>1.103</v>
      </c>
      <c r="G25" s="107" t="n">
        <v>63.292</v>
      </c>
      <c r="H25" s="224" t="n">
        <v>0.517395563420337</v>
      </c>
      <c r="I25" s="167" t="n">
        <v>0.482604436579663</v>
      </c>
      <c r="J25" s="268"/>
    </row>
    <row r="26" customFormat="false" ht="12" hidden="false" customHeight="false" outlineLevel="0" collapsed="false">
      <c r="A26" s="80" t="s">
        <v>48</v>
      </c>
      <c r="B26" s="104" t="n">
        <v>11.304</v>
      </c>
      <c r="C26" s="166" t="n">
        <v>0.918259023354565</v>
      </c>
      <c r="D26" s="105" t="n">
        <v>0.0817409766454352</v>
      </c>
      <c r="E26" s="167" t="n">
        <v>0.180292832307251</v>
      </c>
      <c r="F26" s="104" t="n">
        <v>4.118</v>
      </c>
      <c r="G26" s="107" t="n">
        <v>99.646</v>
      </c>
      <c r="H26" s="224" t="n">
        <v>0.960761094273729</v>
      </c>
      <c r="I26" s="167" t="n">
        <v>0.039238905726271</v>
      </c>
      <c r="J26" s="268"/>
    </row>
    <row r="27" customFormat="false" ht="12" hidden="false" customHeight="false" outlineLevel="0" collapsed="false">
      <c r="A27" s="80" t="s">
        <v>99</v>
      </c>
      <c r="B27" s="104" t="n">
        <v>1.123</v>
      </c>
      <c r="C27" s="166" t="n">
        <v>0.741763134461265</v>
      </c>
      <c r="D27" s="105" t="n">
        <v>0.258236865538736</v>
      </c>
      <c r="E27" s="167" t="n">
        <v>0.0742970559047304</v>
      </c>
      <c r="F27" s="104" t="n">
        <v>0.346</v>
      </c>
      <c r="G27" s="107" t="n">
        <v>13.508</v>
      </c>
      <c r="H27" s="224" t="n">
        <v>0.508957654723127</v>
      </c>
      <c r="I27" s="167" t="n">
        <v>0.491042345276873</v>
      </c>
      <c r="J27" s="268"/>
    </row>
    <row r="28" customFormat="false" ht="12" hidden="false" customHeight="false" outlineLevel="0" collapsed="false">
      <c r="A28" s="80" t="s">
        <v>50</v>
      </c>
      <c r="B28" s="104" t="n">
        <v>8.658</v>
      </c>
      <c r="C28" s="166" t="n">
        <v>0.703626703626704</v>
      </c>
      <c r="D28" s="105" t="n">
        <v>0.296373296373296</v>
      </c>
      <c r="E28" s="167" t="n">
        <v>0.27601377199694</v>
      </c>
      <c r="F28" s="104" t="n">
        <v>2.761</v>
      </c>
      <c r="G28" s="107" t="n">
        <v>43.6</v>
      </c>
      <c r="H28" s="224" t="n">
        <v>0.414357798165138</v>
      </c>
      <c r="I28" s="167" t="n">
        <v>0.585642201834862</v>
      </c>
      <c r="J28" s="268"/>
    </row>
    <row r="29" customFormat="false" ht="12" hidden="false" customHeight="false" outlineLevel="0" collapsed="false">
      <c r="A29" s="80" t="s">
        <v>75</v>
      </c>
      <c r="B29" s="104" t="n">
        <v>28.749</v>
      </c>
      <c r="C29" s="166" t="n">
        <v>0.673692998017322</v>
      </c>
      <c r="D29" s="105" t="n">
        <v>0.326307001982678</v>
      </c>
      <c r="E29" s="167" t="n">
        <v>0.349302585536547</v>
      </c>
      <c r="F29" s="104" t="n">
        <v>5.908</v>
      </c>
      <c r="G29" s="107" t="n">
        <v>274.467</v>
      </c>
      <c r="H29" s="224" t="n">
        <v>0.498023441798103</v>
      </c>
      <c r="I29" s="167" t="n">
        <v>0.501976558201897</v>
      </c>
      <c r="J29" s="268"/>
    </row>
    <row r="30" customFormat="false" ht="12" hidden="false" customHeight="false" outlineLevel="0" collapsed="false">
      <c r="A30" s="108" t="s">
        <v>76</v>
      </c>
      <c r="B30" s="109" t="n">
        <v>11.432</v>
      </c>
      <c r="C30" s="138" t="n">
        <v>0.621063680895731</v>
      </c>
      <c r="D30" s="110" t="n">
        <v>0.378936319104269</v>
      </c>
      <c r="E30" s="139" t="n">
        <v>0.0797778056916356</v>
      </c>
      <c r="F30" s="109" t="n">
        <v>3.738</v>
      </c>
      <c r="G30" s="112" t="n">
        <v>141.457</v>
      </c>
      <c r="H30" s="244" t="n">
        <v>0.498879518157461</v>
      </c>
      <c r="I30" s="139" t="n">
        <v>0.501120481842539</v>
      </c>
      <c r="J30" s="268"/>
    </row>
    <row r="31" customFormat="false" ht="12" hidden="false" customHeight="false" outlineLevel="0" collapsed="false">
      <c r="A31" s="87" t="s">
        <v>77</v>
      </c>
      <c r="B31" s="114" t="n">
        <v>25.209</v>
      </c>
      <c r="C31" s="245" t="n">
        <v>0.0980602165893133</v>
      </c>
      <c r="D31" s="115" t="n">
        <v>0.901939783410687</v>
      </c>
      <c r="E31" s="246" t="n">
        <v>0.0632871987085987</v>
      </c>
      <c r="F31" s="114" t="n">
        <v>5.451</v>
      </c>
      <c r="G31" s="113" t="n">
        <v>165.507</v>
      </c>
      <c r="H31" s="247" t="n">
        <v>0.0804739376582259</v>
      </c>
      <c r="I31" s="246" t="n">
        <v>0.919526062341774</v>
      </c>
      <c r="J31" s="268"/>
    </row>
    <row r="32" customFormat="false" ht="13.5" hidden="false" customHeight="false" outlineLevel="0" collapsed="false">
      <c r="A32" s="108" t="s">
        <v>160</v>
      </c>
      <c r="B32" s="109" t="n">
        <v>1.432</v>
      </c>
      <c r="C32" s="138" t="n">
        <v>1</v>
      </c>
      <c r="D32" s="110" t="n">
        <v>0</v>
      </c>
      <c r="E32" s="139" t="n">
        <v>0.144209466263847</v>
      </c>
      <c r="F32" s="109" t="n">
        <v>0.174</v>
      </c>
      <c r="G32" s="112" t="n">
        <v>8.709</v>
      </c>
      <c r="H32" s="244" t="n">
        <v>1</v>
      </c>
      <c r="I32" s="139" t="n">
        <v>0</v>
      </c>
    </row>
    <row r="33" customFormat="false" ht="12" hidden="false" customHeight="false" outlineLevel="0" collapsed="false">
      <c r="A33" s="87" t="s">
        <v>115</v>
      </c>
      <c r="B33" s="114" t="n">
        <v>0.093</v>
      </c>
      <c r="C33" s="245" t="n">
        <v>1</v>
      </c>
      <c r="D33" s="115" t="n">
        <v>0</v>
      </c>
      <c r="E33" s="246" t="n">
        <v>0.000764123968843461</v>
      </c>
      <c r="F33" s="114" t="s">
        <v>91</v>
      </c>
      <c r="G33" s="113" t="n">
        <v>3.615</v>
      </c>
      <c r="H33" s="247" t="n">
        <v>1</v>
      </c>
      <c r="I33" s="246" t="n">
        <v>0</v>
      </c>
      <c r="J33" s="268"/>
    </row>
    <row r="34" customFormat="false" ht="13.5" hidden="false" customHeight="false" outlineLevel="0" collapsed="false">
      <c r="A34" s="119" t="s">
        <v>153</v>
      </c>
      <c r="B34" s="121" t="n">
        <v>7.713</v>
      </c>
      <c r="C34" s="248" t="n">
        <v>0.292233890833658</v>
      </c>
      <c r="D34" s="122" t="n">
        <v>0.707766109166343</v>
      </c>
      <c r="E34" s="249" t="n">
        <v>0.0437492909812819</v>
      </c>
      <c r="F34" s="121" t="n">
        <v>4.042</v>
      </c>
      <c r="G34" s="120" t="n">
        <v>94.21</v>
      </c>
      <c r="H34" s="250" t="n">
        <v>0.201464812652585</v>
      </c>
      <c r="I34" s="249" t="n">
        <v>0.798535187347415</v>
      </c>
      <c r="J34" s="268"/>
    </row>
    <row r="35" s="19" customFormat="true" ht="12" hidden="false" customHeight="false" outlineLevel="0" collapsed="false">
      <c r="J35" s="268"/>
    </row>
    <row r="36" customFormat="false" ht="12" hidden="false" customHeight="false" outlineLevel="0" collapsed="false">
      <c r="F36" s="16"/>
      <c r="G36" s="16"/>
    </row>
    <row r="37" customFormat="false" ht="36" hidden="false" customHeight="false" outlineLevel="0" collapsed="false">
      <c r="A37" s="20" t="n">
        <v>2006</v>
      </c>
      <c r="B37" s="21" t="s">
        <v>55</v>
      </c>
      <c r="C37" s="25" t="s">
        <v>57</v>
      </c>
      <c r="D37" s="22" t="s">
        <v>58</v>
      </c>
      <c r="E37" s="22" t="s">
        <v>59</v>
      </c>
      <c r="F37" s="211" t="s">
        <v>60</v>
      </c>
      <c r="G37" s="211" t="s">
        <v>61</v>
      </c>
    </row>
    <row r="38" customFormat="false" ht="12" hidden="false" customHeight="false" outlineLevel="0" collapsed="false">
      <c r="A38" s="179" t="s">
        <v>138</v>
      </c>
      <c r="B38" s="180" t="n">
        <v>8537.208</v>
      </c>
      <c r="C38" s="181" t="n">
        <v>0.345257840736691</v>
      </c>
      <c r="D38" s="183" t="n">
        <v>0.0630512926474323</v>
      </c>
      <c r="E38" s="183" t="n">
        <v>0.377185140622086</v>
      </c>
      <c r="F38" s="183" t="n">
        <v>0.115779889631364</v>
      </c>
      <c r="G38" s="183" t="n">
        <v>0.0987258363624267</v>
      </c>
    </row>
    <row r="39" customFormat="false" ht="12" hidden="false" customHeight="false" outlineLevel="0" collapsed="false">
      <c r="A39" s="187" t="s">
        <v>96</v>
      </c>
      <c r="B39" s="188" t="n">
        <v>146.197</v>
      </c>
      <c r="C39" s="215" t="n">
        <v>0.0188033954185106</v>
      </c>
      <c r="D39" s="216" t="n">
        <v>0.0309035069119065</v>
      </c>
      <c r="E39" s="216" t="n">
        <v>0.605785344432512</v>
      </c>
      <c r="F39" s="216" t="n">
        <v>0.0887637913226674</v>
      </c>
      <c r="G39" s="216" t="n">
        <v>0.255743961914403</v>
      </c>
    </row>
    <row r="40" customFormat="false" ht="12" hidden="false" customHeight="false" outlineLevel="0" collapsed="false">
      <c r="A40" s="80" t="s">
        <v>27</v>
      </c>
      <c r="B40" s="134" t="n">
        <v>106.233</v>
      </c>
      <c r="C40" s="135" t="n">
        <v>0.575207327290013</v>
      </c>
      <c r="D40" s="136" t="n">
        <v>0.0363163988591116</v>
      </c>
      <c r="E40" s="136" t="n">
        <v>0.329671570980769</v>
      </c>
      <c r="F40" s="136" t="n">
        <v>0</v>
      </c>
      <c r="G40" s="136" t="n">
        <v>0.0588047028701063</v>
      </c>
    </row>
    <row r="41" customFormat="false" ht="12" hidden="false" customHeight="false" outlineLevel="0" collapsed="false">
      <c r="A41" s="80" t="s">
        <v>116</v>
      </c>
      <c r="B41" s="134" t="n">
        <v>379.132</v>
      </c>
      <c r="C41" s="135" t="n">
        <v>0.824483293417596</v>
      </c>
      <c r="D41" s="136" t="n">
        <v>0.0246246689807244</v>
      </c>
      <c r="E41" s="136" t="n">
        <v>0.0460182733190551</v>
      </c>
      <c r="F41" s="136" t="n">
        <v>0.0461659791312788</v>
      </c>
      <c r="G41" s="136" t="n">
        <v>0.0587077851513457</v>
      </c>
    </row>
    <row r="42" customFormat="false" ht="12" hidden="false" customHeight="false" outlineLevel="0" collapsed="false">
      <c r="A42" s="80" t="s">
        <v>29</v>
      </c>
      <c r="B42" s="134" t="n">
        <v>371.119</v>
      </c>
      <c r="C42" s="135" t="n">
        <v>0.551391871609915</v>
      </c>
      <c r="D42" s="136" t="n">
        <v>0.0412590031768786</v>
      </c>
      <c r="E42" s="136" t="n">
        <v>0.245662442504965</v>
      </c>
      <c r="F42" s="136" t="n">
        <v>0.13432349192577</v>
      </c>
      <c r="G42" s="136" t="n">
        <v>0.0273631907824714</v>
      </c>
    </row>
    <row r="43" customFormat="false" ht="12" hidden="false" customHeight="false" outlineLevel="0" collapsed="false">
      <c r="A43" s="80" t="s">
        <v>30</v>
      </c>
      <c r="B43" s="134" t="n">
        <v>1353.992</v>
      </c>
      <c r="C43" s="135" t="n">
        <v>0.210160030487625</v>
      </c>
      <c r="D43" s="136" t="n">
        <v>0.0459042594047823</v>
      </c>
      <c r="E43" s="136" t="n">
        <v>0.45597906043758</v>
      </c>
      <c r="F43" s="136" t="n">
        <v>0.149514177336351</v>
      </c>
      <c r="G43" s="136" t="n">
        <v>0.138442472333662</v>
      </c>
    </row>
    <row r="44" customFormat="false" ht="12" hidden="false" customHeight="false" outlineLevel="0" collapsed="false">
      <c r="A44" s="80" t="s">
        <v>31</v>
      </c>
      <c r="B44" s="134" t="n">
        <v>20.433</v>
      </c>
      <c r="C44" s="135" t="n">
        <v>0.455929134243626</v>
      </c>
      <c r="D44" s="136" t="n">
        <v>0.00425781823520775</v>
      </c>
      <c r="E44" s="136" t="n">
        <v>0.466598150051387</v>
      </c>
      <c r="F44" s="136" t="n">
        <v>0.0732148974697793</v>
      </c>
      <c r="G44" s="136" t="n">
        <v>0</v>
      </c>
    </row>
    <row r="45" customFormat="false" ht="12" hidden="false" customHeight="false" outlineLevel="0" collapsed="false">
      <c r="A45" s="80" t="s">
        <v>97</v>
      </c>
      <c r="B45" s="134" t="n">
        <v>18.188</v>
      </c>
      <c r="C45" s="135" t="n">
        <v>0.048163624367715</v>
      </c>
      <c r="D45" s="136" t="n">
        <v>0.000494831757202551</v>
      </c>
      <c r="E45" s="136" t="n">
        <v>0.916153507807346</v>
      </c>
      <c r="F45" s="136" t="n">
        <v>0.0080272707279525</v>
      </c>
      <c r="G45" s="136" t="n">
        <v>0.0271607653397845</v>
      </c>
    </row>
    <row r="46" customFormat="false" ht="12" hidden="false" customHeight="false" outlineLevel="0" collapsed="false">
      <c r="A46" s="80" t="s">
        <v>33</v>
      </c>
      <c r="B46" s="134" t="n">
        <v>90.784</v>
      </c>
      <c r="C46" s="135" t="n">
        <v>0.857441839971801</v>
      </c>
      <c r="D46" s="136" t="n">
        <v>0.0186486605569263</v>
      </c>
      <c r="E46" s="136" t="n">
        <v>0.02953163553049</v>
      </c>
      <c r="F46" s="136" t="n">
        <v>0.00290800140994008</v>
      </c>
      <c r="G46" s="136" t="n">
        <v>0.0914698625308424</v>
      </c>
    </row>
    <row r="47" customFormat="false" ht="12" hidden="false" customHeight="false" outlineLevel="0" collapsed="false">
      <c r="A47" s="80" t="s">
        <v>34</v>
      </c>
      <c r="B47" s="134" t="n">
        <v>390.861</v>
      </c>
      <c r="C47" s="135" t="n">
        <v>0.0157421692110495</v>
      </c>
      <c r="D47" s="136" t="n">
        <v>0.0722072552646593</v>
      </c>
      <c r="E47" s="136" t="n">
        <v>0.769864478676563</v>
      </c>
      <c r="F47" s="136" t="n">
        <v>0.0924523040160057</v>
      </c>
      <c r="G47" s="136" t="n">
        <v>0.0497337928317228</v>
      </c>
    </row>
    <row r="48" customFormat="false" ht="12" hidden="false" customHeight="false" outlineLevel="0" collapsed="false">
      <c r="A48" s="80" t="s">
        <v>35</v>
      </c>
      <c r="B48" s="134" t="n">
        <v>367.152</v>
      </c>
      <c r="C48" s="135" t="n">
        <v>0.0488871094260688</v>
      </c>
      <c r="D48" s="136" t="n">
        <v>0.0304887349108816</v>
      </c>
      <c r="E48" s="136" t="n">
        <v>0.577245936287968</v>
      </c>
      <c r="F48" s="136" t="n">
        <v>0.209847692508825</v>
      </c>
      <c r="G48" s="136" t="n">
        <v>0.133530526866257</v>
      </c>
    </row>
    <row r="49" customFormat="false" ht="12" hidden="false" customHeight="false" outlineLevel="0" collapsed="false">
      <c r="A49" s="80" t="s">
        <v>37</v>
      </c>
      <c r="B49" s="134" t="n">
        <v>945.732</v>
      </c>
      <c r="C49" s="135" t="n">
        <v>0.00650395672346923</v>
      </c>
      <c r="D49" s="136" t="n">
        <v>0.200608629083081</v>
      </c>
      <c r="E49" s="136" t="n">
        <v>0.667265144882483</v>
      </c>
      <c r="F49" s="136" t="n">
        <v>0.0509647553429513</v>
      </c>
      <c r="G49" s="136" t="n">
        <v>0.0746575139680163</v>
      </c>
    </row>
    <row r="50" customFormat="false" ht="12" hidden="false" customHeight="false" outlineLevel="0" collapsed="false">
      <c r="A50" s="80" t="s">
        <v>38</v>
      </c>
      <c r="B50" s="134" t="n">
        <v>0.285</v>
      </c>
      <c r="C50" s="135" t="n">
        <v>0</v>
      </c>
      <c r="D50" s="136" t="n">
        <v>1</v>
      </c>
      <c r="E50" s="136" t="n">
        <v>0</v>
      </c>
      <c r="F50" s="136" t="n">
        <v>0</v>
      </c>
      <c r="G50" s="136" t="n">
        <v>0</v>
      </c>
    </row>
    <row r="51" customFormat="false" ht="12" hidden="false" customHeight="false" outlineLevel="0" collapsed="false">
      <c r="A51" s="80" t="s">
        <v>70</v>
      </c>
      <c r="B51" s="134" t="n">
        <v>23.669</v>
      </c>
      <c r="C51" s="135" t="n">
        <v>0</v>
      </c>
      <c r="D51" s="136" t="n">
        <v>0.0205754362245976</v>
      </c>
      <c r="E51" s="136" t="n">
        <v>0.94423085047953</v>
      </c>
      <c r="F51" s="136" t="n">
        <v>0.0351937132958722</v>
      </c>
      <c r="G51" s="136" t="n">
        <v>0</v>
      </c>
    </row>
    <row r="52" customFormat="false" ht="12" hidden="false" customHeight="false" outlineLevel="0" collapsed="false">
      <c r="A52" s="80" t="s">
        <v>40</v>
      </c>
      <c r="B52" s="134" t="n">
        <v>38.901</v>
      </c>
      <c r="C52" s="135" t="n">
        <v>0.000514125600884296</v>
      </c>
      <c r="D52" s="136" t="n">
        <v>0.142644147965348</v>
      </c>
      <c r="E52" s="136" t="n">
        <v>0.836276702398396</v>
      </c>
      <c r="F52" s="136" t="n">
        <v>0.0205650240353718</v>
      </c>
      <c r="G52" s="136" t="n">
        <v>0</v>
      </c>
    </row>
    <row r="53" customFormat="false" ht="12" hidden="false" customHeight="false" outlineLevel="0" collapsed="false">
      <c r="A53" s="80" t="s">
        <v>41</v>
      </c>
      <c r="B53" s="134" t="n">
        <v>5.38</v>
      </c>
      <c r="C53" s="135" t="n">
        <v>0</v>
      </c>
      <c r="D53" s="136" t="n">
        <v>0</v>
      </c>
      <c r="E53" s="136" t="n">
        <v>0.930669144981413</v>
      </c>
      <c r="F53" s="136" t="n">
        <v>0.0693308550185874</v>
      </c>
      <c r="G53" s="136" t="n">
        <v>0</v>
      </c>
    </row>
    <row r="54" customFormat="false" ht="12" hidden="false" customHeight="false" outlineLevel="0" collapsed="false">
      <c r="A54" s="80" t="s">
        <v>113</v>
      </c>
      <c r="B54" s="134" t="n">
        <v>100.861</v>
      </c>
      <c r="C54" s="135" t="n">
        <v>0.0660711275914377</v>
      </c>
      <c r="D54" s="136" t="n">
        <v>0.0145844280742804</v>
      </c>
      <c r="E54" s="136" t="n">
        <v>0.798584190123041</v>
      </c>
      <c r="F54" s="136" t="n">
        <v>0.0176480502870287</v>
      </c>
      <c r="G54" s="136" t="n">
        <v>0.103112203924213</v>
      </c>
    </row>
    <row r="55" customFormat="false" ht="12" hidden="false" customHeight="false" outlineLevel="0" collapsed="false">
      <c r="A55" s="80" t="s">
        <v>43</v>
      </c>
      <c r="B55" s="134" t="n">
        <v>0</v>
      </c>
      <c r="C55" s="135" t="n">
        <v>0</v>
      </c>
      <c r="D55" s="136" t="n">
        <v>0</v>
      </c>
      <c r="E55" s="136" t="n">
        <v>0</v>
      </c>
      <c r="F55" s="136" t="n">
        <v>0</v>
      </c>
      <c r="G55" s="136" t="n">
        <v>0</v>
      </c>
    </row>
    <row r="56" customFormat="false" ht="12" hidden="false" customHeight="false" outlineLevel="0" collapsed="false">
      <c r="A56" s="80" t="s">
        <v>72</v>
      </c>
      <c r="B56" s="134" t="n">
        <v>608.611</v>
      </c>
      <c r="C56" s="135" t="n">
        <v>0.150072870848539</v>
      </c>
      <c r="D56" s="136" t="n">
        <v>0.0216788720545636</v>
      </c>
      <c r="E56" s="136" t="n">
        <v>0.671180770640031</v>
      </c>
      <c r="F56" s="136" t="n">
        <v>0.0160611622202031</v>
      </c>
      <c r="G56" s="136" t="n">
        <v>0.141006324236663</v>
      </c>
    </row>
    <row r="57" customFormat="false" ht="12" hidden="false" customHeight="false" outlineLevel="0" collapsed="false">
      <c r="A57" s="80" t="s">
        <v>45</v>
      </c>
      <c r="B57" s="134" t="n">
        <v>245.803</v>
      </c>
      <c r="C57" s="135" t="n">
        <v>0.13916022180364</v>
      </c>
      <c r="D57" s="136" t="n">
        <v>0.100340516592556</v>
      </c>
      <c r="E57" s="136" t="n">
        <v>0.388530652595778</v>
      </c>
      <c r="F57" s="136" t="n">
        <v>0.259882914366383</v>
      </c>
      <c r="G57" s="136" t="n">
        <v>0.112085694641644</v>
      </c>
    </row>
    <row r="58" customFormat="false" ht="12" hidden="false" customHeight="false" outlineLevel="0" collapsed="false">
      <c r="A58" s="80" t="s">
        <v>46</v>
      </c>
      <c r="B58" s="134" t="n">
        <v>1524.672</v>
      </c>
      <c r="C58" s="135" t="n">
        <v>0.911571144482223</v>
      </c>
      <c r="D58" s="136" t="n">
        <v>0.0298201842757</v>
      </c>
      <c r="E58" s="136" t="n">
        <v>0.0237657673256937</v>
      </c>
      <c r="F58" s="136" t="n">
        <v>0.0198580415984553</v>
      </c>
      <c r="G58" s="136" t="n">
        <v>0.0149848623179281</v>
      </c>
    </row>
    <row r="59" customFormat="false" ht="12" hidden="false" customHeight="false" outlineLevel="0" collapsed="false">
      <c r="A59" s="80" t="s">
        <v>98</v>
      </c>
      <c r="B59" s="134" t="n">
        <v>104.727</v>
      </c>
      <c r="C59" s="135" t="n">
        <v>0</v>
      </c>
      <c r="D59" s="136" t="n">
        <v>0.347570349575563</v>
      </c>
      <c r="E59" s="136" t="n">
        <v>0.227706322151881</v>
      </c>
      <c r="F59" s="136" t="n">
        <v>0.377734490628014</v>
      </c>
      <c r="G59" s="136" t="n">
        <v>0.0469888376445425</v>
      </c>
    </row>
    <row r="60" customFormat="false" ht="12" hidden="false" customHeight="false" outlineLevel="0" collapsed="false">
      <c r="A60" s="80" t="s">
        <v>48</v>
      </c>
      <c r="B60" s="134" t="n">
        <v>237.514</v>
      </c>
      <c r="C60" s="135" t="n">
        <v>0.449097737396532</v>
      </c>
      <c r="D60" s="136" t="n">
        <v>0.089514723342624</v>
      </c>
      <c r="E60" s="136" t="n">
        <v>0.45484055676718</v>
      </c>
      <c r="F60" s="136" t="n">
        <v>0.000753639785444226</v>
      </c>
      <c r="G60" s="136" t="n">
        <v>0.0057933427082193</v>
      </c>
    </row>
    <row r="61" customFormat="false" ht="12" hidden="false" customHeight="false" outlineLevel="0" collapsed="false">
      <c r="A61" s="80" t="s">
        <v>99</v>
      </c>
      <c r="B61" s="134" t="n">
        <v>63.782</v>
      </c>
      <c r="C61" s="135" t="n">
        <v>0.852450534633596</v>
      </c>
      <c r="D61" s="136" t="n">
        <v>0.0174187074723276</v>
      </c>
      <c r="E61" s="136" t="n">
        <v>0.0841930325170111</v>
      </c>
      <c r="F61" s="136" t="n">
        <v>0.0434762158602741</v>
      </c>
      <c r="G61" s="136" t="n">
        <v>0.00246150951679157</v>
      </c>
    </row>
    <row r="62" customFormat="false" ht="12" hidden="false" customHeight="false" outlineLevel="0" collapsed="false">
      <c r="A62" s="80" t="s">
        <v>50</v>
      </c>
      <c r="B62" s="134" t="n">
        <v>304.039</v>
      </c>
      <c r="C62" s="135" t="n">
        <v>0.27662240699384</v>
      </c>
      <c r="D62" s="136" t="n">
        <v>0.0469150339265686</v>
      </c>
      <c r="E62" s="136" t="n">
        <v>0.0941260825091518</v>
      </c>
      <c r="F62" s="136" t="n">
        <v>0.00800226286759265</v>
      </c>
      <c r="G62" s="136" t="n">
        <v>0.574334213702847</v>
      </c>
    </row>
    <row r="63" customFormat="false" ht="12" hidden="false" customHeight="false" outlineLevel="0" collapsed="false">
      <c r="A63" s="80" t="s">
        <v>75</v>
      </c>
      <c r="B63" s="104" t="n">
        <v>542.097</v>
      </c>
      <c r="C63" s="166" t="n">
        <v>0.309887344884772</v>
      </c>
      <c r="D63" s="167" t="n">
        <v>0.0174304598623494</v>
      </c>
      <c r="E63" s="167" t="n">
        <v>0.211443708413808</v>
      </c>
      <c r="F63" s="167" t="n">
        <v>0.438808921650553</v>
      </c>
      <c r="G63" s="167" t="n">
        <v>0.0224295651885179</v>
      </c>
    </row>
    <row r="64" customFormat="false" ht="12" hidden="false" customHeight="false" outlineLevel="0" collapsed="false">
      <c r="A64" s="108" t="s">
        <v>76</v>
      </c>
      <c r="B64" s="168" t="n">
        <v>231.26</v>
      </c>
      <c r="C64" s="169" t="n">
        <v>0.0945688835077402</v>
      </c>
      <c r="D64" s="170" t="n">
        <v>0.116985211450316</v>
      </c>
      <c r="E64" s="170" t="n">
        <v>0.0400890772290928</v>
      </c>
      <c r="F64" s="170" t="n">
        <v>0.625209720660728</v>
      </c>
      <c r="G64" s="170" t="n">
        <v>0.123147107152123</v>
      </c>
    </row>
    <row r="65" customFormat="false" ht="12" hidden="false" customHeight="false" outlineLevel="0" collapsed="false">
      <c r="A65" s="87" t="s">
        <v>77</v>
      </c>
      <c r="B65" s="140" t="n">
        <v>315.784</v>
      </c>
      <c r="C65" s="141" t="n">
        <v>0.0207325260304512</v>
      </c>
      <c r="D65" s="142" t="n">
        <v>0.0364837990525169</v>
      </c>
      <c r="E65" s="142" t="n">
        <v>0.719843310617384</v>
      </c>
      <c r="F65" s="142" t="n">
        <v>0.0229713981709016</v>
      </c>
      <c r="G65" s="142" t="n">
        <v>0.199968966128746</v>
      </c>
    </row>
    <row r="66" customFormat="false" ht="12" hidden="false" customHeight="false" outlineLevel="0" collapsed="false">
      <c r="A66" s="108" t="s">
        <v>161</v>
      </c>
      <c r="B66" s="109" t="n">
        <v>43.478</v>
      </c>
      <c r="C66" s="138" t="n">
        <v>0</v>
      </c>
      <c r="D66" s="139" t="n">
        <v>0</v>
      </c>
      <c r="E66" s="139" t="n">
        <v>0</v>
      </c>
      <c r="F66" s="139" t="n">
        <v>1</v>
      </c>
      <c r="G66" s="139" t="n">
        <v>0</v>
      </c>
    </row>
    <row r="67" customFormat="false" ht="12" hidden="false" customHeight="false" outlineLevel="0" collapsed="false">
      <c r="A67" s="87" t="s">
        <v>115</v>
      </c>
      <c r="B67" s="140" t="n">
        <v>4.615</v>
      </c>
      <c r="C67" s="141" t="n">
        <v>0.150162513542795</v>
      </c>
      <c r="D67" s="142" t="n">
        <v>0</v>
      </c>
      <c r="E67" s="142" t="n">
        <v>0.00346695557963164</v>
      </c>
      <c r="F67" s="142" t="n">
        <v>0.423185265438787</v>
      </c>
      <c r="G67" s="142" t="n">
        <v>0.423185265438787</v>
      </c>
    </row>
    <row r="68" customFormat="false" ht="12" hidden="false" customHeight="false" outlineLevel="0" collapsed="false">
      <c r="A68" s="119" t="s">
        <v>130</v>
      </c>
      <c r="B68" s="143" t="n">
        <v>262.813</v>
      </c>
      <c r="C68" s="144" t="n">
        <v>0.0837743947217223</v>
      </c>
      <c r="D68" s="145" t="n">
        <v>0.152587581284031</v>
      </c>
      <c r="E68" s="145" t="n">
        <v>0.6634717460704</v>
      </c>
      <c r="F68" s="145" t="n">
        <v>0.00501116763630414</v>
      </c>
      <c r="G68" s="145" t="n">
        <v>0.0951551102875429</v>
      </c>
    </row>
    <row r="70" customFormat="false" ht="13.5" hidden="false" customHeight="false" outlineLevel="0" collapsed="false">
      <c r="A70" s="221" t="s">
        <v>155</v>
      </c>
    </row>
    <row r="71" customFormat="false" ht="13.5" hidden="false" customHeight="false" outlineLevel="0" collapsed="false">
      <c r="A71" s="221" t="s">
        <v>147</v>
      </c>
    </row>
    <row r="72" customFormat="false" ht="13.5" hidden="false" customHeight="false" outlineLevel="0" collapsed="false">
      <c r="A72" s="221" t="s">
        <v>148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9" activeCellId="1" sqref="43:43 B9"/>
    </sheetView>
  </sheetViews>
  <sheetFormatPr defaultColWidth="9.1484375" defaultRowHeight="12" zeroHeight="false" outlineLevelRow="0" outlineLevelCol="0"/>
  <cols>
    <col collapsed="false" customWidth="true" hidden="false" outlineLevel="0" max="1" min="1" style="19" width="21.71"/>
    <col collapsed="false" customWidth="true" hidden="false" outlineLevel="0" max="2" min="2" style="15" width="10.71"/>
    <col collapsed="false" customWidth="true" hidden="false" outlineLevel="0" max="5" min="3" style="16" width="10.71"/>
    <col collapsed="false" customWidth="true" hidden="false" outlineLevel="0" max="7" min="6" style="19" width="10.71"/>
    <col collapsed="false" customWidth="true" hidden="false" outlineLevel="0" max="9" min="8" style="16" width="10.71"/>
    <col collapsed="false" customWidth="true" hidden="false" outlineLevel="0" max="10" min="10" style="15" width="10.71"/>
    <col collapsed="false" customWidth="false" hidden="false" outlineLevel="0" max="256" min="11" style="19" width="9.14"/>
    <col collapsed="false" customWidth="true" hidden="false" outlineLevel="0" max="257" min="257" style="19" width="21.71"/>
    <col collapsed="false" customWidth="true" hidden="false" outlineLevel="0" max="258" min="258" style="19" width="9.71"/>
    <col collapsed="false" customWidth="false" hidden="false" outlineLevel="0" max="261" min="259" style="19" width="9.14"/>
    <col collapsed="false" customWidth="true" hidden="false" outlineLevel="0" max="262" min="262" style="19" width="10.71"/>
    <col collapsed="false" customWidth="true" hidden="false" outlineLevel="0" max="263" min="263" style="19" width="9.57"/>
    <col collapsed="false" customWidth="false" hidden="false" outlineLevel="0" max="512" min="264" style="19" width="9.14"/>
    <col collapsed="false" customWidth="true" hidden="false" outlineLevel="0" max="513" min="513" style="19" width="21.71"/>
    <col collapsed="false" customWidth="true" hidden="false" outlineLevel="0" max="514" min="514" style="19" width="9.71"/>
    <col collapsed="false" customWidth="false" hidden="false" outlineLevel="0" max="517" min="515" style="19" width="9.14"/>
    <col collapsed="false" customWidth="true" hidden="false" outlineLevel="0" max="518" min="518" style="19" width="10.71"/>
    <col collapsed="false" customWidth="true" hidden="false" outlineLevel="0" max="519" min="519" style="19" width="9.57"/>
    <col collapsed="false" customWidth="false" hidden="false" outlineLevel="0" max="768" min="520" style="19" width="9.14"/>
    <col collapsed="false" customWidth="true" hidden="false" outlineLevel="0" max="769" min="769" style="19" width="21.71"/>
    <col collapsed="false" customWidth="true" hidden="false" outlineLevel="0" max="770" min="770" style="19" width="9.71"/>
    <col collapsed="false" customWidth="false" hidden="false" outlineLevel="0" max="773" min="771" style="19" width="9.14"/>
    <col collapsed="false" customWidth="true" hidden="false" outlineLevel="0" max="774" min="774" style="19" width="10.71"/>
    <col collapsed="false" customWidth="true" hidden="false" outlineLevel="0" max="775" min="775" style="19" width="9.57"/>
    <col collapsed="false" customWidth="false" hidden="false" outlineLevel="0" max="1024" min="776" style="19" width="9.14"/>
    <col collapsed="false" customWidth="true" hidden="false" outlineLevel="0" max="1025" min="1025" style="19" width="21.71"/>
    <col collapsed="false" customWidth="true" hidden="false" outlineLevel="0" max="1026" min="1026" style="19" width="9.71"/>
    <col collapsed="false" customWidth="false" hidden="false" outlineLevel="0" max="1029" min="1027" style="19" width="9.14"/>
    <col collapsed="false" customWidth="true" hidden="false" outlineLevel="0" max="1030" min="1030" style="19" width="10.71"/>
    <col collapsed="false" customWidth="true" hidden="false" outlineLevel="0" max="1031" min="1031" style="19" width="9.57"/>
    <col collapsed="false" customWidth="false" hidden="false" outlineLevel="0" max="1280" min="1032" style="19" width="9.14"/>
    <col collapsed="false" customWidth="true" hidden="false" outlineLevel="0" max="1281" min="1281" style="19" width="21.71"/>
    <col collapsed="false" customWidth="true" hidden="false" outlineLevel="0" max="1282" min="1282" style="19" width="9.71"/>
    <col collapsed="false" customWidth="false" hidden="false" outlineLevel="0" max="1285" min="1283" style="19" width="9.14"/>
    <col collapsed="false" customWidth="true" hidden="false" outlineLevel="0" max="1286" min="1286" style="19" width="10.71"/>
    <col collapsed="false" customWidth="true" hidden="false" outlineLevel="0" max="1287" min="1287" style="19" width="9.57"/>
    <col collapsed="false" customWidth="false" hidden="false" outlineLevel="0" max="1536" min="1288" style="19" width="9.14"/>
    <col collapsed="false" customWidth="true" hidden="false" outlineLevel="0" max="1537" min="1537" style="19" width="21.71"/>
    <col collapsed="false" customWidth="true" hidden="false" outlineLevel="0" max="1538" min="1538" style="19" width="9.71"/>
    <col collapsed="false" customWidth="false" hidden="false" outlineLevel="0" max="1541" min="1539" style="19" width="9.14"/>
    <col collapsed="false" customWidth="true" hidden="false" outlineLevel="0" max="1542" min="1542" style="19" width="10.71"/>
    <col collapsed="false" customWidth="true" hidden="false" outlineLevel="0" max="1543" min="1543" style="19" width="9.57"/>
    <col collapsed="false" customWidth="false" hidden="false" outlineLevel="0" max="1792" min="1544" style="19" width="9.14"/>
    <col collapsed="false" customWidth="true" hidden="false" outlineLevel="0" max="1793" min="1793" style="19" width="21.71"/>
    <col collapsed="false" customWidth="true" hidden="false" outlineLevel="0" max="1794" min="1794" style="19" width="9.71"/>
    <col collapsed="false" customWidth="false" hidden="false" outlineLevel="0" max="1797" min="1795" style="19" width="9.14"/>
    <col collapsed="false" customWidth="true" hidden="false" outlineLevel="0" max="1798" min="1798" style="19" width="10.71"/>
    <col collapsed="false" customWidth="true" hidden="false" outlineLevel="0" max="1799" min="1799" style="19" width="9.57"/>
    <col collapsed="false" customWidth="false" hidden="false" outlineLevel="0" max="2048" min="1800" style="19" width="9.14"/>
    <col collapsed="false" customWidth="true" hidden="false" outlineLevel="0" max="2049" min="2049" style="19" width="21.71"/>
    <col collapsed="false" customWidth="true" hidden="false" outlineLevel="0" max="2050" min="2050" style="19" width="9.71"/>
    <col collapsed="false" customWidth="false" hidden="false" outlineLevel="0" max="2053" min="2051" style="19" width="9.14"/>
    <col collapsed="false" customWidth="true" hidden="false" outlineLevel="0" max="2054" min="2054" style="19" width="10.71"/>
    <col collapsed="false" customWidth="true" hidden="false" outlineLevel="0" max="2055" min="2055" style="19" width="9.57"/>
    <col collapsed="false" customWidth="false" hidden="false" outlineLevel="0" max="2304" min="2056" style="19" width="9.14"/>
    <col collapsed="false" customWidth="true" hidden="false" outlineLevel="0" max="2305" min="2305" style="19" width="21.71"/>
    <col collapsed="false" customWidth="true" hidden="false" outlineLevel="0" max="2306" min="2306" style="19" width="9.71"/>
    <col collapsed="false" customWidth="false" hidden="false" outlineLevel="0" max="2309" min="2307" style="19" width="9.14"/>
    <col collapsed="false" customWidth="true" hidden="false" outlineLevel="0" max="2310" min="2310" style="19" width="10.71"/>
    <col collapsed="false" customWidth="true" hidden="false" outlineLevel="0" max="2311" min="2311" style="19" width="9.57"/>
    <col collapsed="false" customWidth="false" hidden="false" outlineLevel="0" max="2560" min="2312" style="19" width="9.14"/>
    <col collapsed="false" customWidth="true" hidden="false" outlineLevel="0" max="2561" min="2561" style="19" width="21.71"/>
    <col collapsed="false" customWidth="true" hidden="false" outlineLevel="0" max="2562" min="2562" style="19" width="9.71"/>
    <col collapsed="false" customWidth="false" hidden="false" outlineLevel="0" max="2565" min="2563" style="19" width="9.14"/>
    <col collapsed="false" customWidth="true" hidden="false" outlineLevel="0" max="2566" min="2566" style="19" width="10.71"/>
    <col collapsed="false" customWidth="true" hidden="false" outlineLevel="0" max="2567" min="2567" style="19" width="9.57"/>
    <col collapsed="false" customWidth="false" hidden="false" outlineLevel="0" max="2816" min="2568" style="19" width="9.14"/>
    <col collapsed="false" customWidth="true" hidden="false" outlineLevel="0" max="2817" min="2817" style="19" width="21.71"/>
    <col collapsed="false" customWidth="true" hidden="false" outlineLevel="0" max="2818" min="2818" style="19" width="9.71"/>
    <col collapsed="false" customWidth="false" hidden="false" outlineLevel="0" max="2821" min="2819" style="19" width="9.14"/>
    <col collapsed="false" customWidth="true" hidden="false" outlineLevel="0" max="2822" min="2822" style="19" width="10.71"/>
    <col collapsed="false" customWidth="true" hidden="false" outlineLevel="0" max="2823" min="2823" style="19" width="9.57"/>
    <col collapsed="false" customWidth="false" hidden="false" outlineLevel="0" max="3072" min="2824" style="19" width="9.14"/>
    <col collapsed="false" customWidth="true" hidden="false" outlineLevel="0" max="3073" min="3073" style="19" width="21.71"/>
    <col collapsed="false" customWidth="true" hidden="false" outlineLevel="0" max="3074" min="3074" style="19" width="9.71"/>
    <col collapsed="false" customWidth="false" hidden="false" outlineLevel="0" max="3077" min="3075" style="19" width="9.14"/>
    <col collapsed="false" customWidth="true" hidden="false" outlineLevel="0" max="3078" min="3078" style="19" width="10.71"/>
    <col collapsed="false" customWidth="true" hidden="false" outlineLevel="0" max="3079" min="3079" style="19" width="9.57"/>
    <col collapsed="false" customWidth="false" hidden="false" outlineLevel="0" max="3328" min="3080" style="19" width="9.14"/>
    <col collapsed="false" customWidth="true" hidden="false" outlineLevel="0" max="3329" min="3329" style="19" width="21.71"/>
    <col collapsed="false" customWidth="true" hidden="false" outlineLevel="0" max="3330" min="3330" style="19" width="9.71"/>
    <col collapsed="false" customWidth="false" hidden="false" outlineLevel="0" max="3333" min="3331" style="19" width="9.14"/>
    <col collapsed="false" customWidth="true" hidden="false" outlineLevel="0" max="3334" min="3334" style="19" width="10.71"/>
    <col collapsed="false" customWidth="true" hidden="false" outlineLevel="0" max="3335" min="3335" style="19" width="9.57"/>
    <col collapsed="false" customWidth="false" hidden="false" outlineLevel="0" max="3584" min="3336" style="19" width="9.14"/>
    <col collapsed="false" customWidth="true" hidden="false" outlineLevel="0" max="3585" min="3585" style="19" width="21.71"/>
    <col collapsed="false" customWidth="true" hidden="false" outlineLevel="0" max="3586" min="3586" style="19" width="9.71"/>
    <col collapsed="false" customWidth="false" hidden="false" outlineLevel="0" max="3589" min="3587" style="19" width="9.14"/>
    <col collapsed="false" customWidth="true" hidden="false" outlineLevel="0" max="3590" min="3590" style="19" width="10.71"/>
    <col collapsed="false" customWidth="true" hidden="false" outlineLevel="0" max="3591" min="3591" style="19" width="9.57"/>
    <col collapsed="false" customWidth="false" hidden="false" outlineLevel="0" max="3840" min="3592" style="19" width="9.14"/>
    <col collapsed="false" customWidth="true" hidden="false" outlineLevel="0" max="3841" min="3841" style="19" width="21.71"/>
    <col collapsed="false" customWidth="true" hidden="false" outlineLevel="0" max="3842" min="3842" style="19" width="9.71"/>
    <col collapsed="false" customWidth="false" hidden="false" outlineLevel="0" max="3845" min="3843" style="19" width="9.14"/>
    <col collapsed="false" customWidth="true" hidden="false" outlineLevel="0" max="3846" min="3846" style="19" width="10.71"/>
    <col collapsed="false" customWidth="true" hidden="false" outlineLevel="0" max="3847" min="3847" style="19" width="9.57"/>
    <col collapsed="false" customWidth="false" hidden="false" outlineLevel="0" max="4096" min="3848" style="19" width="9.14"/>
    <col collapsed="false" customWidth="true" hidden="false" outlineLevel="0" max="4097" min="4097" style="19" width="21.71"/>
    <col collapsed="false" customWidth="true" hidden="false" outlineLevel="0" max="4098" min="4098" style="19" width="9.71"/>
    <col collapsed="false" customWidth="false" hidden="false" outlineLevel="0" max="4101" min="4099" style="19" width="9.14"/>
    <col collapsed="false" customWidth="true" hidden="false" outlineLevel="0" max="4102" min="4102" style="19" width="10.71"/>
    <col collapsed="false" customWidth="true" hidden="false" outlineLevel="0" max="4103" min="4103" style="19" width="9.57"/>
    <col collapsed="false" customWidth="false" hidden="false" outlineLevel="0" max="4352" min="4104" style="19" width="9.14"/>
    <col collapsed="false" customWidth="true" hidden="false" outlineLevel="0" max="4353" min="4353" style="19" width="21.71"/>
    <col collapsed="false" customWidth="true" hidden="false" outlineLevel="0" max="4354" min="4354" style="19" width="9.71"/>
    <col collapsed="false" customWidth="false" hidden="false" outlineLevel="0" max="4357" min="4355" style="19" width="9.14"/>
    <col collapsed="false" customWidth="true" hidden="false" outlineLevel="0" max="4358" min="4358" style="19" width="10.71"/>
    <col collapsed="false" customWidth="true" hidden="false" outlineLevel="0" max="4359" min="4359" style="19" width="9.57"/>
    <col collapsed="false" customWidth="false" hidden="false" outlineLevel="0" max="4608" min="4360" style="19" width="9.14"/>
    <col collapsed="false" customWidth="true" hidden="false" outlineLevel="0" max="4609" min="4609" style="19" width="21.71"/>
    <col collapsed="false" customWidth="true" hidden="false" outlineLevel="0" max="4610" min="4610" style="19" width="9.71"/>
    <col collapsed="false" customWidth="false" hidden="false" outlineLevel="0" max="4613" min="4611" style="19" width="9.14"/>
    <col collapsed="false" customWidth="true" hidden="false" outlineLevel="0" max="4614" min="4614" style="19" width="10.71"/>
    <col collapsed="false" customWidth="true" hidden="false" outlineLevel="0" max="4615" min="4615" style="19" width="9.57"/>
    <col collapsed="false" customWidth="false" hidden="false" outlineLevel="0" max="4864" min="4616" style="19" width="9.14"/>
    <col collapsed="false" customWidth="true" hidden="false" outlineLevel="0" max="4865" min="4865" style="19" width="21.71"/>
    <col collapsed="false" customWidth="true" hidden="false" outlineLevel="0" max="4866" min="4866" style="19" width="9.71"/>
    <col collapsed="false" customWidth="false" hidden="false" outlineLevel="0" max="4869" min="4867" style="19" width="9.14"/>
    <col collapsed="false" customWidth="true" hidden="false" outlineLevel="0" max="4870" min="4870" style="19" width="10.71"/>
    <col collapsed="false" customWidth="true" hidden="false" outlineLevel="0" max="4871" min="4871" style="19" width="9.57"/>
    <col collapsed="false" customWidth="false" hidden="false" outlineLevel="0" max="5120" min="4872" style="19" width="9.14"/>
    <col collapsed="false" customWidth="true" hidden="false" outlineLevel="0" max="5121" min="5121" style="19" width="21.71"/>
    <col collapsed="false" customWidth="true" hidden="false" outlineLevel="0" max="5122" min="5122" style="19" width="9.71"/>
    <col collapsed="false" customWidth="false" hidden="false" outlineLevel="0" max="5125" min="5123" style="19" width="9.14"/>
    <col collapsed="false" customWidth="true" hidden="false" outlineLevel="0" max="5126" min="5126" style="19" width="10.71"/>
    <col collapsed="false" customWidth="true" hidden="false" outlineLevel="0" max="5127" min="5127" style="19" width="9.57"/>
    <col collapsed="false" customWidth="false" hidden="false" outlineLevel="0" max="5376" min="5128" style="19" width="9.14"/>
    <col collapsed="false" customWidth="true" hidden="false" outlineLevel="0" max="5377" min="5377" style="19" width="21.71"/>
    <col collapsed="false" customWidth="true" hidden="false" outlineLevel="0" max="5378" min="5378" style="19" width="9.71"/>
    <col collapsed="false" customWidth="false" hidden="false" outlineLevel="0" max="5381" min="5379" style="19" width="9.14"/>
    <col collapsed="false" customWidth="true" hidden="false" outlineLevel="0" max="5382" min="5382" style="19" width="10.71"/>
    <col collapsed="false" customWidth="true" hidden="false" outlineLevel="0" max="5383" min="5383" style="19" width="9.57"/>
    <col collapsed="false" customWidth="false" hidden="false" outlineLevel="0" max="5632" min="5384" style="19" width="9.14"/>
    <col collapsed="false" customWidth="true" hidden="false" outlineLevel="0" max="5633" min="5633" style="19" width="21.71"/>
    <col collapsed="false" customWidth="true" hidden="false" outlineLevel="0" max="5634" min="5634" style="19" width="9.71"/>
    <col collapsed="false" customWidth="false" hidden="false" outlineLevel="0" max="5637" min="5635" style="19" width="9.14"/>
    <col collapsed="false" customWidth="true" hidden="false" outlineLevel="0" max="5638" min="5638" style="19" width="10.71"/>
    <col collapsed="false" customWidth="true" hidden="false" outlineLevel="0" max="5639" min="5639" style="19" width="9.57"/>
    <col collapsed="false" customWidth="false" hidden="false" outlineLevel="0" max="5888" min="5640" style="19" width="9.14"/>
    <col collapsed="false" customWidth="true" hidden="false" outlineLevel="0" max="5889" min="5889" style="19" width="21.71"/>
    <col collapsed="false" customWidth="true" hidden="false" outlineLevel="0" max="5890" min="5890" style="19" width="9.71"/>
    <col collapsed="false" customWidth="false" hidden="false" outlineLevel="0" max="5893" min="5891" style="19" width="9.14"/>
    <col collapsed="false" customWidth="true" hidden="false" outlineLevel="0" max="5894" min="5894" style="19" width="10.71"/>
    <col collapsed="false" customWidth="true" hidden="false" outlineLevel="0" max="5895" min="5895" style="19" width="9.57"/>
    <col collapsed="false" customWidth="false" hidden="false" outlineLevel="0" max="6144" min="5896" style="19" width="9.14"/>
    <col collapsed="false" customWidth="true" hidden="false" outlineLevel="0" max="6145" min="6145" style="19" width="21.71"/>
    <col collapsed="false" customWidth="true" hidden="false" outlineLevel="0" max="6146" min="6146" style="19" width="9.71"/>
    <col collapsed="false" customWidth="false" hidden="false" outlineLevel="0" max="6149" min="6147" style="19" width="9.14"/>
    <col collapsed="false" customWidth="true" hidden="false" outlineLevel="0" max="6150" min="6150" style="19" width="10.71"/>
    <col collapsed="false" customWidth="true" hidden="false" outlineLevel="0" max="6151" min="6151" style="19" width="9.57"/>
    <col collapsed="false" customWidth="false" hidden="false" outlineLevel="0" max="6400" min="6152" style="19" width="9.14"/>
    <col collapsed="false" customWidth="true" hidden="false" outlineLevel="0" max="6401" min="6401" style="19" width="21.71"/>
    <col collapsed="false" customWidth="true" hidden="false" outlineLevel="0" max="6402" min="6402" style="19" width="9.71"/>
    <col collapsed="false" customWidth="false" hidden="false" outlineLevel="0" max="6405" min="6403" style="19" width="9.14"/>
    <col collapsed="false" customWidth="true" hidden="false" outlineLevel="0" max="6406" min="6406" style="19" width="10.71"/>
    <col collapsed="false" customWidth="true" hidden="false" outlineLevel="0" max="6407" min="6407" style="19" width="9.57"/>
    <col collapsed="false" customWidth="false" hidden="false" outlineLevel="0" max="6656" min="6408" style="19" width="9.14"/>
    <col collapsed="false" customWidth="true" hidden="false" outlineLevel="0" max="6657" min="6657" style="19" width="21.71"/>
    <col collapsed="false" customWidth="true" hidden="false" outlineLevel="0" max="6658" min="6658" style="19" width="9.71"/>
    <col collapsed="false" customWidth="false" hidden="false" outlineLevel="0" max="6661" min="6659" style="19" width="9.14"/>
    <col collapsed="false" customWidth="true" hidden="false" outlineLevel="0" max="6662" min="6662" style="19" width="10.71"/>
    <col collapsed="false" customWidth="true" hidden="false" outlineLevel="0" max="6663" min="6663" style="19" width="9.57"/>
    <col collapsed="false" customWidth="false" hidden="false" outlineLevel="0" max="6912" min="6664" style="19" width="9.14"/>
    <col collapsed="false" customWidth="true" hidden="false" outlineLevel="0" max="6913" min="6913" style="19" width="21.71"/>
    <col collapsed="false" customWidth="true" hidden="false" outlineLevel="0" max="6914" min="6914" style="19" width="9.71"/>
    <col collapsed="false" customWidth="false" hidden="false" outlineLevel="0" max="6917" min="6915" style="19" width="9.14"/>
    <col collapsed="false" customWidth="true" hidden="false" outlineLevel="0" max="6918" min="6918" style="19" width="10.71"/>
    <col collapsed="false" customWidth="true" hidden="false" outlineLevel="0" max="6919" min="6919" style="19" width="9.57"/>
    <col collapsed="false" customWidth="false" hidden="false" outlineLevel="0" max="7168" min="6920" style="19" width="9.14"/>
    <col collapsed="false" customWidth="true" hidden="false" outlineLevel="0" max="7169" min="7169" style="19" width="21.71"/>
    <col collapsed="false" customWidth="true" hidden="false" outlineLevel="0" max="7170" min="7170" style="19" width="9.71"/>
    <col collapsed="false" customWidth="false" hidden="false" outlineLevel="0" max="7173" min="7171" style="19" width="9.14"/>
    <col collapsed="false" customWidth="true" hidden="false" outlineLevel="0" max="7174" min="7174" style="19" width="10.71"/>
    <col collapsed="false" customWidth="true" hidden="false" outlineLevel="0" max="7175" min="7175" style="19" width="9.57"/>
    <col collapsed="false" customWidth="false" hidden="false" outlineLevel="0" max="7424" min="7176" style="19" width="9.14"/>
    <col collapsed="false" customWidth="true" hidden="false" outlineLevel="0" max="7425" min="7425" style="19" width="21.71"/>
    <col collapsed="false" customWidth="true" hidden="false" outlineLevel="0" max="7426" min="7426" style="19" width="9.71"/>
    <col collapsed="false" customWidth="false" hidden="false" outlineLevel="0" max="7429" min="7427" style="19" width="9.14"/>
    <col collapsed="false" customWidth="true" hidden="false" outlineLevel="0" max="7430" min="7430" style="19" width="10.71"/>
    <col collapsed="false" customWidth="true" hidden="false" outlineLevel="0" max="7431" min="7431" style="19" width="9.57"/>
    <col collapsed="false" customWidth="false" hidden="false" outlineLevel="0" max="7680" min="7432" style="19" width="9.14"/>
    <col collapsed="false" customWidth="true" hidden="false" outlineLevel="0" max="7681" min="7681" style="19" width="21.71"/>
    <col collapsed="false" customWidth="true" hidden="false" outlineLevel="0" max="7682" min="7682" style="19" width="9.71"/>
    <col collapsed="false" customWidth="false" hidden="false" outlineLevel="0" max="7685" min="7683" style="19" width="9.14"/>
    <col collapsed="false" customWidth="true" hidden="false" outlineLevel="0" max="7686" min="7686" style="19" width="10.71"/>
    <col collapsed="false" customWidth="true" hidden="false" outlineLevel="0" max="7687" min="7687" style="19" width="9.57"/>
    <col collapsed="false" customWidth="false" hidden="false" outlineLevel="0" max="7936" min="7688" style="19" width="9.14"/>
    <col collapsed="false" customWidth="true" hidden="false" outlineLevel="0" max="7937" min="7937" style="19" width="21.71"/>
    <col collapsed="false" customWidth="true" hidden="false" outlineLevel="0" max="7938" min="7938" style="19" width="9.71"/>
    <col collapsed="false" customWidth="false" hidden="false" outlineLevel="0" max="7941" min="7939" style="19" width="9.14"/>
    <col collapsed="false" customWidth="true" hidden="false" outlineLevel="0" max="7942" min="7942" style="19" width="10.71"/>
    <col collapsed="false" customWidth="true" hidden="false" outlineLevel="0" max="7943" min="7943" style="19" width="9.57"/>
    <col collapsed="false" customWidth="false" hidden="false" outlineLevel="0" max="8192" min="7944" style="19" width="9.14"/>
    <col collapsed="false" customWidth="true" hidden="false" outlineLevel="0" max="8193" min="8193" style="19" width="21.71"/>
    <col collapsed="false" customWidth="true" hidden="false" outlineLevel="0" max="8194" min="8194" style="19" width="9.71"/>
    <col collapsed="false" customWidth="false" hidden="false" outlineLevel="0" max="8197" min="8195" style="19" width="9.14"/>
    <col collapsed="false" customWidth="true" hidden="false" outlineLevel="0" max="8198" min="8198" style="19" width="10.71"/>
    <col collapsed="false" customWidth="true" hidden="false" outlineLevel="0" max="8199" min="8199" style="19" width="9.57"/>
    <col collapsed="false" customWidth="false" hidden="false" outlineLevel="0" max="8448" min="8200" style="19" width="9.14"/>
    <col collapsed="false" customWidth="true" hidden="false" outlineLevel="0" max="8449" min="8449" style="19" width="21.71"/>
    <col collapsed="false" customWidth="true" hidden="false" outlineLevel="0" max="8450" min="8450" style="19" width="9.71"/>
    <col collapsed="false" customWidth="false" hidden="false" outlineLevel="0" max="8453" min="8451" style="19" width="9.14"/>
    <col collapsed="false" customWidth="true" hidden="false" outlineLevel="0" max="8454" min="8454" style="19" width="10.71"/>
    <col collapsed="false" customWidth="true" hidden="false" outlineLevel="0" max="8455" min="8455" style="19" width="9.57"/>
    <col collapsed="false" customWidth="false" hidden="false" outlineLevel="0" max="8704" min="8456" style="19" width="9.14"/>
    <col collapsed="false" customWidth="true" hidden="false" outlineLevel="0" max="8705" min="8705" style="19" width="21.71"/>
    <col collapsed="false" customWidth="true" hidden="false" outlineLevel="0" max="8706" min="8706" style="19" width="9.71"/>
    <col collapsed="false" customWidth="false" hidden="false" outlineLevel="0" max="8709" min="8707" style="19" width="9.14"/>
    <col collapsed="false" customWidth="true" hidden="false" outlineLevel="0" max="8710" min="8710" style="19" width="10.71"/>
    <col collapsed="false" customWidth="true" hidden="false" outlineLevel="0" max="8711" min="8711" style="19" width="9.57"/>
    <col collapsed="false" customWidth="false" hidden="false" outlineLevel="0" max="8960" min="8712" style="19" width="9.14"/>
    <col collapsed="false" customWidth="true" hidden="false" outlineLevel="0" max="8961" min="8961" style="19" width="21.71"/>
    <col collapsed="false" customWidth="true" hidden="false" outlineLevel="0" max="8962" min="8962" style="19" width="9.71"/>
    <col collapsed="false" customWidth="false" hidden="false" outlineLevel="0" max="8965" min="8963" style="19" width="9.14"/>
    <col collapsed="false" customWidth="true" hidden="false" outlineLevel="0" max="8966" min="8966" style="19" width="10.71"/>
    <col collapsed="false" customWidth="true" hidden="false" outlineLevel="0" max="8967" min="8967" style="19" width="9.57"/>
    <col collapsed="false" customWidth="false" hidden="false" outlineLevel="0" max="9216" min="8968" style="19" width="9.14"/>
    <col collapsed="false" customWidth="true" hidden="false" outlineLevel="0" max="9217" min="9217" style="19" width="21.71"/>
    <col collapsed="false" customWidth="true" hidden="false" outlineLevel="0" max="9218" min="9218" style="19" width="9.71"/>
    <col collapsed="false" customWidth="false" hidden="false" outlineLevel="0" max="9221" min="9219" style="19" width="9.14"/>
    <col collapsed="false" customWidth="true" hidden="false" outlineLevel="0" max="9222" min="9222" style="19" width="10.71"/>
    <col collapsed="false" customWidth="true" hidden="false" outlineLevel="0" max="9223" min="9223" style="19" width="9.57"/>
    <col collapsed="false" customWidth="false" hidden="false" outlineLevel="0" max="9472" min="9224" style="19" width="9.14"/>
    <col collapsed="false" customWidth="true" hidden="false" outlineLevel="0" max="9473" min="9473" style="19" width="21.71"/>
    <col collapsed="false" customWidth="true" hidden="false" outlineLevel="0" max="9474" min="9474" style="19" width="9.71"/>
    <col collapsed="false" customWidth="false" hidden="false" outlineLevel="0" max="9477" min="9475" style="19" width="9.14"/>
    <col collapsed="false" customWidth="true" hidden="false" outlineLevel="0" max="9478" min="9478" style="19" width="10.71"/>
    <col collapsed="false" customWidth="true" hidden="false" outlineLevel="0" max="9479" min="9479" style="19" width="9.57"/>
    <col collapsed="false" customWidth="false" hidden="false" outlineLevel="0" max="9728" min="9480" style="19" width="9.14"/>
    <col collapsed="false" customWidth="true" hidden="false" outlineLevel="0" max="9729" min="9729" style="19" width="21.71"/>
    <col collapsed="false" customWidth="true" hidden="false" outlineLevel="0" max="9730" min="9730" style="19" width="9.71"/>
    <col collapsed="false" customWidth="false" hidden="false" outlineLevel="0" max="9733" min="9731" style="19" width="9.14"/>
    <col collapsed="false" customWidth="true" hidden="false" outlineLevel="0" max="9734" min="9734" style="19" width="10.71"/>
    <col collapsed="false" customWidth="true" hidden="false" outlineLevel="0" max="9735" min="9735" style="19" width="9.57"/>
    <col collapsed="false" customWidth="false" hidden="false" outlineLevel="0" max="9984" min="9736" style="19" width="9.14"/>
    <col collapsed="false" customWidth="true" hidden="false" outlineLevel="0" max="9985" min="9985" style="19" width="21.71"/>
    <col collapsed="false" customWidth="true" hidden="false" outlineLevel="0" max="9986" min="9986" style="19" width="9.71"/>
    <col collapsed="false" customWidth="false" hidden="false" outlineLevel="0" max="9989" min="9987" style="19" width="9.14"/>
    <col collapsed="false" customWidth="true" hidden="false" outlineLevel="0" max="9990" min="9990" style="19" width="10.71"/>
    <col collapsed="false" customWidth="true" hidden="false" outlineLevel="0" max="9991" min="9991" style="19" width="9.57"/>
    <col collapsed="false" customWidth="false" hidden="false" outlineLevel="0" max="10240" min="9992" style="19" width="9.14"/>
    <col collapsed="false" customWidth="true" hidden="false" outlineLevel="0" max="10241" min="10241" style="19" width="21.71"/>
    <col collapsed="false" customWidth="true" hidden="false" outlineLevel="0" max="10242" min="10242" style="19" width="9.71"/>
    <col collapsed="false" customWidth="false" hidden="false" outlineLevel="0" max="10245" min="10243" style="19" width="9.14"/>
    <col collapsed="false" customWidth="true" hidden="false" outlineLevel="0" max="10246" min="10246" style="19" width="10.71"/>
    <col collapsed="false" customWidth="true" hidden="false" outlineLevel="0" max="10247" min="10247" style="19" width="9.57"/>
    <col collapsed="false" customWidth="false" hidden="false" outlineLevel="0" max="10496" min="10248" style="19" width="9.14"/>
    <col collapsed="false" customWidth="true" hidden="false" outlineLevel="0" max="10497" min="10497" style="19" width="21.71"/>
    <col collapsed="false" customWidth="true" hidden="false" outlineLevel="0" max="10498" min="10498" style="19" width="9.71"/>
    <col collapsed="false" customWidth="false" hidden="false" outlineLevel="0" max="10501" min="10499" style="19" width="9.14"/>
    <col collapsed="false" customWidth="true" hidden="false" outlineLevel="0" max="10502" min="10502" style="19" width="10.71"/>
    <col collapsed="false" customWidth="true" hidden="false" outlineLevel="0" max="10503" min="10503" style="19" width="9.57"/>
    <col collapsed="false" customWidth="false" hidden="false" outlineLevel="0" max="10752" min="10504" style="19" width="9.14"/>
    <col collapsed="false" customWidth="true" hidden="false" outlineLevel="0" max="10753" min="10753" style="19" width="21.71"/>
    <col collapsed="false" customWidth="true" hidden="false" outlineLevel="0" max="10754" min="10754" style="19" width="9.71"/>
    <col collapsed="false" customWidth="false" hidden="false" outlineLevel="0" max="10757" min="10755" style="19" width="9.14"/>
    <col collapsed="false" customWidth="true" hidden="false" outlineLevel="0" max="10758" min="10758" style="19" width="10.71"/>
    <col collapsed="false" customWidth="true" hidden="false" outlineLevel="0" max="10759" min="10759" style="19" width="9.57"/>
    <col collapsed="false" customWidth="false" hidden="false" outlineLevel="0" max="11008" min="10760" style="19" width="9.14"/>
    <col collapsed="false" customWidth="true" hidden="false" outlineLevel="0" max="11009" min="11009" style="19" width="21.71"/>
    <col collapsed="false" customWidth="true" hidden="false" outlineLevel="0" max="11010" min="11010" style="19" width="9.71"/>
    <col collapsed="false" customWidth="false" hidden="false" outlineLevel="0" max="11013" min="11011" style="19" width="9.14"/>
    <col collapsed="false" customWidth="true" hidden="false" outlineLevel="0" max="11014" min="11014" style="19" width="10.71"/>
    <col collapsed="false" customWidth="true" hidden="false" outlineLevel="0" max="11015" min="11015" style="19" width="9.57"/>
    <col collapsed="false" customWidth="false" hidden="false" outlineLevel="0" max="11264" min="11016" style="19" width="9.14"/>
    <col collapsed="false" customWidth="true" hidden="false" outlineLevel="0" max="11265" min="11265" style="19" width="21.71"/>
    <col collapsed="false" customWidth="true" hidden="false" outlineLevel="0" max="11266" min="11266" style="19" width="9.71"/>
    <col collapsed="false" customWidth="false" hidden="false" outlineLevel="0" max="11269" min="11267" style="19" width="9.14"/>
    <col collapsed="false" customWidth="true" hidden="false" outlineLevel="0" max="11270" min="11270" style="19" width="10.71"/>
    <col collapsed="false" customWidth="true" hidden="false" outlineLevel="0" max="11271" min="11271" style="19" width="9.57"/>
    <col collapsed="false" customWidth="false" hidden="false" outlineLevel="0" max="11520" min="11272" style="19" width="9.14"/>
    <col collapsed="false" customWidth="true" hidden="false" outlineLevel="0" max="11521" min="11521" style="19" width="21.71"/>
    <col collapsed="false" customWidth="true" hidden="false" outlineLevel="0" max="11522" min="11522" style="19" width="9.71"/>
    <col collapsed="false" customWidth="false" hidden="false" outlineLevel="0" max="11525" min="11523" style="19" width="9.14"/>
    <col collapsed="false" customWidth="true" hidden="false" outlineLevel="0" max="11526" min="11526" style="19" width="10.71"/>
    <col collapsed="false" customWidth="true" hidden="false" outlineLevel="0" max="11527" min="11527" style="19" width="9.57"/>
    <col collapsed="false" customWidth="false" hidden="false" outlineLevel="0" max="11776" min="11528" style="19" width="9.14"/>
    <col collapsed="false" customWidth="true" hidden="false" outlineLevel="0" max="11777" min="11777" style="19" width="21.71"/>
    <col collapsed="false" customWidth="true" hidden="false" outlineLevel="0" max="11778" min="11778" style="19" width="9.71"/>
    <col collapsed="false" customWidth="false" hidden="false" outlineLevel="0" max="11781" min="11779" style="19" width="9.14"/>
    <col collapsed="false" customWidth="true" hidden="false" outlineLevel="0" max="11782" min="11782" style="19" width="10.71"/>
    <col collapsed="false" customWidth="true" hidden="false" outlineLevel="0" max="11783" min="11783" style="19" width="9.57"/>
    <col collapsed="false" customWidth="false" hidden="false" outlineLevel="0" max="12032" min="11784" style="19" width="9.14"/>
    <col collapsed="false" customWidth="true" hidden="false" outlineLevel="0" max="12033" min="12033" style="19" width="21.71"/>
    <col collapsed="false" customWidth="true" hidden="false" outlineLevel="0" max="12034" min="12034" style="19" width="9.71"/>
    <col collapsed="false" customWidth="false" hidden="false" outlineLevel="0" max="12037" min="12035" style="19" width="9.14"/>
    <col collapsed="false" customWidth="true" hidden="false" outlineLevel="0" max="12038" min="12038" style="19" width="10.71"/>
    <col collapsed="false" customWidth="true" hidden="false" outlineLevel="0" max="12039" min="12039" style="19" width="9.57"/>
    <col collapsed="false" customWidth="false" hidden="false" outlineLevel="0" max="12288" min="12040" style="19" width="9.14"/>
    <col collapsed="false" customWidth="true" hidden="false" outlineLevel="0" max="12289" min="12289" style="19" width="21.71"/>
    <col collapsed="false" customWidth="true" hidden="false" outlineLevel="0" max="12290" min="12290" style="19" width="9.71"/>
    <col collapsed="false" customWidth="false" hidden="false" outlineLevel="0" max="12293" min="12291" style="19" width="9.14"/>
    <col collapsed="false" customWidth="true" hidden="false" outlineLevel="0" max="12294" min="12294" style="19" width="10.71"/>
    <col collapsed="false" customWidth="true" hidden="false" outlineLevel="0" max="12295" min="12295" style="19" width="9.57"/>
    <col collapsed="false" customWidth="false" hidden="false" outlineLevel="0" max="12544" min="12296" style="19" width="9.14"/>
    <col collapsed="false" customWidth="true" hidden="false" outlineLevel="0" max="12545" min="12545" style="19" width="21.71"/>
    <col collapsed="false" customWidth="true" hidden="false" outlineLevel="0" max="12546" min="12546" style="19" width="9.71"/>
    <col collapsed="false" customWidth="false" hidden="false" outlineLevel="0" max="12549" min="12547" style="19" width="9.14"/>
    <col collapsed="false" customWidth="true" hidden="false" outlineLevel="0" max="12550" min="12550" style="19" width="10.71"/>
    <col collapsed="false" customWidth="true" hidden="false" outlineLevel="0" max="12551" min="12551" style="19" width="9.57"/>
    <col collapsed="false" customWidth="false" hidden="false" outlineLevel="0" max="12800" min="12552" style="19" width="9.14"/>
    <col collapsed="false" customWidth="true" hidden="false" outlineLevel="0" max="12801" min="12801" style="19" width="21.71"/>
    <col collapsed="false" customWidth="true" hidden="false" outlineLevel="0" max="12802" min="12802" style="19" width="9.71"/>
    <col collapsed="false" customWidth="false" hidden="false" outlineLevel="0" max="12805" min="12803" style="19" width="9.14"/>
    <col collapsed="false" customWidth="true" hidden="false" outlineLevel="0" max="12806" min="12806" style="19" width="10.71"/>
    <col collapsed="false" customWidth="true" hidden="false" outlineLevel="0" max="12807" min="12807" style="19" width="9.57"/>
    <col collapsed="false" customWidth="false" hidden="false" outlineLevel="0" max="13056" min="12808" style="19" width="9.14"/>
    <col collapsed="false" customWidth="true" hidden="false" outlineLevel="0" max="13057" min="13057" style="19" width="21.71"/>
    <col collapsed="false" customWidth="true" hidden="false" outlineLevel="0" max="13058" min="13058" style="19" width="9.71"/>
    <col collapsed="false" customWidth="false" hidden="false" outlineLevel="0" max="13061" min="13059" style="19" width="9.14"/>
    <col collapsed="false" customWidth="true" hidden="false" outlineLevel="0" max="13062" min="13062" style="19" width="10.71"/>
    <col collapsed="false" customWidth="true" hidden="false" outlineLevel="0" max="13063" min="13063" style="19" width="9.57"/>
    <col collapsed="false" customWidth="false" hidden="false" outlineLevel="0" max="13312" min="13064" style="19" width="9.14"/>
    <col collapsed="false" customWidth="true" hidden="false" outlineLevel="0" max="13313" min="13313" style="19" width="21.71"/>
    <col collapsed="false" customWidth="true" hidden="false" outlineLevel="0" max="13314" min="13314" style="19" width="9.71"/>
    <col collapsed="false" customWidth="false" hidden="false" outlineLevel="0" max="13317" min="13315" style="19" width="9.14"/>
    <col collapsed="false" customWidth="true" hidden="false" outlineLevel="0" max="13318" min="13318" style="19" width="10.71"/>
    <col collapsed="false" customWidth="true" hidden="false" outlineLevel="0" max="13319" min="13319" style="19" width="9.57"/>
    <col collapsed="false" customWidth="false" hidden="false" outlineLevel="0" max="13568" min="13320" style="19" width="9.14"/>
    <col collapsed="false" customWidth="true" hidden="false" outlineLevel="0" max="13569" min="13569" style="19" width="21.71"/>
    <col collapsed="false" customWidth="true" hidden="false" outlineLevel="0" max="13570" min="13570" style="19" width="9.71"/>
    <col collapsed="false" customWidth="false" hidden="false" outlineLevel="0" max="13573" min="13571" style="19" width="9.14"/>
    <col collapsed="false" customWidth="true" hidden="false" outlineLevel="0" max="13574" min="13574" style="19" width="10.71"/>
    <col collapsed="false" customWidth="true" hidden="false" outlineLevel="0" max="13575" min="13575" style="19" width="9.57"/>
    <col collapsed="false" customWidth="false" hidden="false" outlineLevel="0" max="13824" min="13576" style="19" width="9.14"/>
    <col collapsed="false" customWidth="true" hidden="false" outlineLevel="0" max="13825" min="13825" style="19" width="21.71"/>
    <col collapsed="false" customWidth="true" hidden="false" outlineLevel="0" max="13826" min="13826" style="19" width="9.71"/>
    <col collapsed="false" customWidth="false" hidden="false" outlineLevel="0" max="13829" min="13827" style="19" width="9.14"/>
    <col collapsed="false" customWidth="true" hidden="false" outlineLevel="0" max="13830" min="13830" style="19" width="10.71"/>
    <col collapsed="false" customWidth="true" hidden="false" outlineLevel="0" max="13831" min="13831" style="19" width="9.57"/>
    <col collapsed="false" customWidth="false" hidden="false" outlineLevel="0" max="14080" min="13832" style="19" width="9.14"/>
    <col collapsed="false" customWidth="true" hidden="false" outlineLevel="0" max="14081" min="14081" style="19" width="21.71"/>
    <col collapsed="false" customWidth="true" hidden="false" outlineLevel="0" max="14082" min="14082" style="19" width="9.71"/>
    <col collapsed="false" customWidth="false" hidden="false" outlineLevel="0" max="14085" min="14083" style="19" width="9.14"/>
    <col collapsed="false" customWidth="true" hidden="false" outlineLevel="0" max="14086" min="14086" style="19" width="10.71"/>
    <col collapsed="false" customWidth="true" hidden="false" outlineLevel="0" max="14087" min="14087" style="19" width="9.57"/>
    <col collapsed="false" customWidth="false" hidden="false" outlineLevel="0" max="14336" min="14088" style="19" width="9.14"/>
    <col collapsed="false" customWidth="true" hidden="false" outlineLevel="0" max="14337" min="14337" style="19" width="21.71"/>
    <col collapsed="false" customWidth="true" hidden="false" outlineLevel="0" max="14338" min="14338" style="19" width="9.71"/>
    <col collapsed="false" customWidth="false" hidden="false" outlineLevel="0" max="14341" min="14339" style="19" width="9.14"/>
    <col collapsed="false" customWidth="true" hidden="false" outlineLevel="0" max="14342" min="14342" style="19" width="10.71"/>
    <col collapsed="false" customWidth="true" hidden="false" outlineLevel="0" max="14343" min="14343" style="19" width="9.57"/>
    <col collapsed="false" customWidth="false" hidden="false" outlineLevel="0" max="14592" min="14344" style="19" width="9.14"/>
    <col collapsed="false" customWidth="true" hidden="false" outlineLevel="0" max="14593" min="14593" style="19" width="21.71"/>
    <col collapsed="false" customWidth="true" hidden="false" outlineLevel="0" max="14594" min="14594" style="19" width="9.71"/>
    <col collapsed="false" customWidth="false" hidden="false" outlineLevel="0" max="14597" min="14595" style="19" width="9.14"/>
    <col collapsed="false" customWidth="true" hidden="false" outlineLevel="0" max="14598" min="14598" style="19" width="10.71"/>
    <col collapsed="false" customWidth="true" hidden="false" outlineLevel="0" max="14599" min="14599" style="19" width="9.57"/>
    <col collapsed="false" customWidth="false" hidden="false" outlineLevel="0" max="14848" min="14600" style="19" width="9.14"/>
    <col collapsed="false" customWidth="true" hidden="false" outlineLevel="0" max="14849" min="14849" style="19" width="21.71"/>
    <col collapsed="false" customWidth="true" hidden="false" outlineLevel="0" max="14850" min="14850" style="19" width="9.71"/>
    <col collapsed="false" customWidth="false" hidden="false" outlineLevel="0" max="14853" min="14851" style="19" width="9.14"/>
    <col collapsed="false" customWidth="true" hidden="false" outlineLevel="0" max="14854" min="14854" style="19" width="10.71"/>
    <col collapsed="false" customWidth="true" hidden="false" outlineLevel="0" max="14855" min="14855" style="19" width="9.57"/>
    <col collapsed="false" customWidth="false" hidden="false" outlineLevel="0" max="15104" min="14856" style="19" width="9.14"/>
    <col collapsed="false" customWidth="true" hidden="false" outlineLevel="0" max="15105" min="15105" style="19" width="21.71"/>
    <col collapsed="false" customWidth="true" hidden="false" outlineLevel="0" max="15106" min="15106" style="19" width="9.71"/>
    <col collapsed="false" customWidth="false" hidden="false" outlineLevel="0" max="15109" min="15107" style="19" width="9.14"/>
    <col collapsed="false" customWidth="true" hidden="false" outlineLevel="0" max="15110" min="15110" style="19" width="10.71"/>
    <col collapsed="false" customWidth="true" hidden="false" outlineLevel="0" max="15111" min="15111" style="19" width="9.57"/>
    <col collapsed="false" customWidth="false" hidden="false" outlineLevel="0" max="15360" min="15112" style="19" width="9.14"/>
    <col collapsed="false" customWidth="true" hidden="false" outlineLevel="0" max="15361" min="15361" style="19" width="21.71"/>
    <col collapsed="false" customWidth="true" hidden="false" outlineLevel="0" max="15362" min="15362" style="19" width="9.71"/>
    <col collapsed="false" customWidth="false" hidden="false" outlineLevel="0" max="15365" min="15363" style="19" width="9.14"/>
    <col collapsed="false" customWidth="true" hidden="false" outlineLevel="0" max="15366" min="15366" style="19" width="10.71"/>
    <col collapsed="false" customWidth="true" hidden="false" outlineLevel="0" max="15367" min="15367" style="19" width="9.57"/>
    <col collapsed="false" customWidth="false" hidden="false" outlineLevel="0" max="15616" min="15368" style="19" width="9.14"/>
    <col collapsed="false" customWidth="true" hidden="false" outlineLevel="0" max="15617" min="15617" style="19" width="21.71"/>
    <col collapsed="false" customWidth="true" hidden="false" outlineLevel="0" max="15618" min="15618" style="19" width="9.71"/>
    <col collapsed="false" customWidth="false" hidden="false" outlineLevel="0" max="15621" min="15619" style="19" width="9.14"/>
    <col collapsed="false" customWidth="true" hidden="false" outlineLevel="0" max="15622" min="15622" style="19" width="10.71"/>
    <col collapsed="false" customWidth="true" hidden="false" outlineLevel="0" max="15623" min="15623" style="19" width="9.57"/>
    <col collapsed="false" customWidth="false" hidden="false" outlineLevel="0" max="15872" min="15624" style="19" width="9.14"/>
    <col collapsed="false" customWidth="true" hidden="false" outlineLevel="0" max="15873" min="15873" style="19" width="21.71"/>
    <col collapsed="false" customWidth="true" hidden="false" outlineLevel="0" max="15874" min="15874" style="19" width="9.71"/>
    <col collapsed="false" customWidth="false" hidden="false" outlineLevel="0" max="15877" min="15875" style="19" width="9.14"/>
    <col collapsed="false" customWidth="true" hidden="false" outlineLevel="0" max="15878" min="15878" style="19" width="10.71"/>
    <col collapsed="false" customWidth="true" hidden="false" outlineLevel="0" max="15879" min="15879" style="19" width="9.57"/>
    <col collapsed="false" customWidth="false" hidden="false" outlineLevel="0" max="16128" min="15880" style="19" width="9.14"/>
    <col collapsed="false" customWidth="true" hidden="false" outlineLevel="0" max="16129" min="16129" style="19" width="21.71"/>
    <col collapsed="false" customWidth="true" hidden="false" outlineLevel="0" max="16130" min="16130" style="19" width="9.71"/>
    <col collapsed="false" customWidth="false" hidden="false" outlineLevel="0" max="16133" min="16131" style="19" width="9.14"/>
    <col collapsed="false" customWidth="true" hidden="false" outlineLevel="0" max="16134" min="16134" style="19" width="10.71"/>
    <col collapsed="false" customWidth="true" hidden="false" outlineLevel="0" max="16135" min="16135" style="19" width="9.57"/>
    <col collapsed="false" customWidth="false" hidden="false" outlineLevel="0" max="16384" min="16136" style="19" width="9.14"/>
  </cols>
  <sheetData>
    <row r="1" customFormat="false" ht="15.75" hidden="false" customHeight="false" outlineLevel="0" collapsed="false">
      <c r="A1" s="14" t="s">
        <v>162</v>
      </c>
      <c r="F1" s="17"/>
      <c r="G1" s="17"/>
    </row>
    <row r="2" customFormat="false" ht="12" hidden="false" customHeight="false" outlineLevel="0" collapsed="false">
      <c r="F2" s="17"/>
      <c r="G2" s="17"/>
    </row>
    <row r="3" customFormat="false" ht="48" hidden="false" customHeight="false" outlineLevel="0" collapsed="false">
      <c r="A3" s="20" t="n">
        <v>2005</v>
      </c>
      <c r="B3" s="21" t="s">
        <v>17</v>
      </c>
      <c r="C3" s="22" t="s">
        <v>106</v>
      </c>
      <c r="D3" s="22" t="s">
        <v>107</v>
      </c>
      <c r="E3" s="25" t="s">
        <v>108</v>
      </c>
      <c r="F3" s="74" t="s">
        <v>109</v>
      </c>
      <c r="G3" s="24" t="s">
        <v>110</v>
      </c>
      <c r="H3" s="22" t="s">
        <v>106</v>
      </c>
      <c r="I3" s="22" t="s">
        <v>107</v>
      </c>
      <c r="J3" s="213"/>
    </row>
    <row r="4" customFormat="false" ht="12" hidden="false" customHeight="false" outlineLevel="0" collapsed="false">
      <c r="A4" s="179" t="s">
        <v>138</v>
      </c>
      <c r="B4" s="180" t="n">
        <v>365.741</v>
      </c>
      <c r="C4" s="181" t="s">
        <v>91</v>
      </c>
      <c r="D4" s="182" t="s">
        <v>91</v>
      </c>
      <c r="E4" s="183" t="n">
        <v>0.110614730095719</v>
      </c>
      <c r="F4" s="180" t="n">
        <v>101.638</v>
      </c>
      <c r="G4" s="184" t="n">
        <v>3112.427</v>
      </c>
      <c r="H4" s="185" t="s">
        <v>91</v>
      </c>
      <c r="I4" s="183" t="s">
        <v>91</v>
      </c>
      <c r="J4" s="268"/>
    </row>
    <row r="5" customFormat="false" ht="12" hidden="false" customHeight="false" outlineLevel="0" collapsed="false">
      <c r="A5" s="187" t="s">
        <v>96</v>
      </c>
      <c r="B5" s="188" t="n">
        <v>7.357</v>
      </c>
      <c r="C5" s="189" t="n">
        <v>0.716868288704635</v>
      </c>
      <c r="D5" s="190" t="n">
        <v>0.283131711295365</v>
      </c>
      <c r="E5" s="191" t="n">
        <v>0.0845389255960931</v>
      </c>
      <c r="F5" s="188" t="n">
        <v>1.893</v>
      </c>
      <c r="G5" s="192" t="n">
        <v>75.864</v>
      </c>
      <c r="H5" s="193" t="n">
        <v>0.353461457344722</v>
      </c>
      <c r="I5" s="191" t="n">
        <v>0.646538542655278</v>
      </c>
      <c r="J5" s="268"/>
    </row>
    <row r="6" customFormat="false" ht="12" hidden="false" customHeight="false" outlineLevel="0" collapsed="false">
      <c r="A6" s="80" t="s">
        <v>27</v>
      </c>
      <c r="B6" s="134" t="n">
        <v>2.716</v>
      </c>
      <c r="C6" s="135" t="n">
        <v>0.841310751104566</v>
      </c>
      <c r="D6" s="195" t="n">
        <v>0.158689248895434</v>
      </c>
      <c r="E6" s="136" t="n">
        <v>0.0612180498579994</v>
      </c>
      <c r="F6" s="134" t="n">
        <v>1.191</v>
      </c>
      <c r="G6" s="196" t="n">
        <v>50.446</v>
      </c>
      <c r="H6" s="197" t="n">
        <v>0.672838282519922</v>
      </c>
      <c r="I6" s="136" t="n">
        <v>0.327161717480078</v>
      </c>
      <c r="J6" s="268"/>
    </row>
    <row r="7" customFormat="false" ht="12" hidden="false" customHeight="false" outlineLevel="0" collapsed="false">
      <c r="A7" s="80" t="s">
        <v>116</v>
      </c>
      <c r="B7" s="134" t="n">
        <v>13.872</v>
      </c>
      <c r="C7" s="135" t="n">
        <v>0.711361014994233</v>
      </c>
      <c r="D7" s="195" t="n">
        <v>0.288638985005767</v>
      </c>
      <c r="E7" s="136" t="n">
        <v>0.167986630821769</v>
      </c>
      <c r="F7" s="134" t="n">
        <v>5.199</v>
      </c>
      <c r="G7" s="196" t="n">
        <v>150.669</v>
      </c>
      <c r="H7" s="197" t="n">
        <v>0.675047571717225</v>
      </c>
      <c r="I7" s="136" t="n">
        <v>0.324952428282776</v>
      </c>
      <c r="J7" s="268"/>
    </row>
    <row r="8" customFormat="false" ht="12" hidden="false" customHeight="false" outlineLevel="0" collapsed="false">
      <c r="A8" s="80" t="s">
        <v>29</v>
      </c>
      <c r="B8" s="134" t="n">
        <v>18.888</v>
      </c>
      <c r="C8" s="135" t="s">
        <v>91</v>
      </c>
      <c r="D8" s="195" t="s">
        <v>91</v>
      </c>
      <c r="E8" s="136" t="n">
        <v>0.520674826331459</v>
      </c>
      <c r="F8" s="134" t="n">
        <v>5.685</v>
      </c>
      <c r="G8" s="196" t="n">
        <v>118.975</v>
      </c>
      <c r="H8" s="197" t="s">
        <v>91</v>
      </c>
      <c r="I8" s="136" t="s">
        <v>91</v>
      </c>
      <c r="J8" s="268"/>
    </row>
    <row r="9" customFormat="false" ht="12" hidden="false" customHeight="false" outlineLevel="0" collapsed="false">
      <c r="A9" s="80" t="s">
        <v>30</v>
      </c>
      <c r="B9" s="134" t="n">
        <v>77.851</v>
      </c>
      <c r="C9" s="135" t="n">
        <v>0.671924573865461</v>
      </c>
      <c r="D9" s="195" t="n">
        <v>0.328075426134539</v>
      </c>
      <c r="E9" s="136" t="n">
        <v>0.125505400612607</v>
      </c>
      <c r="F9" s="134" t="n">
        <v>20.84</v>
      </c>
      <c r="G9" s="196" t="n">
        <v>652.531</v>
      </c>
      <c r="H9" s="197" t="n">
        <v>0.559610194764693</v>
      </c>
      <c r="I9" s="136" t="n">
        <v>0.440389805235307</v>
      </c>
      <c r="J9" s="268"/>
    </row>
    <row r="10" customFormat="false" ht="12" hidden="false" customHeight="false" outlineLevel="0" collapsed="false">
      <c r="A10" s="80" t="s">
        <v>31</v>
      </c>
      <c r="B10" s="134" t="n">
        <v>1.038</v>
      </c>
      <c r="C10" s="135" t="n">
        <v>0.888246628131021</v>
      </c>
      <c r="D10" s="195" t="n">
        <v>0.111753371868979</v>
      </c>
      <c r="E10" s="136" t="n">
        <v>0.10171484566389</v>
      </c>
      <c r="F10" s="134" t="n">
        <v>1.604</v>
      </c>
      <c r="G10" s="196" t="n">
        <v>11.456</v>
      </c>
      <c r="H10" s="197" t="n">
        <v>0.809357541899441</v>
      </c>
      <c r="I10" s="136" t="n">
        <v>0.190642458100559</v>
      </c>
      <c r="J10" s="268"/>
    </row>
    <row r="11" customFormat="false" ht="12" hidden="false" customHeight="false" outlineLevel="0" collapsed="false">
      <c r="A11" s="80" t="s">
        <v>97</v>
      </c>
      <c r="B11" s="134" t="n">
        <v>1.021</v>
      </c>
      <c r="C11" s="135" t="n">
        <v>0.0910871694417237</v>
      </c>
      <c r="D11" s="195" t="n">
        <v>0.908912830558276</v>
      </c>
      <c r="E11" s="136" t="n">
        <v>0.0170109963345551</v>
      </c>
      <c r="F11" s="134" t="n">
        <v>0.24</v>
      </c>
      <c r="G11" s="196" t="n">
        <v>9.688</v>
      </c>
      <c r="H11" s="197" t="n">
        <v>0.222130470685384</v>
      </c>
      <c r="I11" s="136" t="n">
        <v>0.777869529314616</v>
      </c>
      <c r="J11" s="268"/>
    </row>
    <row r="12" customFormat="false" ht="12" hidden="false" customHeight="false" outlineLevel="0" collapsed="false">
      <c r="A12" s="80" t="s">
        <v>33</v>
      </c>
      <c r="B12" s="134" t="n">
        <v>22.881</v>
      </c>
      <c r="C12" s="135" t="n">
        <v>0</v>
      </c>
      <c r="D12" s="195" t="n">
        <v>1</v>
      </c>
      <c r="E12" s="136" t="n">
        <v>0.0778061528103184</v>
      </c>
      <c r="F12" s="134" t="n">
        <v>3.051</v>
      </c>
      <c r="G12" s="196" t="n">
        <v>192.502</v>
      </c>
      <c r="H12" s="197" t="n">
        <v>1</v>
      </c>
      <c r="I12" s="136" t="n">
        <v>0</v>
      </c>
      <c r="J12" s="268"/>
    </row>
    <row r="13" customFormat="false" ht="12" hidden="false" customHeight="false" outlineLevel="0" collapsed="false">
      <c r="A13" s="80" t="s">
        <v>34</v>
      </c>
      <c r="B13" s="134" t="n">
        <v>23.207</v>
      </c>
      <c r="C13" s="135" t="n">
        <v>0.418839143361917</v>
      </c>
      <c r="D13" s="195" t="n">
        <v>0.581160856638083</v>
      </c>
      <c r="E13" s="136" t="n">
        <v>0.0402781128453631</v>
      </c>
      <c r="F13" s="134" t="n">
        <v>6.597</v>
      </c>
      <c r="G13" s="196" t="n">
        <v>209.207</v>
      </c>
      <c r="H13" s="197" t="n">
        <v>0.267237711931245</v>
      </c>
      <c r="I13" s="136" t="n">
        <v>0.732762288068755</v>
      </c>
      <c r="J13" s="268"/>
    </row>
    <row r="14" customFormat="false" ht="12" hidden="false" customHeight="false" outlineLevel="0" collapsed="false">
      <c r="A14" s="80" t="s">
        <v>128</v>
      </c>
      <c r="B14" s="134" t="n">
        <v>0.6</v>
      </c>
      <c r="C14" s="135" t="n">
        <v>0</v>
      </c>
      <c r="D14" s="195" t="n">
        <v>1</v>
      </c>
      <c r="E14" s="136" t="n">
        <v>0.0236621051386205</v>
      </c>
      <c r="F14" s="134" t="n">
        <v>0.113</v>
      </c>
      <c r="G14" s="196" t="n">
        <v>4.365</v>
      </c>
      <c r="H14" s="197" t="n">
        <v>1</v>
      </c>
      <c r="I14" s="136" t="n">
        <v>0</v>
      </c>
      <c r="J14" s="268"/>
    </row>
    <row r="15" customFormat="false" ht="12" hidden="false" customHeight="false" outlineLevel="0" collapsed="false">
      <c r="A15" s="80" t="s">
        <v>37</v>
      </c>
      <c r="B15" s="134" t="n">
        <v>27.387</v>
      </c>
      <c r="C15" s="135" t="s">
        <v>91</v>
      </c>
      <c r="D15" s="195" t="s">
        <v>91</v>
      </c>
      <c r="E15" s="136" t="n">
        <v>0.0901781039779519</v>
      </c>
      <c r="F15" s="134" t="n">
        <v>5.888</v>
      </c>
      <c r="G15" s="196" t="n">
        <v>193.066</v>
      </c>
      <c r="H15" s="197" t="s">
        <v>91</v>
      </c>
      <c r="I15" s="136" t="s">
        <v>91</v>
      </c>
      <c r="J15" s="268"/>
    </row>
    <row r="16" customFormat="false" ht="12" hidden="false" customHeight="false" outlineLevel="0" collapsed="false">
      <c r="A16" s="80" t="s">
        <v>38</v>
      </c>
      <c r="B16" s="134" t="n">
        <v>0.014</v>
      </c>
      <c r="C16" s="135" t="n">
        <v>0</v>
      </c>
      <c r="D16" s="195" t="n">
        <v>1</v>
      </c>
      <c r="E16" s="136" t="n">
        <v>0.00319853781128627</v>
      </c>
      <c r="F16" s="134" t="n">
        <v>0.005</v>
      </c>
      <c r="G16" s="196" t="n">
        <v>0.067</v>
      </c>
      <c r="H16" s="197" t="n">
        <v>0</v>
      </c>
      <c r="I16" s="136" t="n">
        <v>1</v>
      </c>
      <c r="J16" s="268"/>
    </row>
    <row r="17" customFormat="false" ht="12" hidden="false" customHeight="false" outlineLevel="0" collapsed="false">
      <c r="A17" s="80" t="s">
        <v>70</v>
      </c>
      <c r="B17" s="134" t="n">
        <v>1.505</v>
      </c>
      <c r="C17" s="135" t="n">
        <v>0.962790697674419</v>
      </c>
      <c r="D17" s="195" t="n">
        <v>0.0372093023255814</v>
      </c>
      <c r="E17" s="136" t="n">
        <v>0.306829765545362</v>
      </c>
      <c r="F17" s="134" t="n">
        <v>0.586</v>
      </c>
      <c r="G17" s="196" t="n">
        <v>11.912</v>
      </c>
      <c r="H17" s="197" t="n">
        <v>0.930070517125588</v>
      </c>
      <c r="I17" s="136" t="n">
        <v>0.0699294828744124</v>
      </c>
      <c r="J17" s="268"/>
    </row>
    <row r="18" customFormat="false" ht="12" hidden="false" customHeight="false" outlineLevel="0" collapsed="false">
      <c r="A18" s="80" t="s">
        <v>40</v>
      </c>
      <c r="B18" s="134" t="n">
        <v>2.296</v>
      </c>
      <c r="C18" s="135" t="n">
        <v>0.924651567944251</v>
      </c>
      <c r="D18" s="195" t="n">
        <v>0.0753484320557491</v>
      </c>
      <c r="E18" s="136" t="n">
        <v>0.155324042754702</v>
      </c>
      <c r="F18" s="134" t="n">
        <v>1.038</v>
      </c>
      <c r="G18" s="196" t="n">
        <v>19.898</v>
      </c>
      <c r="H18" s="197" t="n">
        <v>0.939541662478641</v>
      </c>
      <c r="I18" s="136" t="n">
        <v>0.0604583375213589</v>
      </c>
      <c r="J18" s="268"/>
    </row>
    <row r="19" customFormat="false" ht="12" hidden="false" customHeight="false" outlineLevel="0" collapsed="false">
      <c r="A19" s="80" t="s">
        <v>41</v>
      </c>
      <c r="B19" s="134" t="n">
        <v>0.418</v>
      </c>
      <c r="C19" s="135" t="n">
        <v>0</v>
      </c>
      <c r="D19" s="195" t="n">
        <v>1</v>
      </c>
      <c r="E19" s="136" t="n">
        <v>0.101235165899734</v>
      </c>
      <c r="F19" s="134" t="n">
        <v>0.101</v>
      </c>
      <c r="G19" s="196" t="n">
        <v>1.194</v>
      </c>
      <c r="H19" s="197" t="n">
        <v>0</v>
      </c>
      <c r="I19" s="136" t="n">
        <v>1</v>
      </c>
      <c r="J19" s="268"/>
    </row>
    <row r="20" customFormat="false" ht="12" hidden="false" customHeight="false" outlineLevel="0" collapsed="false">
      <c r="A20" s="80" t="s">
        <v>113</v>
      </c>
      <c r="B20" s="134" t="n">
        <v>6.841</v>
      </c>
      <c r="C20" s="135" t="n">
        <v>0.933635433416167</v>
      </c>
      <c r="D20" s="195" t="n">
        <v>0.0663645665838328</v>
      </c>
      <c r="E20" s="136" t="n">
        <v>0.191329883932317</v>
      </c>
      <c r="F20" s="134" t="n">
        <v>2.047</v>
      </c>
      <c r="G20" s="196" t="n">
        <v>47.423</v>
      </c>
      <c r="H20" s="197" t="n">
        <v>0.826033781076693</v>
      </c>
      <c r="I20" s="136" t="n">
        <v>0.173966218923307</v>
      </c>
      <c r="J20" s="268"/>
    </row>
    <row r="21" customFormat="false" ht="12" hidden="false" customHeight="false" outlineLevel="0" collapsed="false">
      <c r="A21" s="80" t="s">
        <v>43</v>
      </c>
      <c r="B21" s="134" t="n">
        <v>0</v>
      </c>
      <c r="C21" s="135" t="n">
        <v>0</v>
      </c>
      <c r="D21" s="195" t="n">
        <v>0</v>
      </c>
      <c r="E21" s="136" t="n">
        <v>0</v>
      </c>
      <c r="F21" s="134" t="n">
        <v>0</v>
      </c>
      <c r="G21" s="196" t="n">
        <v>0</v>
      </c>
      <c r="H21" s="197" t="n">
        <v>0</v>
      </c>
      <c r="I21" s="136" t="n">
        <v>0</v>
      </c>
      <c r="J21" s="268"/>
    </row>
    <row r="22" customFormat="false" ht="12" hidden="false" customHeight="false" outlineLevel="0" collapsed="false">
      <c r="A22" s="80" t="s">
        <v>72</v>
      </c>
      <c r="B22" s="134" t="n">
        <v>29.467</v>
      </c>
      <c r="C22" s="135" t="s">
        <v>91</v>
      </c>
      <c r="D22" s="195" t="s">
        <v>91</v>
      </c>
      <c r="E22" s="136" t="n">
        <v>0.294026082878496</v>
      </c>
      <c r="F22" s="134" t="n">
        <v>7.162</v>
      </c>
      <c r="G22" s="196" t="n">
        <v>220.281</v>
      </c>
      <c r="H22" s="197" t="s">
        <v>91</v>
      </c>
      <c r="I22" s="136" t="s">
        <v>91</v>
      </c>
      <c r="J22" s="268"/>
    </row>
    <row r="23" customFormat="false" ht="12" hidden="false" customHeight="false" outlineLevel="0" collapsed="false">
      <c r="A23" s="80" t="s">
        <v>45</v>
      </c>
      <c r="B23" s="134" t="n">
        <v>10.133</v>
      </c>
      <c r="C23" s="135" t="n">
        <v>0.473601105299516</v>
      </c>
      <c r="D23" s="195" t="n">
        <v>0.526398894700484</v>
      </c>
      <c r="E23" s="136" t="n">
        <v>0.154238397491514</v>
      </c>
      <c r="F23" s="134" t="n">
        <v>3.253</v>
      </c>
      <c r="G23" s="196" t="n">
        <v>95.848</v>
      </c>
      <c r="H23" s="197" t="n">
        <v>0.319265921041649</v>
      </c>
      <c r="I23" s="136" t="n">
        <v>0.680734078958351</v>
      </c>
      <c r="J23" s="268"/>
    </row>
    <row r="24" customFormat="false" ht="12" hidden="false" customHeight="false" outlineLevel="0" collapsed="false">
      <c r="A24" s="80" t="s">
        <v>46</v>
      </c>
      <c r="B24" s="134" t="n">
        <v>26.299</v>
      </c>
      <c r="C24" s="135" t="n">
        <v>0.774364044260238</v>
      </c>
      <c r="D24" s="195" t="n">
        <v>0.225635955739762</v>
      </c>
      <c r="E24" s="136" t="n">
        <v>0.167577866136514</v>
      </c>
      <c r="F24" s="134" t="n">
        <v>8.313</v>
      </c>
      <c r="G24" s="196" t="n">
        <v>275.425</v>
      </c>
      <c r="H24" s="197" t="n">
        <v>0.616327493873105</v>
      </c>
      <c r="I24" s="136" t="n">
        <v>0.383672506126895</v>
      </c>
      <c r="J24" s="268"/>
    </row>
    <row r="25" customFormat="false" ht="12" hidden="false" customHeight="false" outlineLevel="0" collapsed="false">
      <c r="A25" s="80" t="s">
        <v>98</v>
      </c>
      <c r="B25" s="134" t="n">
        <v>5.424</v>
      </c>
      <c r="C25" s="135" t="n">
        <v>0.681047197640118</v>
      </c>
      <c r="D25" s="195" t="n">
        <v>0.318952802359882</v>
      </c>
      <c r="E25" s="136" t="n">
        <v>0.116449826098158</v>
      </c>
      <c r="F25" s="134" t="n">
        <v>1.079</v>
      </c>
      <c r="G25" s="196" t="n">
        <v>59.609</v>
      </c>
      <c r="H25" s="197" t="n">
        <v>0.464191648912077</v>
      </c>
      <c r="I25" s="136" t="n">
        <v>0.535808351087923</v>
      </c>
      <c r="J25" s="268"/>
    </row>
    <row r="26" customFormat="false" ht="12" hidden="false" customHeight="false" outlineLevel="0" collapsed="false">
      <c r="A26" s="80" t="s">
        <v>48</v>
      </c>
      <c r="B26" s="134" t="n">
        <v>15.549</v>
      </c>
      <c r="C26" s="135" t="n">
        <v>0.945784294809956</v>
      </c>
      <c r="D26" s="195" t="n">
        <v>0.0542157051900444</v>
      </c>
      <c r="E26" s="136" t="n">
        <v>0.26171040008079</v>
      </c>
      <c r="F26" s="134" t="n">
        <v>5.246</v>
      </c>
      <c r="G26" s="196" t="n">
        <v>95.386</v>
      </c>
      <c r="H26" s="197" t="n">
        <v>0.854936783175728</v>
      </c>
      <c r="I26" s="136" t="n">
        <v>0.145063216824272</v>
      </c>
      <c r="J26" s="268"/>
    </row>
    <row r="27" customFormat="false" ht="12" hidden="false" customHeight="false" outlineLevel="0" collapsed="false">
      <c r="A27" s="80" t="s">
        <v>99</v>
      </c>
      <c r="B27" s="134" t="n">
        <v>1.104</v>
      </c>
      <c r="C27" s="135" t="s">
        <v>91</v>
      </c>
      <c r="D27" s="195" t="s">
        <v>91</v>
      </c>
      <c r="E27" s="136" t="n">
        <v>0.0730303631672951</v>
      </c>
      <c r="F27" s="134" t="n">
        <v>0.336</v>
      </c>
      <c r="G27" s="196" t="n">
        <v>15.001</v>
      </c>
      <c r="H27" s="197" t="s">
        <v>91</v>
      </c>
      <c r="I27" s="136" t="s">
        <v>91</v>
      </c>
      <c r="J27" s="268"/>
    </row>
    <row r="28" customFormat="false" ht="12" hidden="false" customHeight="false" outlineLevel="0" collapsed="false">
      <c r="A28" s="80" t="s">
        <v>50</v>
      </c>
      <c r="B28" s="134" t="n">
        <v>4.803</v>
      </c>
      <c r="C28" s="135" t="n">
        <v>0.549656464709557</v>
      </c>
      <c r="D28" s="195" t="n">
        <v>0.450343535290443</v>
      </c>
      <c r="E28" s="136" t="n">
        <v>0.152694325226514</v>
      </c>
      <c r="F28" s="134" t="n">
        <v>5.411</v>
      </c>
      <c r="G28" s="196" t="n">
        <v>33.676</v>
      </c>
      <c r="H28" s="197" t="n">
        <v>0.584303361444352</v>
      </c>
      <c r="I28" s="136" t="n">
        <v>0.415696638555648</v>
      </c>
      <c r="J28" s="268"/>
    </row>
    <row r="29" customFormat="false" ht="12" hidden="false" customHeight="false" outlineLevel="0" collapsed="false">
      <c r="A29" s="80" t="s">
        <v>75</v>
      </c>
      <c r="B29" s="104" t="n">
        <v>27.457</v>
      </c>
      <c r="C29" s="166" t="n">
        <v>0.690825654660014</v>
      </c>
      <c r="D29" s="105" t="n">
        <v>0.309174345339986</v>
      </c>
      <c r="E29" s="167" t="n">
        <v>0.389190491714978</v>
      </c>
      <c r="F29" s="104" t="n">
        <v>5.832</v>
      </c>
      <c r="G29" s="107" t="n">
        <v>249.977</v>
      </c>
      <c r="H29" s="224" t="n">
        <v>0.506726618848934</v>
      </c>
      <c r="I29" s="167" t="n">
        <v>0.493273381151066</v>
      </c>
      <c r="J29" s="268"/>
    </row>
    <row r="30" customFormat="false" ht="12" hidden="false" customHeight="false" outlineLevel="0" collapsed="false">
      <c r="A30" s="108" t="s">
        <v>76</v>
      </c>
      <c r="B30" s="168" t="n">
        <v>10.666</v>
      </c>
      <c r="C30" s="169" t="s">
        <v>91</v>
      </c>
      <c r="D30" s="199" t="s">
        <v>91</v>
      </c>
      <c r="E30" s="170" t="n">
        <v>0.0673209833685739</v>
      </c>
      <c r="F30" s="168" t="n">
        <v>3.488</v>
      </c>
      <c r="G30" s="200" t="n">
        <v>132.725</v>
      </c>
      <c r="H30" s="201" t="n">
        <v>0.483910340930495</v>
      </c>
      <c r="I30" s="170" t="n">
        <v>0.516089659069505</v>
      </c>
      <c r="J30" s="268"/>
    </row>
    <row r="31" customFormat="false" ht="12" hidden="false" customHeight="false" outlineLevel="0" collapsed="false">
      <c r="A31" s="108" t="s">
        <v>77</v>
      </c>
      <c r="B31" s="168" t="n">
        <v>27.237</v>
      </c>
      <c r="C31" s="169" t="n">
        <v>0.0943569409259462</v>
      </c>
      <c r="D31" s="199" t="n">
        <v>0.905643059074054</v>
      </c>
      <c r="E31" s="170" t="n">
        <v>0.0683654490553535</v>
      </c>
      <c r="F31" s="168" t="n">
        <v>5.44</v>
      </c>
      <c r="G31" s="200" t="n">
        <v>185.236</v>
      </c>
      <c r="H31" s="201" t="n">
        <v>0.0726316698697876</v>
      </c>
      <c r="I31" s="170" t="n">
        <v>0.927368330130212</v>
      </c>
      <c r="J31" s="268"/>
    </row>
    <row r="32" customFormat="false" ht="12" hidden="false" customHeight="false" outlineLevel="0" collapsed="false">
      <c r="A32" s="220" t="s">
        <v>130</v>
      </c>
      <c r="B32" s="174" t="n">
        <v>7.187</v>
      </c>
      <c r="C32" s="175" t="n">
        <v>0.296925003478503</v>
      </c>
      <c r="D32" s="281" t="n">
        <v>0.703074996521497</v>
      </c>
      <c r="E32" s="176" t="n">
        <v>0.0443762503395984</v>
      </c>
      <c r="F32" s="174" t="s">
        <v>91</v>
      </c>
      <c r="G32" s="282" t="n">
        <v>91.57</v>
      </c>
      <c r="H32" s="283" t="n">
        <v>0.160205307415092</v>
      </c>
      <c r="I32" s="176" t="n">
        <v>0.839794692584908</v>
      </c>
      <c r="J32" s="268"/>
    </row>
    <row r="33" customFormat="false" ht="12" hidden="false" customHeight="false" outlineLevel="0" collapsed="false">
      <c r="A33" s="65"/>
      <c r="B33" s="90"/>
      <c r="F33" s="90"/>
      <c r="G33" s="90"/>
      <c r="J33" s="268"/>
    </row>
    <row r="34" customFormat="false" ht="12" hidden="false" customHeight="false" outlineLevel="0" collapsed="false">
      <c r="A34" s="65"/>
      <c r="B34" s="268"/>
      <c r="C34" s="269"/>
      <c r="D34" s="269"/>
      <c r="E34" s="269"/>
      <c r="F34" s="270"/>
      <c r="G34" s="284"/>
      <c r="H34" s="269"/>
      <c r="I34" s="269"/>
      <c r="J34" s="268"/>
    </row>
    <row r="35" customFormat="false" ht="12" hidden="false" customHeight="false" outlineLevel="0" collapsed="false">
      <c r="A35" s="65"/>
      <c r="B35" s="268"/>
      <c r="C35" s="269"/>
      <c r="D35" s="269"/>
      <c r="E35" s="269"/>
      <c r="F35" s="270"/>
      <c r="G35" s="284"/>
      <c r="H35" s="269"/>
      <c r="I35" s="269"/>
      <c r="J35" s="268"/>
    </row>
    <row r="36" customFormat="false" ht="12" hidden="false" customHeight="false" outlineLevel="0" collapsed="false">
      <c r="F36" s="16"/>
      <c r="G36" s="16"/>
    </row>
    <row r="37" customFormat="false" ht="36" hidden="false" customHeight="false" outlineLevel="0" collapsed="false">
      <c r="A37" s="20" t="n">
        <v>2005</v>
      </c>
      <c r="B37" s="21" t="s">
        <v>55</v>
      </c>
      <c r="C37" s="25" t="s">
        <v>57</v>
      </c>
      <c r="D37" s="22" t="s">
        <v>58</v>
      </c>
      <c r="E37" s="22" t="s">
        <v>59</v>
      </c>
      <c r="F37" s="211" t="s">
        <v>60</v>
      </c>
      <c r="G37" s="211" t="s">
        <v>61</v>
      </c>
    </row>
    <row r="38" customFormat="false" ht="12" hidden="false" customHeight="false" outlineLevel="0" collapsed="false">
      <c r="A38" s="179" t="s">
        <v>138</v>
      </c>
      <c r="B38" s="180" t="n">
        <v>8259.42</v>
      </c>
      <c r="C38" s="181" t="n">
        <v>0.353948219124345</v>
      </c>
      <c r="D38" s="183" t="n">
        <v>0.0652718956052604</v>
      </c>
      <c r="E38" s="183" t="n">
        <v>0.392278392429493</v>
      </c>
      <c r="F38" s="183" t="n">
        <v>0.0897118683878529</v>
      </c>
      <c r="G38" s="183" t="n">
        <v>0.0987896244530488</v>
      </c>
    </row>
    <row r="39" customFormat="false" ht="12" hidden="false" customHeight="false" outlineLevel="0" collapsed="false">
      <c r="A39" s="187" t="s">
        <v>96</v>
      </c>
      <c r="B39" s="188" t="n">
        <v>141.092</v>
      </c>
      <c r="C39" s="215" t="n">
        <v>0.0184773055878434</v>
      </c>
      <c r="D39" s="216" t="n">
        <v>0.0319578714597568</v>
      </c>
      <c r="E39" s="216" t="n">
        <v>0.604251126924276</v>
      </c>
      <c r="F39" s="216" t="n">
        <v>0.0139270830380177</v>
      </c>
      <c r="G39" s="216" t="n">
        <v>0.331386612990106</v>
      </c>
    </row>
    <row r="40" customFormat="false" ht="12" hidden="false" customHeight="false" outlineLevel="0" collapsed="false">
      <c r="A40" s="80" t="s">
        <v>27</v>
      </c>
      <c r="B40" s="134" t="n">
        <v>110.019</v>
      </c>
      <c r="C40" s="135" t="n">
        <v>0.552977213026841</v>
      </c>
      <c r="D40" s="136" t="n">
        <v>0.0821403575746007</v>
      </c>
      <c r="E40" s="136" t="n">
        <v>0.304801897854007</v>
      </c>
      <c r="F40" s="136" t="n">
        <v>0</v>
      </c>
      <c r="G40" s="136" t="n">
        <v>0.0600805315445514</v>
      </c>
    </row>
    <row r="41" customFormat="false" ht="12" hidden="false" customHeight="false" outlineLevel="0" collapsed="false">
      <c r="A41" s="80" t="s">
        <v>116</v>
      </c>
      <c r="B41" s="134" t="n">
        <v>431.348</v>
      </c>
      <c r="C41" s="135" t="n">
        <v>0.79113357765702</v>
      </c>
      <c r="D41" s="136" t="n">
        <v>0.0168532794136232</v>
      </c>
      <c r="E41" s="136" t="n">
        <v>0.0922987488942247</v>
      </c>
      <c r="F41" s="136" t="n">
        <v>0.049541261215721</v>
      </c>
      <c r="G41" s="136" t="n">
        <v>0.0501731328194111</v>
      </c>
    </row>
    <row r="42" customFormat="false" ht="12" hidden="false" customHeight="false" outlineLevel="0" collapsed="false">
      <c r="A42" s="80" t="s">
        <v>29</v>
      </c>
      <c r="B42" s="134" t="n">
        <v>299.173</v>
      </c>
      <c r="C42" s="135" t="n">
        <v>0.463534476707457</v>
      </c>
      <c r="D42" s="136" t="n">
        <v>0.0457728471486397</v>
      </c>
      <c r="E42" s="136" t="n">
        <v>0.29136653374469</v>
      </c>
      <c r="F42" s="136" t="n">
        <v>0.169052688578181</v>
      </c>
      <c r="G42" s="136" t="n">
        <v>0.0302734538210333</v>
      </c>
    </row>
    <row r="43" customFormat="false" ht="12" hidden="false" customHeight="false" outlineLevel="0" collapsed="false">
      <c r="A43" s="80" t="s">
        <v>30</v>
      </c>
      <c r="B43" s="134" t="n">
        <v>1204.793</v>
      </c>
      <c r="C43" s="135" t="n">
        <v>0.309959470216045</v>
      </c>
      <c r="D43" s="136" t="n">
        <v>0.0516246359333097</v>
      </c>
      <c r="E43" s="136" t="n">
        <v>0.506208120399106</v>
      </c>
      <c r="F43" s="136" t="n">
        <v>0.053429925306671</v>
      </c>
      <c r="G43" s="136" t="n">
        <v>0.0787778481448681</v>
      </c>
    </row>
    <row r="44" customFormat="false" ht="12" hidden="false" customHeight="false" outlineLevel="0" collapsed="false">
      <c r="A44" s="80" t="s">
        <v>31</v>
      </c>
      <c r="B44" s="134" t="n">
        <v>21.751</v>
      </c>
      <c r="C44" s="135" t="n">
        <v>0.491379706680153</v>
      </c>
      <c r="D44" s="136" t="n">
        <v>0.0044595650774677</v>
      </c>
      <c r="E44" s="136" t="n">
        <v>0.432899636798308</v>
      </c>
      <c r="F44" s="136" t="n">
        <v>0.0712610914440715</v>
      </c>
      <c r="G44" s="136" t="n">
        <v>0</v>
      </c>
    </row>
    <row r="45" customFormat="false" ht="12" hidden="false" customHeight="false" outlineLevel="0" collapsed="false">
      <c r="A45" s="80" t="s">
        <v>97</v>
      </c>
      <c r="B45" s="134" t="n">
        <v>85.255</v>
      </c>
      <c r="C45" s="135" t="n">
        <v>0.828866342150021</v>
      </c>
      <c r="D45" s="136" t="n">
        <v>0.032608058178406</v>
      </c>
      <c r="E45" s="136" t="n">
        <v>0.0377221277344437</v>
      </c>
      <c r="F45" s="136" t="n">
        <v>0.00356577326843</v>
      </c>
      <c r="G45" s="136" t="n">
        <v>0.0972376986686998</v>
      </c>
    </row>
    <row r="46" customFormat="false" ht="12" hidden="false" customHeight="false" outlineLevel="0" collapsed="false">
      <c r="A46" s="80" t="s">
        <v>33</v>
      </c>
      <c r="B46" s="134" t="n">
        <v>406.26</v>
      </c>
      <c r="C46" s="135" t="n">
        <v>0.0182247821592084</v>
      </c>
      <c r="D46" s="136" t="n">
        <v>0.0895116427903313</v>
      </c>
      <c r="E46" s="136" t="n">
        <v>0.761024959385615</v>
      </c>
      <c r="F46" s="136" t="n">
        <v>0</v>
      </c>
      <c r="G46" s="136" t="n">
        <v>0.131238615664845</v>
      </c>
    </row>
    <row r="47" customFormat="false" ht="12" hidden="false" customHeight="false" outlineLevel="0" collapsed="false">
      <c r="A47" s="80" t="s">
        <v>34</v>
      </c>
      <c r="B47" s="134" t="n">
        <v>407.544</v>
      </c>
      <c r="C47" s="135" t="n">
        <v>0.0501197416720649</v>
      </c>
      <c r="D47" s="136" t="n">
        <v>0.0434554305792749</v>
      </c>
      <c r="E47" s="136" t="n">
        <v>0.534555778026422</v>
      </c>
      <c r="F47" s="136" t="n">
        <v>0.232166342775259</v>
      </c>
      <c r="G47" s="136" t="n">
        <v>0.13970270694698</v>
      </c>
    </row>
    <row r="48" customFormat="false" ht="12" hidden="false" customHeight="false" outlineLevel="0" collapsed="false">
      <c r="A48" s="80" t="s">
        <v>128</v>
      </c>
      <c r="B48" s="134" t="n">
        <v>8.384</v>
      </c>
      <c r="C48" s="135" t="n">
        <v>0.145753816793893</v>
      </c>
      <c r="D48" s="136" t="n">
        <v>0.00107347328244275</v>
      </c>
      <c r="E48" s="136" t="n">
        <v>0.768606870229008</v>
      </c>
      <c r="F48" s="136" t="n">
        <v>0.0175333969465649</v>
      </c>
      <c r="G48" s="136" t="n">
        <v>0.0670324427480916</v>
      </c>
    </row>
    <row r="49" customFormat="false" ht="12" hidden="false" customHeight="false" outlineLevel="0" collapsed="false">
      <c r="A49" s="80" t="s">
        <v>37</v>
      </c>
      <c r="B49" s="134" t="n">
        <v>887.834</v>
      </c>
      <c r="C49" s="135" t="n">
        <v>0.00795644230790891</v>
      </c>
      <c r="D49" s="136" t="n">
        <v>0.187838041796102</v>
      </c>
      <c r="E49" s="136" t="n">
        <v>0.673670979034369</v>
      </c>
      <c r="F49" s="136" t="n">
        <v>0.0352509590756831</v>
      </c>
      <c r="G49" s="136" t="n">
        <v>0.0952835777859375</v>
      </c>
    </row>
    <row r="50" customFormat="false" ht="12" hidden="false" customHeight="false" outlineLevel="0" collapsed="false">
      <c r="A50" s="80" t="s">
        <v>38</v>
      </c>
      <c r="B50" s="134" t="n">
        <v>0.28</v>
      </c>
      <c r="C50" s="135" t="n">
        <v>0</v>
      </c>
      <c r="D50" s="136" t="n">
        <v>1</v>
      </c>
      <c r="E50" s="136" t="n">
        <v>0</v>
      </c>
      <c r="F50" s="136" t="n">
        <v>0</v>
      </c>
      <c r="G50" s="136" t="n">
        <v>0</v>
      </c>
    </row>
    <row r="51" customFormat="false" ht="12" hidden="false" customHeight="false" outlineLevel="0" collapsed="false">
      <c r="A51" s="80" t="s">
        <v>70</v>
      </c>
      <c r="B51" s="134" t="n">
        <v>21.868</v>
      </c>
      <c r="C51" s="135" t="n">
        <v>0</v>
      </c>
      <c r="D51" s="136" t="n">
        <v>0.0241448692152918</v>
      </c>
      <c r="E51" s="136" t="n">
        <v>0.919242729101884</v>
      </c>
      <c r="F51" s="136" t="n">
        <v>0.0566124016828242</v>
      </c>
      <c r="G51" s="136" t="n">
        <v>0</v>
      </c>
    </row>
    <row r="52" customFormat="false" ht="12" hidden="false" customHeight="false" outlineLevel="0" collapsed="false">
      <c r="A52" s="80" t="s">
        <v>40</v>
      </c>
      <c r="B52" s="134" t="n">
        <v>45</v>
      </c>
      <c r="C52" s="135" t="n">
        <v>0</v>
      </c>
      <c r="D52" s="136" t="n">
        <v>0.125888888888889</v>
      </c>
      <c r="E52" s="136" t="n">
        <v>0.868977777777778</v>
      </c>
      <c r="F52" s="136" t="n">
        <v>0.00513333333333333</v>
      </c>
      <c r="G52" s="136" t="n">
        <v>0</v>
      </c>
    </row>
    <row r="53" customFormat="false" ht="12" hidden="false" customHeight="false" outlineLevel="0" collapsed="false">
      <c r="A53" s="80" t="s">
        <v>41</v>
      </c>
      <c r="B53" s="134" t="n">
        <v>4.776</v>
      </c>
      <c r="C53" s="135" t="n">
        <v>0</v>
      </c>
      <c r="D53" s="136" t="n">
        <v>0</v>
      </c>
      <c r="E53" s="136" t="n">
        <v>1</v>
      </c>
      <c r="F53" s="136" t="n">
        <v>0</v>
      </c>
      <c r="G53" s="136" t="n">
        <v>0</v>
      </c>
    </row>
    <row r="54" customFormat="false" ht="12" hidden="false" customHeight="false" outlineLevel="0" collapsed="false">
      <c r="A54" s="80" t="s">
        <v>113</v>
      </c>
      <c r="B54" s="134" t="n">
        <v>97.683</v>
      </c>
      <c r="C54" s="135" t="n">
        <v>0.0701350286129623</v>
      </c>
      <c r="D54" s="136" t="n">
        <v>0.0170961170316227</v>
      </c>
      <c r="E54" s="136" t="n">
        <v>0.795911263986569</v>
      </c>
      <c r="F54" s="136" t="n">
        <v>0.0119672819221359</v>
      </c>
      <c r="G54" s="136" t="n">
        <v>0.10489030844671</v>
      </c>
    </row>
    <row r="55" customFormat="false" ht="12" hidden="false" customHeight="false" outlineLevel="0" collapsed="false">
      <c r="A55" s="80" t="s">
        <v>43</v>
      </c>
      <c r="B55" s="134" t="n">
        <v>0</v>
      </c>
      <c r="C55" s="135" t="n">
        <v>0</v>
      </c>
      <c r="D55" s="136" t="n">
        <v>0</v>
      </c>
      <c r="E55" s="136" t="n">
        <v>0</v>
      </c>
      <c r="F55" s="136" t="n">
        <v>0</v>
      </c>
      <c r="G55" s="136" t="n">
        <v>0</v>
      </c>
    </row>
    <row r="56" customFormat="false" ht="12" hidden="false" customHeight="false" outlineLevel="0" collapsed="false">
      <c r="A56" s="80" t="s">
        <v>72</v>
      </c>
      <c r="B56" s="134" t="n">
        <v>597.498</v>
      </c>
      <c r="C56" s="135" t="n">
        <v>0.140683316094782</v>
      </c>
      <c r="D56" s="136" t="n">
        <v>0.0235180703533736</v>
      </c>
      <c r="E56" s="136" t="n">
        <v>0.695403164529421</v>
      </c>
      <c r="F56" s="136" t="n">
        <v>0.0213272680410646</v>
      </c>
      <c r="G56" s="136" t="n">
        <v>0.119068180981359</v>
      </c>
    </row>
    <row r="57" customFormat="false" ht="12" hidden="false" customHeight="false" outlineLevel="0" collapsed="false">
      <c r="A57" s="80" t="s">
        <v>45</v>
      </c>
      <c r="B57" s="134" t="n">
        <v>252.569</v>
      </c>
      <c r="C57" s="135" t="n">
        <v>0.148501993514644</v>
      </c>
      <c r="D57" s="136" t="n">
        <v>0.0931428639302527</v>
      </c>
      <c r="E57" s="136" t="n">
        <v>0.449940412322969</v>
      </c>
      <c r="F57" s="136" t="n">
        <v>0.201992326849297</v>
      </c>
      <c r="G57" s="136" t="n">
        <v>0.106422403382838</v>
      </c>
    </row>
    <row r="58" customFormat="false" ht="12" hidden="false" customHeight="false" outlineLevel="0" collapsed="false">
      <c r="A58" s="80" t="s">
        <v>46</v>
      </c>
      <c r="B58" s="134" t="n">
        <v>1489.787</v>
      </c>
      <c r="C58" s="135" t="n">
        <v>0.92141292681437</v>
      </c>
      <c r="D58" s="136" t="n">
        <v>0.0292706272775907</v>
      </c>
      <c r="E58" s="136" t="n">
        <v>0.0272441630917708</v>
      </c>
      <c r="F58" s="136" t="n">
        <v>0.00969937313186382</v>
      </c>
      <c r="G58" s="136" t="n">
        <v>0.0123729096844045</v>
      </c>
    </row>
    <row r="59" customFormat="false" ht="12" hidden="false" customHeight="false" outlineLevel="0" collapsed="false">
      <c r="A59" s="80" t="s">
        <v>98</v>
      </c>
      <c r="B59" s="134" t="n">
        <v>103.713</v>
      </c>
      <c r="C59" s="135" t="n">
        <v>0</v>
      </c>
      <c r="D59" s="136" t="n">
        <v>0.370589993539865</v>
      </c>
      <c r="E59" s="136" t="n">
        <v>0.210185801201392</v>
      </c>
      <c r="F59" s="136" t="n">
        <v>0.368362693201431</v>
      </c>
      <c r="G59" s="136" t="n">
        <v>0.050861512057312</v>
      </c>
    </row>
    <row r="60" customFormat="false" ht="12" hidden="false" customHeight="false" outlineLevel="0" collapsed="false">
      <c r="A60" s="80" t="s">
        <v>48</v>
      </c>
      <c r="B60" s="134" t="n">
        <v>265.415</v>
      </c>
      <c r="C60" s="135" t="n">
        <v>0.454729386055799</v>
      </c>
      <c r="D60" s="136" t="n">
        <v>0.10481321703747</v>
      </c>
      <c r="E60" s="136" t="n">
        <v>0.429244767628054</v>
      </c>
      <c r="F60" s="136" t="n">
        <v>0</v>
      </c>
      <c r="G60" s="136" t="n">
        <v>0.0112126292786768</v>
      </c>
    </row>
    <row r="61" customFormat="false" ht="12" hidden="false" customHeight="false" outlineLevel="0" collapsed="false">
      <c r="A61" s="80" t="s">
        <v>99</v>
      </c>
      <c r="B61" s="134" t="n">
        <v>64.015</v>
      </c>
      <c r="C61" s="135" t="n">
        <v>0.840006248535499</v>
      </c>
      <c r="D61" s="136" t="n">
        <v>0.0177927048348043</v>
      </c>
      <c r="E61" s="136" t="n">
        <v>0.085698664375537</v>
      </c>
      <c r="F61" s="136" t="n">
        <v>0.054659064281809</v>
      </c>
      <c r="G61" s="136" t="n">
        <v>0.00184331797235023</v>
      </c>
    </row>
    <row r="62" customFormat="false" ht="12" hidden="false" customHeight="false" outlineLevel="0" collapsed="false">
      <c r="A62" s="80" t="s">
        <v>50</v>
      </c>
      <c r="B62" s="134" t="n">
        <v>327.711</v>
      </c>
      <c r="C62" s="135" t="n">
        <v>0.257333443186222</v>
      </c>
      <c r="D62" s="136" t="n">
        <v>0.0450793534547208</v>
      </c>
      <c r="E62" s="136" t="n">
        <v>0.0815718727781491</v>
      </c>
      <c r="F62" s="136" t="n">
        <v>0.0015806610092429</v>
      </c>
      <c r="G62" s="136" t="n">
        <v>0.614434669571665</v>
      </c>
    </row>
    <row r="63" customFormat="false" ht="12" hidden="false" customHeight="false" outlineLevel="0" collapsed="false">
      <c r="A63" s="80" t="s">
        <v>75</v>
      </c>
      <c r="B63" s="104" t="n">
        <v>466.871</v>
      </c>
      <c r="C63" s="166" t="n">
        <v>0.271893092524488</v>
      </c>
      <c r="D63" s="167" t="n">
        <v>0.0225265651539719</v>
      </c>
      <c r="E63" s="167" t="n">
        <v>0.233169333713167</v>
      </c>
      <c r="F63" s="167" t="n">
        <v>0.445761248824622</v>
      </c>
      <c r="G63" s="167" t="n">
        <v>0.0266497597837518</v>
      </c>
    </row>
    <row r="64" customFormat="false" ht="12" hidden="false" customHeight="false" outlineLevel="0" collapsed="false">
      <c r="A64" s="80" t="s">
        <v>76</v>
      </c>
      <c r="B64" s="134" t="n">
        <v>211.402</v>
      </c>
      <c r="C64" s="135" t="n">
        <v>0.0955998524138845</v>
      </c>
      <c r="D64" s="136" t="n">
        <v>0.11243507630013</v>
      </c>
      <c r="E64" s="136" t="n">
        <v>0.0416457744013775</v>
      </c>
      <c r="F64" s="136" t="n">
        <v>0.656062856548188</v>
      </c>
      <c r="G64" s="136" t="n">
        <v>0.0942564403364207</v>
      </c>
    </row>
    <row r="65" customFormat="false" ht="12" hidden="false" customHeight="false" outlineLevel="0" collapsed="false">
      <c r="A65" s="108" t="s">
        <v>77</v>
      </c>
      <c r="B65" s="168" t="n">
        <v>343.357</v>
      </c>
      <c r="C65" s="169" t="n">
        <v>0.0299891949195735</v>
      </c>
      <c r="D65" s="170" t="n">
        <v>0.0401156813462373</v>
      </c>
      <c r="E65" s="170" t="n">
        <v>0.717498114207661</v>
      </c>
      <c r="F65" s="170" t="n">
        <v>0.0194054584586888</v>
      </c>
      <c r="G65" s="170" t="n">
        <v>0.192991551067839</v>
      </c>
    </row>
    <row r="66" customFormat="false" ht="12" hidden="false" customHeight="false" outlineLevel="0" collapsed="false">
      <c r="A66" s="220" t="s">
        <v>130</v>
      </c>
      <c r="B66" s="174" t="n">
        <v>258.436</v>
      </c>
      <c r="C66" s="175" t="n">
        <v>0.0795903047563033</v>
      </c>
      <c r="D66" s="176" t="n">
        <v>0.208318500518504</v>
      </c>
      <c r="E66" s="176" t="n">
        <v>0.625222492222446</v>
      </c>
      <c r="F66" s="176" t="n">
        <v>0.00180315435929979</v>
      </c>
      <c r="G66" s="176" t="n">
        <v>0.0850655481434475</v>
      </c>
    </row>
    <row r="67" customFormat="false" ht="12" hidden="false" customHeight="false" outlineLevel="0" collapsed="false">
      <c r="A67" s="65"/>
      <c r="B67" s="268"/>
      <c r="C67" s="269"/>
      <c r="D67" s="269"/>
      <c r="E67" s="269"/>
      <c r="F67" s="280"/>
      <c r="G67" s="280"/>
    </row>
    <row r="68" customFormat="false" ht="12" hidden="false" customHeight="false" outlineLevel="0" collapsed="false">
      <c r="A68" s="65"/>
      <c r="B68" s="268"/>
      <c r="C68" s="269"/>
      <c r="D68" s="269"/>
      <c r="E68" s="269"/>
      <c r="F68" s="280"/>
      <c r="G68" s="280"/>
    </row>
    <row r="69" customFormat="false" ht="13.5" hidden="false" customHeight="false" outlineLevel="0" collapsed="false">
      <c r="A69" s="222"/>
      <c r="B69" s="268"/>
      <c r="C69" s="269"/>
      <c r="D69" s="269"/>
      <c r="E69" s="269"/>
      <c r="F69" s="280"/>
      <c r="G69" s="280"/>
    </row>
    <row r="70" customFormat="false" ht="13.5" hidden="false" customHeight="false" outlineLevel="0" collapsed="false">
      <c r="A70" s="222"/>
    </row>
    <row r="71" customFormat="false" ht="13.5" hidden="false" customHeight="false" outlineLevel="0" collapsed="false">
      <c r="A71" s="222"/>
    </row>
    <row r="72" customFormat="false" ht="13.5" hidden="false" customHeight="false" outlineLevel="0" collapsed="false">
      <c r="A72" s="2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M69"/>
  <sheetViews>
    <sheetView showFormulas="false" showGridLines="true" showRowColHeaders="true" showZeros="true" rightToLeft="false" tabSelected="true" showOutlineSymbols="true" defaultGridColor="true" view="normal" topLeftCell="A16" colorId="64" zoomScale="100" zoomScaleNormal="100" zoomScalePageLayoutView="100" workbookViewId="0">
      <selection pane="topLeft" activeCell="A43" activeCellId="0" sqref="43:43"/>
    </sheetView>
  </sheetViews>
  <sheetFormatPr defaultColWidth="9.1484375" defaultRowHeight="12.75" zeroHeight="false" outlineLevelRow="0" outlineLevelCol="0"/>
  <cols>
    <col collapsed="false" customWidth="true" hidden="false" outlineLevel="0" max="1" min="1" style="13" width="15.57"/>
    <col collapsed="false" customWidth="true" hidden="false" outlineLevel="0" max="2" min="2" style="13" width="20.14"/>
    <col collapsed="false" customWidth="true" hidden="false" outlineLevel="0" max="3" min="3" style="13" width="17"/>
    <col collapsed="false" customWidth="true" hidden="false" outlineLevel="0" max="4" min="4" style="13" width="8.86"/>
    <col collapsed="false" customWidth="true" hidden="false" outlineLevel="0" max="5" min="5" style="13" width="15.42"/>
    <col collapsed="false" customWidth="true" hidden="false" outlineLevel="0" max="9" min="6" style="13" width="13.71"/>
    <col collapsed="false" customWidth="false" hidden="false" outlineLevel="0" max="16384" min="10" style="13" width="9.14"/>
  </cols>
  <sheetData>
    <row r="1" customFormat="false" ht="15.75" hidden="false" customHeight="false" outlineLevel="0" collapsed="false">
      <c r="A1" s="14" t="s">
        <v>16</v>
      </c>
      <c r="B1" s="14"/>
      <c r="C1" s="15"/>
      <c r="D1" s="16"/>
      <c r="E1" s="16"/>
      <c r="F1" s="16"/>
      <c r="G1" s="17"/>
      <c r="H1" s="17"/>
      <c r="I1" s="16"/>
      <c r="J1" s="16"/>
      <c r="K1" s="18"/>
      <c r="L1" s="18"/>
      <c r="M1" s="18"/>
    </row>
    <row r="2" customFormat="false" ht="12.75" hidden="false" customHeight="false" outlineLevel="0" collapsed="false">
      <c r="A2" s="19"/>
      <c r="B2" s="19"/>
      <c r="C2" s="15"/>
      <c r="D2" s="16"/>
      <c r="E2" s="16"/>
      <c r="F2" s="16"/>
      <c r="G2" s="17"/>
      <c r="H2" s="17"/>
      <c r="I2" s="16"/>
      <c r="J2" s="16"/>
      <c r="K2" s="18"/>
      <c r="L2" s="18"/>
      <c r="M2" s="18"/>
    </row>
    <row r="3" customFormat="false" ht="60" hidden="false" customHeight="false" outlineLevel="0" collapsed="false">
      <c r="A3" s="20"/>
      <c r="B3" s="20"/>
      <c r="C3" s="21" t="s">
        <v>17</v>
      </c>
      <c r="D3" s="22" t="s">
        <v>18</v>
      </c>
      <c r="E3" s="23" t="s">
        <v>19</v>
      </c>
      <c r="F3" s="22" t="s">
        <v>20</v>
      </c>
      <c r="G3" s="21" t="s">
        <v>21</v>
      </c>
      <c r="H3" s="24" t="s">
        <v>18</v>
      </c>
      <c r="I3" s="25" t="s">
        <v>22</v>
      </c>
      <c r="J3" s="22" t="s">
        <v>18</v>
      </c>
      <c r="K3" s="21" t="s">
        <v>23</v>
      </c>
      <c r="L3" s="24" t="s">
        <v>18</v>
      </c>
      <c r="M3" s="21" t="s">
        <v>24</v>
      </c>
    </row>
    <row r="4" customFormat="false" ht="13.5" hidden="false" customHeight="false" outlineLevel="0" collapsed="false">
      <c r="A4" s="26" t="s">
        <v>25</v>
      </c>
      <c r="B4" s="26"/>
      <c r="C4" s="27" t="n">
        <v>348.394463269339</v>
      </c>
      <c r="D4" s="28" t="n">
        <v>311.609076381255</v>
      </c>
      <c r="E4" s="27" t="n">
        <v>2908.932294</v>
      </c>
      <c r="F4" s="29" t="n">
        <v>0.119767126924178</v>
      </c>
      <c r="G4" s="27" t="n">
        <v>133.343434093816</v>
      </c>
      <c r="H4" s="28" t="n">
        <v>113.440176418749</v>
      </c>
      <c r="I4" s="27" t="n">
        <v>2629.17829945584</v>
      </c>
      <c r="J4" s="28" t="n">
        <v>2242.67474355385</v>
      </c>
      <c r="K4" s="27" t="n">
        <v>285.430329676986</v>
      </c>
      <c r="L4" s="28" t="n">
        <v>226.327471656003</v>
      </c>
      <c r="M4" s="27" t="n">
        <v>1288.22273987705</v>
      </c>
    </row>
    <row r="5" customFormat="false" ht="13.5" hidden="false" customHeight="false" outlineLevel="0" collapsed="false">
      <c r="A5" s="30" t="s">
        <v>26</v>
      </c>
      <c r="B5" s="31"/>
      <c r="C5" s="32" t="n">
        <v>12.808433</v>
      </c>
      <c r="D5" s="33" t="n">
        <v>11.417923</v>
      </c>
      <c r="E5" s="34" t="n">
        <v>93.746</v>
      </c>
      <c r="F5" s="35" t="n">
        <v>0.136629114842233</v>
      </c>
      <c r="G5" s="32" t="n">
        <v>2.432264</v>
      </c>
      <c r="H5" s="33" t="n">
        <v>2.089818</v>
      </c>
      <c r="I5" s="32" t="n">
        <v>94.784324</v>
      </c>
      <c r="J5" s="33" t="n">
        <v>81.660354</v>
      </c>
      <c r="K5" s="32" t="n">
        <v>4.9432</v>
      </c>
      <c r="L5" s="33" t="n">
        <v>3.950227</v>
      </c>
      <c r="M5" s="32" t="n">
        <v>41.658838</v>
      </c>
    </row>
    <row r="6" customFormat="false" ht="12.75" hidden="false" customHeight="false" outlineLevel="0" collapsed="false">
      <c r="A6" s="36" t="s">
        <v>27</v>
      </c>
      <c r="B6" s="37"/>
      <c r="C6" s="38" t="n">
        <v>3.885</v>
      </c>
      <c r="D6" s="39" t="n">
        <v>3.578</v>
      </c>
      <c r="E6" s="40" t="n">
        <v>44.301773</v>
      </c>
      <c r="F6" s="41" t="n">
        <v>0.0876940071901863</v>
      </c>
      <c r="G6" s="38" t="n">
        <v>1.219</v>
      </c>
      <c r="H6" s="39" t="n">
        <v>1.115</v>
      </c>
      <c r="I6" s="38" t="n">
        <v>39.632</v>
      </c>
      <c r="J6" s="39" t="n">
        <v>36.058</v>
      </c>
      <c r="K6" s="38" t="n">
        <v>4.377</v>
      </c>
      <c r="L6" s="39" t="n">
        <v>4.087</v>
      </c>
      <c r="M6" s="38" t="n">
        <v>14.082</v>
      </c>
    </row>
    <row r="7" customFormat="false" ht="12.75" hidden="false" customHeight="false" outlineLevel="0" collapsed="false">
      <c r="A7" s="36" t="s">
        <v>28</v>
      </c>
      <c r="B7" s="37"/>
      <c r="C7" s="38" t="n">
        <v>9.888124334</v>
      </c>
      <c r="D7" s="39" t="n">
        <v>7.916422602</v>
      </c>
      <c r="E7" s="40" t="n">
        <v>87.030605</v>
      </c>
      <c r="F7" s="41" t="n">
        <v>0.113616633298137</v>
      </c>
      <c r="G7" s="38" t="n">
        <v>8.475327</v>
      </c>
      <c r="H7" s="39" t="n">
        <v>5.669501</v>
      </c>
      <c r="I7" s="38" t="n">
        <v>99.088792315</v>
      </c>
      <c r="J7" s="39" t="n">
        <v>80.803874604</v>
      </c>
      <c r="K7" s="38" t="n">
        <v>20.405519</v>
      </c>
      <c r="L7" s="39" t="n">
        <v>13.496265</v>
      </c>
      <c r="M7" s="38" t="n">
        <v>34.5779119857942</v>
      </c>
    </row>
    <row r="8" customFormat="false" ht="12.75" hidden="false" customHeight="false" outlineLevel="0" collapsed="false">
      <c r="A8" s="36" t="s">
        <v>29</v>
      </c>
      <c r="B8" s="37"/>
      <c r="C8" s="38" t="n">
        <v>10.6094075238079</v>
      </c>
      <c r="D8" s="39" t="n">
        <v>10.5826144337767</v>
      </c>
      <c r="E8" s="40" t="n">
        <v>29.525765</v>
      </c>
      <c r="F8" s="41" t="n">
        <v>0.359327100375144</v>
      </c>
      <c r="G8" s="38" t="n">
        <v>5.09680587028516</v>
      </c>
      <c r="H8" s="39" t="n">
        <v>5.06632415419972</v>
      </c>
      <c r="I8" s="38" t="n">
        <v>91.890991458</v>
      </c>
      <c r="J8" s="39" t="n">
        <v>91.627996042</v>
      </c>
      <c r="K8" s="38" t="n">
        <v>8.589612</v>
      </c>
      <c r="L8" s="39" t="n">
        <v>8.502162</v>
      </c>
      <c r="M8" s="38" t="n">
        <v>79.9091080392041</v>
      </c>
    </row>
    <row r="9" s="48" customFormat="true" ht="12.75" hidden="false" customHeight="false" outlineLevel="0" collapsed="false">
      <c r="A9" s="42" t="s">
        <v>30</v>
      </c>
      <c r="B9" s="43"/>
      <c r="C9" s="44" t="n">
        <v>86.9262</v>
      </c>
      <c r="D9" s="45" t="n">
        <v>68.9124</v>
      </c>
      <c r="E9" s="46" t="n">
        <v>609.065</v>
      </c>
      <c r="F9" s="47" t="n">
        <v>0.142720727672744</v>
      </c>
      <c r="G9" s="44" t="n">
        <v>54.8277</v>
      </c>
      <c r="H9" s="45" t="n">
        <v>44.8283</v>
      </c>
      <c r="I9" s="44" t="n">
        <v>663.2171</v>
      </c>
      <c r="J9" s="45" t="n">
        <v>467.1985</v>
      </c>
      <c r="K9" s="44" t="n">
        <v>96.4507</v>
      </c>
      <c r="L9" s="45" t="n">
        <v>73.5742</v>
      </c>
      <c r="M9" s="44" t="n">
        <v>258.2332</v>
      </c>
    </row>
    <row r="10" customFormat="false" ht="12.75" hidden="false" customHeight="false" outlineLevel="0" collapsed="false">
      <c r="A10" s="36" t="s">
        <v>31</v>
      </c>
      <c r="B10" s="37"/>
      <c r="C10" s="38" t="n">
        <v>1.038561</v>
      </c>
      <c r="D10" s="39" t="n">
        <v>1.038561</v>
      </c>
      <c r="E10" s="40" t="n">
        <v>7.615585</v>
      </c>
      <c r="F10" s="41" t="n">
        <v>0.136373108566184</v>
      </c>
      <c r="G10" s="38" t="n">
        <v>0.228735</v>
      </c>
      <c r="H10" s="39" t="n">
        <v>0.228735</v>
      </c>
      <c r="I10" s="38" t="n">
        <v>3.59</v>
      </c>
      <c r="J10" s="39" t="n">
        <v>3.59</v>
      </c>
      <c r="K10" s="38" t="n">
        <v>0.698951</v>
      </c>
      <c r="L10" s="39" t="n">
        <v>0.698951</v>
      </c>
      <c r="M10" s="38" t="n">
        <v>5.46617566969156</v>
      </c>
    </row>
    <row r="11" customFormat="false" ht="13.5" hidden="false" customHeight="false" outlineLevel="0" collapsed="false">
      <c r="A11" s="36" t="s">
        <v>32</v>
      </c>
      <c r="B11" s="37"/>
      <c r="C11" s="38" t="n">
        <v>2.06724373240275</v>
      </c>
      <c r="D11" s="39" t="n">
        <v>1.85135055695563</v>
      </c>
      <c r="E11" s="40" t="n">
        <v>30.940936</v>
      </c>
      <c r="F11" s="41" t="n">
        <v>0.0668125790507031</v>
      </c>
      <c r="G11" s="38" t="n">
        <v>0.322423</v>
      </c>
      <c r="H11" s="39" t="n">
        <v>0.273056</v>
      </c>
      <c r="I11" s="38" t="n">
        <v>11.2038571464651</v>
      </c>
      <c r="J11" s="39" t="n">
        <v>10.0484086190615</v>
      </c>
      <c r="K11" s="38" t="n">
        <v>0.6360851</v>
      </c>
      <c r="L11" s="39" t="n">
        <v>0.5032681</v>
      </c>
      <c r="M11" s="38" t="n">
        <v>5.575</v>
      </c>
    </row>
    <row r="12" customFormat="false" ht="12.75" hidden="false" customHeight="false" outlineLevel="0" collapsed="false">
      <c r="A12" s="36" t="s">
        <v>33</v>
      </c>
      <c r="B12" s="37"/>
      <c r="C12" s="38" t="n">
        <v>2.211456</v>
      </c>
      <c r="D12" s="39" t="n">
        <v>2.020516</v>
      </c>
      <c r="E12" s="40" t="n">
        <v>48.626171</v>
      </c>
      <c r="F12" s="41" t="n">
        <v>0.0454787196795734</v>
      </c>
      <c r="G12" s="38" t="n">
        <v>0.407872425798557</v>
      </c>
      <c r="H12" s="39" t="n">
        <v>0.333125</v>
      </c>
      <c r="I12" s="38" t="n">
        <v>15.302540987</v>
      </c>
      <c r="J12" s="39" t="n">
        <v>13.099665</v>
      </c>
      <c r="K12" s="38" t="n">
        <v>0.916634</v>
      </c>
      <c r="L12" s="39" t="n">
        <v>0.542634</v>
      </c>
      <c r="M12" s="38" t="n">
        <v>4.824955</v>
      </c>
    </row>
    <row r="13" customFormat="false" ht="12.75" hidden="false" customHeight="false" outlineLevel="0" collapsed="false">
      <c r="A13" s="36" t="s">
        <v>34</v>
      </c>
      <c r="B13" s="37"/>
      <c r="C13" s="38" t="n">
        <v>29.716</v>
      </c>
      <c r="D13" s="39" t="n">
        <v>29.69</v>
      </c>
      <c r="E13" s="40" t="n">
        <v>273.257</v>
      </c>
      <c r="F13" s="41" t="n">
        <v>0.108747442883439</v>
      </c>
      <c r="G13" s="38" t="n">
        <v>5.008</v>
      </c>
      <c r="H13" s="39" t="n">
        <v>4.974</v>
      </c>
      <c r="I13" s="38" t="n">
        <v>143.247</v>
      </c>
      <c r="J13" s="39" t="n">
        <v>143.203</v>
      </c>
      <c r="K13" s="38" t="n">
        <v>10.652</v>
      </c>
      <c r="L13" s="39" t="n">
        <v>10.602</v>
      </c>
      <c r="M13" s="38" t="n">
        <v>81.25</v>
      </c>
    </row>
    <row r="14" customFormat="false" ht="12.75" hidden="false" customHeight="false" outlineLevel="0" collapsed="false">
      <c r="A14" s="36" t="s">
        <v>35</v>
      </c>
      <c r="B14" s="37"/>
      <c r="C14" s="38" t="n">
        <v>18.05824</v>
      </c>
      <c r="D14" s="39" t="n">
        <v>12.37729</v>
      </c>
      <c r="E14" s="40" t="n">
        <v>570.844568</v>
      </c>
      <c r="F14" s="41" t="n">
        <v>0.0316342503937079</v>
      </c>
      <c r="G14" s="38" t="n">
        <v>6.5733</v>
      </c>
      <c r="H14" s="39" t="n">
        <v>3.97243</v>
      </c>
      <c r="I14" s="38" t="n">
        <v>159.85218</v>
      </c>
      <c r="J14" s="39" t="n">
        <v>115.16001</v>
      </c>
      <c r="K14" s="38" t="n">
        <v>21.42746</v>
      </c>
      <c r="L14" s="39" t="n">
        <v>15.23065</v>
      </c>
      <c r="M14" s="38" t="n">
        <v>66.09157</v>
      </c>
    </row>
    <row r="15" customFormat="false" ht="12.75" hidden="false" customHeight="false" outlineLevel="0" collapsed="false">
      <c r="A15" s="36" t="s">
        <v>36</v>
      </c>
      <c r="B15" s="37"/>
      <c r="C15" s="38" t="n">
        <v>2.33977088865533</v>
      </c>
      <c r="D15" s="39" t="n">
        <v>2.14903986102635</v>
      </c>
      <c r="E15" s="40" t="n">
        <v>12.7603</v>
      </c>
      <c r="F15" s="41" t="n">
        <v>0.18336331345308</v>
      </c>
      <c r="G15" s="38" t="n">
        <v>0.883052925261345</v>
      </c>
      <c r="H15" s="39" t="n">
        <v>0.735292295815958</v>
      </c>
      <c r="I15" s="38" t="n">
        <v>17.581585736027</v>
      </c>
      <c r="J15" s="39" t="n">
        <v>11.950071266027</v>
      </c>
      <c r="K15" s="38" t="n">
        <v>2.183037</v>
      </c>
      <c r="L15" s="39" t="n">
        <v>1.551037</v>
      </c>
      <c r="M15" s="38" t="n">
        <v>7.9354139224301</v>
      </c>
    </row>
    <row r="16" customFormat="false" ht="12.75" hidden="false" customHeight="false" outlineLevel="0" collapsed="false">
      <c r="A16" s="36" t="s">
        <v>37</v>
      </c>
      <c r="B16" s="37"/>
      <c r="C16" s="38" t="n">
        <v>40.4612110061975</v>
      </c>
      <c r="D16" s="39" t="n">
        <v>37.6091841631975</v>
      </c>
      <c r="E16" s="40" t="n">
        <v>293.853207</v>
      </c>
      <c r="F16" s="41" t="n">
        <v>0.137691915699247</v>
      </c>
      <c r="G16" s="38" t="n">
        <v>8.60215138976837</v>
      </c>
      <c r="H16" s="39" t="n">
        <v>8.03213338976837</v>
      </c>
      <c r="I16" s="38" t="n">
        <v>216.884150859169</v>
      </c>
      <c r="J16" s="39" t="n">
        <v>194.697840412595</v>
      </c>
      <c r="K16" s="38" t="n">
        <v>21.8772459077772</v>
      </c>
      <c r="L16" s="39" t="n">
        <v>12.0051740263785</v>
      </c>
      <c r="M16" s="38" t="n">
        <v>146.52077597498</v>
      </c>
    </row>
    <row r="17" customFormat="false" ht="12.75" hidden="false" customHeight="false" outlineLevel="0" collapsed="false">
      <c r="A17" s="36" t="s">
        <v>38</v>
      </c>
      <c r="B17" s="37"/>
      <c r="C17" s="38" t="n">
        <v>0.0311343866839198</v>
      </c>
      <c r="D17" s="39" t="n">
        <v>0.0251718044881344</v>
      </c>
      <c r="E17" s="40" t="n">
        <v>5.141491</v>
      </c>
      <c r="F17" s="41" t="n">
        <v>0.0060555171027081</v>
      </c>
      <c r="G17" s="38" t="n">
        <v>0.0103919113243779</v>
      </c>
      <c r="H17" s="39" t="n">
        <v>0.00568824600376701</v>
      </c>
      <c r="I17" s="38" t="n">
        <v>0.140805262687356</v>
      </c>
      <c r="J17" s="39" t="n">
        <v>0.116021696307183</v>
      </c>
      <c r="K17" s="38" t="n">
        <v>0.012194</v>
      </c>
      <c r="L17" s="39" t="n">
        <v>0.007108</v>
      </c>
      <c r="M17" s="38" t="n">
        <v>0.139382028141404</v>
      </c>
    </row>
    <row r="18" customFormat="false" ht="13.5" hidden="false" customHeight="false" outlineLevel="0" collapsed="false">
      <c r="A18" s="36" t="s">
        <v>39</v>
      </c>
      <c r="B18" s="37"/>
      <c r="C18" s="38" t="n">
        <v>2.64926</v>
      </c>
      <c r="D18" s="39" t="n">
        <v>2.6488</v>
      </c>
      <c r="E18" s="40" t="n">
        <v>6.438385</v>
      </c>
      <c r="F18" s="41" t="n">
        <v>0.411478965610165</v>
      </c>
      <c r="G18" s="38" t="n">
        <v>1.2697</v>
      </c>
      <c r="H18" s="39" t="n">
        <v>1.2684</v>
      </c>
      <c r="I18" s="38" t="n">
        <v>13.7338</v>
      </c>
      <c r="J18" s="39" t="n">
        <v>13.6362</v>
      </c>
      <c r="K18" s="38" t="n">
        <v>1.2142</v>
      </c>
      <c r="L18" s="39" t="n">
        <v>1.197</v>
      </c>
      <c r="M18" s="38" t="n">
        <v>9.551</v>
      </c>
    </row>
    <row r="19" customFormat="false" ht="12.75" hidden="false" customHeight="false" outlineLevel="0" collapsed="false">
      <c r="A19" s="36" t="s">
        <v>40</v>
      </c>
      <c r="B19" s="37"/>
      <c r="C19" s="38" t="n">
        <v>1.088</v>
      </c>
      <c r="D19" s="39" t="n">
        <v>0.963</v>
      </c>
      <c r="E19" s="40" t="n">
        <v>3.9716</v>
      </c>
      <c r="F19" s="41" t="n">
        <v>0.273945009567932</v>
      </c>
      <c r="G19" s="38" t="n">
        <v>0.546</v>
      </c>
      <c r="H19" s="39" t="n">
        <v>0.17</v>
      </c>
      <c r="I19" s="38" t="n">
        <v>10.97</v>
      </c>
      <c r="J19" s="39" t="n">
        <v>9.009</v>
      </c>
      <c r="K19" s="38" t="n">
        <v>1.494</v>
      </c>
      <c r="L19" s="39" t="n">
        <v>0.455</v>
      </c>
      <c r="M19" s="38" t="n">
        <v>4.875</v>
      </c>
    </row>
    <row r="20" customFormat="false" ht="12.75" hidden="false" customHeight="false" outlineLevel="0" collapsed="false">
      <c r="A20" s="36" t="s">
        <v>41</v>
      </c>
      <c r="B20" s="37"/>
      <c r="C20" s="38" t="n">
        <v>0.422069</v>
      </c>
      <c r="D20" s="39" t="n">
        <v>0.422069</v>
      </c>
      <c r="E20" s="40" t="n">
        <v>1.90797</v>
      </c>
      <c r="F20" s="41" t="n">
        <v>0.221213645916865</v>
      </c>
      <c r="G20" s="38" t="n">
        <v>0.131471</v>
      </c>
      <c r="H20" s="39" t="n">
        <v>0.131471</v>
      </c>
      <c r="I20" s="38" t="n">
        <v>3.752023</v>
      </c>
      <c r="J20" s="39" t="n">
        <v>3.752023</v>
      </c>
      <c r="K20" s="38" t="n">
        <v>0.314055</v>
      </c>
      <c r="L20" s="39" t="n">
        <v>0.314055</v>
      </c>
      <c r="M20" s="38" t="n">
        <v>1.492735</v>
      </c>
    </row>
    <row r="21" customFormat="false" ht="13.5" hidden="false" customHeight="false" outlineLevel="0" collapsed="false">
      <c r="A21" s="36" t="s">
        <v>42</v>
      </c>
      <c r="B21" s="37"/>
      <c r="C21" s="38" t="n">
        <v>4.58</v>
      </c>
      <c r="D21" s="39" t="n">
        <v>4.024</v>
      </c>
      <c r="E21" s="40" t="n">
        <v>34.154</v>
      </c>
      <c r="F21" s="41" t="n">
        <v>0.134098495051824</v>
      </c>
      <c r="G21" s="38" t="n">
        <v>1.536</v>
      </c>
      <c r="H21" s="39" t="n">
        <v>1.296</v>
      </c>
      <c r="I21" s="38" t="n">
        <v>27.457</v>
      </c>
      <c r="J21" s="39" t="n">
        <v>22.967</v>
      </c>
      <c r="K21" s="38" t="n">
        <v>3.072</v>
      </c>
      <c r="L21" s="39" t="n">
        <v>2.349</v>
      </c>
      <c r="M21" s="38" t="n">
        <v>12.54</v>
      </c>
    </row>
    <row r="22" customFormat="false" ht="12.75" hidden="false" customHeight="false" outlineLevel="0" collapsed="false">
      <c r="A22" s="36" t="s">
        <v>43</v>
      </c>
      <c r="B22" s="37"/>
      <c r="C22" s="38" t="n">
        <v>0.1766</v>
      </c>
      <c r="D22" s="39" t="n">
        <v>0.00426</v>
      </c>
      <c r="E22" s="40" t="n">
        <v>2.076043</v>
      </c>
      <c r="F22" s="41" t="n">
        <v>0.0850656754219445</v>
      </c>
      <c r="G22" s="38" t="n">
        <v>0.140419</v>
      </c>
      <c r="H22" s="39" t="n">
        <v>0.001159</v>
      </c>
      <c r="I22" s="38" t="n">
        <v>0.067487</v>
      </c>
      <c r="J22" s="39" t="n">
        <v>0.019371</v>
      </c>
      <c r="K22" s="38" t="n">
        <v>0.016118</v>
      </c>
      <c r="L22" s="39" t="n">
        <v>0.001407</v>
      </c>
      <c r="M22" s="38" t="n">
        <v>0.071785</v>
      </c>
    </row>
    <row r="23" customFormat="false" ht="13.5" hidden="false" customHeight="false" outlineLevel="0" collapsed="false">
      <c r="A23" s="36" t="s">
        <v>44</v>
      </c>
      <c r="B23" s="37"/>
      <c r="C23" s="38" t="n">
        <v>32.2386043528039</v>
      </c>
      <c r="D23" s="39" t="n">
        <v>32.0839273252833</v>
      </c>
      <c r="E23" s="40" t="n">
        <v>121.061552</v>
      </c>
      <c r="F23" s="41" t="n">
        <v>0.266299281813303</v>
      </c>
      <c r="G23" s="38" t="n">
        <v>8.75005428700803</v>
      </c>
      <c r="H23" s="39" t="n">
        <v>8.31763934859146</v>
      </c>
      <c r="I23" s="38" t="n">
        <v>174.182306528008</v>
      </c>
      <c r="J23" s="39" t="n">
        <v>169.409150286118</v>
      </c>
      <c r="K23" s="38" t="n">
        <v>15.362830869209</v>
      </c>
      <c r="L23" s="39" t="n">
        <v>14.283298129624</v>
      </c>
      <c r="M23" s="38" t="n">
        <v>108.16414016731</v>
      </c>
    </row>
    <row r="24" customFormat="false" ht="12.75" hidden="false" customHeight="false" outlineLevel="0" collapsed="false">
      <c r="A24" s="36" t="s">
        <v>45</v>
      </c>
      <c r="B24" s="37"/>
      <c r="C24" s="38" t="n">
        <v>9.7222377277</v>
      </c>
      <c r="D24" s="39" t="n">
        <v>9.7222377277</v>
      </c>
      <c r="E24" s="40" t="n">
        <v>74.234303</v>
      </c>
      <c r="F24" s="41" t="n">
        <v>0.130966916032067</v>
      </c>
      <c r="G24" s="38" t="n">
        <v>2.85943333436983</v>
      </c>
      <c r="H24" s="39" t="n">
        <v>2.85943333436983</v>
      </c>
      <c r="I24" s="38" t="n">
        <v>110.164000044705</v>
      </c>
      <c r="J24" s="39" t="n">
        <v>110.164000044705</v>
      </c>
      <c r="K24" s="38" t="n">
        <v>8.901003</v>
      </c>
      <c r="L24" s="39" t="n">
        <v>8.901003</v>
      </c>
      <c r="M24" s="38" t="n">
        <v>14.2018760699511</v>
      </c>
    </row>
    <row r="25" customFormat="false" ht="12.75" hidden="false" customHeight="false" outlineLevel="0" collapsed="false">
      <c r="A25" s="36" t="s">
        <v>46</v>
      </c>
      <c r="B25" s="37"/>
      <c r="C25" s="38" t="n">
        <v>29.935</v>
      </c>
      <c r="D25" s="39" t="n">
        <v>29.333</v>
      </c>
      <c r="E25" s="40" t="n">
        <v>163.988501</v>
      </c>
      <c r="F25" s="41" t="n">
        <v>0.182543286983275</v>
      </c>
      <c r="G25" s="38" t="n">
        <v>9.737</v>
      </c>
      <c r="H25" s="39" t="n">
        <v>9.467</v>
      </c>
      <c r="I25" s="38" t="n">
        <v>248.522</v>
      </c>
      <c r="J25" s="39" t="n">
        <v>233.977</v>
      </c>
      <c r="K25" s="38" t="n">
        <v>24.537</v>
      </c>
      <c r="L25" s="39" t="n">
        <v>22.644</v>
      </c>
      <c r="M25" s="38" t="n">
        <v>117.159</v>
      </c>
    </row>
    <row r="26" customFormat="false" ht="13.5" hidden="false" customHeight="false" outlineLevel="0" collapsed="false">
      <c r="A26" s="36" t="s">
        <v>47</v>
      </c>
      <c r="B26" s="37"/>
      <c r="C26" s="38" t="n">
        <v>6.426713</v>
      </c>
      <c r="D26" s="39" t="n">
        <v>4.881726</v>
      </c>
      <c r="E26" s="40" t="n">
        <v>53.15417</v>
      </c>
      <c r="F26" s="41" t="n">
        <v>0.120907033258162</v>
      </c>
      <c r="G26" s="38" t="n">
        <v>1.271</v>
      </c>
      <c r="H26" s="39" t="n">
        <v>0.879</v>
      </c>
      <c r="I26" s="38" t="n">
        <v>62.062325</v>
      </c>
      <c r="J26" s="39" t="n">
        <v>47.334824</v>
      </c>
      <c r="K26" s="38" t="n">
        <v>4.393284</v>
      </c>
      <c r="L26" s="39" t="n">
        <v>2.914719</v>
      </c>
      <c r="M26" s="38" t="n">
        <v>16.638</v>
      </c>
    </row>
    <row r="27" customFormat="false" ht="12.75" hidden="false" customHeight="false" outlineLevel="0" collapsed="false">
      <c r="A27" s="36" t="s">
        <v>48</v>
      </c>
      <c r="B27" s="37"/>
      <c r="C27" s="38" t="n">
        <v>5.105355</v>
      </c>
      <c r="D27" s="39" t="n">
        <v>3.2176061</v>
      </c>
      <c r="E27" s="40" t="n">
        <v>59.622805</v>
      </c>
      <c r="F27" s="41" t="n">
        <v>0.0856275547586196</v>
      </c>
      <c r="G27" s="38" t="n">
        <v>1.4647363</v>
      </c>
      <c r="H27" s="39" t="n">
        <v>0.8198184</v>
      </c>
      <c r="I27" s="38" t="n">
        <v>39.1991229</v>
      </c>
      <c r="J27" s="39" t="n">
        <v>17.9448194</v>
      </c>
      <c r="K27" s="38" t="n">
        <v>4.4497713</v>
      </c>
      <c r="L27" s="39" t="n">
        <v>1.8358949</v>
      </c>
      <c r="M27" s="38" t="n">
        <v>10.9480928</v>
      </c>
    </row>
    <row r="28" customFormat="false" ht="13.5" hidden="false" customHeight="false" outlineLevel="0" collapsed="false">
      <c r="A28" s="36" t="s">
        <v>49</v>
      </c>
      <c r="B28" s="37"/>
      <c r="C28" s="38" t="n">
        <v>1.1737923170878</v>
      </c>
      <c r="D28" s="39" t="n">
        <v>0.8585068068278</v>
      </c>
      <c r="E28" s="40" t="n">
        <v>16.099564</v>
      </c>
      <c r="F28" s="41" t="n">
        <v>0.0729083295105259</v>
      </c>
      <c r="G28" s="38" t="n">
        <v>0.34800665</v>
      </c>
      <c r="H28" s="39" t="n">
        <v>0.21769225</v>
      </c>
      <c r="I28" s="38" t="n">
        <v>11.0087972187739</v>
      </c>
      <c r="J28" s="39" t="n">
        <v>6.23487418303825</v>
      </c>
      <c r="K28" s="38" t="n">
        <v>0.9196695</v>
      </c>
      <c r="L28" s="39" t="n">
        <v>0.5225085</v>
      </c>
      <c r="M28" s="38" t="n">
        <v>4.87606021954382</v>
      </c>
    </row>
    <row r="29" customFormat="false" ht="12.75" hidden="false" customHeight="false" outlineLevel="0" collapsed="false">
      <c r="A29" s="36" t="s">
        <v>50</v>
      </c>
      <c r="B29" s="37"/>
      <c r="C29" s="38" t="n">
        <v>3.06305</v>
      </c>
      <c r="D29" s="39" t="n">
        <v>2.83747</v>
      </c>
      <c r="E29" s="40" t="n">
        <v>28.434</v>
      </c>
      <c r="F29" s="41" t="n">
        <v>0.107724906801716</v>
      </c>
      <c r="G29" s="38" t="n">
        <v>1.54059</v>
      </c>
      <c r="H29" s="39" t="n">
        <v>1.28916</v>
      </c>
      <c r="I29" s="38" t="n">
        <v>34.91611</v>
      </c>
      <c r="J29" s="39" t="n">
        <v>28.64174</v>
      </c>
      <c r="K29" s="38" t="n">
        <v>3.41076</v>
      </c>
      <c r="L29" s="39" t="n">
        <v>2.65991</v>
      </c>
      <c r="M29" s="38" t="n">
        <v>12.58372</v>
      </c>
    </row>
    <row r="30" customFormat="false" ht="13.5" hidden="false" customHeight="false" outlineLevel="0" collapsed="false">
      <c r="A30" s="49" t="s">
        <v>51</v>
      </c>
      <c r="B30" s="50"/>
      <c r="C30" s="51" t="n">
        <v>22.545</v>
      </c>
      <c r="D30" s="52" t="n">
        <v>22.233</v>
      </c>
      <c r="E30" s="53" t="n">
        <v>68.642</v>
      </c>
      <c r="F30" s="54" t="n">
        <v>0.328443227178695</v>
      </c>
      <c r="G30" s="51" t="n">
        <v>6.346</v>
      </c>
      <c r="H30" s="52" t="n">
        <v>6.088</v>
      </c>
      <c r="I30" s="51" t="n">
        <v>242.708</v>
      </c>
      <c r="J30" s="52" t="n">
        <v>236.828</v>
      </c>
      <c r="K30" s="51" t="n">
        <v>16.242</v>
      </c>
      <c r="L30" s="52" t="n">
        <v>15.591</v>
      </c>
      <c r="M30" s="51" t="n">
        <v>155.576</v>
      </c>
    </row>
    <row r="31" customFormat="false" ht="13.5" hidden="false" customHeight="false" outlineLevel="0" collapsed="false">
      <c r="A31" s="55" t="s">
        <v>52</v>
      </c>
      <c r="B31" s="56"/>
      <c r="C31" s="57" t="n">
        <v>9.228</v>
      </c>
      <c r="D31" s="58" t="n">
        <v>9.211</v>
      </c>
      <c r="E31" s="59" t="n">
        <v>168.439</v>
      </c>
      <c r="F31" s="60" t="n">
        <v>0.0547854119295413</v>
      </c>
      <c r="G31" s="57" t="n">
        <v>3.316</v>
      </c>
      <c r="H31" s="58" t="n">
        <v>3.312</v>
      </c>
      <c r="I31" s="57" t="n">
        <v>94.02</v>
      </c>
      <c r="J31" s="58" t="n">
        <v>93.543</v>
      </c>
      <c r="K31" s="57" t="n">
        <v>7.934</v>
      </c>
      <c r="L31" s="58" t="n">
        <v>7.908</v>
      </c>
      <c r="M31" s="57" t="n">
        <v>73.281</v>
      </c>
    </row>
    <row r="32" customFormat="false" ht="13.5" hidden="false" customHeight="false" outlineLevel="0" collapsed="false">
      <c r="A32" s="61" t="s">
        <v>53</v>
      </c>
      <c r="B32" s="61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</row>
    <row r="33" customFormat="false" ht="12.75" hidden="false" customHeight="false" outlineLevel="0" collapsed="false">
      <c r="A33" s="63" t="s">
        <v>54</v>
      </c>
      <c r="B33" s="63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</row>
    <row r="34" customFormat="false" ht="12.75" hidden="false" customHeight="false" outlineLevel="0" collapsed="false">
      <c r="A34" s="63"/>
      <c r="B34" s="63"/>
      <c r="C34" s="64"/>
      <c r="D34" s="64"/>
      <c r="E34" s="64"/>
      <c r="F34" s="64"/>
      <c r="G34" s="64"/>
      <c r="H34" s="64"/>
      <c r="I34" s="64"/>
      <c r="J34" s="64"/>
      <c r="K34" s="64"/>
      <c r="L34" s="64"/>
      <c r="M34" s="64"/>
    </row>
    <row r="35" customFormat="false" ht="12.75" hidden="false" customHeight="false" outlineLevel="0" collapsed="false">
      <c r="A35" s="65"/>
      <c r="B35" s="65"/>
      <c r="C35" s="66"/>
      <c r="D35" s="67"/>
      <c r="E35" s="65"/>
      <c r="F35" s="67"/>
      <c r="G35" s="68"/>
      <c r="H35" s="69"/>
      <c r="I35" s="70"/>
      <c r="J35" s="71"/>
      <c r="K35" s="72"/>
      <c r="L35" s="67"/>
      <c r="M35" s="73"/>
    </row>
    <row r="36" customFormat="false" ht="12.75" hidden="false" customHeight="false" outlineLevel="0" collapsed="false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</row>
    <row r="37" customFormat="false" ht="48" hidden="false" customHeight="false" outlineLevel="0" collapsed="false">
      <c r="A37" s="20" t="n">
        <v>2019</v>
      </c>
      <c r="B37" s="20"/>
      <c r="C37" s="74" t="s">
        <v>55</v>
      </c>
      <c r="D37" s="75" t="s">
        <v>56</v>
      </c>
      <c r="E37" s="22" t="s">
        <v>57</v>
      </c>
      <c r="F37" s="22" t="s">
        <v>58</v>
      </c>
      <c r="G37" s="22" t="s">
        <v>59</v>
      </c>
      <c r="H37" s="22" t="s">
        <v>60</v>
      </c>
      <c r="I37" s="22" t="s">
        <v>61</v>
      </c>
      <c r="J37" s="18"/>
      <c r="K37" s="18"/>
      <c r="L37" s="18"/>
      <c r="M37" s="18"/>
    </row>
    <row r="38" customFormat="false" ht="13.5" hidden="false" customHeight="false" outlineLevel="0" collapsed="false">
      <c r="A38" s="26" t="s">
        <v>25</v>
      </c>
      <c r="B38" s="26"/>
      <c r="C38" s="27" t="n">
        <v>4766.29643497074</v>
      </c>
      <c r="D38" s="76" t="n">
        <v>4039.37168396203</v>
      </c>
      <c r="E38" s="29"/>
      <c r="F38" s="29"/>
      <c r="G38" s="29"/>
      <c r="H38" s="29"/>
      <c r="I38" s="29"/>
      <c r="J38" s="18"/>
      <c r="K38" s="18"/>
      <c r="L38" s="18"/>
      <c r="M38" s="18"/>
    </row>
    <row r="39" customFormat="false" ht="13.5" hidden="false" customHeight="false" outlineLevel="0" collapsed="false">
      <c r="A39" s="30" t="s">
        <v>26</v>
      </c>
      <c r="B39" s="77"/>
      <c r="C39" s="78" t="n">
        <v>166.442277</v>
      </c>
      <c r="D39" s="79" t="n">
        <v>140.043397</v>
      </c>
      <c r="E39" s="35" t="n">
        <v>0.0137449439573309</v>
      </c>
      <c r="F39" s="35" t="n">
        <v>0.00331889927015386</v>
      </c>
      <c r="G39" s="35" t="n">
        <v>0.668337930231883</v>
      </c>
      <c r="H39" s="35" t="n">
        <v>0.18290880188664</v>
      </c>
      <c r="I39" s="35" t="n">
        <v>0.131689424653992</v>
      </c>
      <c r="J39" s="18"/>
      <c r="K39" s="18"/>
      <c r="L39" s="18"/>
      <c r="M39" s="18"/>
    </row>
    <row r="40" customFormat="false" ht="12.75" hidden="false" customHeight="false" outlineLevel="0" collapsed="false">
      <c r="A40" s="36" t="s">
        <v>27</v>
      </c>
      <c r="B40" s="80"/>
      <c r="C40" s="81" t="n">
        <v>66.813</v>
      </c>
      <c r="D40" s="82" t="n">
        <v>59.759</v>
      </c>
      <c r="E40" s="41" t="n">
        <v>0.212039573136964</v>
      </c>
      <c r="F40" s="41" t="n">
        <v>0.0171224162962298</v>
      </c>
      <c r="G40" s="41" t="n">
        <v>0.396300121233892</v>
      </c>
      <c r="H40" s="41" t="n">
        <v>0.22339963779504</v>
      </c>
      <c r="I40" s="41" t="n">
        <v>0.151138251537874</v>
      </c>
      <c r="J40" s="18"/>
      <c r="K40" s="18"/>
      <c r="L40" s="18"/>
      <c r="M40" s="18"/>
    </row>
    <row r="41" customFormat="false" ht="12.75" hidden="false" customHeight="false" outlineLevel="0" collapsed="false">
      <c r="A41" s="36" t="s">
        <v>28</v>
      </c>
      <c r="B41" s="80"/>
      <c r="C41" s="81" t="n">
        <v>187.840796449847</v>
      </c>
      <c r="D41" s="82" t="n">
        <v>136.832821160298</v>
      </c>
      <c r="E41" s="41" t="n">
        <v>0.621594720806452</v>
      </c>
      <c r="F41" s="41" t="n">
        <v>0.00766623729914542</v>
      </c>
      <c r="G41" s="41" t="n">
        <v>0.124900942447243</v>
      </c>
      <c r="H41" s="41" t="n">
        <v>0.230271502249648</v>
      </c>
      <c r="I41" s="41" t="n">
        <v>0.0155665971975109</v>
      </c>
      <c r="J41" s="18"/>
      <c r="K41" s="18"/>
      <c r="L41" s="18"/>
      <c r="M41" s="18"/>
    </row>
    <row r="42" customFormat="false" ht="12.75" hidden="false" customHeight="false" outlineLevel="0" collapsed="false">
      <c r="A42" s="36" t="s">
        <v>29</v>
      </c>
      <c r="B42" s="80"/>
      <c r="C42" s="81" t="n">
        <v>141.968126816609</v>
      </c>
      <c r="D42" s="82" t="n">
        <v>141.489549645793</v>
      </c>
      <c r="E42" s="41" t="n">
        <v>0.153634101326305</v>
      </c>
      <c r="F42" s="41" t="n">
        <v>0.0197676662011477</v>
      </c>
      <c r="G42" s="41" t="n">
        <v>0.13203511355966</v>
      </c>
      <c r="H42" s="41" t="n">
        <v>0.579971027783558</v>
      </c>
      <c r="I42" s="41" t="n">
        <v>0.114592091129329</v>
      </c>
      <c r="J42" s="18"/>
      <c r="K42" s="18"/>
      <c r="L42" s="18"/>
      <c r="M42" s="18"/>
    </row>
    <row r="43" s="48" customFormat="true" ht="12.75" hidden="false" customHeight="false" outlineLevel="0" collapsed="false">
      <c r="A43" s="42" t="s">
        <v>30</v>
      </c>
      <c r="B43" s="83"/>
      <c r="C43" s="84" t="n">
        <v>1190.0249</v>
      </c>
      <c r="D43" s="85" t="n">
        <v>843.1036</v>
      </c>
      <c r="E43" s="47" t="n">
        <v>0.217500659019824</v>
      </c>
      <c r="F43" s="47" t="n">
        <v>0.0230031321193363</v>
      </c>
      <c r="G43" s="47" t="n">
        <v>0.503678368410611</v>
      </c>
      <c r="H43" s="47" t="n">
        <v>0.144637897912892</v>
      </c>
      <c r="I43" s="47" t="n">
        <v>0.111179942537337</v>
      </c>
      <c r="J43" s="86"/>
      <c r="K43" s="86"/>
      <c r="L43" s="86"/>
      <c r="M43" s="86"/>
    </row>
    <row r="44" customFormat="false" ht="12.75" hidden="false" customHeight="false" outlineLevel="0" collapsed="false">
      <c r="A44" s="36" t="s">
        <v>31</v>
      </c>
      <c r="B44" s="80"/>
      <c r="C44" s="81" t="n">
        <v>16.7467</v>
      </c>
      <c r="D44" s="82" t="n">
        <v>16.7467</v>
      </c>
      <c r="E44" s="41" t="n">
        <v>0.0463374873855745</v>
      </c>
      <c r="F44" s="41" t="n">
        <v>0</v>
      </c>
      <c r="G44" s="41" t="n">
        <v>0.000119426513880347</v>
      </c>
      <c r="H44" s="41" t="n">
        <v>0.90912239426275</v>
      </c>
      <c r="I44" s="41" t="n">
        <v>0.0444206918377949</v>
      </c>
      <c r="J44" s="18"/>
      <c r="K44" s="18"/>
      <c r="L44" s="18"/>
      <c r="M44" s="18"/>
    </row>
    <row r="45" customFormat="false" ht="13.5" hidden="false" customHeight="false" outlineLevel="0" collapsed="false">
      <c r="A45" s="36" t="s">
        <v>32</v>
      </c>
      <c r="B45" s="80"/>
      <c r="C45" s="81" t="n">
        <v>22.3181501558053</v>
      </c>
      <c r="D45" s="82" t="n">
        <v>19.4073589274448</v>
      </c>
      <c r="E45" s="41" t="n">
        <v>0.0209393251680807</v>
      </c>
      <c r="F45" s="41" t="n">
        <v>0</v>
      </c>
      <c r="G45" s="41" t="n">
        <v>0.940507389725403</v>
      </c>
      <c r="H45" s="41" t="n">
        <v>0.0365564798157553</v>
      </c>
      <c r="I45" s="41" t="n">
        <v>0.00199680529076111</v>
      </c>
      <c r="J45" s="18"/>
      <c r="K45" s="18"/>
      <c r="L45" s="18"/>
      <c r="M45" s="18"/>
    </row>
    <row r="46" customFormat="false" ht="12.75" hidden="false" customHeight="false" outlineLevel="0" collapsed="false">
      <c r="A46" s="36" t="s">
        <v>33</v>
      </c>
      <c r="B46" s="80"/>
      <c r="C46" s="81" t="n">
        <v>30.12556</v>
      </c>
      <c r="D46" s="82" t="n">
        <v>26.51272</v>
      </c>
      <c r="E46" s="41" t="n">
        <v>0.119926069424104</v>
      </c>
      <c r="F46" s="41" t="n">
        <v>0.346251156824969</v>
      </c>
      <c r="G46" s="41" t="n">
        <v>0.443187114198043</v>
      </c>
      <c r="H46" s="41" t="n">
        <v>0.006406519911995</v>
      </c>
      <c r="I46" s="41" t="n">
        <v>0.0842291396408897</v>
      </c>
      <c r="J46" s="18"/>
      <c r="K46" s="18"/>
      <c r="L46" s="18"/>
      <c r="M46" s="18"/>
    </row>
    <row r="47" customFormat="false" ht="12.75" hidden="false" customHeight="false" outlineLevel="0" collapsed="false">
      <c r="A47" s="36" t="s">
        <v>34</v>
      </c>
      <c r="B47" s="80"/>
      <c r="C47" s="81" t="n">
        <v>320.118</v>
      </c>
      <c r="D47" s="82" t="n">
        <v>319.855</v>
      </c>
      <c r="E47" s="41" t="n">
        <v>0.0206664030138886</v>
      </c>
      <c r="F47" s="41" t="n">
        <v>0.0618855711669242</v>
      </c>
      <c r="G47" s="41" t="n">
        <v>0.829121597342576</v>
      </c>
      <c r="H47" s="41" t="n">
        <v>0.0792376041107626</v>
      </c>
      <c r="I47" s="41" t="n">
        <v>0.00908882436584847</v>
      </c>
      <c r="J47" s="18"/>
      <c r="K47" s="18"/>
      <c r="L47" s="18"/>
      <c r="M47" s="18"/>
    </row>
    <row r="48" customFormat="false" ht="12.75" hidden="false" customHeight="false" outlineLevel="0" collapsed="false">
      <c r="A48" s="36" t="s">
        <v>35</v>
      </c>
      <c r="B48" s="80"/>
      <c r="C48" s="81" t="n">
        <v>271.77075</v>
      </c>
      <c r="D48" s="82" t="n">
        <v>187.33963</v>
      </c>
      <c r="E48" s="41" t="n">
        <v>0.0281311456365337</v>
      </c>
      <c r="F48" s="41" t="n">
        <v>0.0552811234321574</v>
      </c>
      <c r="G48" s="41" t="n">
        <v>0.515285228244761</v>
      </c>
      <c r="H48" s="41" t="n">
        <v>0.303433625141778</v>
      </c>
      <c r="I48" s="41" t="n">
        <v>0.0978689143404876</v>
      </c>
      <c r="J48" s="18"/>
      <c r="K48" s="18"/>
      <c r="L48" s="18"/>
      <c r="M48" s="18"/>
    </row>
    <row r="49" customFormat="false" ht="12.75" hidden="false" customHeight="false" outlineLevel="0" collapsed="false">
      <c r="A49" s="36" t="s">
        <v>36</v>
      </c>
      <c r="B49" s="80"/>
      <c r="C49" s="81" t="n">
        <v>31.9564403579867</v>
      </c>
      <c r="D49" s="82" t="n">
        <v>24.3234357589639</v>
      </c>
      <c r="E49" s="41" t="n">
        <v>0.0128554368195558</v>
      </c>
      <c r="F49" s="41" t="n">
        <v>0.04797144164046</v>
      </c>
      <c r="G49" s="41" t="n">
        <v>0.737403000321322</v>
      </c>
      <c r="H49" s="41" t="n">
        <v>0.201610162286517</v>
      </c>
      <c r="I49" s="41" t="n">
        <v>0.000159958932146006</v>
      </c>
      <c r="J49" s="18"/>
      <c r="K49" s="18"/>
      <c r="L49" s="18"/>
      <c r="M49" s="18"/>
    </row>
    <row r="50" customFormat="false" ht="12.75" hidden="false" customHeight="false" outlineLevel="0" collapsed="false">
      <c r="A50" s="36" t="s">
        <v>37</v>
      </c>
      <c r="B50" s="80"/>
      <c r="C50" s="81" t="n">
        <v>447.934041902054</v>
      </c>
      <c r="D50" s="82" t="n">
        <v>394.953421632726</v>
      </c>
      <c r="E50" s="41" t="n">
        <v>0.0305178887961173</v>
      </c>
      <c r="F50" s="41" t="n">
        <v>0.0806614367295182</v>
      </c>
      <c r="G50" s="41" t="n">
        <v>0.657016435457009</v>
      </c>
      <c r="H50" s="41" t="n">
        <v>0.168227908575817</v>
      </c>
      <c r="I50" s="41" t="n">
        <v>0.0635763304415383</v>
      </c>
      <c r="J50" s="18"/>
      <c r="K50" s="18"/>
      <c r="L50" s="18"/>
      <c r="M50" s="18"/>
    </row>
    <row r="51" customFormat="false" ht="12.75" hidden="false" customHeight="false" outlineLevel="0" collapsed="false">
      <c r="A51" s="36" t="s">
        <v>38</v>
      </c>
      <c r="B51" s="80"/>
      <c r="C51" s="81" t="n">
        <v>0.337185406213067</v>
      </c>
      <c r="D51" s="82" t="n">
        <v>0.275520256522629</v>
      </c>
      <c r="E51" s="41" t="n">
        <v>0</v>
      </c>
      <c r="F51" s="41" t="n">
        <v>0.059763224093878</v>
      </c>
      <c r="G51" s="41" t="n">
        <v>0</v>
      </c>
      <c r="H51" s="41" t="n">
        <v>0.940236775906122</v>
      </c>
      <c r="I51" s="41" t="n">
        <v>0</v>
      </c>
      <c r="J51" s="18"/>
      <c r="K51" s="18"/>
      <c r="L51" s="18"/>
      <c r="M51" s="18"/>
    </row>
    <row r="52" customFormat="false" ht="13.5" hidden="false" customHeight="false" outlineLevel="0" collapsed="false">
      <c r="A52" s="36" t="s">
        <v>39</v>
      </c>
      <c r="B52" s="80"/>
      <c r="C52" s="81" t="n">
        <v>28.092</v>
      </c>
      <c r="D52" s="82" t="n">
        <v>27.9654</v>
      </c>
      <c r="E52" s="41" t="n">
        <v>0.00132066068631639</v>
      </c>
      <c r="F52" s="41" t="n">
        <v>0</v>
      </c>
      <c r="G52" s="41" t="n">
        <v>0.512106649579952</v>
      </c>
      <c r="H52" s="41" t="n">
        <v>0.486473017229104</v>
      </c>
      <c r="I52" s="41" t="n">
        <v>9.9672504627652E-005</v>
      </c>
      <c r="J52" s="18"/>
      <c r="K52" s="18"/>
      <c r="L52" s="18"/>
      <c r="M52" s="18"/>
    </row>
    <row r="53" customFormat="false" ht="12.75" hidden="false" customHeight="false" outlineLevel="0" collapsed="false">
      <c r="A53" s="36" t="s">
        <v>40</v>
      </c>
      <c r="B53" s="80"/>
      <c r="C53" s="81" t="n">
        <v>17.79</v>
      </c>
      <c r="D53" s="82" t="n">
        <v>14.803</v>
      </c>
      <c r="E53" s="41" t="n">
        <v>0</v>
      </c>
      <c r="F53" s="41" t="n">
        <v>0.0845980888139404</v>
      </c>
      <c r="G53" s="41" t="n">
        <v>0.346093310848791</v>
      </c>
      <c r="H53" s="41" t="n">
        <v>0.462675660483418</v>
      </c>
      <c r="I53" s="41" t="n">
        <v>0.10663293985385</v>
      </c>
      <c r="J53" s="18"/>
      <c r="K53" s="18"/>
      <c r="L53" s="18"/>
      <c r="M53" s="18"/>
    </row>
    <row r="54" customFormat="false" ht="12.75" hidden="false" customHeight="false" outlineLevel="0" collapsed="false">
      <c r="A54" s="36" t="s">
        <v>41</v>
      </c>
      <c r="B54" s="80"/>
      <c r="C54" s="81" t="n">
        <v>6.499614</v>
      </c>
      <c r="D54" s="82" t="n">
        <v>6.499614</v>
      </c>
      <c r="E54" s="41" t="n">
        <v>0</v>
      </c>
      <c r="F54" s="41" t="n">
        <v>0</v>
      </c>
      <c r="G54" s="41" t="n">
        <v>0.373195392834098</v>
      </c>
      <c r="H54" s="41" t="n">
        <v>0.626082871998245</v>
      </c>
      <c r="I54" s="41" t="n">
        <v>0.000721735167657649</v>
      </c>
      <c r="J54" s="18"/>
      <c r="K54" s="18"/>
      <c r="L54" s="18"/>
      <c r="M54" s="18"/>
    </row>
    <row r="55" customFormat="false" ht="13.5" hidden="false" customHeight="false" outlineLevel="0" collapsed="false">
      <c r="A55" s="36" t="s">
        <v>42</v>
      </c>
      <c r="B55" s="80"/>
      <c r="C55" s="81" t="n">
        <v>55.612</v>
      </c>
      <c r="D55" s="82" t="n">
        <v>45.257</v>
      </c>
      <c r="E55" s="41" t="n">
        <v>0.092803711429188</v>
      </c>
      <c r="F55" s="41" t="n">
        <v>0.0302992159965475</v>
      </c>
      <c r="G55" s="41" t="n">
        <v>0.684780263252535</v>
      </c>
      <c r="H55" s="41" t="n">
        <v>0.128407537941452</v>
      </c>
      <c r="I55" s="41" t="n">
        <v>0.0637092713802776</v>
      </c>
      <c r="J55" s="18"/>
      <c r="K55" s="18"/>
      <c r="L55" s="18"/>
      <c r="M55" s="18"/>
    </row>
    <row r="56" customFormat="false" ht="12.75" hidden="false" customHeight="false" outlineLevel="0" collapsed="false">
      <c r="A56" s="36" t="s">
        <v>43</v>
      </c>
      <c r="B56" s="80"/>
      <c r="C56" s="81" t="n">
        <v>1.465159</v>
      </c>
      <c r="D56" s="82" t="n">
        <v>0.043988</v>
      </c>
      <c r="E56" s="41" t="n">
        <v>0</v>
      </c>
      <c r="F56" s="41" t="n">
        <v>0</v>
      </c>
      <c r="G56" s="41" t="n">
        <v>0.936486756727427</v>
      </c>
      <c r="H56" s="41" t="n">
        <v>0.0436362196867371</v>
      </c>
      <c r="I56" s="41" t="n">
        <v>0.0198770235858361</v>
      </c>
      <c r="J56" s="18"/>
      <c r="K56" s="18"/>
      <c r="L56" s="18"/>
      <c r="M56" s="18"/>
    </row>
    <row r="57" customFormat="false" ht="13.5" hidden="false" customHeight="false" outlineLevel="0" collapsed="false">
      <c r="A57" s="36" t="s">
        <v>44</v>
      </c>
      <c r="B57" s="80"/>
      <c r="C57" s="81" t="n">
        <v>342.678991469643</v>
      </c>
      <c r="D57" s="82" t="n">
        <v>335.863546006172</v>
      </c>
      <c r="E57" s="41" t="n">
        <v>0.0305807380343718</v>
      </c>
      <c r="F57" s="41" t="n">
        <v>0.0403904424899361</v>
      </c>
      <c r="G57" s="41" t="n">
        <v>0.786258182371535</v>
      </c>
      <c r="H57" s="41" t="n">
        <v>0.105817306848768</v>
      </c>
      <c r="I57" s="41" t="n">
        <v>0.0369533302553885</v>
      </c>
      <c r="J57" s="18"/>
      <c r="K57" s="18"/>
      <c r="L57" s="18"/>
      <c r="M57" s="18"/>
    </row>
    <row r="58" customFormat="false" ht="12.75" hidden="false" customHeight="false" outlineLevel="0" collapsed="false">
      <c r="A58" s="36" t="s">
        <v>45</v>
      </c>
      <c r="B58" s="80"/>
      <c r="C58" s="81" t="n">
        <v>173.983566115427</v>
      </c>
      <c r="D58" s="82" t="n">
        <v>173.983566115427</v>
      </c>
      <c r="E58" s="41" t="n">
        <v>0.0889468065885035</v>
      </c>
      <c r="F58" s="41" t="n">
        <v>0.0709212409698958</v>
      </c>
      <c r="G58" s="41" t="n">
        <v>0.394754788174951</v>
      </c>
      <c r="H58" s="41" t="n">
        <v>0.393821937166964</v>
      </c>
      <c r="I58" s="41" t="n">
        <v>0.0515552270996856</v>
      </c>
      <c r="J58" s="18"/>
      <c r="K58" s="18"/>
      <c r="L58" s="18"/>
      <c r="M58" s="18"/>
    </row>
    <row r="59" customFormat="false" ht="12.75" hidden="false" customHeight="false" outlineLevel="0" collapsed="false">
      <c r="A59" s="36" t="s">
        <v>46</v>
      </c>
      <c r="B59" s="80"/>
      <c r="C59" s="81" t="n">
        <v>439.506</v>
      </c>
      <c r="D59" s="82" t="n">
        <v>418.147</v>
      </c>
      <c r="E59" s="41" t="n">
        <v>0.6495269689151</v>
      </c>
      <c r="F59" s="41" t="n">
        <v>0.0725496352723285</v>
      </c>
      <c r="G59" s="41" t="n">
        <v>0.135686429764326</v>
      </c>
      <c r="H59" s="41" t="n">
        <v>0.127695640105027</v>
      </c>
      <c r="I59" s="41" t="n">
        <v>0.0145413259432181</v>
      </c>
      <c r="J59" s="18"/>
      <c r="K59" s="18"/>
      <c r="L59" s="18"/>
      <c r="M59" s="18"/>
    </row>
    <row r="60" customFormat="false" ht="13.5" hidden="false" customHeight="false" outlineLevel="0" collapsed="false">
      <c r="A60" s="36" t="s">
        <v>47</v>
      </c>
      <c r="B60" s="80"/>
      <c r="C60" s="81" t="n">
        <v>113.203</v>
      </c>
      <c r="D60" s="82" t="n">
        <v>76.37</v>
      </c>
      <c r="E60" s="41" t="n">
        <v>0</v>
      </c>
      <c r="F60" s="41" t="n">
        <v>0.0722860701571513</v>
      </c>
      <c r="G60" s="41" t="n">
        <v>0.482708055440227</v>
      </c>
      <c r="H60" s="41" t="n">
        <v>0.440262183864385</v>
      </c>
      <c r="I60" s="41" t="n">
        <v>0.00474369053823662</v>
      </c>
      <c r="J60" s="18"/>
      <c r="K60" s="18"/>
      <c r="L60" s="18"/>
      <c r="M60" s="18"/>
    </row>
    <row r="61" customFormat="false" ht="12.75" hidden="false" customHeight="false" outlineLevel="0" collapsed="false">
      <c r="A61" s="36" t="s">
        <v>48</v>
      </c>
      <c r="B61" s="80"/>
      <c r="C61" s="81" t="n">
        <v>72.6048409</v>
      </c>
      <c r="D61" s="82" t="n">
        <v>36.9559404</v>
      </c>
      <c r="E61" s="41" t="n">
        <v>0.224142214186713</v>
      </c>
      <c r="F61" s="41" t="n">
        <v>0.0197092835995733</v>
      </c>
      <c r="G61" s="41" t="n">
        <v>0.692055916343176</v>
      </c>
      <c r="H61" s="41" t="n">
        <v>0.0624986053788047</v>
      </c>
      <c r="I61" s="41" t="n">
        <v>0.0015939804917333</v>
      </c>
      <c r="J61" s="18"/>
      <c r="K61" s="18"/>
      <c r="L61" s="18"/>
      <c r="M61" s="18"/>
    </row>
    <row r="62" customFormat="false" ht="13.5" hidden="false" customHeight="false" outlineLevel="0" collapsed="false">
      <c r="A62" s="36" t="s">
        <v>49</v>
      </c>
      <c r="B62" s="80"/>
      <c r="C62" s="81" t="n">
        <v>19.0725353971592</v>
      </c>
      <c r="D62" s="82" t="n">
        <v>11.4229250586873</v>
      </c>
      <c r="E62" s="41" t="n">
        <v>0.428290342142469</v>
      </c>
      <c r="F62" s="41" t="n">
        <v>0.000792032460723977</v>
      </c>
      <c r="G62" s="41" t="n">
        <v>0.331857030532195</v>
      </c>
      <c r="H62" s="41" t="n">
        <v>0.216765881227048</v>
      </c>
      <c r="I62" s="41" t="n">
        <v>0.0222947136375646</v>
      </c>
      <c r="J62" s="18"/>
      <c r="K62" s="18"/>
      <c r="L62" s="18"/>
      <c r="M62" s="18"/>
    </row>
    <row r="63" customFormat="false" ht="12.75" hidden="false" customHeight="false" outlineLevel="0" collapsed="false">
      <c r="A63" s="36" t="s">
        <v>50</v>
      </c>
      <c r="B63" s="80"/>
      <c r="C63" s="81" t="n">
        <v>58.2098</v>
      </c>
      <c r="D63" s="82" t="n">
        <v>49.18055</v>
      </c>
      <c r="E63" s="41" t="n">
        <v>0.380504485499005</v>
      </c>
      <c r="F63" s="41" t="n">
        <v>0.120954031795333</v>
      </c>
      <c r="G63" s="41" t="n">
        <v>0.308099838858749</v>
      </c>
      <c r="H63" s="41" t="n">
        <v>0.143087418269776</v>
      </c>
      <c r="I63" s="41" t="n">
        <v>0.0473542255771365</v>
      </c>
      <c r="J63" s="18"/>
      <c r="K63" s="18"/>
      <c r="L63" s="18"/>
      <c r="M63" s="18"/>
    </row>
    <row r="64" customFormat="false" ht="13.5" hidden="false" customHeight="false" outlineLevel="0" collapsed="false">
      <c r="A64" s="36" t="s">
        <v>51</v>
      </c>
      <c r="B64" s="80"/>
      <c r="C64" s="81" t="n">
        <v>392.445</v>
      </c>
      <c r="D64" s="82" t="n">
        <v>382.423</v>
      </c>
      <c r="E64" s="41" t="n">
        <v>0.213940806992063</v>
      </c>
      <c r="F64" s="41" t="n">
        <v>0.00513957369822523</v>
      </c>
      <c r="G64" s="41" t="n">
        <v>0.092206551236479</v>
      </c>
      <c r="H64" s="41" t="n">
        <v>0.651056835989757</v>
      </c>
      <c r="I64" s="41" t="n">
        <v>0.0376562320834767</v>
      </c>
      <c r="J64" s="18"/>
      <c r="K64" s="18"/>
      <c r="L64" s="18"/>
      <c r="M64" s="18"/>
    </row>
    <row r="65" customFormat="false" ht="13.5" hidden="false" customHeight="false" outlineLevel="0" collapsed="false">
      <c r="A65" s="55" t="s">
        <v>52</v>
      </c>
      <c r="B65" s="87"/>
      <c r="C65" s="88" t="n">
        <v>150.738</v>
      </c>
      <c r="D65" s="89" t="n">
        <v>149.814</v>
      </c>
      <c r="E65" s="60" t="n">
        <v>0.0721649484536082</v>
      </c>
      <c r="F65" s="60" t="n">
        <v>0.00278629144608526</v>
      </c>
      <c r="G65" s="60" t="n">
        <v>0.0302577982990354</v>
      </c>
      <c r="H65" s="60" t="n">
        <v>0.617256431689421</v>
      </c>
      <c r="I65" s="60" t="n">
        <v>0.27753453011185</v>
      </c>
      <c r="J65" s="18"/>
      <c r="K65" s="18"/>
      <c r="L65" s="18"/>
      <c r="M65" s="18"/>
    </row>
    <row r="66" customFormat="false" ht="12.75" hidden="false" customHeight="false" outlineLevel="0" collapsed="false">
      <c r="A66" s="63" t="s">
        <v>62</v>
      </c>
      <c r="B66" s="63"/>
      <c r="C66" s="90"/>
      <c r="D66" s="90"/>
      <c r="E66" s="16"/>
      <c r="F66" s="16"/>
      <c r="G66" s="16"/>
      <c r="H66" s="16"/>
      <c r="I66" s="16"/>
      <c r="J66" s="18"/>
      <c r="K66" s="18"/>
      <c r="L66" s="18"/>
      <c r="M66" s="18"/>
    </row>
    <row r="67" customFormat="false" ht="12.75" hidden="false" customHeight="false" outlineLevel="0" collapsed="false">
      <c r="A67" s="63"/>
      <c r="B67" s="63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</row>
    <row r="68" customFormat="false" ht="12.75" hidden="false" customHeight="false" outlineLevel="0" collapsed="false">
      <c r="A68" s="67"/>
      <c r="B68" s="67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</row>
    <row r="69" customFormat="false" ht="12.75" hidden="false" customHeight="false" outlineLevel="0" collapsed="false">
      <c r="A69" s="65"/>
      <c r="B69" s="65"/>
      <c r="C69" s="66"/>
      <c r="D69" s="67"/>
      <c r="E69" s="65"/>
      <c r="F69" s="67"/>
      <c r="G69" s="68"/>
      <c r="H69" s="69"/>
      <c r="I69" s="70"/>
      <c r="J69" s="71"/>
      <c r="K69" s="72"/>
      <c r="L69" s="67"/>
      <c r="M69" s="73"/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R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3:43 A1"/>
    </sheetView>
  </sheetViews>
  <sheetFormatPr defaultColWidth="9.1484375" defaultRowHeight="12.75" zeroHeight="false" outlineLevelRow="0" outlineLevelCol="0"/>
  <cols>
    <col collapsed="false" customWidth="true" hidden="false" outlineLevel="0" max="1" min="1" style="18" width="37.15"/>
    <col collapsed="false" customWidth="true" hidden="false" outlineLevel="0" max="2" min="2" style="18" width="4"/>
    <col collapsed="false" customWidth="true" hidden="false" outlineLevel="0" max="5" min="3" style="18" width="10.71"/>
    <col collapsed="false" customWidth="true" hidden="false" outlineLevel="0" max="6" min="6" style="18" width="12.42"/>
    <col collapsed="false" customWidth="true" hidden="false" outlineLevel="0" max="13" min="7" style="18" width="10.71"/>
    <col collapsed="false" customWidth="false" hidden="false" outlineLevel="0" max="16384" min="14" style="18" width="9.14"/>
  </cols>
  <sheetData>
    <row r="1" customFormat="false" ht="15.75" hidden="false" customHeight="false" outlineLevel="0" collapsed="false">
      <c r="A1" s="14" t="s">
        <v>63</v>
      </c>
      <c r="B1" s="14"/>
      <c r="C1" s="15"/>
      <c r="D1" s="16"/>
      <c r="E1" s="16"/>
      <c r="F1" s="16"/>
      <c r="G1" s="17"/>
      <c r="H1" s="17"/>
      <c r="I1" s="16"/>
      <c r="J1" s="16"/>
    </row>
    <row r="2" customFormat="false" ht="12.75" hidden="false" customHeight="false" outlineLevel="0" collapsed="false">
      <c r="A2" s="19"/>
      <c r="B2" s="19"/>
      <c r="C2" s="15"/>
      <c r="D2" s="16"/>
      <c r="E2" s="16"/>
      <c r="F2" s="16"/>
      <c r="G2" s="17"/>
      <c r="H2" s="17"/>
      <c r="I2" s="16"/>
      <c r="J2" s="16"/>
    </row>
    <row r="3" customFormat="false" ht="49.5" hidden="false" customHeight="false" outlineLevel="0" collapsed="false">
      <c r="A3" s="20"/>
      <c r="B3" s="20"/>
      <c r="C3" s="21" t="s">
        <v>17</v>
      </c>
      <c r="D3" s="22" t="s">
        <v>18</v>
      </c>
      <c r="E3" s="25" t="s">
        <v>19</v>
      </c>
      <c r="F3" s="23" t="s">
        <v>20</v>
      </c>
      <c r="G3" s="24" t="s">
        <v>21</v>
      </c>
      <c r="H3" s="24" t="s">
        <v>18</v>
      </c>
      <c r="I3" s="25" t="s">
        <v>22</v>
      </c>
      <c r="J3" s="22" t="s">
        <v>18</v>
      </c>
      <c r="K3" s="21" t="s">
        <v>23</v>
      </c>
      <c r="L3" s="24" t="s">
        <v>18</v>
      </c>
      <c r="M3" s="21" t="s">
        <v>24</v>
      </c>
      <c r="N3" s="91"/>
      <c r="O3" s="91"/>
      <c r="P3" s="91"/>
      <c r="Q3" s="91"/>
      <c r="R3" s="91"/>
    </row>
    <row r="4" customFormat="false" ht="13.5" hidden="false" customHeight="false" outlineLevel="0" collapsed="false">
      <c r="A4" s="92" t="s">
        <v>64</v>
      </c>
      <c r="B4" s="92"/>
      <c r="C4" s="93" t="n">
        <v>344.55202601397</v>
      </c>
      <c r="D4" s="93" t="n">
        <v>301.68477014926</v>
      </c>
      <c r="E4" s="93" t="n">
        <v>2946.035454</v>
      </c>
      <c r="F4" s="94" t="n">
        <v>0.116954473696558</v>
      </c>
      <c r="G4" s="93" t="n">
        <v>133.600619212494</v>
      </c>
      <c r="H4" s="93" t="n">
        <v>112.782743271118</v>
      </c>
      <c r="I4" s="93" t="n">
        <v>2650.92184144899</v>
      </c>
      <c r="J4" s="93" t="n">
        <v>2193.55028484797</v>
      </c>
      <c r="K4" s="93" t="n">
        <v>280.484533080219</v>
      </c>
      <c r="L4" s="93" t="n">
        <v>222.738821899917</v>
      </c>
      <c r="M4" s="93" t="n">
        <v>1264.55925648945</v>
      </c>
      <c r="N4" s="91"/>
      <c r="O4" s="91"/>
      <c r="P4" s="91"/>
      <c r="Q4" s="91"/>
      <c r="R4" s="91"/>
    </row>
    <row r="5" customFormat="false" ht="13.5" hidden="false" customHeight="false" outlineLevel="0" collapsed="false">
      <c r="A5" s="95" t="s">
        <v>65</v>
      </c>
      <c r="B5" s="95"/>
      <c r="C5" s="96" t="n">
        <v>366.858522477334</v>
      </c>
      <c r="D5" s="97" t="n">
        <v>322.310666143144</v>
      </c>
      <c r="E5" s="98" t="n">
        <v>3276.778075</v>
      </c>
      <c r="F5" s="99" t="n">
        <v>0.111957085307748</v>
      </c>
      <c r="G5" s="97" t="n">
        <v>138.306480452481</v>
      </c>
      <c r="H5" s="97" t="n">
        <v>117.109312090867</v>
      </c>
      <c r="I5" s="97" t="n">
        <v>2786.90554052458</v>
      </c>
      <c r="J5" s="97" t="n">
        <v>2305.8446071996</v>
      </c>
      <c r="K5" s="97" t="n">
        <v>288.218239801524</v>
      </c>
      <c r="L5" s="97" t="n">
        <v>229.435129440446</v>
      </c>
      <c r="M5" s="98" t="n">
        <v>1344.42283878833</v>
      </c>
      <c r="N5" s="91"/>
      <c r="O5" s="91"/>
      <c r="P5" s="91"/>
      <c r="Q5" s="91"/>
      <c r="R5" s="91"/>
    </row>
    <row r="6" customFormat="false" ht="13.5" hidden="false" customHeight="false" outlineLevel="0" collapsed="false">
      <c r="A6" s="30" t="s">
        <v>66</v>
      </c>
      <c r="B6" s="77"/>
      <c r="C6" s="100" t="n">
        <v>11.365511</v>
      </c>
      <c r="D6" s="100" t="n">
        <v>10.310093</v>
      </c>
      <c r="E6" s="100" t="n">
        <v>75.0946</v>
      </c>
      <c r="F6" s="101" t="n">
        <v>0.151349244819201</v>
      </c>
      <c r="G6" s="102" t="n">
        <v>2.30593</v>
      </c>
      <c r="H6" s="103" t="n">
        <v>1.858369</v>
      </c>
      <c r="I6" s="100" t="n">
        <v>89.464719</v>
      </c>
      <c r="J6" s="100" t="n">
        <v>77.886367</v>
      </c>
      <c r="K6" s="100" t="n">
        <v>4.865538</v>
      </c>
      <c r="L6" s="100" t="n">
        <v>3.628256</v>
      </c>
      <c r="M6" s="100" t="n">
        <v>36.557509</v>
      </c>
      <c r="N6" s="91"/>
      <c r="O6" s="91"/>
      <c r="P6" s="91"/>
      <c r="Q6" s="91"/>
      <c r="R6" s="91"/>
    </row>
    <row r="7" customFormat="false" ht="12.75" hidden="false" customHeight="false" outlineLevel="0" collapsed="false">
      <c r="A7" s="36" t="s">
        <v>27</v>
      </c>
      <c r="B7" s="80"/>
      <c r="C7" s="104" t="n">
        <v>3.641</v>
      </c>
      <c r="D7" s="104" t="n">
        <v>3.364</v>
      </c>
      <c r="E7" s="104" t="n">
        <v>46.83767</v>
      </c>
      <c r="F7" s="105" t="n">
        <v>0.0777365740012259</v>
      </c>
      <c r="G7" s="106" t="n">
        <v>1.141</v>
      </c>
      <c r="H7" s="107" t="n">
        <v>1.038</v>
      </c>
      <c r="I7" s="104" t="n">
        <v>40.114</v>
      </c>
      <c r="J7" s="104" t="n">
        <v>35.802</v>
      </c>
      <c r="K7" s="104" t="n">
        <v>4.331</v>
      </c>
      <c r="L7" s="104" t="n">
        <v>3.977</v>
      </c>
      <c r="M7" s="104" t="n">
        <v>13.589</v>
      </c>
      <c r="N7" s="91"/>
      <c r="O7" s="91"/>
      <c r="P7" s="91"/>
      <c r="Q7" s="91"/>
      <c r="R7" s="91"/>
    </row>
    <row r="8" customFormat="false" ht="12.75" hidden="false" customHeight="false" outlineLevel="0" collapsed="false">
      <c r="A8" s="36" t="s">
        <v>28</v>
      </c>
      <c r="B8" s="80"/>
      <c r="C8" s="104" t="n">
        <v>10.020223359</v>
      </c>
      <c r="D8" s="104" t="n">
        <v>8.163315197</v>
      </c>
      <c r="E8" s="104" t="n">
        <v>88.032022</v>
      </c>
      <c r="F8" s="105" t="n">
        <v>0.113824755257808</v>
      </c>
      <c r="G8" s="106" t="n">
        <v>8.5100558</v>
      </c>
      <c r="H8" s="107" t="n">
        <v>7.0107588</v>
      </c>
      <c r="I8" s="104" t="n">
        <v>102.0642005282</v>
      </c>
      <c r="J8" s="104" t="n">
        <v>85.5089763956</v>
      </c>
      <c r="K8" s="104" t="n">
        <v>21.6971667</v>
      </c>
      <c r="L8" s="104" t="n">
        <v>16.279065</v>
      </c>
      <c r="M8" s="104" t="n">
        <v>34.5690882256708</v>
      </c>
      <c r="N8" s="91"/>
      <c r="O8" s="91"/>
      <c r="P8" s="91"/>
      <c r="Q8" s="91"/>
      <c r="R8" s="91"/>
    </row>
    <row r="9" customFormat="false" ht="12.75" hidden="false" customHeight="false" outlineLevel="0" collapsed="false">
      <c r="A9" s="36" t="s">
        <v>29</v>
      </c>
      <c r="B9" s="80"/>
      <c r="C9" s="104" t="n">
        <v>11.4109407241422</v>
      </c>
      <c r="D9" s="104" t="n">
        <v>11.2403519224695</v>
      </c>
      <c r="E9" s="104" t="n">
        <v>30.376585</v>
      </c>
      <c r="F9" s="105" t="n">
        <v>0.375649228645756</v>
      </c>
      <c r="G9" s="106" t="n">
        <v>5.91453526909753</v>
      </c>
      <c r="H9" s="107" t="n">
        <v>5.76373530959091</v>
      </c>
      <c r="I9" s="104" t="n">
        <v>95.1619307628</v>
      </c>
      <c r="J9" s="104" t="n">
        <v>93.8708821192</v>
      </c>
      <c r="K9" s="104" t="n">
        <v>8.988426</v>
      </c>
      <c r="L9" s="104" t="n">
        <v>8.816266</v>
      </c>
      <c r="M9" s="104" t="n">
        <v>79.863582298882</v>
      </c>
      <c r="N9" s="91"/>
      <c r="O9" s="91"/>
      <c r="P9" s="91"/>
      <c r="Q9" s="91"/>
      <c r="R9" s="91"/>
    </row>
    <row r="10" customFormat="false" ht="12.75" hidden="false" customHeight="false" outlineLevel="0" collapsed="false">
      <c r="A10" s="36" t="s">
        <v>30</v>
      </c>
      <c r="B10" s="80"/>
      <c r="C10" s="104" t="n">
        <v>88.4581</v>
      </c>
      <c r="D10" s="104" t="n">
        <v>66.9817</v>
      </c>
      <c r="E10" s="104" t="n">
        <v>643.159</v>
      </c>
      <c r="F10" s="105" t="n">
        <v>0.137536907669799</v>
      </c>
      <c r="G10" s="106" t="n">
        <v>53.8855</v>
      </c>
      <c r="H10" s="107" t="n">
        <v>42.9398</v>
      </c>
      <c r="I10" s="104" t="n">
        <v>676.0644</v>
      </c>
      <c r="J10" s="104" t="n">
        <v>454.7758</v>
      </c>
      <c r="K10" s="104" t="n">
        <v>97.994</v>
      </c>
      <c r="L10" s="104" t="n">
        <v>73.6553</v>
      </c>
      <c r="M10" s="104" t="n">
        <v>264.9955</v>
      </c>
      <c r="N10" s="91"/>
      <c r="O10" s="91"/>
      <c r="P10" s="91"/>
      <c r="Q10" s="91"/>
      <c r="R10" s="91"/>
    </row>
    <row r="11" customFormat="false" ht="13.5" hidden="false" customHeight="false" outlineLevel="0" collapsed="false">
      <c r="A11" s="36" t="s">
        <v>67</v>
      </c>
      <c r="B11" s="80"/>
      <c r="C11" s="104" t="n">
        <v>1.10157</v>
      </c>
      <c r="D11" s="104" t="n">
        <v>1.10157</v>
      </c>
      <c r="E11" s="104" t="n">
        <v>12.358802</v>
      </c>
      <c r="F11" s="105" t="n">
        <v>0.0891324256185996</v>
      </c>
      <c r="G11" s="106" t="n">
        <v>0.22675</v>
      </c>
      <c r="H11" s="107" t="n">
        <v>0.22675</v>
      </c>
      <c r="I11" s="104" t="n">
        <v>3.49875</v>
      </c>
      <c r="J11" s="104" t="n">
        <v>3.49875</v>
      </c>
      <c r="K11" s="104" t="n">
        <v>0.69975</v>
      </c>
      <c r="L11" s="104" t="n">
        <v>0.69975</v>
      </c>
      <c r="M11" s="104" t="n">
        <v>4.233</v>
      </c>
      <c r="N11" s="91"/>
      <c r="O11" s="91"/>
      <c r="P11" s="91"/>
      <c r="Q11" s="91"/>
      <c r="R11" s="91"/>
    </row>
    <row r="12" customFormat="false" ht="13.5" hidden="false" customHeight="false" outlineLevel="0" collapsed="false">
      <c r="A12" s="36" t="s">
        <v>68</v>
      </c>
      <c r="B12" s="80"/>
      <c r="C12" s="104" t="n">
        <v>2.13109996987462</v>
      </c>
      <c r="D12" s="104" t="n">
        <v>2.0108505148375</v>
      </c>
      <c r="E12" s="104" t="n">
        <v>31.133786</v>
      </c>
      <c r="F12" s="105" t="n">
        <v>0.0684497532640141</v>
      </c>
      <c r="G12" s="106" t="n">
        <v>0.318158</v>
      </c>
      <c r="H12" s="107" t="n">
        <v>0.287889</v>
      </c>
      <c r="I12" s="104" t="n">
        <v>11.6238062152559</v>
      </c>
      <c r="J12" s="104" t="n">
        <v>10.8811589142351</v>
      </c>
      <c r="K12" s="104" t="n">
        <v>0.6275491</v>
      </c>
      <c r="L12" s="104" t="n">
        <v>0.5411781</v>
      </c>
      <c r="M12" s="104" t="n">
        <v>7.31</v>
      </c>
      <c r="N12" s="91"/>
      <c r="O12" s="91"/>
      <c r="P12" s="91"/>
      <c r="Q12" s="91"/>
      <c r="R12" s="91"/>
    </row>
    <row r="13" customFormat="false" ht="13.5" hidden="false" customHeight="false" outlineLevel="0" collapsed="false">
      <c r="A13" s="36" t="s">
        <v>69</v>
      </c>
      <c r="B13" s="80"/>
      <c r="C13" s="104" t="n">
        <v>2.37234</v>
      </c>
      <c r="D13" s="104" t="n">
        <v>2.16804</v>
      </c>
      <c r="E13" s="104" t="n">
        <v>53.262785</v>
      </c>
      <c r="F13" s="105" t="n">
        <v>0.0445402920632107</v>
      </c>
      <c r="G13" s="106" t="n">
        <v>0.42533</v>
      </c>
      <c r="H13" s="107" t="n">
        <v>0.3504</v>
      </c>
      <c r="I13" s="104" t="n">
        <v>17.35383</v>
      </c>
      <c r="J13" s="104" t="n">
        <v>15.18667</v>
      </c>
      <c r="K13" s="104" t="n">
        <v>0.92591</v>
      </c>
      <c r="L13" s="104" t="n">
        <v>0.55191</v>
      </c>
      <c r="M13" s="104" t="n">
        <v>5.13423</v>
      </c>
      <c r="N13" s="91"/>
      <c r="O13" s="91"/>
      <c r="P13" s="91"/>
      <c r="Q13" s="91"/>
      <c r="R13" s="91"/>
    </row>
    <row r="14" customFormat="false" ht="12.75" hidden="false" customHeight="false" outlineLevel="0" collapsed="false">
      <c r="A14" s="36" t="s">
        <v>34</v>
      </c>
      <c r="B14" s="80"/>
      <c r="C14" s="104" t="n">
        <v>29.002</v>
      </c>
      <c r="D14" s="104" t="n">
        <v>28.98</v>
      </c>
      <c r="E14" s="104" t="n">
        <v>274.452</v>
      </c>
      <c r="F14" s="105" t="n">
        <v>0.105672394444202</v>
      </c>
      <c r="G14" s="106" t="n">
        <v>4.749</v>
      </c>
      <c r="H14" s="107" t="n">
        <v>4.709</v>
      </c>
      <c r="I14" s="104" t="n">
        <v>141.903</v>
      </c>
      <c r="J14" s="104" t="n">
        <v>141.868</v>
      </c>
      <c r="K14" s="104" t="n">
        <v>10.27</v>
      </c>
      <c r="L14" s="104" t="n">
        <v>10.215</v>
      </c>
      <c r="M14" s="104" t="n">
        <v>82.874</v>
      </c>
      <c r="N14" s="91"/>
      <c r="O14" s="91"/>
      <c r="P14" s="91"/>
      <c r="Q14" s="91"/>
      <c r="R14" s="91"/>
    </row>
    <row r="15" customFormat="false" ht="12.75" hidden="false" customHeight="false" outlineLevel="0" collapsed="false">
      <c r="A15" s="36" t="s">
        <v>35</v>
      </c>
      <c r="B15" s="80"/>
      <c r="C15" s="104" t="n">
        <v>17.28454</v>
      </c>
      <c r="D15" s="104" t="n">
        <v>10.56239</v>
      </c>
      <c r="E15" s="104" t="n">
        <v>581.9428</v>
      </c>
      <c r="F15" s="105" t="n">
        <v>0.02970144144751</v>
      </c>
      <c r="G15" s="106" t="n">
        <v>6.59695</v>
      </c>
      <c r="H15" s="107" t="n">
        <v>3.5728</v>
      </c>
      <c r="I15" s="104" t="n">
        <v>176.44939</v>
      </c>
      <c r="J15" s="104" t="n">
        <v>108.23903</v>
      </c>
      <c r="K15" s="104" t="n">
        <v>15.74371</v>
      </c>
      <c r="L15" s="104" t="n">
        <v>8.23568</v>
      </c>
      <c r="M15" s="104" t="n">
        <v>60.98208</v>
      </c>
      <c r="N15" s="91"/>
      <c r="O15" s="91"/>
      <c r="P15" s="91"/>
      <c r="Q15" s="91"/>
      <c r="R15" s="91"/>
    </row>
    <row r="16" customFormat="false" ht="12.75" hidden="false" customHeight="false" outlineLevel="0" collapsed="false">
      <c r="A16" s="36" t="s">
        <v>36</v>
      </c>
      <c r="B16" s="80"/>
      <c r="C16" s="104" t="n">
        <v>1.9933</v>
      </c>
      <c r="D16" s="104" t="n">
        <v>1.7121</v>
      </c>
      <c r="E16" s="104" t="n">
        <v>13.6317</v>
      </c>
      <c r="F16" s="105" t="n">
        <v>0.146225342400434</v>
      </c>
      <c r="G16" s="106" t="n">
        <v>0.8605</v>
      </c>
      <c r="H16" s="107" t="n">
        <v>0.6787</v>
      </c>
      <c r="I16" s="104" t="n">
        <v>15.7544</v>
      </c>
      <c r="J16" s="104" t="n">
        <v>8.365</v>
      </c>
      <c r="K16" s="104" t="n">
        <v>2.1552</v>
      </c>
      <c r="L16" s="104" t="n">
        <v>1.4311</v>
      </c>
      <c r="M16" s="104" t="n">
        <v>6.3725</v>
      </c>
      <c r="N16" s="91"/>
      <c r="O16" s="91"/>
      <c r="P16" s="91"/>
      <c r="Q16" s="91"/>
      <c r="R16" s="91"/>
    </row>
    <row r="17" customFormat="false" ht="12.75" hidden="false" customHeight="false" outlineLevel="0" collapsed="false">
      <c r="A17" s="36" t="s">
        <v>37</v>
      </c>
      <c r="B17" s="80"/>
      <c r="C17" s="104" t="n">
        <v>39.698</v>
      </c>
      <c r="D17" s="104" t="n">
        <v>36.718</v>
      </c>
      <c r="E17" s="104" t="n">
        <v>289.708</v>
      </c>
      <c r="F17" s="105" t="n">
        <v>0.137027627818355</v>
      </c>
      <c r="G17" s="106" t="n">
        <v>8.628</v>
      </c>
      <c r="H17" s="107" t="n">
        <v>7.966</v>
      </c>
      <c r="I17" s="104" t="n">
        <v>214.636</v>
      </c>
      <c r="J17" s="104" t="n">
        <v>190.514</v>
      </c>
      <c r="K17" s="104" t="n">
        <v>18.354</v>
      </c>
      <c r="L17" s="104" t="n">
        <v>13.578</v>
      </c>
      <c r="M17" s="104" t="n">
        <v>143.441</v>
      </c>
      <c r="N17" s="91"/>
      <c r="O17" s="91"/>
      <c r="P17" s="91"/>
      <c r="Q17" s="91"/>
      <c r="R17" s="91"/>
    </row>
    <row r="18" customFormat="false" ht="12.75" hidden="false" customHeight="false" outlineLevel="0" collapsed="false">
      <c r="A18" s="36" t="s">
        <v>38</v>
      </c>
      <c r="B18" s="80"/>
      <c r="C18" s="104" t="n">
        <v>0.057753241</v>
      </c>
      <c r="D18" s="104" t="n">
        <v>0.025737723</v>
      </c>
      <c r="E18" s="104" t="n">
        <v>5.060567</v>
      </c>
      <c r="F18" s="105" t="n">
        <v>0.0114124051711992</v>
      </c>
      <c r="G18" s="106" t="n">
        <v>0.015499</v>
      </c>
      <c r="H18" s="107" t="n">
        <v>0.008988</v>
      </c>
      <c r="I18" s="104" t="n">
        <v>0.615385870894723</v>
      </c>
      <c r="J18" s="104" t="n">
        <v>0.277075947090339</v>
      </c>
      <c r="K18" s="104" t="n">
        <v>0.0298264167091442</v>
      </c>
      <c r="L18" s="104" t="n">
        <v>0.0203410132504934</v>
      </c>
      <c r="M18" s="104" t="n">
        <v>0.035</v>
      </c>
      <c r="N18" s="91"/>
      <c r="O18" s="91"/>
      <c r="P18" s="91"/>
      <c r="Q18" s="91"/>
      <c r="R18" s="91"/>
    </row>
    <row r="19" customFormat="false" ht="12.75" hidden="false" customHeight="false" outlineLevel="0" collapsed="false">
      <c r="A19" s="36" t="s">
        <v>70</v>
      </c>
      <c r="B19" s="80"/>
      <c r="C19" s="104" t="n">
        <v>3.073</v>
      </c>
      <c r="D19" s="104" t="n">
        <v>3.065</v>
      </c>
      <c r="E19" s="104" t="n">
        <v>6.724875</v>
      </c>
      <c r="F19" s="105" t="n">
        <v>0.456960166545847</v>
      </c>
      <c r="G19" s="106" t="n">
        <v>1.27</v>
      </c>
      <c r="H19" s="107" t="n">
        <v>1.264</v>
      </c>
      <c r="I19" s="104" t="n">
        <v>15.143</v>
      </c>
      <c r="J19" s="104" t="n">
        <v>14.857</v>
      </c>
      <c r="K19" s="104" t="n">
        <v>1.204</v>
      </c>
      <c r="L19" s="104" t="n">
        <v>1.178</v>
      </c>
      <c r="M19" s="104" t="n">
        <v>10.405</v>
      </c>
      <c r="N19" s="91"/>
      <c r="O19" s="91"/>
      <c r="P19" s="91"/>
      <c r="Q19" s="91"/>
      <c r="R19" s="91"/>
    </row>
    <row r="20" customFormat="false" ht="12.75" hidden="false" customHeight="false" outlineLevel="0" collapsed="false">
      <c r="A20" s="36" t="s">
        <v>40</v>
      </c>
      <c r="B20" s="80"/>
      <c r="C20" s="104" t="n">
        <v>0.924</v>
      </c>
      <c r="D20" s="104" t="n">
        <v>0.599</v>
      </c>
      <c r="E20" s="104" t="n">
        <v>3.5111</v>
      </c>
      <c r="F20" s="105" t="n">
        <v>0.263165389763892</v>
      </c>
      <c r="G20" s="106" t="n">
        <v>0.561</v>
      </c>
      <c r="H20" s="107" t="n">
        <v>0.15</v>
      </c>
      <c r="I20" s="104" t="n">
        <v>10.213</v>
      </c>
      <c r="J20" s="104" t="n">
        <v>7.62</v>
      </c>
      <c r="K20" s="104" t="n">
        <v>1.481</v>
      </c>
      <c r="L20" s="104" t="n">
        <v>0.423</v>
      </c>
      <c r="M20" s="104" t="n">
        <v>4.691</v>
      </c>
      <c r="N20" s="91"/>
      <c r="O20" s="91"/>
      <c r="P20" s="91"/>
      <c r="Q20" s="91"/>
      <c r="R20" s="91"/>
    </row>
    <row r="21" customFormat="false" ht="12.75" hidden="false" customHeight="false" outlineLevel="0" collapsed="false">
      <c r="A21" s="36" t="s">
        <v>41</v>
      </c>
      <c r="B21" s="80"/>
      <c r="C21" s="104" t="n">
        <v>0.366</v>
      </c>
      <c r="D21" s="104" t="n">
        <v>0.366</v>
      </c>
      <c r="E21" s="104" t="n">
        <v>2.200918</v>
      </c>
      <c r="F21" s="105" t="n">
        <v>0.166294246309949</v>
      </c>
      <c r="G21" s="106" t="n">
        <v>0.108</v>
      </c>
      <c r="H21" s="107" t="n">
        <v>0.108</v>
      </c>
      <c r="I21" s="104" t="n">
        <v>2.918</v>
      </c>
      <c r="J21" s="104" t="n">
        <v>2.918</v>
      </c>
      <c r="K21" s="104" t="n">
        <v>0.209</v>
      </c>
      <c r="L21" s="104" t="n">
        <v>0.209</v>
      </c>
      <c r="M21" s="104" t="n">
        <v>1.176</v>
      </c>
      <c r="N21" s="91"/>
      <c r="O21" s="91"/>
      <c r="P21" s="91"/>
      <c r="Q21" s="91"/>
      <c r="R21" s="91"/>
    </row>
    <row r="22" customFormat="false" ht="13.5" hidden="false" customHeight="false" outlineLevel="0" collapsed="false">
      <c r="A22" s="36" t="s">
        <v>71</v>
      </c>
      <c r="B22" s="80"/>
      <c r="C22" s="104" t="n">
        <v>4.286</v>
      </c>
      <c r="D22" s="104" t="n">
        <v>3.71</v>
      </c>
      <c r="E22" s="104" t="n">
        <v>32.004</v>
      </c>
      <c r="F22" s="105" t="n">
        <v>0.133920759905012</v>
      </c>
      <c r="G22" s="106" t="n">
        <v>1.494</v>
      </c>
      <c r="H22" s="107" t="n">
        <v>1.26</v>
      </c>
      <c r="I22" s="104" t="n">
        <v>24.659</v>
      </c>
      <c r="J22" s="104" t="n">
        <v>20.862</v>
      </c>
      <c r="K22" s="104" t="n">
        <v>2.986</v>
      </c>
      <c r="L22" s="104" t="n">
        <v>2.181</v>
      </c>
      <c r="M22" s="104" t="n">
        <v>11.618</v>
      </c>
      <c r="N22" s="91"/>
      <c r="O22" s="91"/>
      <c r="P22" s="91"/>
      <c r="Q22" s="91"/>
      <c r="R22" s="91"/>
    </row>
    <row r="23" customFormat="false" ht="12.75" hidden="false" customHeight="false" outlineLevel="0" collapsed="false">
      <c r="A23" s="36" t="s">
        <v>43</v>
      </c>
      <c r="B23" s="80"/>
      <c r="C23" s="104" t="n">
        <v>0.161802</v>
      </c>
      <c r="D23" s="104" t="n">
        <v>0.007853</v>
      </c>
      <c r="E23" s="104" t="n">
        <v>1.962071</v>
      </c>
      <c r="F23" s="105" t="n">
        <v>0.0824649057042279</v>
      </c>
      <c r="G23" s="106" t="n">
        <v>0.143419</v>
      </c>
      <c r="H23" s="107" t="n">
        <v>0.002682</v>
      </c>
      <c r="I23" s="104" t="n">
        <v>0.0671</v>
      </c>
      <c r="J23" s="104" t="n">
        <v>0.01829</v>
      </c>
      <c r="K23" s="104" t="n">
        <v>0.016118</v>
      </c>
      <c r="L23" s="104" t="n">
        <v>0.002212</v>
      </c>
      <c r="M23" s="104" t="n">
        <v>0.08448</v>
      </c>
      <c r="N23" s="91"/>
      <c r="O23" s="91"/>
      <c r="P23" s="91"/>
      <c r="Q23" s="91"/>
      <c r="R23" s="91"/>
    </row>
    <row r="24" customFormat="false" ht="12.75" hidden="false" customHeight="false" outlineLevel="0" collapsed="false">
      <c r="A24" s="36" t="s">
        <v>72</v>
      </c>
      <c r="B24" s="80"/>
      <c r="C24" s="104" t="n">
        <v>31.191</v>
      </c>
      <c r="D24" s="104" t="n">
        <v>30.549</v>
      </c>
      <c r="E24" s="104" t="n">
        <v>114.468277</v>
      </c>
      <c r="F24" s="105" t="n">
        <v>0.272485974432899</v>
      </c>
      <c r="G24" s="106" t="n">
        <v>8.792</v>
      </c>
      <c r="H24" s="107" t="n">
        <v>8.326</v>
      </c>
      <c r="I24" s="104" t="n">
        <v>173.827</v>
      </c>
      <c r="J24" s="104" t="n">
        <v>164.066</v>
      </c>
      <c r="K24" s="104" t="n">
        <v>15.941</v>
      </c>
      <c r="L24" s="104" t="n">
        <v>14.616</v>
      </c>
      <c r="M24" s="104" t="n">
        <v>102.246</v>
      </c>
      <c r="N24" s="91"/>
      <c r="O24" s="91"/>
      <c r="P24" s="91"/>
      <c r="Q24" s="91"/>
      <c r="R24" s="91"/>
    </row>
    <row r="25" customFormat="false" ht="12.75" hidden="false" customHeight="false" outlineLevel="0" collapsed="false">
      <c r="A25" s="36" t="s">
        <v>45</v>
      </c>
      <c r="B25" s="80"/>
      <c r="C25" s="104" t="n">
        <v>9.426118677414</v>
      </c>
      <c r="D25" s="104" t="n">
        <v>9.426118677414</v>
      </c>
      <c r="E25" s="104" t="n">
        <v>68.597153</v>
      </c>
      <c r="F25" s="105" t="n">
        <v>0.137412680631425</v>
      </c>
      <c r="G25" s="106" t="n">
        <v>2.84654626152699</v>
      </c>
      <c r="H25" s="107" t="n">
        <v>2.84654626152699</v>
      </c>
      <c r="I25" s="104" t="n">
        <v>110.819338415857</v>
      </c>
      <c r="J25" s="104" t="n">
        <v>110.819338415857</v>
      </c>
      <c r="K25" s="104" t="n">
        <v>8.790395</v>
      </c>
      <c r="L25" s="104" t="n">
        <v>8.790395</v>
      </c>
      <c r="M25" s="104" t="n">
        <v>13.6927694577689</v>
      </c>
      <c r="N25" s="91"/>
      <c r="O25" s="91"/>
      <c r="P25" s="91"/>
      <c r="Q25" s="91"/>
      <c r="R25" s="91"/>
    </row>
    <row r="26" customFormat="false" ht="12.75" hidden="false" customHeight="false" outlineLevel="0" collapsed="false">
      <c r="A26" s="36" t="s">
        <v>46</v>
      </c>
      <c r="B26" s="80"/>
      <c r="C26" s="104" t="n">
        <v>28.838</v>
      </c>
      <c r="D26" s="104" t="n">
        <v>27.148</v>
      </c>
      <c r="E26" s="104" t="n">
        <v>170.039461</v>
      </c>
      <c r="F26" s="105" t="n">
        <v>0.169595926912518</v>
      </c>
      <c r="G26" s="106" t="n">
        <v>10.085</v>
      </c>
      <c r="H26" s="107" t="n">
        <v>9.657</v>
      </c>
      <c r="I26" s="104" t="n">
        <v>247.067</v>
      </c>
      <c r="J26" s="104" t="n">
        <v>219.241</v>
      </c>
      <c r="K26" s="104" t="n">
        <v>25.116</v>
      </c>
      <c r="L26" s="104" t="n">
        <v>22.602</v>
      </c>
      <c r="M26" s="104" t="n">
        <v>109.236</v>
      </c>
      <c r="N26" s="91"/>
      <c r="O26" s="91"/>
      <c r="P26" s="91"/>
      <c r="Q26" s="91"/>
      <c r="R26" s="91"/>
    </row>
    <row r="27" customFormat="false" ht="13.5" hidden="false" customHeight="false" outlineLevel="0" collapsed="false">
      <c r="A27" s="36" t="s">
        <v>73</v>
      </c>
      <c r="B27" s="80"/>
      <c r="C27" s="104" t="n">
        <v>6.140147</v>
      </c>
      <c r="D27" s="104" t="n">
        <v>4.835925</v>
      </c>
      <c r="E27" s="104" t="n">
        <v>59.636081</v>
      </c>
      <c r="F27" s="105" t="n">
        <v>0.102960269974816</v>
      </c>
      <c r="G27" s="106" t="n">
        <v>1.236</v>
      </c>
      <c r="H27" s="107" t="n">
        <v>0.827</v>
      </c>
      <c r="I27" s="104" t="n">
        <v>59.591283</v>
      </c>
      <c r="J27" s="104" t="n">
        <v>45.831841</v>
      </c>
      <c r="K27" s="104" t="n">
        <v>4.199663</v>
      </c>
      <c r="L27" s="104" t="n">
        <v>2.470396</v>
      </c>
      <c r="M27" s="104" t="n">
        <v>18.336</v>
      </c>
      <c r="N27" s="91"/>
      <c r="O27" s="91"/>
      <c r="P27" s="91"/>
      <c r="Q27" s="91"/>
      <c r="R27" s="91"/>
    </row>
    <row r="28" customFormat="false" ht="12.75" hidden="false" customHeight="false" outlineLevel="0" collapsed="false">
      <c r="A28" s="36" t="s">
        <v>48</v>
      </c>
      <c r="B28" s="80"/>
      <c r="C28" s="104" t="n">
        <v>5.3888828285386</v>
      </c>
      <c r="D28" s="104" t="n">
        <v>3.4448828285386</v>
      </c>
      <c r="E28" s="104" t="n">
        <v>64.876464</v>
      </c>
      <c r="F28" s="105" t="n">
        <v>0.0830637568123103</v>
      </c>
      <c r="G28" s="106" t="n">
        <v>1.617112</v>
      </c>
      <c r="H28" s="107" t="n">
        <v>0.970112</v>
      </c>
      <c r="I28" s="104" t="n">
        <v>42.1618348293862</v>
      </c>
      <c r="J28" s="104" t="n">
        <v>19.3968348293862</v>
      </c>
      <c r="K28" s="104" t="n">
        <v>4.92595512</v>
      </c>
      <c r="L28" s="104" t="n">
        <v>2.02295512</v>
      </c>
      <c r="M28" s="104" t="n">
        <v>11.5883570106979</v>
      </c>
      <c r="N28" s="91"/>
      <c r="O28" s="91"/>
      <c r="P28" s="91"/>
      <c r="Q28" s="91"/>
      <c r="R28" s="91"/>
    </row>
    <row r="29" customFormat="false" ht="13.5" hidden="false" customHeight="false" outlineLevel="0" collapsed="false">
      <c r="A29" s="36" t="s">
        <v>74</v>
      </c>
      <c r="B29" s="80"/>
      <c r="C29" s="104" t="n">
        <v>1.300697214</v>
      </c>
      <c r="D29" s="104" t="n">
        <v>0.993842286</v>
      </c>
      <c r="E29" s="104" t="n">
        <v>16.330737</v>
      </c>
      <c r="F29" s="105" t="n">
        <v>0.0796471839574662</v>
      </c>
      <c r="G29" s="106" t="n">
        <v>0.394333881869401</v>
      </c>
      <c r="H29" s="107" t="n">
        <v>0.2572129</v>
      </c>
      <c r="I29" s="104" t="n">
        <v>11.3204728266001</v>
      </c>
      <c r="J29" s="104" t="n">
        <v>6.60927022660014</v>
      </c>
      <c r="K29" s="104" t="n">
        <v>0.879325743510058</v>
      </c>
      <c r="L29" s="104" t="n">
        <v>0.509017666666667</v>
      </c>
      <c r="M29" s="104" t="n">
        <v>4.60016049642555</v>
      </c>
      <c r="N29" s="91"/>
      <c r="O29" s="91"/>
      <c r="P29" s="91"/>
      <c r="Q29" s="91"/>
      <c r="R29" s="91"/>
    </row>
    <row r="30" customFormat="false" ht="12.75" hidden="false" customHeight="false" outlineLevel="0" collapsed="false">
      <c r="A30" s="36" t="s">
        <v>50</v>
      </c>
      <c r="B30" s="80"/>
      <c r="C30" s="104" t="n">
        <v>3.012</v>
      </c>
      <c r="D30" s="104" t="n">
        <v>2.563</v>
      </c>
      <c r="E30" s="104" t="n">
        <v>26.971</v>
      </c>
      <c r="F30" s="105" t="n">
        <v>0.111675503318379</v>
      </c>
      <c r="G30" s="106" t="n">
        <v>1.752</v>
      </c>
      <c r="H30" s="107" t="n">
        <v>1.308</v>
      </c>
      <c r="I30" s="104" t="n">
        <v>32.132</v>
      </c>
      <c r="J30" s="104" t="n">
        <v>24.634</v>
      </c>
      <c r="K30" s="104" t="n">
        <v>3.695</v>
      </c>
      <c r="L30" s="104" t="n">
        <v>2.589</v>
      </c>
      <c r="M30" s="104" t="n">
        <v>11.14</v>
      </c>
      <c r="N30" s="91"/>
      <c r="O30" s="91"/>
      <c r="P30" s="91"/>
      <c r="Q30" s="91"/>
      <c r="R30" s="91"/>
    </row>
    <row r="31" customFormat="false" ht="12.75" hidden="false" customHeight="false" outlineLevel="0" collapsed="false">
      <c r="A31" s="36" t="s">
        <v>75</v>
      </c>
      <c r="B31" s="108"/>
      <c r="C31" s="109" t="n">
        <v>22.816</v>
      </c>
      <c r="D31" s="109" t="n">
        <v>22.615</v>
      </c>
      <c r="E31" s="109" t="n">
        <v>70.263</v>
      </c>
      <c r="F31" s="110" t="n">
        <v>0.324722827092495</v>
      </c>
      <c r="G31" s="111" t="n">
        <v>6.409</v>
      </c>
      <c r="H31" s="112" t="n">
        <v>6.109</v>
      </c>
      <c r="I31" s="109" t="n">
        <v>245.695</v>
      </c>
      <c r="J31" s="109" t="n">
        <v>241.759</v>
      </c>
      <c r="K31" s="109" t="n">
        <v>16.538</v>
      </c>
      <c r="L31" s="109" t="n">
        <v>15.875</v>
      </c>
      <c r="M31" s="109" t="n">
        <v>150.503</v>
      </c>
      <c r="N31" s="91"/>
      <c r="O31" s="91"/>
      <c r="P31" s="91"/>
      <c r="Q31" s="91"/>
      <c r="R31" s="91"/>
    </row>
    <row r="32" customFormat="false" ht="12.75" hidden="false" customHeight="false" outlineLevel="0" collapsed="false">
      <c r="A32" s="55" t="s">
        <v>76</v>
      </c>
      <c r="B32" s="87"/>
      <c r="C32" s="113" t="n">
        <v>9.092</v>
      </c>
      <c r="D32" s="114" t="n">
        <v>9.023</v>
      </c>
      <c r="E32" s="114" t="n">
        <v>163.4</v>
      </c>
      <c r="F32" s="115" t="n">
        <v>0.0556425948592411</v>
      </c>
      <c r="G32" s="116" t="n">
        <v>3.315</v>
      </c>
      <c r="H32" s="113" t="n">
        <v>3.286</v>
      </c>
      <c r="I32" s="113" t="n">
        <v>90.604</v>
      </c>
      <c r="J32" s="117" t="n">
        <v>88.244</v>
      </c>
      <c r="K32" s="113" t="n">
        <v>7.821</v>
      </c>
      <c r="L32" s="113" t="n">
        <v>7.642</v>
      </c>
      <c r="M32" s="114" t="n">
        <v>75.286</v>
      </c>
      <c r="N32" s="91"/>
      <c r="O32" s="91"/>
      <c r="P32" s="91"/>
      <c r="Q32" s="91"/>
      <c r="R32" s="91"/>
    </row>
    <row r="33" customFormat="false" ht="12.75" hidden="false" customHeight="false" outlineLevel="0" collapsed="false">
      <c r="A33" s="118" t="s">
        <v>77</v>
      </c>
      <c r="B33" s="119"/>
      <c r="C33" s="120" t="n">
        <v>22.3064964633643</v>
      </c>
      <c r="D33" s="121" t="n">
        <v>20.6258959938839</v>
      </c>
      <c r="E33" s="121" t="n">
        <v>330.742621</v>
      </c>
      <c r="F33" s="122" t="n">
        <v>0.0674436708396416</v>
      </c>
      <c r="G33" s="123" t="n">
        <v>4.70586123998739</v>
      </c>
      <c r="H33" s="120" t="n">
        <v>4.32656881974898</v>
      </c>
      <c r="I33" s="120" t="n">
        <v>135.983699075588</v>
      </c>
      <c r="J33" s="124" t="n">
        <v>112.294322351636</v>
      </c>
      <c r="K33" s="120" t="n">
        <v>7.73370672130443</v>
      </c>
      <c r="L33" s="120" t="n">
        <v>6.69630754052861</v>
      </c>
      <c r="M33" s="121" t="n">
        <v>79.863582298882</v>
      </c>
      <c r="N33" s="91"/>
      <c r="O33" s="91"/>
      <c r="P33" s="91"/>
      <c r="Q33" s="91"/>
      <c r="R33" s="91"/>
    </row>
    <row r="34" s="64" customFormat="true" ht="13.5" hidden="false" customHeight="false" outlineLevel="0" collapsed="false">
      <c r="A34" s="61" t="s">
        <v>78</v>
      </c>
      <c r="B34" s="61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</row>
    <row r="35" s="64" customFormat="true" ht="12.75" hidden="false" customHeight="false" outlineLevel="0" collapsed="false">
      <c r="A35" s="63" t="s">
        <v>79</v>
      </c>
      <c r="B35" s="63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</row>
    <row r="36" s="64" customFormat="true" ht="12.75" hidden="false" customHeight="false" outlineLevel="0" collapsed="false">
      <c r="A36" s="63" t="s">
        <v>62</v>
      </c>
      <c r="B36" s="63"/>
      <c r="N36" s="62"/>
      <c r="O36" s="62"/>
      <c r="P36" s="62"/>
      <c r="Q36" s="62"/>
      <c r="R36" s="62"/>
    </row>
    <row r="37" s="67" customFormat="true" ht="12" hidden="false" customHeight="false" outlineLevel="0" collapsed="false">
      <c r="A37" s="65"/>
      <c r="B37" s="65"/>
      <c r="C37" s="66"/>
      <c r="E37" s="65"/>
      <c r="G37" s="68"/>
      <c r="H37" s="69"/>
      <c r="I37" s="70"/>
      <c r="J37" s="71"/>
      <c r="K37" s="72"/>
      <c r="M37" s="73"/>
    </row>
    <row r="39" customFormat="false" ht="52.5" hidden="false" customHeight="true" outlineLevel="0" collapsed="false">
      <c r="A39" s="20" t="n">
        <v>2018</v>
      </c>
      <c r="B39" s="20"/>
      <c r="C39" s="74" t="s">
        <v>55</v>
      </c>
      <c r="D39" s="75" t="s">
        <v>56</v>
      </c>
      <c r="E39" s="22" t="s">
        <v>57</v>
      </c>
      <c r="F39" s="22" t="s">
        <v>58</v>
      </c>
      <c r="G39" s="22" t="s">
        <v>59</v>
      </c>
      <c r="H39" s="22" t="s">
        <v>60</v>
      </c>
      <c r="I39" s="22" t="s">
        <v>61</v>
      </c>
    </row>
    <row r="40" customFormat="false" ht="13.5" hidden="false" customHeight="false" outlineLevel="0" collapsed="false">
      <c r="A40" s="92" t="s">
        <v>64</v>
      </c>
      <c r="B40" s="92"/>
      <c r="C40" s="125" t="n">
        <f aca="false">SUM(C42:C68)</f>
        <v>4959.6556076215</v>
      </c>
      <c r="D40" s="125" t="n">
        <v>4006.24720041883</v>
      </c>
      <c r="E40" s="126"/>
      <c r="F40" s="127"/>
      <c r="G40" s="127"/>
      <c r="H40" s="127"/>
      <c r="I40" s="127"/>
    </row>
    <row r="41" customFormat="false" ht="13.5" hidden="false" customHeight="false" outlineLevel="0" collapsed="false">
      <c r="A41" s="95" t="s">
        <v>65</v>
      </c>
      <c r="B41" s="95"/>
      <c r="C41" s="128" t="n">
        <f aca="false">SUM(C42:C69)</f>
        <v>5229.1572045623</v>
      </c>
      <c r="D41" s="128" t="n">
        <v>4237.71268491328</v>
      </c>
      <c r="E41" s="129"/>
      <c r="F41" s="130"/>
      <c r="G41" s="130"/>
      <c r="H41" s="130"/>
      <c r="I41" s="130"/>
    </row>
    <row r="42" customFormat="false" ht="13.5" hidden="false" customHeight="false" outlineLevel="0" collapsed="false">
      <c r="A42" s="30" t="s">
        <v>66</v>
      </c>
      <c r="B42" s="77"/>
      <c r="C42" s="131" t="n">
        <v>154.74444</v>
      </c>
      <c r="D42" s="131" t="n">
        <v>129.90715</v>
      </c>
      <c r="E42" s="132" t="n">
        <v>0.0139987194370279</v>
      </c>
      <c r="F42" s="133" t="n">
        <v>0.00970579621471376</v>
      </c>
      <c r="G42" s="133" t="n">
        <v>0.665687898059536</v>
      </c>
      <c r="H42" s="133" t="n">
        <v>0.18699232101651</v>
      </c>
      <c r="I42" s="133" t="n">
        <v>0.123615265272213</v>
      </c>
    </row>
    <row r="43" customFormat="false" ht="12.75" hidden="false" customHeight="false" outlineLevel="0" collapsed="false">
      <c r="A43" s="36" t="s">
        <v>27</v>
      </c>
      <c r="B43" s="77"/>
      <c r="C43" s="131" t="n">
        <v>65.258</v>
      </c>
      <c r="D43" s="131" t="n">
        <v>55.452</v>
      </c>
      <c r="E43" s="132" t="n">
        <v>0.278881496301121</v>
      </c>
      <c r="F43" s="133" t="n">
        <v>0.0105615781882473</v>
      </c>
      <c r="G43" s="133" t="n">
        <v>0.384791947765939</v>
      </c>
      <c r="H43" s="133" t="n">
        <v>0.185952015384854</v>
      </c>
      <c r="I43" s="133" t="n">
        <v>0.139812962359838</v>
      </c>
    </row>
    <row r="44" customFormat="false" ht="12.75" hidden="false" customHeight="false" outlineLevel="0" collapsed="false">
      <c r="A44" s="36" t="s">
        <v>28</v>
      </c>
      <c r="B44" s="80"/>
      <c r="C44" s="134" t="n">
        <v>167.364413491925</v>
      </c>
      <c r="D44" s="134" t="n">
        <v>134.540003324217</v>
      </c>
      <c r="E44" s="135" t="n">
        <v>0.605992671952433</v>
      </c>
      <c r="F44" s="136" t="n">
        <v>0.00852191578844556</v>
      </c>
      <c r="G44" s="136" t="n">
        <v>0.125241349796115</v>
      </c>
      <c r="H44" s="136" t="n">
        <v>0.236688347925255</v>
      </c>
      <c r="I44" s="136" t="n">
        <v>0.0235557145377521</v>
      </c>
    </row>
    <row r="45" customFormat="false" ht="12.75" hidden="false" customHeight="false" outlineLevel="0" collapsed="false">
      <c r="A45" s="36" t="s">
        <v>29</v>
      </c>
      <c r="B45" s="80"/>
      <c r="C45" s="134" t="n">
        <v>152.487911641717</v>
      </c>
      <c r="D45" s="134" t="n">
        <v>151.988547877759</v>
      </c>
      <c r="E45" s="137" t="n">
        <v>0.206994944758113</v>
      </c>
      <c r="F45" s="136" t="n">
        <v>0.0219235621944399</v>
      </c>
      <c r="G45" s="136" t="n">
        <v>0.138951805404747</v>
      </c>
      <c r="H45" s="136" t="n">
        <v>0.530574335123462</v>
      </c>
      <c r="I45" s="136" t="n">
        <v>0.101555352519239</v>
      </c>
    </row>
    <row r="46" customFormat="false" ht="12.75" hidden="false" customHeight="false" outlineLevel="0" collapsed="false">
      <c r="A46" s="36" t="s">
        <v>30</v>
      </c>
      <c r="B46" s="80"/>
      <c r="C46" s="134" t="n">
        <v>1402.1821</v>
      </c>
      <c r="D46" s="134" t="n">
        <v>877.3703</v>
      </c>
      <c r="E46" s="135" t="n">
        <v>0.241714853703042</v>
      </c>
      <c r="F46" s="136" t="n">
        <v>0.0204567349916204</v>
      </c>
      <c r="G46" s="136" t="n">
        <v>0.479957347705063</v>
      </c>
      <c r="H46" s="136" t="n">
        <v>0.143217975131894</v>
      </c>
      <c r="I46" s="136" t="n">
        <v>0.114653088468382</v>
      </c>
    </row>
    <row r="47" customFormat="false" ht="13.5" hidden="false" customHeight="false" outlineLevel="0" collapsed="false">
      <c r="A47" s="36" t="s">
        <v>67</v>
      </c>
      <c r="B47" s="80"/>
      <c r="C47" s="134" t="n">
        <v>21.421973</v>
      </c>
      <c r="D47" s="134" t="n">
        <v>21.421973</v>
      </c>
      <c r="E47" s="135" t="n">
        <v>0.21449938341347</v>
      </c>
      <c r="F47" s="136" t="n">
        <v>0.133040966861456</v>
      </c>
      <c r="G47" s="136" t="n">
        <v>0.00045373971855907</v>
      </c>
      <c r="H47" s="136" t="n">
        <v>0.64257479924935</v>
      </c>
      <c r="I47" s="136" t="n">
        <v>0.00943111075716508</v>
      </c>
    </row>
    <row r="48" customFormat="false" ht="13.5" hidden="false" customHeight="false" outlineLevel="0" collapsed="false">
      <c r="A48" s="36" t="s">
        <v>68</v>
      </c>
      <c r="B48" s="80"/>
      <c r="C48" s="134" t="n">
        <v>23.4106766021912</v>
      </c>
      <c r="D48" s="134" t="n">
        <v>21.4695629227726</v>
      </c>
      <c r="E48" s="135" t="n">
        <v>0.0249893208030756</v>
      </c>
      <c r="F48" s="136" t="n">
        <v>0</v>
      </c>
      <c r="G48" s="136" t="n">
        <v>0.940837249038872</v>
      </c>
      <c r="H48" s="136" t="n">
        <v>0.0322938914993593</v>
      </c>
      <c r="I48" s="136" t="n">
        <v>0.00187953865869287</v>
      </c>
    </row>
    <row r="49" customFormat="false" ht="13.5" hidden="false" customHeight="false" outlineLevel="0" collapsed="false">
      <c r="A49" s="36" t="s">
        <v>69</v>
      </c>
      <c r="B49" s="80"/>
      <c r="C49" s="134" t="n">
        <v>30.40551</v>
      </c>
      <c r="D49" s="134" t="n">
        <v>26.77851</v>
      </c>
      <c r="E49" s="137" t="n">
        <v>0.119287589650692</v>
      </c>
      <c r="F49" s="136" t="n">
        <v>0.312553218150263</v>
      </c>
      <c r="G49" s="136" t="n">
        <v>0.464378331427429</v>
      </c>
      <c r="H49" s="136" t="n">
        <v>0.00562398065350655</v>
      </c>
      <c r="I49" s="136" t="n">
        <v>0.0981568801181102</v>
      </c>
    </row>
    <row r="50" customFormat="false" ht="12.75" hidden="false" customHeight="false" outlineLevel="0" collapsed="false">
      <c r="A50" s="36" t="s">
        <v>34</v>
      </c>
      <c r="B50" s="80"/>
      <c r="C50" s="134" t="n">
        <v>313.563</v>
      </c>
      <c r="D50" s="134" t="n">
        <v>313.514</v>
      </c>
      <c r="E50" s="135" t="n">
        <v>0.0223870726978896</v>
      </c>
      <c r="F50" s="136" t="n">
        <v>0.0715893436213105</v>
      </c>
      <c r="G50" s="136" t="n">
        <v>0.810150882516076</v>
      </c>
      <c r="H50" s="136" t="n">
        <v>0.0886254867652494</v>
      </c>
      <c r="I50" s="136" t="n">
        <v>0.00724867882234758</v>
      </c>
    </row>
    <row r="51" customFormat="false" ht="12.75" hidden="false" customHeight="false" outlineLevel="0" collapsed="false">
      <c r="A51" s="36" t="s">
        <v>35</v>
      </c>
      <c r="B51" s="80"/>
      <c r="C51" s="134" t="n">
        <v>284.04054</v>
      </c>
      <c r="D51" s="134" t="n">
        <v>181.48455</v>
      </c>
      <c r="E51" s="135" t="n">
        <v>0.0408430001015961</v>
      </c>
      <c r="F51" s="136" t="n">
        <v>0.044409376926265</v>
      </c>
      <c r="G51" s="136" t="n">
        <v>0.51246988478672</v>
      </c>
      <c r="H51" s="136" t="n">
        <v>0.300803303093839</v>
      </c>
      <c r="I51" s="136" t="n">
        <v>0.10147443509158</v>
      </c>
    </row>
    <row r="52" customFormat="false" ht="12.75" hidden="false" customHeight="false" outlineLevel="0" collapsed="false">
      <c r="A52" s="36" t="s">
        <v>36</v>
      </c>
      <c r="B52" s="80"/>
      <c r="C52" s="134" t="n">
        <v>43.1106191875562</v>
      </c>
      <c r="D52" s="134" t="n">
        <v>27.9827139942941</v>
      </c>
      <c r="E52" s="135" t="n">
        <v>0.0157016772214835</v>
      </c>
      <c r="F52" s="136" t="n">
        <v>0.0793883526121792</v>
      </c>
      <c r="G52" s="136" t="n">
        <v>0.749562598386228</v>
      </c>
      <c r="H52" s="136" t="n">
        <v>0.15534179931072</v>
      </c>
      <c r="I52" s="136" t="n">
        <v>5.57246938856844E-006</v>
      </c>
    </row>
    <row r="53" customFormat="false" ht="12.75" hidden="false" customHeight="false" outlineLevel="0" collapsed="false">
      <c r="A53" s="36" t="s">
        <v>37</v>
      </c>
      <c r="B53" s="80"/>
      <c r="C53" s="134" t="n">
        <v>440.839</v>
      </c>
      <c r="D53" s="134" t="n">
        <v>384.438</v>
      </c>
      <c r="E53" s="135" t="n">
        <v>0.0181086519114688</v>
      </c>
      <c r="F53" s="136" t="n">
        <v>0.0874673066584399</v>
      </c>
      <c r="G53" s="136" t="n">
        <v>0.659853143664694</v>
      </c>
      <c r="H53" s="136" t="n">
        <v>0.160949915955712</v>
      </c>
      <c r="I53" s="136" t="n">
        <v>0.0736209818096856</v>
      </c>
    </row>
    <row r="54" customFormat="false" ht="12.75" hidden="false" customHeight="false" outlineLevel="0" collapsed="false">
      <c r="A54" s="36" t="s">
        <v>38</v>
      </c>
      <c r="B54" s="80"/>
      <c r="C54" s="134" t="n">
        <v>0.3233659471452</v>
      </c>
      <c r="D54" s="134" t="n">
        <v>0.00892565764768115</v>
      </c>
      <c r="E54" s="135" t="n">
        <v>0</v>
      </c>
      <c r="F54" s="136" t="n">
        <v>0.0790359819688971</v>
      </c>
      <c r="G54" s="136" t="n">
        <v>0</v>
      </c>
      <c r="H54" s="136" t="n">
        <v>0.920964018031103</v>
      </c>
      <c r="I54" s="136" t="n">
        <v>0</v>
      </c>
    </row>
    <row r="55" customFormat="false" ht="12.75" hidden="false" customHeight="false" outlineLevel="0" collapsed="false">
      <c r="A55" s="36" t="s">
        <v>70</v>
      </c>
      <c r="B55" s="80"/>
      <c r="C55" s="134" t="n">
        <v>31.864</v>
      </c>
      <c r="D55" s="134" t="n">
        <v>31.447</v>
      </c>
      <c r="E55" s="135" t="n">
        <v>0.00505272407732865</v>
      </c>
      <c r="F55" s="136" t="n">
        <v>0</v>
      </c>
      <c r="G55" s="136" t="n">
        <v>0.557557117750439</v>
      </c>
      <c r="H55" s="136" t="n">
        <v>0.437296008034145</v>
      </c>
      <c r="I55" s="136" t="n">
        <v>9.41501380868692E-005</v>
      </c>
    </row>
    <row r="56" customFormat="false" ht="12.75" hidden="false" customHeight="false" outlineLevel="0" collapsed="false">
      <c r="A56" s="36" t="s">
        <v>40</v>
      </c>
      <c r="B56" s="80"/>
      <c r="C56" s="134" t="n">
        <v>17.063</v>
      </c>
      <c r="D56" s="134" t="n">
        <v>15.524</v>
      </c>
      <c r="E56" s="135" t="n">
        <v>0</v>
      </c>
      <c r="F56" s="136" t="n">
        <v>0.149197297464824</v>
      </c>
      <c r="G56" s="136" t="n">
        <v>0.214281286803446</v>
      </c>
      <c r="H56" s="136" t="n">
        <v>0.520300006198475</v>
      </c>
      <c r="I56" s="136" t="n">
        <v>0.116221409533255</v>
      </c>
    </row>
    <row r="57" customFormat="false" ht="12.75" hidden="false" customHeight="false" outlineLevel="0" collapsed="false">
      <c r="A57" s="36" t="s">
        <v>41</v>
      </c>
      <c r="B57" s="80"/>
      <c r="C57" s="134" t="n">
        <v>4.728</v>
      </c>
      <c r="D57" s="134" t="n">
        <v>4.728</v>
      </c>
      <c r="E57" s="135" t="n">
        <v>0</v>
      </c>
      <c r="F57" s="136" t="n">
        <v>0</v>
      </c>
      <c r="G57" s="136" t="n">
        <v>0.478770413064361</v>
      </c>
      <c r="H57" s="136" t="n">
        <v>0.520461095100865</v>
      </c>
      <c r="I57" s="136" t="n">
        <v>0.000768491834774256</v>
      </c>
    </row>
    <row r="58" customFormat="false" ht="13.5" hidden="false" customHeight="false" outlineLevel="0" collapsed="false">
      <c r="A58" s="36" t="s">
        <v>71</v>
      </c>
      <c r="B58" s="80"/>
      <c r="C58" s="134" t="n">
        <v>53.598</v>
      </c>
      <c r="D58" s="134" t="n">
        <v>44.379</v>
      </c>
      <c r="E58" s="135" t="n">
        <v>0.0844282478085295</v>
      </c>
      <c r="F58" s="136" t="n">
        <v>0.000177287501231163</v>
      </c>
      <c r="G58" s="136" t="n">
        <v>0.699123411799468</v>
      </c>
      <c r="H58" s="136" t="n">
        <v>0.144627203782133</v>
      </c>
      <c r="I58" s="136" t="n">
        <v>0.0716438491086378</v>
      </c>
    </row>
    <row r="59" customFormat="false" ht="12.75" hidden="false" customHeight="false" outlineLevel="0" collapsed="false">
      <c r="A59" s="36" t="s">
        <v>43</v>
      </c>
      <c r="B59" s="80"/>
      <c r="C59" s="134" t="n">
        <v>1.45777</v>
      </c>
      <c r="D59" s="134" t="n">
        <v>0.07353</v>
      </c>
      <c r="E59" s="135" t="n">
        <v>0</v>
      </c>
      <c r="F59" s="136" t="n">
        <v>0</v>
      </c>
      <c r="G59" s="136" t="n">
        <v>0.938474519300027</v>
      </c>
      <c r="H59" s="136" t="n">
        <v>0.0518188740336267</v>
      </c>
      <c r="I59" s="136" t="n">
        <v>0.00970660666634654</v>
      </c>
    </row>
    <row r="60" customFormat="false" ht="12.75" hidden="false" customHeight="false" outlineLevel="0" collapsed="false">
      <c r="A60" s="36" t="s">
        <v>72</v>
      </c>
      <c r="B60" s="80"/>
      <c r="C60" s="134" t="n">
        <v>340.036</v>
      </c>
      <c r="D60" s="134" t="n">
        <v>324.509</v>
      </c>
      <c r="E60" s="135" t="n">
        <v>0.0287851391446922</v>
      </c>
      <c r="F60" s="136" t="n">
        <v>0.0397250078328753</v>
      </c>
      <c r="G60" s="136" t="n">
        <v>0.805652017312774</v>
      </c>
      <c r="H60" s="136" t="n">
        <v>0.0879243900518079</v>
      </c>
      <c r="I60" s="136" t="n">
        <v>0.0379134456578504</v>
      </c>
    </row>
    <row r="61" customFormat="false" ht="12.75" hidden="false" customHeight="false" outlineLevel="0" collapsed="false">
      <c r="A61" s="36" t="s">
        <v>45</v>
      </c>
      <c r="B61" s="80"/>
      <c r="C61" s="134" t="n">
        <v>171.938017825876</v>
      </c>
      <c r="D61" s="134" t="n">
        <v>171.938017825876</v>
      </c>
      <c r="E61" s="135" t="n">
        <v>0.0765309770764653</v>
      </c>
      <c r="F61" s="136" t="n">
        <v>0.0742485582575022</v>
      </c>
      <c r="G61" s="136" t="n">
        <v>0.386707865709323</v>
      </c>
      <c r="H61" s="136" t="n">
        <v>0.410817659626774</v>
      </c>
      <c r="I61" s="136" t="n">
        <v>0.0516949393299353</v>
      </c>
    </row>
    <row r="62" customFormat="false" ht="12.75" hidden="false" customHeight="false" outlineLevel="0" collapsed="false">
      <c r="A62" s="36" t="s">
        <v>46</v>
      </c>
      <c r="B62" s="80"/>
      <c r="C62" s="134" t="n">
        <v>436.752</v>
      </c>
      <c r="D62" s="134" t="n">
        <v>386.215</v>
      </c>
      <c r="E62" s="135" t="n">
        <v>0.664</v>
      </c>
      <c r="F62" s="136" t="n">
        <v>0.07</v>
      </c>
      <c r="G62" s="136" t="n">
        <v>0.123</v>
      </c>
      <c r="H62" s="136" t="n">
        <v>0.129</v>
      </c>
      <c r="I62" s="136" t="n">
        <v>0.014</v>
      </c>
    </row>
    <row r="63" customFormat="false" ht="13.5" hidden="false" customHeight="false" outlineLevel="0" collapsed="false">
      <c r="A63" s="36" t="s">
        <v>73</v>
      </c>
      <c r="B63" s="80"/>
      <c r="C63" s="134" t="n">
        <v>107.341</v>
      </c>
      <c r="D63" s="134" t="n">
        <v>72.39</v>
      </c>
      <c r="E63" s="135" t="n">
        <v>0</v>
      </c>
      <c r="F63" s="136" t="n">
        <v>0.0705941962229387</v>
      </c>
      <c r="G63" s="136" t="n">
        <v>0.461298940580378</v>
      </c>
      <c r="H63" s="136" t="n">
        <v>0.462994011976048</v>
      </c>
      <c r="I63" s="136" t="n">
        <v>0.00511285122063565</v>
      </c>
    </row>
    <row r="64" customFormat="false" ht="12.75" hidden="false" customHeight="false" outlineLevel="0" collapsed="false">
      <c r="A64" s="36" t="s">
        <v>48</v>
      </c>
      <c r="B64" s="80"/>
      <c r="C64" s="134" t="n">
        <v>77.3806173495002</v>
      </c>
      <c r="D64" s="134" t="n">
        <v>39.6826173495002</v>
      </c>
      <c r="E64" s="135" t="n">
        <v>0.2346441632959</v>
      </c>
      <c r="F64" s="136" t="n">
        <v>0.0304984427701891</v>
      </c>
      <c r="G64" s="136" t="n">
        <v>0.67560512270454</v>
      </c>
      <c r="H64" s="136" t="n">
        <v>0.0566159651594061</v>
      </c>
      <c r="I64" s="136" t="n">
        <v>0.0026363060699655</v>
      </c>
    </row>
    <row r="65" customFormat="false" ht="13.5" hidden="false" customHeight="false" outlineLevel="0" collapsed="false">
      <c r="A65" s="36" t="s">
        <v>74</v>
      </c>
      <c r="B65" s="80"/>
      <c r="C65" s="134" t="n">
        <v>20.2796525755883</v>
      </c>
      <c r="D65" s="134" t="n">
        <v>12.620798466759</v>
      </c>
      <c r="E65" s="135" t="n">
        <v>0.481407446863414</v>
      </c>
      <c r="F65" s="136" t="n">
        <v>0.00311730204866027</v>
      </c>
      <c r="G65" s="136" t="n">
        <v>0.296964405270404</v>
      </c>
      <c r="H65" s="136" t="n">
        <v>0.195307434997435</v>
      </c>
      <c r="I65" s="136" t="n">
        <v>0.0232034108200864</v>
      </c>
    </row>
    <row r="66" customFormat="false" ht="12.75" hidden="false" customHeight="false" outlineLevel="0" collapsed="false">
      <c r="A66" s="36" t="s">
        <v>50</v>
      </c>
      <c r="B66" s="80"/>
      <c r="C66" s="134" t="n">
        <v>54.192</v>
      </c>
      <c r="D66" s="134" t="n">
        <v>42.366</v>
      </c>
      <c r="E66" s="135" t="n">
        <v>0.212662151414942</v>
      </c>
      <c r="F66" s="136" t="n">
        <v>0.140650491699829</v>
      </c>
      <c r="G66" s="136" t="n">
        <v>0.275990668334964</v>
      </c>
      <c r="H66" s="136" t="n">
        <v>0.312018502725131</v>
      </c>
      <c r="I66" s="136" t="n">
        <v>0.058678185825134</v>
      </c>
    </row>
    <row r="67" customFormat="false" ht="12.75" hidden="false" customHeight="false" outlineLevel="0" collapsed="false">
      <c r="A67" s="49" t="s">
        <v>75</v>
      </c>
      <c r="B67" s="108"/>
      <c r="C67" s="109" t="n">
        <v>400.336</v>
      </c>
      <c r="D67" s="109" t="n">
        <v>393.855</v>
      </c>
      <c r="E67" s="138" t="n">
        <v>0.229504716038528</v>
      </c>
      <c r="F67" s="139" t="n">
        <v>0.00521062307661564</v>
      </c>
      <c r="G67" s="139" t="n">
        <v>0.0975655449422485</v>
      </c>
      <c r="H67" s="139" t="n">
        <v>0.629316374245634</v>
      </c>
      <c r="I67" s="139" t="n">
        <v>0.0384052395987371</v>
      </c>
    </row>
    <row r="68" customFormat="false" ht="12.75" hidden="false" customHeight="false" outlineLevel="0" collapsed="false">
      <c r="A68" s="55" t="s">
        <v>76</v>
      </c>
      <c r="B68" s="87"/>
      <c r="C68" s="140" t="n">
        <v>143.538</v>
      </c>
      <c r="D68" s="140" t="n">
        <v>140.163</v>
      </c>
      <c r="E68" s="141" t="n">
        <v>0.103185219245078</v>
      </c>
      <c r="F68" s="142" t="n">
        <v>0.00505789407682983</v>
      </c>
      <c r="G68" s="142" t="n">
        <v>0.0434658417979908</v>
      </c>
      <c r="H68" s="142" t="n">
        <v>0.583538853822681</v>
      </c>
      <c r="I68" s="142" t="n">
        <v>0.26475219105742</v>
      </c>
    </row>
    <row r="69" customFormat="false" ht="12.75" hidden="false" customHeight="false" outlineLevel="0" collapsed="false">
      <c r="A69" s="118" t="s">
        <v>77</v>
      </c>
      <c r="B69" s="119"/>
      <c r="C69" s="143" t="n">
        <v>269.5015969408</v>
      </c>
      <c r="D69" s="143" t="n">
        <v>231.465484494451</v>
      </c>
      <c r="E69" s="144" t="n">
        <v>0.0217774778874341</v>
      </c>
      <c r="F69" s="145" t="n">
        <v>0.111861643417326</v>
      </c>
      <c r="G69" s="145" t="n">
        <v>0.73072869336896</v>
      </c>
      <c r="H69" s="145" t="n">
        <v>0.0976776596529417</v>
      </c>
      <c r="I69" s="145" t="n">
        <v>0.0379545256733378</v>
      </c>
    </row>
    <row r="70" customFormat="false" ht="12.75" hidden="false" customHeight="false" outlineLevel="0" collapsed="false">
      <c r="A70" s="63" t="s">
        <v>79</v>
      </c>
      <c r="B70" s="63"/>
      <c r="C70" s="90"/>
      <c r="D70" s="90"/>
      <c r="E70" s="16"/>
      <c r="F70" s="16"/>
      <c r="G70" s="16"/>
      <c r="H70" s="16"/>
      <c r="I70" s="16"/>
    </row>
    <row r="71" customFormat="false" ht="12.75" hidden="false" customHeight="false" outlineLevel="0" collapsed="false">
      <c r="A71" s="63" t="s">
        <v>62</v>
      </c>
      <c r="B71" s="63"/>
    </row>
    <row r="72" customFormat="false" ht="12.75" hidden="false" customHeight="false" outlineLevel="0" collapsed="false">
      <c r="A72" s="67"/>
      <c r="B72" s="67"/>
    </row>
    <row r="73" s="67" customFormat="true" ht="12" hidden="false" customHeight="false" outlineLevel="0" collapsed="false">
      <c r="A73" s="65"/>
      <c r="B73" s="65"/>
      <c r="C73" s="66"/>
      <c r="E73" s="65"/>
      <c r="G73" s="68"/>
      <c r="H73" s="69"/>
      <c r="I73" s="70"/>
      <c r="J73" s="71"/>
      <c r="K73" s="72"/>
      <c r="M73" s="73"/>
    </row>
  </sheetData>
  <printOptions headings="false" gridLines="false" gridLinesSet="true" horizontalCentered="false" verticalCentered="false"/>
  <pageMargins left="0.25" right="0.25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3:43 A1"/>
    </sheetView>
  </sheetViews>
  <sheetFormatPr defaultColWidth="9.1484375" defaultRowHeight="12.75" zeroHeight="false" outlineLevelRow="0" outlineLevelCol="0"/>
  <cols>
    <col collapsed="false" customWidth="true" hidden="false" outlineLevel="0" max="1" min="1" style="18" width="24"/>
    <col collapsed="false" customWidth="true" hidden="false" outlineLevel="0" max="12" min="2" style="18" width="10.71"/>
    <col collapsed="false" customWidth="false" hidden="false" outlineLevel="0" max="16384" min="13" style="18" width="9.14"/>
  </cols>
  <sheetData>
    <row r="1" customFormat="false" ht="15.75" hidden="false" customHeight="false" outlineLevel="0" collapsed="false">
      <c r="A1" s="14" t="s">
        <v>80</v>
      </c>
      <c r="B1" s="15"/>
      <c r="C1" s="16"/>
      <c r="D1" s="16"/>
      <c r="E1" s="16"/>
      <c r="F1" s="17"/>
      <c r="G1" s="17"/>
      <c r="H1" s="16"/>
      <c r="I1" s="16"/>
    </row>
    <row r="2" customFormat="false" ht="12.75" hidden="false" customHeight="false" outlineLevel="0" collapsed="false">
      <c r="A2" s="19"/>
      <c r="B2" s="15"/>
      <c r="C2" s="16"/>
      <c r="D2" s="16"/>
      <c r="E2" s="16"/>
      <c r="F2" s="17"/>
      <c r="G2" s="17"/>
      <c r="H2" s="16"/>
      <c r="I2" s="16"/>
    </row>
    <row r="3" customFormat="false" ht="60" hidden="false" customHeight="false" outlineLevel="0" collapsed="false">
      <c r="A3" s="146"/>
      <c r="B3" s="147" t="s">
        <v>17</v>
      </c>
      <c r="C3" s="148" t="s">
        <v>18</v>
      </c>
      <c r="D3" s="149" t="s">
        <v>81</v>
      </c>
      <c r="E3" s="150" t="s">
        <v>20</v>
      </c>
      <c r="F3" s="151" t="s">
        <v>21</v>
      </c>
      <c r="G3" s="151" t="s">
        <v>18</v>
      </c>
      <c r="H3" s="149" t="s">
        <v>22</v>
      </c>
      <c r="I3" s="148" t="s">
        <v>18</v>
      </c>
      <c r="J3" s="147" t="s">
        <v>23</v>
      </c>
      <c r="K3" s="151" t="s">
        <v>18</v>
      </c>
      <c r="L3" s="147" t="s">
        <v>24</v>
      </c>
      <c r="M3" s="91"/>
      <c r="N3" s="91"/>
      <c r="O3" s="91"/>
      <c r="P3" s="91"/>
      <c r="Q3" s="91"/>
    </row>
    <row r="4" customFormat="false" ht="13.5" hidden="false" customHeight="false" outlineLevel="0" collapsed="false">
      <c r="A4" s="152" t="s">
        <v>82</v>
      </c>
      <c r="B4" s="153" t="n">
        <f aca="false">SUM(B5:B32)</f>
        <v>371.71460216578</v>
      </c>
      <c r="C4" s="154" t="n">
        <f aca="false">SUM(C5:C32)</f>
        <v>325.736432321543</v>
      </c>
      <c r="D4" s="155" t="n">
        <f aca="false">SUM(D5:D32)</f>
        <v>3299.192949</v>
      </c>
      <c r="E4" s="156" t="n">
        <f aca="false">+B4/D4</f>
        <v>0.112668342807428</v>
      </c>
      <c r="F4" s="154" t="n">
        <f aca="false">SUM(F5:F32)</f>
        <v>121.985877861615</v>
      </c>
      <c r="G4" s="154" t="n">
        <f aca="false">SUM(G5:G32)</f>
        <v>102.867643987863</v>
      </c>
      <c r="H4" s="154" t="n">
        <f aca="false">SUM(H5:H32)</f>
        <v>2881.1719353369</v>
      </c>
      <c r="I4" s="154" t="n">
        <f aca="false">SUM(I5:I32)</f>
        <v>2418.11557351959</v>
      </c>
      <c r="J4" s="154" t="n">
        <f aca="false">SUM(J5:J32)</f>
        <v>285.782303867039</v>
      </c>
      <c r="K4" s="154" t="n">
        <f aca="false">SUM(K5:K32)</f>
        <v>227.090748676444</v>
      </c>
      <c r="L4" s="155" t="n">
        <f aca="false">SUM(L5:L32)</f>
        <v>1349.94638329919</v>
      </c>
      <c r="M4" s="91"/>
      <c r="N4" s="91"/>
      <c r="O4" s="91"/>
      <c r="P4" s="91"/>
      <c r="Q4" s="91"/>
    </row>
    <row r="5" customFormat="false" ht="13.5" hidden="false" customHeight="false" outlineLevel="0" collapsed="false">
      <c r="A5" s="30" t="s">
        <v>83</v>
      </c>
      <c r="B5" s="100" t="n">
        <f aca="false">12490.3916580229/1000</f>
        <v>12.4903916580229</v>
      </c>
      <c r="C5" s="100" t="n">
        <f aca="false">11953.1199780229/1000</f>
        <v>11.9531199780229</v>
      </c>
      <c r="D5" s="100" t="n">
        <v>86.6079</v>
      </c>
      <c r="E5" s="101" t="n">
        <f aca="false">+B5/D5</f>
        <v>0.144217694436915</v>
      </c>
      <c r="F5" s="102" t="n">
        <f aca="false">2322.40769996366/1000</f>
        <v>2.32240769996366</v>
      </c>
      <c r="G5" s="103" t="n">
        <f aca="false">2101.79669996367/1000</f>
        <v>2.10179669996367</v>
      </c>
      <c r="H5" s="100" t="n">
        <f aca="false">108662.248299403/1000</f>
        <v>108.662248299403</v>
      </c>
      <c r="I5" s="100" t="n">
        <f aca="false">103191.992699403/1000</f>
        <v>103.191992699403</v>
      </c>
      <c r="J5" s="100" t="n">
        <f aca="false">5111.12318/1000</f>
        <v>5.11112318</v>
      </c>
      <c r="K5" s="100" t="n">
        <f aca="false">4601.09728/1000</f>
        <v>4.60109728</v>
      </c>
      <c r="L5" s="100" t="n">
        <f aca="false">50160.6963101095/1000</f>
        <v>50.1606963101095</v>
      </c>
      <c r="M5" s="91"/>
      <c r="N5" s="91"/>
      <c r="O5" s="91"/>
      <c r="P5" s="91"/>
      <c r="Q5" s="91"/>
    </row>
    <row r="6" customFormat="false" ht="12.75" hidden="false" customHeight="false" outlineLevel="0" collapsed="false">
      <c r="A6" s="36" t="s">
        <v>27</v>
      </c>
      <c r="B6" s="104" t="n">
        <v>3.527</v>
      </c>
      <c r="C6" s="104" t="n">
        <v>3.159</v>
      </c>
      <c r="D6" s="104" t="n">
        <v>45.612786</v>
      </c>
      <c r="E6" s="105" t="n">
        <f aca="false">+B6/D6</f>
        <v>0.0773248097583866</v>
      </c>
      <c r="F6" s="106" t="n">
        <v>1.234</v>
      </c>
      <c r="G6" s="107" t="n">
        <v>1.046</v>
      </c>
      <c r="H6" s="104" t="n">
        <f aca="false">40140/1000</f>
        <v>40.14</v>
      </c>
      <c r="I6" s="104" t="n">
        <f aca="false">34785/1000</f>
        <v>34.785</v>
      </c>
      <c r="J6" s="104" t="n">
        <v>4.576</v>
      </c>
      <c r="K6" s="104" t="n">
        <v>3.996</v>
      </c>
      <c r="L6" s="104" t="n">
        <v>13.036</v>
      </c>
      <c r="M6" s="91"/>
      <c r="N6" s="91"/>
      <c r="O6" s="91"/>
      <c r="P6" s="91"/>
      <c r="Q6" s="91"/>
    </row>
    <row r="7" customFormat="false" ht="12.75" hidden="false" customHeight="false" outlineLevel="0" collapsed="false">
      <c r="A7" s="36" t="s">
        <v>84</v>
      </c>
      <c r="B7" s="104" t="n">
        <f aca="false">7989.15351454139/1000</f>
        <v>7.98915351454139</v>
      </c>
      <c r="C7" s="104" t="n">
        <f aca="false">7124.23225599746/1000</f>
        <v>7.12423225599746</v>
      </c>
      <c r="D7" s="104" t="n">
        <v>87.050264</v>
      </c>
      <c r="E7" s="105" t="n">
        <f aca="false">+B7/D7</f>
        <v>0.0917763272325216</v>
      </c>
      <c r="F7" s="106" t="n">
        <f aca="false">8030.688/1000</f>
        <v>8.030688</v>
      </c>
      <c r="G7" s="107" t="n">
        <f aca="false">6550.101/1000</f>
        <v>6.550101</v>
      </c>
      <c r="H7" s="104" t="n">
        <f aca="false">103517.401785632/1000</f>
        <v>103.517401785632</v>
      </c>
      <c r="I7" s="104" t="n">
        <f aca="false">85551.6768633987/1000</f>
        <v>85.5516768633987</v>
      </c>
      <c r="J7" s="104" t="n">
        <f aca="false">22073.4835/1000</f>
        <v>22.0734835</v>
      </c>
      <c r="K7" s="104" t="n">
        <f aca="false">16166.3205/1000</f>
        <v>16.1663205</v>
      </c>
      <c r="L7" s="104" t="n">
        <f aca="false">36508.2729213234/1000</f>
        <v>36.5082729213234</v>
      </c>
      <c r="M7" s="91"/>
      <c r="N7" s="91"/>
      <c r="O7" s="91"/>
      <c r="P7" s="91"/>
      <c r="Q7" s="91"/>
    </row>
    <row r="8" customFormat="false" ht="12.75" hidden="false" customHeight="false" outlineLevel="0" collapsed="false">
      <c r="A8" s="36" t="s">
        <v>29</v>
      </c>
      <c r="B8" s="104" t="n">
        <f aca="false">11815.229629737/1000</f>
        <v>11.815229629737</v>
      </c>
      <c r="C8" s="104" t="n">
        <f aca="false">11809.3938177131/1000</f>
        <v>11.8093938177131</v>
      </c>
      <c r="D8" s="104" t="n">
        <v>31.039306</v>
      </c>
      <c r="E8" s="105" t="n">
        <f aca="false">+B8/D8</f>
        <v>0.380653795214912</v>
      </c>
      <c r="F8" s="106" t="n">
        <f aca="false">5846.87916019732/1000</f>
        <v>5.84687916019732</v>
      </c>
      <c r="G8" s="107" t="n">
        <f aca="false">5812.92442163807/1000</f>
        <v>5.81292442163807</v>
      </c>
      <c r="H8" s="104" t="n">
        <f aca="false">94419.4311778/1000</f>
        <v>94.4194311778</v>
      </c>
      <c r="I8" s="104" t="n">
        <f aca="false">93991.2193078/1000</f>
        <v>93.9912193078</v>
      </c>
      <c r="J8" s="104" t="n">
        <f aca="false">8810.596/1000</f>
        <v>8.810596</v>
      </c>
      <c r="K8" s="104" t="n">
        <f aca="false">8685.576/1000</f>
        <v>8.685576</v>
      </c>
      <c r="L8" s="104" t="n">
        <f aca="false">80155.1385751814/1000</f>
        <v>80.1551385751814</v>
      </c>
      <c r="M8" s="91"/>
      <c r="N8" s="91"/>
      <c r="O8" s="91"/>
      <c r="P8" s="91"/>
      <c r="Q8" s="91"/>
    </row>
    <row r="9" customFormat="false" ht="12.75" hidden="false" customHeight="false" outlineLevel="0" collapsed="false">
      <c r="A9" s="36" t="s">
        <v>30</v>
      </c>
      <c r="B9" s="104" t="n">
        <f aca="false">94356.7/1000</f>
        <v>94.3567</v>
      </c>
      <c r="C9" s="104" t="n">
        <f aca="false">68695.8/1000</f>
        <v>68.6958</v>
      </c>
      <c r="D9" s="104" t="n">
        <v>653.737</v>
      </c>
      <c r="E9" s="105" t="n">
        <f aca="false">+B9/D9</f>
        <v>0.14433434240375</v>
      </c>
      <c r="F9" s="106" t="n">
        <f aca="false">39630.2/1000</f>
        <v>39.6302</v>
      </c>
      <c r="G9" s="107" t="n">
        <f aca="false">29681.2/1000</f>
        <v>29.6812</v>
      </c>
      <c r="H9" s="104" t="n">
        <f aca="false">703155.3/1000</f>
        <v>703.1553</v>
      </c>
      <c r="I9" s="104" t="n">
        <f aca="false">468922.1/1000</f>
        <v>468.9221</v>
      </c>
      <c r="J9" s="104" t="n">
        <f aca="false">101342.3/1000</f>
        <v>101.3423</v>
      </c>
      <c r="K9" s="104" t="n">
        <f aca="false">70804.8/1000</f>
        <v>70.8048</v>
      </c>
      <c r="L9" s="104" t="n">
        <f aca="false">246654.3/1000</f>
        <v>246.6543</v>
      </c>
      <c r="M9" s="91"/>
      <c r="N9" s="91"/>
      <c r="O9" s="91"/>
      <c r="P9" s="91"/>
      <c r="Q9" s="91"/>
    </row>
    <row r="10" customFormat="false" ht="12.75" hidden="false" customHeight="false" outlineLevel="0" collapsed="false">
      <c r="A10" s="36" t="s">
        <v>31</v>
      </c>
      <c r="B10" s="104" t="n">
        <v>1.089</v>
      </c>
      <c r="C10" s="104" t="n">
        <f aca="false">+B10</f>
        <v>1.089</v>
      </c>
      <c r="D10" s="104" t="n">
        <v>12.903</v>
      </c>
      <c r="E10" s="105" t="n">
        <f aca="false">+B10/D10</f>
        <v>0.0843989769820972</v>
      </c>
      <c r="F10" s="106" t="n">
        <f aca="false">2.24/1000</f>
        <v>0.00224</v>
      </c>
      <c r="G10" s="107" t="n">
        <f aca="false">+F10</f>
        <v>0.00224</v>
      </c>
      <c r="H10" s="104" t="n">
        <v>13.6</v>
      </c>
      <c r="I10" s="104" t="n">
        <f aca="false">+H10</f>
        <v>13.6</v>
      </c>
      <c r="J10" s="104" t="n">
        <v>0.52</v>
      </c>
      <c r="K10" s="104" t="n">
        <f aca="false">+J10</f>
        <v>0.52</v>
      </c>
      <c r="L10" s="104" t="n">
        <v>8.18</v>
      </c>
      <c r="M10" s="91"/>
      <c r="N10" s="91"/>
      <c r="O10" s="91"/>
      <c r="P10" s="91"/>
      <c r="Q10" s="91"/>
    </row>
    <row r="11" customFormat="false" ht="13.5" hidden="false" customHeight="false" outlineLevel="0" collapsed="false">
      <c r="A11" s="36" t="s">
        <v>85</v>
      </c>
      <c r="B11" s="104" t="n">
        <f aca="false">2157.32076958708/1000</f>
        <v>2.15732076958708</v>
      </c>
      <c r="C11" s="104" t="n">
        <f aca="false">2070.33423875321/1000</f>
        <v>2.07033423875321</v>
      </c>
      <c r="D11" s="104" t="n">
        <v>30.870412</v>
      </c>
      <c r="E11" s="105" t="n">
        <f aca="false">+B11/D11</f>
        <v>0.069883122051856</v>
      </c>
      <c r="F11" s="106" t="n">
        <f aca="false">315.357/1000</f>
        <v>0.315357</v>
      </c>
      <c r="G11" s="107" t="n">
        <f aca="false">293.111/1000</f>
        <v>0.293111</v>
      </c>
      <c r="H11" s="104" t="n">
        <f aca="false">11780.3056100971/1000</f>
        <v>11.7803056100971</v>
      </c>
      <c r="I11" s="104" t="n">
        <f aca="false">11226.0690784863/1000</f>
        <v>11.2260690784863</v>
      </c>
      <c r="J11" s="104" t="n">
        <f aca="false">623.1576/1000</f>
        <v>0.6231576</v>
      </c>
      <c r="K11" s="104" t="n">
        <f aca="false">568.7076/1000</f>
        <v>0.5687076</v>
      </c>
      <c r="L11" s="104" t="n">
        <v>7.284</v>
      </c>
      <c r="M11" s="91"/>
      <c r="N11" s="91"/>
      <c r="O11" s="91"/>
      <c r="P11" s="91"/>
      <c r="Q11" s="91"/>
    </row>
    <row r="12" customFormat="false" ht="12.75" hidden="false" customHeight="false" outlineLevel="0" collapsed="false">
      <c r="A12" s="36" t="s">
        <v>33</v>
      </c>
      <c r="B12" s="104" t="n">
        <v>2.154</v>
      </c>
      <c r="C12" s="104" t="n">
        <v>1.937</v>
      </c>
      <c r="D12" s="104" t="n">
        <v>55.266089</v>
      </c>
      <c r="E12" s="105" t="n">
        <f aca="false">+B12/D12</f>
        <v>0.0389750756562492</v>
      </c>
      <c r="F12" s="106" t="n">
        <v>0.332</v>
      </c>
      <c r="G12" s="107" t="n">
        <v>0.29</v>
      </c>
      <c r="H12" s="104" t="n">
        <v>14.607</v>
      </c>
      <c r="I12" s="104" t="n">
        <v>12.47</v>
      </c>
      <c r="J12" s="104" t="n">
        <v>0.94</v>
      </c>
      <c r="K12" s="104" t="n">
        <v>0.563</v>
      </c>
      <c r="L12" s="104" t="n">
        <v>4.589</v>
      </c>
      <c r="M12" s="91"/>
      <c r="N12" s="91"/>
      <c r="O12" s="91"/>
      <c r="P12" s="91"/>
      <c r="Q12" s="91"/>
    </row>
    <row r="13" customFormat="false" ht="12.75" hidden="false" customHeight="false" outlineLevel="0" collapsed="false">
      <c r="A13" s="36" t="s">
        <v>34</v>
      </c>
      <c r="B13" s="104" t="n">
        <v>28.766</v>
      </c>
      <c r="C13" s="104" t="n">
        <v>28.761</v>
      </c>
      <c r="D13" s="104" t="n">
        <v>275.726</v>
      </c>
      <c r="E13" s="105" t="n">
        <f aca="false">+B13/D13</f>
        <v>0.104328209889528</v>
      </c>
      <c r="F13" s="106" t="n">
        <v>4.618</v>
      </c>
      <c r="G13" s="107" t="n">
        <v>4.616</v>
      </c>
      <c r="H13" s="104" t="n">
        <f aca="false">139195/1000</f>
        <v>139.195</v>
      </c>
      <c r="I13" s="104" t="n">
        <f aca="false">139177/1000</f>
        <v>139.177</v>
      </c>
      <c r="J13" s="104" t="n">
        <v>9.809</v>
      </c>
      <c r="K13" s="104" t="n">
        <v>9.807</v>
      </c>
      <c r="L13" s="104" t="n">
        <f aca="false">83734/1000</f>
        <v>83.734</v>
      </c>
      <c r="M13" s="91"/>
      <c r="N13" s="91"/>
      <c r="O13" s="91"/>
      <c r="P13" s="91"/>
      <c r="Q13" s="91"/>
    </row>
    <row r="14" customFormat="false" ht="12.75" hidden="false" customHeight="false" outlineLevel="0" collapsed="false">
      <c r="A14" s="36" t="s">
        <v>35</v>
      </c>
      <c r="B14" s="104" t="n">
        <f aca="false">16641.09/1000</f>
        <v>16.64109</v>
      </c>
      <c r="C14" s="104" t="n">
        <f aca="false">10420.84/1000</f>
        <v>10.42084</v>
      </c>
      <c r="D14" s="104" t="n">
        <v>562.14321</v>
      </c>
      <c r="E14" s="105" t="n">
        <f aca="false">+B14/D14</f>
        <v>0.0296029369455517</v>
      </c>
      <c r="F14" s="106" t="n">
        <f aca="false">6280.31/1000</f>
        <v>6.28031</v>
      </c>
      <c r="G14" s="107" t="n">
        <f aca="false">3393.18/1000</f>
        <v>3.39318</v>
      </c>
      <c r="H14" s="104" t="n">
        <f aca="false">177585.24/1000</f>
        <v>177.58524</v>
      </c>
      <c r="I14" s="104" t="n">
        <f aca="false">121455.67/1000</f>
        <v>121.45567</v>
      </c>
      <c r="J14" s="104" t="n">
        <f aca="false">15302.36/1000</f>
        <v>15.30236</v>
      </c>
      <c r="K14" s="104" t="n">
        <f aca="false">8639.11/1000</f>
        <v>8.63911</v>
      </c>
      <c r="L14" s="104" t="n">
        <f aca="false">61717.34/1000</f>
        <v>61.71734</v>
      </c>
      <c r="M14" s="91"/>
      <c r="N14" s="91"/>
      <c r="O14" s="91"/>
      <c r="P14" s="91"/>
      <c r="Q14" s="91"/>
    </row>
    <row r="15" customFormat="false" ht="12.75" hidden="false" customHeight="false" outlineLevel="0" collapsed="false">
      <c r="A15" s="36" t="s">
        <v>36</v>
      </c>
      <c r="B15" s="104" t="n">
        <f aca="false">2002.11936344777/1000</f>
        <v>2.00211936344777</v>
      </c>
      <c r="C15" s="104" t="n">
        <f aca="false">1572.31766076449/1000</f>
        <v>1.57231766076449</v>
      </c>
      <c r="D15" s="104" t="n">
        <v>11.9835</v>
      </c>
      <c r="E15" s="105" t="n">
        <f aca="false">+B15/D15</f>
        <v>0.167073005670111</v>
      </c>
      <c r="F15" s="106" t="n">
        <f aca="false">843.75685125972/1000</f>
        <v>0.84375685125972</v>
      </c>
      <c r="G15" s="107" t="n">
        <f aca="false">643.393516934673/1000</f>
        <v>0.643393516934673</v>
      </c>
      <c r="H15" s="104" t="n">
        <f aca="false">18805.4502871347/1000</f>
        <v>18.8054502871347</v>
      </c>
      <c r="I15" s="104" t="n">
        <f aca="false">7766.37752261/1000</f>
        <v>7.76637752261</v>
      </c>
      <c r="J15" s="104" t="n">
        <f aca="false">2162.95/1000</f>
        <v>2.16295</v>
      </c>
      <c r="K15" s="104" t="n">
        <f aca="false">1305.75/1000</f>
        <v>1.30575</v>
      </c>
      <c r="L15" s="104" t="n">
        <f aca="false">5667.88665863526/1000</f>
        <v>5.66788665863526</v>
      </c>
      <c r="M15" s="91"/>
      <c r="N15" s="91"/>
      <c r="O15" s="91"/>
      <c r="P15" s="91"/>
      <c r="Q15" s="91"/>
    </row>
    <row r="16" customFormat="false" ht="12.75" hidden="false" customHeight="false" outlineLevel="0" collapsed="false">
      <c r="A16" s="36" t="s">
        <v>37</v>
      </c>
      <c r="B16" s="104" t="n">
        <f aca="false">40957/1000</f>
        <v>40.957</v>
      </c>
      <c r="C16" s="104" t="n">
        <f aca="false">37567/1000</f>
        <v>37.567</v>
      </c>
      <c r="D16" s="104" t="n">
        <v>295.830011</v>
      </c>
      <c r="E16" s="105" t="n">
        <f aca="false">+B16/D16</f>
        <v>0.138447752009853</v>
      </c>
      <c r="F16" s="106" t="n">
        <v>8.431</v>
      </c>
      <c r="G16" s="107" t="n">
        <v>7.76</v>
      </c>
      <c r="H16" s="104" t="n">
        <f aca="false">219887/1000</f>
        <v>219.887</v>
      </c>
      <c r="I16" s="104" t="n">
        <f aca="false">189467/1000</f>
        <v>189.467</v>
      </c>
      <c r="J16" s="104" t="n">
        <v>13.238</v>
      </c>
      <c r="K16" s="104" t="n">
        <v>11.351</v>
      </c>
      <c r="L16" s="104" t="n">
        <f aca="false">145483/1000</f>
        <v>145.483</v>
      </c>
      <c r="M16" s="91"/>
      <c r="N16" s="91"/>
      <c r="O16" s="91"/>
      <c r="P16" s="91"/>
      <c r="Q16" s="91"/>
    </row>
    <row r="17" customFormat="false" ht="12.75" hidden="false" customHeight="false" outlineLevel="0" collapsed="false">
      <c r="A17" s="36" t="s">
        <v>38</v>
      </c>
      <c r="B17" s="104" t="n">
        <f aca="false">29.1617315149801/1000</f>
        <v>0.0291617315149801</v>
      </c>
      <c r="C17" s="104" t="n">
        <f aca="false">24.3787833132888/1000</f>
        <v>0.0243787833132888</v>
      </c>
      <c r="D17" s="104" t="n">
        <v>5.004365</v>
      </c>
      <c r="E17" s="105" t="n">
        <f aca="false">+B17/D17</f>
        <v>0.00582725910579666</v>
      </c>
      <c r="F17" s="106" t="n">
        <f aca="false">9.80311725502759/1000</f>
        <v>0.00980311725502759</v>
      </c>
      <c r="G17" s="107" t="n">
        <f aca="false">7.43889767476165/1000</f>
        <v>0.00743889767476165</v>
      </c>
      <c r="H17" s="104" t="n">
        <f aca="false">136.336139890931/1000</f>
        <v>0.136336139890931</v>
      </c>
      <c r="I17" s="104" t="n">
        <f aca="false">114.764633908188/1000</f>
        <v>0.114764633908188</v>
      </c>
      <c r="J17" s="104" t="n">
        <f aca="false">13.088/1000</f>
        <v>0.013088</v>
      </c>
      <c r="K17" s="104" t="n">
        <f aca="false">10.188/1000</f>
        <v>0.010188</v>
      </c>
      <c r="L17" s="104" t="n">
        <f aca="false">130.63772500618/1000</f>
        <v>0.13063772500618</v>
      </c>
      <c r="M17" s="91"/>
      <c r="N17" s="91"/>
      <c r="O17" s="91"/>
      <c r="P17" s="91"/>
      <c r="Q17" s="91"/>
    </row>
    <row r="18" customFormat="false" ht="12.75" hidden="false" customHeight="false" outlineLevel="0" collapsed="false">
      <c r="A18" s="36" t="s">
        <v>70</v>
      </c>
      <c r="B18" s="104" t="n">
        <v>2.837</v>
      </c>
      <c r="C18" s="104" t="n">
        <v>2.825</v>
      </c>
      <c r="D18" s="104" t="n">
        <v>7.531189</v>
      </c>
      <c r="E18" s="105" t="n">
        <f aca="false">+B18/D18</f>
        <v>0.376700146550565</v>
      </c>
      <c r="F18" s="106" t="n">
        <v>1.282</v>
      </c>
      <c r="G18" s="107" t="n">
        <v>1.278</v>
      </c>
      <c r="H18" s="104" t="n">
        <v>14.196</v>
      </c>
      <c r="I18" s="104" t="n">
        <v>13.713</v>
      </c>
      <c r="J18" s="104" t="n">
        <v>1.245</v>
      </c>
      <c r="K18" s="104" t="n">
        <v>1.206</v>
      </c>
      <c r="L18" s="104" t="n">
        <v>9.81</v>
      </c>
      <c r="M18" s="91"/>
      <c r="N18" s="91"/>
      <c r="O18" s="91"/>
      <c r="P18" s="91"/>
      <c r="Q18" s="91"/>
    </row>
    <row r="19" customFormat="false" ht="12.75" hidden="false" customHeight="false" outlineLevel="0" collapsed="false">
      <c r="A19" s="36" t="s">
        <v>40</v>
      </c>
      <c r="B19" s="104" t="n">
        <v>1.096</v>
      </c>
      <c r="C19" s="104" t="n">
        <v>1.063</v>
      </c>
      <c r="D19" s="104" t="n">
        <v>4.1872</v>
      </c>
      <c r="E19" s="105" t="n">
        <f aca="false">+B19/D19</f>
        <v>0.261750095529232</v>
      </c>
      <c r="F19" s="106" t="n">
        <v>0.601</v>
      </c>
      <c r="G19" s="107" t="n">
        <v>0.527</v>
      </c>
      <c r="H19" s="104" t="n">
        <v>10.422</v>
      </c>
      <c r="I19" s="104" t="n">
        <v>9.27</v>
      </c>
      <c r="J19" s="104" t="n">
        <v>1.547</v>
      </c>
      <c r="K19" s="104" t="n">
        <v>1.309</v>
      </c>
      <c r="L19" s="104" t="n">
        <v>5.244</v>
      </c>
      <c r="M19" s="91"/>
      <c r="N19" s="91"/>
      <c r="O19" s="91"/>
      <c r="P19" s="91"/>
      <c r="Q19" s="91"/>
    </row>
    <row r="20" customFormat="false" ht="12.75" hidden="false" customHeight="false" outlineLevel="0" collapsed="false">
      <c r="A20" s="36" t="s">
        <v>41</v>
      </c>
      <c r="B20" s="104" t="n">
        <v>0.346</v>
      </c>
      <c r="C20" s="104" t="n">
        <v>0.346</v>
      </c>
      <c r="D20" s="104" t="n">
        <v>2.235067</v>
      </c>
      <c r="E20" s="105" t="n">
        <f aca="false">+B20/D20</f>
        <v>0.15480520270757</v>
      </c>
      <c r="F20" s="106" t="n">
        <v>0.11</v>
      </c>
      <c r="G20" s="107" t="n">
        <v>0.11</v>
      </c>
      <c r="H20" s="104" t="n">
        <v>2.64</v>
      </c>
      <c r="I20" s="104" t="n">
        <v>2.64</v>
      </c>
      <c r="J20" s="104" t="n">
        <v>0.213</v>
      </c>
      <c r="K20" s="104" t="n">
        <v>0.213</v>
      </c>
      <c r="L20" s="104" t="n">
        <v>1.024</v>
      </c>
      <c r="M20" s="91"/>
      <c r="N20" s="91"/>
      <c r="O20" s="91"/>
      <c r="P20" s="91"/>
      <c r="Q20" s="91"/>
    </row>
    <row r="21" customFormat="false" ht="13.5" hidden="false" customHeight="false" outlineLevel="0" collapsed="false">
      <c r="A21" s="36" t="s">
        <v>86</v>
      </c>
      <c r="B21" s="104" t="n">
        <v>4.647</v>
      </c>
      <c r="C21" s="104" t="n">
        <v>4.034</v>
      </c>
      <c r="D21" s="104" t="n">
        <v>32.871</v>
      </c>
      <c r="E21" s="105" t="n">
        <f aca="false">+B21/D21</f>
        <v>0.14137081317879</v>
      </c>
      <c r="F21" s="106" t="n">
        <v>1.48</v>
      </c>
      <c r="G21" s="107" t="n">
        <v>1.226</v>
      </c>
      <c r="H21" s="104" t="n">
        <v>25.211</v>
      </c>
      <c r="I21" s="104" t="n">
        <v>21.867</v>
      </c>
      <c r="J21" s="104" t="n">
        <v>2.906</v>
      </c>
      <c r="K21" s="104" t="n">
        <v>2.034</v>
      </c>
      <c r="L21" s="104" t="n">
        <v>12.269</v>
      </c>
      <c r="M21" s="91"/>
      <c r="N21" s="91"/>
      <c r="O21" s="91"/>
      <c r="P21" s="91"/>
      <c r="Q21" s="91"/>
    </row>
    <row r="22" customFormat="false" ht="12.75" hidden="false" customHeight="false" outlineLevel="0" collapsed="false">
      <c r="A22" s="36" t="s">
        <v>43</v>
      </c>
      <c r="B22" s="104" t="n">
        <v>0.208</v>
      </c>
      <c r="C22" s="104" t="n">
        <v>0.004</v>
      </c>
      <c r="D22" s="104" t="n">
        <v>1.644517</v>
      </c>
      <c r="E22" s="105" t="n">
        <f aca="false">+B22/D22</f>
        <v>0.126480905943812</v>
      </c>
      <c r="F22" s="106" t="n">
        <v>0.142</v>
      </c>
      <c r="G22" s="107" t="n">
        <v>0.001</v>
      </c>
      <c r="H22" s="104" t="n">
        <v>0.074</v>
      </c>
      <c r="I22" s="104" t="n">
        <v>0.02</v>
      </c>
      <c r="J22" s="104" t="n">
        <v>0.015</v>
      </c>
      <c r="K22" s="104" t="n">
        <v>0.001</v>
      </c>
      <c r="L22" s="104" t="n">
        <v>0.084</v>
      </c>
      <c r="M22" s="91"/>
      <c r="N22" s="91"/>
      <c r="O22" s="91"/>
      <c r="P22" s="91"/>
      <c r="Q22" s="91"/>
    </row>
    <row r="23" customFormat="false" ht="12.75" hidden="false" customHeight="false" outlineLevel="0" collapsed="false">
      <c r="A23" s="36" t="s">
        <v>72</v>
      </c>
      <c r="B23" s="104" t="n">
        <f aca="false">31408.55144795/1000</f>
        <v>31.40855144795</v>
      </c>
      <c r="C23" s="104" t="n">
        <f aca="false">30629.3140676313/1000</f>
        <v>30.6293140676313</v>
      </c>
      <c r="D23" s="104" t="n">
        <v>117.260034</v>
      </c>
      <c r="E23" s="105" t="n">
        <f aca="false">+B23/D23</f>
        <v>0.267853849061224</v>
      </c>
      <c r="F23" s="106" t="n">
        <f aca="false">9400.04114901776/1000</f>
        <v>9.40004114901776</v>
      </c>
      <c r="G23" s="107" t="n">
        <f aca="false">8756.34809698874/1000</f>
        <v>8.75634809698874</v>
      </c>
      <c r="H23" s="104" t="n">
        <f aca="false">180466.594469631/1000</f>
        <v>180.466594469631</v>
      </c>
      <c r="I23" s="104" t="n">
        <f aca="false">172498.040469631/1000</f>
        <v>172.498040469631</v>
      </c>
      <c r="J23" s="104" t="n">
        <f aca="false">16598.4158381849/1000</f>
        <v>16.5984158381849</v>
      </c>
      <c r="K23" s="104" t="n">
        <f aca="false">15286.6488555492/1000</f>
        <v>15.2866488555492</v>
      </c>
      <c r="L23" s="104" t="n">
        <f aca="false">108771.388391534/1000</f>
        <v>108.771388391534</v>
      </c>
      <c r="M23" s="91"/>
      <c r="N23" s="91"/>
      <c r="O23" s="91"/>
      <c r="P23" s="91"/>
      <c r="Q23" s="91"/>
    </row>
    <row r="24" customFormat="false" ht="12.75" hidden="false" customHeight="false" outlineLevel="0" collapsed="false">
      <c r="A24" s="36" t="s">
        <v>45</v>
      </c>
      <c r="B24" s="104" t="n">
        <f aca="false">9533.847641881/1000</f>
        <v>9.533847641881</v>
      </c>
      <c r="C24" s="104" t="n">
        <f aca="false">9533.847641881/1000</f>
        <v>9.533847641881</v>
      </c>
      <c r="D24" s="104" t="n">
        <v>71.324485</v>
      </c>
      <c r="E24" s="105" t="n">
        <f aca="false">+B24/D24</f>
        <v>0.133668650280209</v>
      </c>
      <c r="F24" s="106" t="n">
        <f aca="false">2888.64496399808/1000</f>
        <v>2.88864496399808</v>
      </c>
      <c r="G24" s="107" t="n">
        <f aca="false">2888.64496399808/1000</f>
        <v>2.88864496399808</v>
      </c>
      <c r="H24" s="104" t="n">
        <f aca="false">116043.551621585/1000</f>
        <v>116.043551621585</v>
      </c>
      <c r="I24" s="104" t="n">
        <f aca="false">116043.551621585/1000</f>
        <v>116.043551621585</v>
      </c>
      <c r="J24" s="104" t="n">
        <f aca="false">8963.131/1000</f>
        <v>8.963131</v>
      </c>
      <c r="K24" s="104" t="n">
        <f aca="false">8963.131/1000</f>
        <v>8.963131</v>
      </c>
      <c r="L24" s="104" t="n">
        <f aca="false">14170.880625139/1000</f>
        <v>14.170880625139</v>
      </c>
      <c r="M24" s="91"/>
      <c r="N24" s="91"/>
      <c r="O24" s="91"/>
      <c r="P24" s="91"/>
      <c r="Q24" s="91"/>
    </row>
    <row r="25" customFormat="false" ht="12.75" hidden="false" customHeight="false" outlineLevel="0" collapsed="false">
      <c r="A25" s="36" t="s">
        <v>46</v>
      </c>
      <c r="B25" s="104" t="n">
        <v>28.434</v>
      </c>
      <c r="C25" s="104" t="n">
        <v>27.974</v>
      </c>
      <c r="D25" s="104" t="n">
        <v>170.465352</v>
      </c>
      <c r="E25" s="105" t="n">
        <f aca="false">+B25/D25</f>
        <v>0.166802225005818</v>
      </c>
      <c r="F25" s="106" t="n">
        <v>9.178</v>
      </c>
      <c r="G25" s="107" t="n">
        <v>8.917</v>
      </c>
      <c r="H25" s="104" t="n">
        <f aca="false">253295/1000</f>
        <v>253.295</v>
      </c>
      <c r="I25" s="104" t="n">
        <f aca="false">240396/1000</f>
        <v>240.396</v>
      </c>
      <c r="J25" s="104" t="n">
        <v>24.171</v>
      </c>
      <c r="K25" s="104" t="n">
        <v>22.196</v>
      </c>
      <c r="L25" s="104" t="n">
        <f aca="false">114336/1000</f>
        <v>114.336</v>
      </c>
      <c r="M25" s="91"/>
      <c r="N25" s="91"/>
      <c r="O25" s="91"/>
      <c r="P25" s="91"/>
      <c r="Q25" s="91"/>
    </row>
    <row r="26" customFormat="false" ht="13.5" hidden="false" customHeight="false" outlineLevel="0" collapsed="false">
      <c r="A26" s="36" t="s">
        <v>87</v>
      </c>
      <c r="B26" s="104" t="n">
        <v>6.395</v>
      </c>
      <c r="C26" s="104" t="n">
        <v>5.115</v>
      </c>
      <c r="D26" s="104" t="n">
        <v>59.431721</v>
      </c>
      <c r="E26" s="105" t="n">
        <f aca="false">+B26/D26</f>
        <v>0.107602470404651</v>
      </c>
      <c r="F26" s="106" t="n">
        <v>1.172</v>
      </c>
      <c r="G26" s="107" t="n">
        <v>0.859</v>
      </c>
      <c r="H26" s="104" t="n">
        <f aca="false">60037/1000</f>
        <v>60.037</v>
      </c>
      <c r="I26" s="104" t="n">
        <f aca="false">49344/1000</f>
        <v>49.344</v>
      </c>
      <c r="J26" s="104" t="n">
        <v>3.738</v>
      </c>
      <c r="K26" s="104" t="n">
        <v>2.658</v>
      </c>
      <c r="L26" s="104" t="n">
        <f aca="false">23490.4904047242/1000</f>
        <v>23.4904904047242</v>
      </c>
      <c r="M26" s="91"/>
      <c r="N26" s="91"/>
      <c r="O26" s="91"/>
      <c r="P26" s="91"/>
      <c r="Q26" s="91"/>
    </row>
    <row r="27" customFormat="false" ht="12.75" hidden="false" customHeight="false" outlineLevel="0" collapsed="false">
      <c r="A27" s="36" t="s">
        <v>48</v>
      </c>
      <c r="B27" s="104" t="n">
        <v>5.793</v>
      </c>
      <c r="C27" s="104" t="n">
        <v>3.541</v>
      </c>
      <c r="D27" s="104" t="n">
        <v>64.296019</v>
      </c>
      <c r="E27" s="105" t="n">
        <f aca="false">+B27/D27</f>
        <v>0.0900988908815645</v>
      </c>
      <c r="F27" s="106" t="n">
        <v>1.815</v>
      </c>
      <c r="G27" s="107" t="n">
        <v>0.993</v>
      </c>
      <c r="H27" s="104" t="n">
        <f aca="false">46994/1000</f>
        <v>46.994</v>
      </c>
      <c r="I27" s="104" t="n">
        <v>20.905</v>
      </c>
      <c r="J27" s="104" t="n">
        <f aca="false">5467.333/1000</f>
        <v>5.467333</v>
      </c>
      <c r="K27" s="104" t="n">
        <v>2.22</v>
      </c>
      <c r="L27" s="104" t="n">
        <v>12.661</v>
      </c>
      <c r="M27" s="91"/>
      <c r="N27" s="91"/>
      <c r="O27" s="91"/>
      <c r="P27" s="91"/>
      <c r="Q27" s="91"/>
    </row>
    <row r="28" customFormat="false" ht="13.5" hidden="false" customHeight="false" outlineLevel="0" collapsed="false">
      <c r="A28" s="36" t="s">
        <v>88</v>
      </c>
      <c r="B28" s="104" t="n">
        <f aca="false">1256.43154973333/1000</f>
        <v>1.25643154973333</v>
      </c>
      <c r="C28" s="104" t="n">
        <f aca="false">993.608260233333/1000</f>
        <v>0.993608260233333</v>
      </c>
      <c r="D28" s="104" t="n">
        <v>16.326225</v>
      </c>
      <c r="E28" s="105" t="n">
        <f aca="false">+B28/D28</f>
        <v>0.0769578729763512</v>
      </c>
      <c r="F28" s="106" t="n">
        <f aca="false">374.1301/1000</f>
        <v>0.3741301</v>
      </c>
      <c r="G28" s="107" t="n">
        <f aca="false">255.6545/1000</f>
        <v>0.2556545</v>
      </c>
      <c r="H28" s="104" t="n">
        <f aca="false">11115.9963680453/1000</f>
        <v>11.1159963680453</v>
      </c>
      <c r="I28" s="104" t="n">
        <f aca="false">7647.89995604531/1000</f>
        <v>7.64789995604531</v>
      </c>
      <c r="J28" s="104" t="n">
        <f aca="false">846.570666666667/1000</f>
        <v>0.846570666666667</v>
      </c>
      <c r="K28" s="104" t="n">
        <f aca="false">547.739666666667/1000</f>
        <v>0.547739666666667</v>
      </c>
      <c r="L28" s="104" t="n">
        <f aca="false">4931.04567706478/1000</f>
        <v>4.93104567706478</v>
      </c>
      <c r="M28" s="91"/>
      <c r="N28" s="91"/>
      <c r="O28" s="91"/>
      <c r="P28" s="91"/>
      <c r="Q28" s="91"/>
    </row>
    <row r="29" customFormat="false" ht="12.75" hidden="false" customHeight="false" outlineLevel="0" collapsed="false">
      <c r="A29" s="36" t="s">
        <v>50</v>
      </c>
      <c r="B29" s="104" t="n">
        <v>3.462</v>
      </c>
      <c r="C29" s="104" t="n">
        <v>3.057</v>
      </c>
      <c r="D29" s="104" t="n">
        <v>27.738</v>
      </c>
      <c r="E29" s="105" t="n">
        <f aca="false">+B29/D29</f>
        <v>0.124810728963876</v>
      </c>
      <c r="F29" s="106" t="n">
        <v>1.674</v>
      </c>
      <c r="G29" s="107" t="n">
        <v>1.493</v>
      </c>
      <c r="H29" s="104" t="n">
        <f aca="false">36884/1000</f>
        <v>36.884</v>
      </c>
      <c r="I29" s="104" t="n">
        <v>27.408</v>
      </c>
      <c r="J29" s="104" t="n">
        <v>3.375</v>
      </c>
      <c r="K29" s="104" t="n">
        <v>2.784</v>
      </c>
      <c r="L29" s="104" t="n">
        <v>11.753</v>
      </c>
      <c r="M29" s="91"/>
      <c r="N29" s="91"/>
      <c r="O29" s="91"/>
      <c r="P29" s="91"/>
      <c r="Q29" s="91"/>
    </row>
    <row r="30" customFormat="false" ht="12.75" hidden="false" customHeight="false" outlineLevel="0" collapsed="false">
      <c r="A30" s="36" t="s">
        <v>75</v>
      </c>
      <c r="B30" s="109" t="n">
        <f aca="false">21681.468/1000</f>
        <v>21.681468</v>
      </c>
      <c r="C30" s="109" t="n">
        <v>21.504</v>
      </c>
      <c r="D30" s="109" t="n">
        <v>67.522</v>
      </c>
      <c r="E30" s="110" t="n">
        <f aca="false">+B30/D30</f>
        <v>0.321102277776132</v>
      </c>
      <c r="F30" s="111" t="n">
        <v>6.472</v>
      </c>
      <c r="G30" s="112" t="n">
        <v>6.227</v>
      </c>
      <c r="H30" s="109" t="n">
        <f aca="false">246531/1000</f>
        <v>246.531</v>
      </c>
      <c r="I30" s="109" t="n">
        <f aca="false">242398/1000</f>
        <v>242.398</v>
      </c>
      <c r="J30" s="109" t="n">
        <v>16.862</v>
      </c>
      <c r="K30" s="109" t="n">
        <v>16.231</v>
      </c>
      <c r="L30" s="109" t="n">
        <f aca="false">146319/1000</f>
        <v>146.319</v>
      </c>
      <c r="M30" s="91"/>
      <c r="N30" s="91"/>
      <c r="O30" s="91"/>
      <c r="P30" s="91"/>
      <c r="Q30" s="91"/>
    </row>
    <row r="31" customFormat="false" ht="12.75" hidden="false" customHeight="false" outlineLevel="0" collapsed="false">
      <c r="A31" s="36" t="s">
        <v>76</v>
      </c>
      <c r="B31" s="107" t="n">
        <v>9.011</v>
      </c>
      <c r="C31" s="104" t="n">
        <v>8.94</v>
      </c>
      <c r="D31" s="104" t="n">
        <v>164.25</v>
      </c>
      <c r="E31" s="105" t="n">
        <f aca="false">+B31/D31</f>
        <v>0.0548614916286149</v>
      </c>
      <c r="F31" s="106" t="n">
        <v>3.042</v>
      </c>
      <c r="G31" s="107" t="n">
        <v>3.022</v>
      </c>
      <c r="H31" s="107" t="n">
        <f aca="false">91979/1000</f>
        <v>91.979</v>
      </c>
      <c r="I31" s="157" t="n">
        <f aca="false">89860/1000</f>
        <v>89.86</v>
      </c>
      <c r="J31" s="107" t="n">
        <v>7.867</v>
      </c>
      <c r="K31" s="107" t="n">
        <v>7.762</v>
      </c>
      <c r="L31" s="104" t="n">
        <f aca="false">76911/1000</f>
        <v>76.911</v>
      </c>
      <c r="M31" s="91"/>
      <c r="N31" s="91"/>
      <c r="O31" s="91"/>
      <c r="P31" s="91"/>
      <c r="Q31" s="91"/>
    </row>
    <row r="32" customFormat="false" ht="12.75" hidden="false" customHeight="false" outlineLevel="0" collapsed="false">
      <c r="A32" s="55" t="s">
        <v>77</v>
      </c>
      <c r="B32" s="113" t="n">
        <f aca="false">21631.1368593647/1000</f>
        <v>21.6311368593647</v>
      </c>
      <c r="C32" s="114" t="n">
        <f aca="false">19993.2456172328/1000</f>
        <v>19.9932456172328</v>
      </c>
      <c r="D32" s="114" t="n">
        <v>338.336297</v>
      </c>
      <c r="E32" s="115" t="n">
        <f aca="false">+B32/D32</f>
        <v>0.0639338346230251</v>
      </c>
      <c r="F32" s="116" t="n">
        <f aca="false">4458.41981992333/1000</f>
        <v>4.45841981992333</v>
      </c>
      <c r="G32" s="113" t="n">
        <f aca="false">4116.61089066489/1000</f>
        <v>4.11661089066489</v>
      </c>
      <c r="H32" s="113" t="n">
        <f aca="false">139792.079577676/1000</f>
        <v>139.792079577676</v>
      </c>
      <c r="I32" s="117" t="n">
        <f aca="false">122386.21136672/1000</f>
        <v>122.38621136672</v>
      </c>
      <c r="J32" s="113" t="n">
        <f aca="false">7445.79508218755/1000</f>
        <v>7.44579508218755</v>
      </c>
      <c r="K32" s="113" t="n">
        <f aca="false">6660.67977422833/1000</f>
        <v>6.66067977422833</v>
      </c>
      <c r="L32" s="114" t="n">
        <f aca="false">64871.3060104735/1000</f>
        <v>64.8713060104735</v>
      </c>
      <c r="M32" s="91"/>
      <c r="N32" s="91"/>
      <c r="O32" s="91"/>
      <c r="P32" s="91"/>
      <c r="Q32" s="91"/>
    </row>
    <row r="33" customFormat="false" ht="12.75" hidden="false" customHeight="false" outlineLevel="0" collapsed="false">
      <c r="A33" s="91"/>
      <c r="B33" s="91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</row>
    <row r="34" customFormat="false" ht="13.5" hidden="false" customHeight="false" outlineLevel="0" collapsed="false">
      <c r="A34" s="158" t="s">
        <v>89</v>
      </c>
      <c r="C34" s="159" t="s">
        <v>90</v>
      </c>
      <c r="M34" s="91"/>
      <c r="N34" s="91"/>
      <c r="O34" s="91"/>
      <c r="P34" s="91"/>
      <c r="Q34" s="91"/>
    </row>
    <row r="35" s="67" customFormat="true" ht="12" hidden="false" customHeight="false" outlineLevel="0" collapsed="false">
      <c r="A35" s="65"/>
      <c r="B35" s="66"/>
      <c r="D35" s="65"/>
      <c r="F35" s="68"/>
      <c r="G35" s="69"/>
      <c r="H35" s="70"/>
      <c r="I35" s="71"/>
      <c r="J35" s="72"/>
      <c r="L35" s="73"/>
    </row>
    <row r="37" customFormat="false" ht="52.5" hidden="false" customHeight="true" outlineLevel="0" collapsed="false">
      <c r="A37" s="146" t="n">
        <v>2017</v>
      </c>
      <c r="B37" s="160" t="s">
        <v>55</v>
      </c>
      <c r="C37" s="161" t="s">
        <v>56</v>
      </c>
      <c r="D37" s="148" t="s">
        <v>57</v>
      </c>
      <c r="E37" s="148" t="s">
        <v>58</v>
      </c>
      <c r="F37" s="148" t="s">
        <v>59</v>
      </c>
      <c r="G37" s="148" t="s">
        <v>60</v>
      </c>
      <c r="H37" s="148" t="s">
        <v>61</v>
      </c>
    </row>
    <row r="38" customFormat="false" ht="13.5" hidden="false" customHeight="false" outlineLevel="0" collapsed="false">
      <c r="A38" s="162" t="s">
        <v>82</v>
      </c>
      <c r="B38" s="163" t="n">
        <f aca="false">SUM(B39:B66)</f>
        <v>5601.18854579923</v>
      </c>
      <c r="C38" s="163" t="n">
        <f aca="false">SUM(C39:C66)</f>
        <v>4600.01106407525</v>
      </c>
      <c r="D38" s="164" t="s">
        <v>91</v>
      </c>
      <c r="E38" s="165" t="s">
        <v>91</v>
      </c>
      <c r="F38" s="165" t="s">
        <v>91</v>
      </c>
      <c r="G38" s="165" t="s">
        <v>91</v>
      </c>
      <c r="H38" s="165" t="s">
        <v>91</v>
      </c>
    </row>
    <row r="39" customFormat="false" ht="13.5" hidden="false" customHeight="false" outlineLevel="0" collapsed="false">
      <c r="A39" s="30" t="s">
        <v>83</v>
      </c>
      <c r="B39" s="131" t="n">
        <f aca="false">174930.34920638/1000</f>
        <v>174.93034920638</v>
      </c>
      <c r="C39" s="131" t="n">
        <f aca="false">164604.022948844/1000</f>
        <v>164.604022948844</v>
      </c>
      <c r="D39" s="132" t="n">
        <v>0.011</v>
      </c>
      <c r="E39" s="133" t="n">
        <v>0.009</v>
      </c>
      <c r="F39" s="133" t="n">
        <v>0.585</v>
      </c>
      <c r="G39" s="133" t="n">
        <v>0.154</v>
      </c>
      <c r="H39" s="133" t="n">
        <v>0.237</v>
      </c>
    </row>
    <row r="40" customFormat="false" ht="12.75" hidden="false" customHeight="false" outlineLevel="0" collapsed="false">
      <c r="A40" s="30" t="s">
        <v>27</v>
      </c>
      <c r="B40" s="131" t="n">
        <f aca="false">65258/1000</f>
        <v>65.258</v>
      </c>
      <c r="C40" s="131" t="n">
        <f aca="false">55452/1000</f>
        <v>55.452</v>
      </c>
      <c r="D40" s="132" t="n">
        <v>0.363</v>
      </c>
      <c r="E40" s="133" t="n">
        <v>0.021</v>
      </c>
      <c r="F40" s="133" t="n">
        <v>0.372</v>
      </c>
      <c r="G40" s="133" t="n">
        <v>0.103</v>
      </c>
      <c r="H40" s="133" t="n">
        <v>0.141</v>
      </c>
    </row>
    <row r="41" customFormat="false" ht="12.75" hidden="false" customHeight="false" outlineLevel="0" collapsed="false">
      <c r="A41" s="36" t="s">
        <v>84</v>
      </c>
      <c r="B41" s="134" t="n">
        <f aca="false">167364.413491925/1000</f>
        <v>167.364413491925</v>
      </c>
      <c r="C41" s="134" t="n">
        <f aca="false">134540.003324217/1000</f>
        <v>134.540003324217</v>
      </c>
      <c r="D41" s="135" t="n">
        <v>0.688</v>
      </c>
      <c r="E41" s="136" t="n">
        <v>0.008</v>
      </c>
      <c r="F41" s="136" t="n">
        <v>0.135</v>
      </c>
      <c r="G41" s="136" t="n">
        <v>0.146</v>
      </c>
      <c r="H41" s="136" t="n">
        <v>0.022</v>
      </c>
    </row>
    <row r="42" customFormat="false" ht="12.75" hidden="false" customHeight="false" outlineLevel="0" collapsed="false">
      <c r="A42" s="36" t="s">
        <v>29</v>
      </c>
      <c r="B42" s="134" t="n">
        <f aca="false">152487.911641717/1000</f>
        <v>152.487911641717</v>
      </c>
      <c r="C42" s="134" t="n">
        <f aca="false">151988.547877759/1000</f>
        <v>151.988547877759</v>
      </c>
      <c r="D42" s="137" t="n">
        <v>0.237</v>
      </c>
      <c r="E42" s="136" t="n">
        <v>0.022</v>
      </c>
      <c r="F42" s="136" t="n">
        <v>0.137</v>
      </c>
      <c r="G42" s="136" t="n">
        <v>0.508</v>
      </c>
      <c r="H42" s="136" t="n">
        <v>0.096</v>
      </c>
    </row>
    <row r="43" customFormat="false" ht="12.75" hidden="false" customHeight="false" outlineLevel="0" collapsed="false">
      <c r="A43" s="36" t="s">
        <v>30</v>
      </c>
      <c r="B43" s="134" t="n">
        <f aca="false">1402182.1/1000</f>
        <v>1402.1821</v>
      </c>
      <c r="C43" s="134" t="n">
        <f aca="false">877370.3/1000</f>
        <v>877.3703</v>
      </c>
      <c r="D43" s="135" t="n">
        <v>0.148</v>
      </c>
      <c r="E43" s="136" t="n">
        <v>0.035</v>
      </c>
      <c r="F43" s="136" t="n">
        <v>0.449</v>
      </c>
      <c r="G43" s="136" t="n">
        <v>0.234</v>
      </c>
      <c r="H43" s="136" t="n">
        <v>0.134</v>
      </c>
    </row>
    <row r="44" customFormat="false" ht="12.75" hidden="false" customHeight="false" outlineLevel="0" collapsed="false">
      <c r="A44" s="36" t="s">
        <v>31</v>
      </c>
      <c r="B44" s="134" t="n">
        <v>19.5</v>
      </c>
      <c r="C44" s="134" t="n">
        <f aca="false">+B44</f>
        <v>19.5</v>
      </c>
      <c r="D44" s="135" t="n">
        <v>0.244</v>
      </c>
      <c r="E44" s="136" t="n">
        <v>0.093</v>
      </c>
      <c r="F44" s="136" t="n">
        <v>0</v>
      </c>
      <c r="G44" s="136" t="n">
        <v>0.651</v>
      </c>
      <c r="H44" s="136" t="n">
        <v>0.01</v>
      </c>
    </row>
    <row r="45" customFormat="false" ht="13.5" hidden="false" customHeight="false" outlineLevel="0" collapsed="false">
      <c r="A45" s="36" t="s">
        <v>85</v>
      </c>
      <c r="B45" s="134" t="n">
        <f aca="false">23832.8899741566/1000</f>
        <v>23.8328899741566</v>
      </c>
      <c r="C45" s="134" t="n">
        <f aca="false">22324.2038185005/1000</f>
        <v>22.3242038185005</v>
      </c>
      <c r="D45" s="135" t="n">
        <v>0.029</v>
      </c>
      <c r="E45" s="136" t="n">
        <v>0.001</v>
      </c>
      <c r="F45" s="136" t="n">
        <v>0.936</v>
      </c>
      <c r="G45" s="136" t="n">
        <v>0.033</v>
      </c>
      <c r="H45" s="136" t="n">
        <v>0.001</v>
      </c>
    </row>
    <row r="46" customFormat="false" ht="12.75" hidden="false" customHeight="false" outlineLevel="0" collapsed="false">
      <c r="A46" s="36" t="s">
        <v>33</v>
      </c>
      <c r="B46" s="134" t="n">
        <v>28.389</v>
      </c>
      <c r="C46" s="134" t="n">
        <v>24.748</v>
      </c>
      <c r="D46" s="137" t="n">
        <v>0.128</v>
      </c>
      <c r="E46" s="136" t="n">
        <v>0.229</v>
      </c>
      <c r="F46" s="136" t="n">
        <v>0.548</v>
      </c>
      <c r="G46" s="136" t="n">
        <v>0.006</v>
      </c>
      <c r="H46" s="136" t="n">
        <v>0.089</v>
      </c>
    </row>
    <row r="47" customFormat="false" ht="12.75" hidden="false" customHeight="false" outlineLevel="0" collapsed="false">
      <c r="A47" s="36" t="s">
        <v>34</v>
      </c>
      <c r="B47" s="134" t="n">
        <f aca="false">313563/1000</f>
        <v>313.563</v>
      </c>
      <c r="C47" s="134" t="n">
        <f aca="false">313514/1000</f>
        <v>313.514</v>
      </c>
      <c r="D47" s="135" t="n">
        <v>0.02</v>
      </c>
      <c r="E47" s="136" t="n">
        <v>0.08</v>
      </c>
      <c r="F47" s="136" t="n">
        <v>0.802</v>
      </c>
      <c r="G47" s="136" t="n">
        <v>0.089</v>
      </c>
      <c r="H47" s="136" t="n">
        <v>0.008</v>
      </c>
    </row>
    <row r="48" customFormat="false" ht="12.75" hidden="false" customHeight="false" outlineLevel="0" collapsed="false">
      <c r="A48" s="36" t="s">
        <v>35</v>
      </c>
      <c r="B48" s="134" t="n">
        <f aca="false">284040.54/1000</f>
        <v>284.04054</v>
      </c>
      <c r="C48" s="134" t="n">
        <f aca="false">181484.55/1000</f>
        <v>181.48455</v>
      </c>
      <c r="D48" s="135" t="n">
        <v>0.05</v>
      </c>
      <c r="E48" s="136" t="n">
        <v>0.044</v>
      </c>
      <c r="F48" s="136" t="n">
        <v>0.512</v>
      </c>
      <c r="G48" s="136" t="n">
        <v>0.278</v>
      </c>
      <c r="H48" s="136" t="n">
        <v>0.116</v>
      </c>
    </row>
    <row r="49" customFormat="false" ht="12.75" hidden="false" customHeight="false" outlineLevel="0" collapsed="false">
      <c r="A49" s="36" t="s">
        <v>36</v>
      </c>
      <c r="B49" s="134" t="n">
        <f aca="false">43110.6191875562/1000</f>
        <v>43.1106191875562</v>
      </c>
      <c r="C49" s="134" t="n">
        <f aca="false">27982.7139942941/1000</f>
        <v>27.9827139942941</v>
      </c>
      <c r="D49" s="135" t="n">
        <v>0.016</v>
      </c>
      <c r="E49" s="136" t="n">
        <v>0.089</v>
      </c>
      <c r="F49" s="136" t="n">
        <v>0.814</v>
      </c>
      <c r="G49" s="136" t="n">
        <v>0.08</v>
      </c>
      <c r="H49" s="136" t="n">
        <v>0</v>
      </c>
    </row>
    <row r="50" customFormat="false" ht="12.75" hidden="false" customHeight="false" outlineLevel="0" collapsed="false">
      <c r="A50" s="36" t="s">
        <v>37</v>
      </c>
      <c r="B50" s="134" t="n">
        <f aca="false">454697/1000</f>
        <v>454.697</v>
      </c>
      <c r="C50" s="134" t="n">
        <f aca="false">387546/1000</f>
        <v>387.546</v>
      </c>
      <c r="D50" s="135" t="n">
        <v>0.028</v>
      </c>
      <c r="E50" s="136" t="n">
        <v>0.082</v>
      </c>
      <c r="F50" s="136" t="n">
        <v>0.658</v>
      </c>
      <c r="G50" s="136" t="n">
        <v>0.158</v>
      </c>
      <c r="H50" s="136" t="n">
        <v>0.074</v>
      </c>
    </row>
    <row r="51" customFormat="false" ht="12.75" hidden="false" customHeight="false" outlineLevel="0" collapsed="false">
      <c r="A51" s="36" t="s">
        <v>38</v>
      </c>
      <c r="B51" s="134" t="n">
        <v>321.757831014498</v>
      </c>
      <c r="C51" s="134" t="n">
        <v>270.037671687756</v>
      </c>
      <c r="D51" s="135" t="n">
        <v>0</v>
      </c>
      <c r="E51" s="136" t="n">
        <v>0.062</v>
      </c>
      <c r="F51" s="136" t="n">
        <v>0</v>
      </c>
      <c r="G51" s="136" t="n">
        <v>0.938</v>
      </c>
      <c r="H51" s="136" t="n">
        <v>0</v>
      </c>
    </row>
    <row r="52" customFormat="false" ht="12.75" hidden="false" customHeight="false" outlineLevel="0" collapsed="false">
      <c r="A52" s="36" t="s">
        <v>70</v>
      </c>
      <c r="B52" s="134" t="n">
        <v>29.77</v>
      </c>
      <c r="C52" s="134" t="n">
        <v>29.092</v>
      </c>
      <c r="D52" s="135" t="n">
        <v>0.002</v>
      </c>
      <c r="E52" s="136" t="n">
        <v>0</v>
      </c>
      <c r="F52" s="136" t="n">
        <v>0.557</v>
      </c>
      <c r="G52" s="136" t="n">
        <v>0.441</v>
      </c>
      <c r="H52" s="136" t="n">
        <v>0</v>
      </c>
    </row>
    <row r="53" customFormat="false" ht="12.75" hidden="false" customHeight="false" outlineLevel="0" collapsed="false">
      <c r="A53" s="36" t="s">
        <v>40</v>
      </c>
      <c r="B53" s="134" t="n">
        <v>17.063</v>
      </c>
      <c r="C53" s="134" t="n">
        <v>15.524</v>
      </c>
      <c r="D53" s="135" t="n">
        <v>0</v>
      </c>
      <c r="E53" s="136" t="n">
        <v>0.115</v>
      </c>
      <c r="F53" s="136" t="n">
        <v>0.295</v>
      </c>
      <c r="G53" s="136" t="n">
        <v>0.497</v>
      </c>
      <c r="H53" s="136" t="n">
        <v>0.093</v>
      </c>
    </row>
    <row r="54" customFormat="false" ht="12.75" hidden="false" customHeight="false" outlineLevel="0" collapsed="false">
      <c r="A54" s="36" t="s">
        <v>41</v>
      </c>
      <c r="B54" s="134" t="n">
        <v>4.728</v>
      </c>
      <c r="C54" s="134" t="n">
        <v>4.728</v>
      </c>
      <c r="D54" s="135" t="n">
        <v>0</v>
      </c>
      <c r="E54" s="136" t="n">
        <v>0</v>
      </c>
      <c r="F54" s="136" t="n">
        <v>0.612</v>
      </c>
      <c r="G54" s="136" t="n">
        <v>0.386</v>
      </c>
      <c r="H54" s="136" t="n">
        <v>0.002</v>
      </c>
    </row>
    <row r="55" customFormat="false" ht="13.5" hidden="false" customHeight="false" outlineLevel="0" collapsed="false">
      <c r="A55" s="36" t="s">
        <v>86</v>
      </c>
      <c r="B55" s="134" t="n">
        <f aca="false">53598/1000</f>
        <v>53.598</v>
      </c>
      <c r="C55" s="134" t="n">
        <f aca="false">44379/1000</f>
        <v>44.379</v>
      </c>
      <c r="D55" s="135" t="n">
        <v>0.101</v>
      </c>
      <c r="E55" s="136" t="n">
        <v>0</v>
      </c>
      <c r="F55" s="136" t="n">
        <v>0.7</v>
      </c>
      <c r="G55" s="136" t="n">
        <v>0.14</v>
      </c>
      <c r="H55" s="136" t="n">
        <v>0.059</v>
      </c>
    </row>
    <row r="56" customFormat="false" ht="12.75" hidden="false" customHeight="false" outlineLevel="0" collapsed="false">
      <c r="A56" s="36" t="s">
        <v>43</v>
      </c>
      <c r="B56" s="134" t="n">
        <v>1.817</v>
      </c>
      <c r="C56" s="134" t="n">
        <v>0.045</v>
      </c>
      <c r="D56" s="135" t="n">
        <v>0</v>
      </c>
      <c r="E56" s="136" t="n">
        <v>0</v>
      </c>
      <c r="F56" s="136" t="n">
        <v>0.868</v>
      </c>
      <c r="G56" s="136" t="n">
        <v>0.027</v>
      </c>
      <c r="H56" s="136" t="n">
        <v>0.105</v>
      </c>
    </row>
    <row r="57" customFormat="false" ht="12.75" hidden="false" customHeight="false" outlineLevel="0" collapsed="false">
      <c r="A57" s="36" t="s">
        <v>72</v>
      </c>
      <c r="B57" s="134" t="n">
        <f aca="false">351326.780931221/1000</f>
        <v>351.326780931221</v>
      </c>
      <c r="C57" s="134" t="n">
        <f aca="false">337302.291116232/1000</f>
        <v>337.302291116232</v>
      </c>
      <c r="D57" s="135" t="n">
        <v>0.03</v>
      </c>
      <c r="E57" s="136" t="n">
        <v>0.036</v>
      </c>
      <c r="F57" s="136" t="n">
        <v>0.793</v>
      </c>
      <c r="G57" s="136" t="n">
        <v>0.086</v>
      </c>
      <c r="H57" s="136" t="n">
        <v>0.055</v>
      </c>
    </row>
    <row r="58" customFormat="false" ht="12.75" hidden="false" customHeight="false" outlineLevel="0" collapsed="false">
      <c r="A58" s="36" t="s">
        <v>45</v>
      </c>
      <c r="B58" s="134" t="n">
        <f aca="false">179606.922176268/1000</f>
        <v>179.606922176268</v>
      </c>
      <c r="C58" s="134" t="n">
        <f aca="false">179606.922176268/1000</f>
        <v>179.606922176268</v>
      </c>
      <c r="D58" s="135" t="n">
        <v>0.081</v>
      </c>
      <c r="E58" s="136" t="n">
        <v>0.096</v>
      </c>
      <c r="F58" s="136" t="n">
        <v>0.368</v>
      </c>
      <c r="G58" s="136" t="n">
        <v>0.403</v>
      </c>
      <c r="H58" s="136" t="n">
        <v>0.052</v>
      </c>
    </row>
    <row r="59" customFormat="false" ht="12.75" hidden="false" customHeight="false" outlineLevel="0" collapsed="false">
      <c r="A59" s="36" t="s">
        <v>46</v>
      </c>
      <c r="B59" s="134" t="n">
        <f aca="false">427361/1000</f>
        <v>427.361</v>
      </c>
      <c r="C59" s="134" t="n">
        <f aca="false">409108/1000</f>
        <v>409.108</v>
      </c>
      <c r="D59" s="135" t="n">
        <v>0.704</v>
      </c>
      <c r="E59" s="136" t="n">
        <v>0.076</v>
      </c>
      <c r="F59" s="136" t="n">
        <v>0.115</v>
      </c>
      <c r="G59" s="136" t="n">
        <v>0.095</v>
      </c>
      <c r="H59" s="136" t="n">
        <v>0.01</v>
      </c>
    </row>
    <row r="60" customFormat="false" ht="13.5" hidden="false" customHeight="false" outlineLevel="0" collapsed="false">
      <c r="A60" s="36" t="s">
        <v>87</v>
      </c>
      <c r="B60" s="134" t="n">
        <f aca="false">108550/1000</f>
        <v>108.55</v>
      </c>
      <c r="C60" s="134" t="n">
        <f aca="false">76154/1000</f>
        <v>76.154</v>
      </c>
      <c r="D60" s="135" t="n">
        <v>0</v>
      </c>
      <c r="E60" s="136" t="n">
        <v>0.071</v>
      </c>
      <c r="F60" s="136" t="n">
        <v>0.461</v>
      </c>
      <c r="G60" s="136" t="n">
        <v>0.463</v>
      </c>
      <c r="H60" s="136" t="n">
        <v>0.005</v>
      </c>
    </row>
    <row r="61" customFormat="false" ht="12.75" hidden="false" customHeight="false" outlineLevel="0" collapsed="false">
      <c r="A61" s="36" t="s">
        <v>48</v>
      </c>
      <c r="B61" s="134" t="n">
        <f aca="false">85261/1000</f>
        <v>85.261</v>
      </c>
      <c r="C61" s="134" t="n">
        <f aca="false">42335/1000</f>
        <v>42.335</v>
      </c>
      <c r="D61" s="135" t="n">
        <v>0.247</v>
      </c>
      <c r="E61" s="136" t="n">
        <v>0.032</v>
      </c>
      <c r="F61" s="136" t="n">
        <v>0.661</v>
      </c>
      <c r="G61" s="136" t="n">
        <v>0.056</v>
      </c>
      <c r="H61" s="136" t="n">
        <v>0.003</v>
      </c>
    </row>
    <row r="62" customFormat="false" ht="13.5" hidden="false" customHeight="false" outlineLevel="0" collapsed="false">
      <c r="A62" s="36" t="s">
        <v>88</v>
      </c>
      <c r="B62" s="134" t="n">
        <f aca="false">19858.8110122149/1000</f>
        <v>19.8588110122149</v>
      </c>
      <c r="C62" s="134" t="n">
        <f aca="false">13725.3862578206/1000</f>
        <v>13.7253862578206</v>
      </c>
      <c r="D62" s="135" t="n">
        <v>0.481</v>
      </c>
      <c r="E62" s="136" t="n">
        <v>0</v>
      </c>
      <c r="F62" s="136" t="n">
        <v>0.281</v>
      </c>
      <c r="G62" s="136" t="n">
        <v>0.217</v>
      </c>
      <c r="H62" s="136" t="n">
        <v>0.021</v>
      </c>
    </row>
    <row r="63" customFormat="false" ht="12.75" hidden="false" customHeight="false" outlineLevel="0" collapsed="false">
      <c r="A63" s="36" t="s">
        <v>50</v>
      </c>
      <c r="B63" s="134" t="n">
        <f aca="false">62459/1000</f>
        <v>62.459</v>
      </c>
      <c r="C63" s="134" t="n">
        <f aca="false">48031/1000</f>
        <v>48.031</v>
      </c>
      <c r="D63" s="135" t="n">
        <v>0.441</v>
      </c>
      <c r="E63" s="136" t="n">
        <v>0.117</v>
      </c>
      <c r="F63" s="136" t="n">
        <v>0.252</v>
      </c>
      <c r="G63" s="136" t="n">
        <v>0.141</v>
      </c>
      <c r="H63" s="136" t="n">
        <v>0.049</v>
      </c>
    </row>
    <row r="64" customFormat="false" ht="12.75" hidden="false" customHeight="false" outlineLevel="0" collapsed="false">
      <c r="A64" s="36" t="s">
        <v>75</v>
      </c>
      <c r="B64" s="104" t="n">
        <f aca="false">394646/1000</f>
        <v>394.646</v>
      </c>
      <c r="C64" s="104" t="n">
        <f aca="false">388206/1000</f>
        <v>388.206</v>
      </c>
      <c r="D64" s="166" t="n">
        <v>0.239</v>
      </c>
      <c r="E64" s="167" t="n">
        <v>0.012</v>
      </c>
      <c r="F64" s="167" t="n">
        <v>0.087</v>
      </c>
      <c r="G64" s="167" t="n">
        <v>0.624</v>
      </c>
      <c r="H64" s="167" t="n">
        <v>0.037</v>
      </c>
    </row>
    <row r="65" customFormat="false" ht="12.75" hidden="false" customHeight="false" outlineLevel="0" collapsed="false">
      <c r="A65" s="49" t="s">
        <v>76</v>
      </c>
      <c r="B65" s="168" t="n">
        <f aca="false">144585/1000</f>
        <v>144.585</v>
      </c>
      <c r="C65" s="168" t="n">
        <f aca="false">141545/1000</f>
        <v>141.545</v>
      </c>
      <c r="D65" s="169" t="n">
        <v>0.096</v>
      </c>
      <c r="E65" s="170" t="n">
        <v>0.004</v>
      </c>
      <c r="F65" s="170" t="n">
        <v>0.03</v>
      </c>
      <c r="G65" s="170" t="n">
        <v>0.6</v>
      </c>
      <c r="H65" s="170" t="n">
        <v>0.271</v>
      </c>
    </row>
    <row r="66" customFormat="false" ht="12.75" hidden="false" customHeight="false" outlineLevel="0" collapsed="false">
      <c r="A66" s="55" t="s">
        <v>77</v>
      </c>
      <c r="B66" s="140" t="n">
        <f aca="false">269444.377163289/1000</f>
        <v>269.444377163289</v>
      </c>
      <c r="C66" s="140" t="n">
        <f aca="false">239137.450873553/1000</f>
        <v>239.137450873553</v>
      </c>
      <c r="D66" s="141" t="n">
        <v>0.024</v>
      </c>
      <c r="E66" s="142" t="n">
        <v>0.128</v>
      </c>
      <c r="F66" s="142" t="n">
        <v>0.73</v>
      </c>
      <c r="G66" s="142" t="n">
        <v>0.087</v>
      </c>
      <c r="H66" s="142" t="n">
        <v>0.032</v>
      </c>
    </row>
    <row r="68" customFormat="false" ht="13.5" hidden="false" customHeight="false" outlineLevel="0" collapsed="false">
      <c r="A68" s="171" t="s">
        <v>89</v>
      </c>
      <c r="B68" s="90"/>
      <c r="C68" s="90"/>
      <c r="D68" s="16"/>
      <c r="E68" s="16"/>
      <c r="F68" s="16"/>
      <c r="G68" s="16"/>
      <c r="H68" s="16"/>
    </row>
    <row r="69" customFormat="false" ht="12.75" hidden="false" customHeight="false" outlineLevel="0" collapsed="false">
      <c r="A69" s="172"/>
    </row>
    <row r="70" customFormat="false" ht="12.75" hidden="false" customHeight="false" outlineLevel="0" collapsed="false">
      <c r="A70" s="67"/>
    </row>
    <row r="71" s="67" customFormat="true" ht="12" hidden="false" customHeight="false" outlineLevel="0" collapsed="false">
      <c r="A71" s="65"/>
      <c r="B71" s="66"/>
      <c r="D71" s="65"/>
      <c r="F71" s="68"/>
      <c r="G71" s="69"/>
      <c r="H71" s="70"/>
      <c r="I71" s="71"/>
      <c r="J71" s="72"/>
      <c r="L71" s="73"/>
    </row>
  </sheetData>
  <printOptions headings="false" gridLines="false" gridLinesSet="true" horizontalCentered="false" verticalCentered="false"/>
  <pageMargins left="0.236111111111111" right="0.236111111111111" top="0.747916666666667" bottom="0.747916666666667" header="0.511811023622047" footer="0.511811023622047"/>
  <pageSetup paperSize="8" scale="1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3:43 A1"/>
    </sheetView>
  </sheetViews>
  <sheetFormatPr defaultColWidth="9.1484375" defaultRowHeight="12.75" zeroHeight="false" outlineLevelRow="0" outlineLevelCol="0"/>
  <cols>
    <col collapsed="false" customWidth="true" hidden="false" outlineLevel="0" max="1" min="1" style="18" width="24"/>
    <col collapsed="false" customWidth="true" hidden="false" outlineLevel="0" max="12" min="2" style="18" width="10.71"/>
    <col collapsed="false" customWidth="false" hidden="false" outlineLevel="0" max="16384" min="13" style="18" width="9.14"/>
  </cols>
  <sheetData>
    <row r="1" customFormat="false" ht="15.75" hidden="false" customHeight="false" outlineLevel="0" collapsed="false">
      <c r="A1" s="14" t="s">
        <v>92</v>
      </c>
      <c r="B1" s="15"/>
      <c r="C1" s="16"/>
      <c r="D1" s="16"/>
      <c r="E1" s="16"/>
      <c r="F1" s="17"/>
      <c r="G1" s="17"/>
      <c r="H1" s="16"/>
      <c r="I1" s="16"/>
    </row>
    <row r="2" customFormat="false" ht="12.75" hidden="false" customHeight="false" outlineLevel="0" collapsed="false">
      <c r="A2" s="19"/>
      <c r="B2" s="15"/>
      <c r="C2" s="16"/>
      <c r="D2" s="16"/>
      <c r="E2" s="16"/>
      <c r="F2" s="17"/>
      <c r="G2" s="17"/>
      <c r="H2" s="16"/>
      <c r="I2" s="16"/>
    </row>
    <row r="3" customFormat="false" ht="60" hidden="false" customHeight="false" outlineLevel="0" collapsed="false">
      <c r="A3" s="146" t="n">
        <v>2016</v>
      </c>
      <c r="B3" s="147" t="s">
        <v>17</v>
      </c>
      <c r="C3" s="148" t="s">
        <v>93</v>
      </c>
      <c r="D3" s="149" t="s">
        <v>94</v>
      </c>
      <c r="E3" s="150" t="s">
        <v>20</v>
      </c>
      <c r="F3" s="151" t="s">
        <v>21</v>
      </c>
      <c r="G3" s="151" t="s">
        <v>93</v>
      </c>
      <c r="H3" s="149" t="s">
        <v>22</v>
      </c>
      <c r="I3" s="148" t="s">
        <v>93</v>
      </c>
      <c r="J3" s="147" t="s">
        <v>23</v>
      </c>
      <c r="K3" s="151" t="s">
        <v>93</v>
      </c>
      <c r="L3" s="147" t="s">
        <v>24</v>
      </c>
      <c r="M3" s="91"/>
      <c r="N3" s="91"/>
      <c r="O3" s="91"/>
      <c r="P3" s="91"/>
      <c r="Q3" s="91"/>
    </row>
    <row r="4" customFormat="false" ht="12.75" hidden="false" customHeight="false" outlineLevel="0" collapsed="false">
      <c r="A4" s="152" t="s">
        <v>95</v>
      </c>
      <c r="B4" s="153" t="n">
        <v>359.65723</v>
      </c>
      <c r="C4" s="154" t="n">
        <v>312.82312</v>
      </c>
      <c r="D4" s="155" t="n">
        <v>3266.75258</v>
      </c>
      <c r="E4" s="156" t="n">
        <v>0.11009625650927</v>
      </c>
      <c r="F4" s="154" t="n">
        <v>119.8775096</v>
      </c>
      <c r="G4" s="154" t="n">
        <v>100.384035</v>
      </c>
      <c r="H4" s="154" t="n">
        <v>2812.473919</v>
      </c>
      <c r="I4" s="154" t="n">
        <v>2303.1913186</v>
      </c>
      <c r="J4" s="154" t="n">
        <v>272.991625</v>
      </c>
      <c r="K4" s="154" t="n">
        <v>212.99681</v>
      </c>
      <c r="L4" s="155" t="n">
        <v>1296.54581</v>
      </c>
      <c r="M4" s="91"/>
      <c r="N4" s="91"/>
      <c r="O4" s="91"/>
      <c r="P4" s="91"/>
      <c r="Q4" s="91"/>
    </row>
    <row r="5" customFormat="false" ht="12.75" hidden="false" customHeight="false" outlineLevel="0" collapsed="false">
      <c r="A5" s="30" t="s">
        <v>96</v>
      </c>
      <c r="B5" s="100" t="n">
        <v>12.185</v>
      </c>
      <c r="C5" s="100" t="n">
        <v>9.872</v>
      </c>
      <c r="D5" s="100" t="n">
        <v>85.806</v>
      </c>
      <c r="E5" s="101" t="n">
        <v>0.142006386499779</v>
      </c>
      <c r="F5" s="102" t="n">
        <v>2.211</v>
      </c>
      <c r="G5" s="103" t="n">
        <v>1.646</v>
      </c>
      <c r="H5" s="100" t="n">
        <v>104.388</v>
      </c>
      <c r="I5" s="100" t="n">
        <v>90.836</v>
      </c>
      <c r="J5" s="100" t="n">
        <v>5.043</v>
      </c>
      <c r="K5" s="100" t="n">
        <v>4.084</v>
      </c>
      <c r="L5" s="100" t="n">
        <v>47.695</v>
      </c>
      <c r="M5" s="91"/>
      <c r="N5" s="91"/>
      <c r="O5" s="91"/>
      <c r="P5" s="91"/>
      <c r="Q5" s="91"/>
    </row>
    <row r="6" customFormat="false" ht="12.75" hidden="false" customHeight="false" outlineLevel="0" collapsed="false">
      <c r="A6" s="36" t="s">
        <v>27</v>
      </c>
      <c r="B6" s="104" t="n">
        <v>3.635</v>
      </c>
      <c r="C6" s="104" t="n">
        <v>3.258</v>
      </c>
      <c r="D6" s="104" t="n">
        <v>45.277</v>
      </c>
      <c r="E6" s="105" t="n">
        <v>0.0802835876935309</v>
      </c>
      <c r="F6" s="106" t="n">
        <v>1.485</v>
      </c>
      <c r="G6" s="107" t="n">
        <v>1.284</v>
      </c>
      <c r="H6" s="104" t="n">
        <v>39.347</v>
      </c>
      <c r="I6" s="104" t="n">
        <v>34.858</v>
      </c>
      <c r="J6" s="104" t="n">
        <v>4.727</v>
      </c>
      <c r="K6" s="104" t="n">
        <v>4.122</v>
      </c>
      <c r="L6" s="104" t="n">
        <v>12.879</v>
      </c>
      <c r="M6" s="91"/>
      <c r="N6" s="91"/>
      <c r="O6" s="91"/>
      <c r="P6" s="91"/>
      <c r="Q6" s="91"/>
    </row>
    <row r="7" customFormat="false" ht="12.75" hidden="false" customHeight="false" outlineLevel="0" collapsed="false">
      <c r="A7" s="36" t="s">
        <v>28</v>
      </c>
      <c r="B7" s="104" t="n">
        <v>8.381</v>
      </c>
      <c r="C7" s="104" t="n">
        <v>7.497</v>
      </c>
      <c r="D7" s="104" t="n">
        <v>83.309</v>
      </c>
      <c r="E7" s="105" t="n">
        <v>0.100601375601676</v>
      </c>
      <c r="F7" s="106" t="n">
        <v>9.031</v>
      </c>
      <c r="G7" s="107" t="n">
        <v>7.067</v>
      </c>
      <c r="H7" s="104" t="n">
        <v>101.557</v>
      </c>
      <c r="I7" s="104" t="n">
        <v>84.928</v>
      </c>
      <c r="J7" s="104" t="n">
        <v>20.794</v>
      </c>
      <c r="K7" s="104" t="n">
        <v>14.455</v>
      </c>
      <c r="L7" s="104" t="n">
        <v>38.312</v>
      </c>
      <c r="M7" s="91"/>
      <c r="N7" s="91"/>
      <c r="O7" s="91"/>
      <c r="P7" s="91"/>
      <c r="Q7" s="91"/>
    </row>
    <row r="8" customFormat="false" ht="12.75" hidden="false" customHeight="false" outlineLevel="0" collapsed="false">
      <c r="A8" s="36" t="s">
        <v>29</v>
      </c>
      <c r="B8" s="104" t="n">
        <v>12.034</v>
      </c>
      <c r="C8" s="104" t="n">
        <v>12.029</v>
      </c>
      <c r="D8" s="104" t="n">
        <v>30.535</v>
      </c>
      <c r="E8" s="105" t="n">
        <v>0.394105125266088</v>
      </c>
      <c r="F8" s="106" t="n">
        <v>5.864</v>
      </c>
      <c r="G8" s="107" t="n">
        <v>5.851</v>
      </c>
      <c r="H8" s="104" t="n">
        <v>94.945</v>
      </c>
      <c r="I8" s="104" t="n">
        <v>94.91</v>
      </c>
      <c r="J8" s="104" t="n">
        <v>8.79</v>
      </c>
      <c r="K8" s="104" t="n">
        <v>8.761</v>
      </c>
      <c r="L8" s="104" t="n">
        <v>76.362</v>
      </c>
      <c r="M8" s="91"/>
      <c r="N8" s="91"/>
      <c r="O8" s="91"/>
      <c r="P8" s="91"/>
      <c r="Q8" s="91"/>
    </row>
    <row r="9" customFormat="false" ht="12.75" hidden="false" customHeight="false" outlineLevel="0" collapsed="false">
      <c r="A9" s="36" t="s">
        <v>30</v>
      </c>
      <c r="B9" s="104" t="n">
        <v>87.935</v>
      </c>
      <c r="C9" s="104" t="n">
        <v>63.192</v>
      </c>
      <c r="D9" s="104" t="n">
        <v>649.119</v>
      </c>
      <c r="E9" s="105" t="n">
        <v>0.135468226935277</v>
      </c>
      <c r="F9" s="106" t="n">
        <v>37.208</v>
      </c>
      <c r="G9" s="107" t="n">
        <v>28.48</v>
      </c>
      <c r="H9" s="104" t="n">
        <v>697.969</v>
      </c>
      <c r="I9" s="104" t="n">
        <v>416.804</v>
      </c>
      <c r="J9" s="104" t="n">
        <v>94.599</v>
      </c>
      <c r="K9" s="104" t="n">
        <v>66.682</v>
      </c>
      <c r="L9" s="104" t="n">
        <v>239.224</v>
      </c>
      <c r="M9" s="91"/>
      <c r="N9" s="91"/>
      <c r="O9" s="91"/>
      <c r="P9" s="91"/>
      <c r="Q9" s="91"/>
    </row>
    <row r="10" customFormat="false" ht="13.5" hidden="false" customHeight="false" outlineLevel="0" collapsed="false">
      <c r="A10" s="36" t="s">
        <v>67</v>
      </c>
      <c r="B10" s="104" t="n">
        <v>0.94</v>
      </c>
      <c r="C10" s="104" t="n">
        <v>0.94</v>
      </c>
      <c r="D10" s="104" t="n">
        <v>12.176</v>
      </c>
      <c r="E10" s="105" t="n">
        <v>0.0772010512483574</v>
      </c>
      <c r="F10" s="106" t="n">
        <v>0.188</v>
      </c>
      <c r="G10" s="107" t="n">
        <v>0.188</v>
      </c>
      <c r="H10" s="104" t="n">
        <v>3.25</v>
      </c>
      <c r="I10" s="104" t="n">
        <v>3.25</v>
      </c>
      <c r="J10" s="104" t="n">
        <v>0.65</v>
      </c>
      <c r="K10" s="104" t="n">
        <v>0.65</v>
      </c>
      <c r="L10" s="104" t="n">
        <v>3.651</v>
      </c>
      <c r="M10" s="91"/>
      <c r="N10" s="91"/>
      <c r="O10" s="91"/>
      <c r="P10" s="91"/>
      <c r="Q10" s="91"/>
    </row>
    <row r="11" customFormat="false" ht="12.75" hidden="false" customHeight="false" outlineLevel="0" collapsed="false">
      <c r="A11" s="36" t="s">
        <v>97</v>
      </c>
      <c r="B11" s="104" t="n">
        <v>2.169</v>
      </c>
      <c r="C11" s="104" t="n">
        <v>2.078</v>
      </c>
      <c r="D11" s="104" t="n">
        <v>30.511</v>
      </c>
      <c r="E11" s="105" t="n">
        <v>0.0710891154010029</v>
      </c>
      <c r="F11" s="106" t="n">
        <v>0.309</v>
      </c>
      <c r="G11" s="107" t="n">
        <v>0.291</v>
      </c>
      <c r="H11" s="104" t="n">
        <v>11.235</v>
      </c>
      <c r="I11" s="104" t="n">
        <v>10.683</v>
      </c>
      <c r="J11" s="104" t="n">
        <v>0.591</v>
      </c>
      <c r="K11" s="104" t="n">
        <v>0.539</v>
      </c>
      <c r="L11" s="104" t="n">
        <v>7.41</v>
      </c>
      <c r="M11" s="91"/>
      <c r="N11" s="91"/>
      <c r="O11" s="91"/>
      <c r="P11" s="91"/>
      <c r="Q11" s="91"/>
    </row>
    <row r="12" customFormat="false" ht="13.5" hidden="false" customHeight="false" outlineLevel="0" collapsed="false">
      <c r="A12" s="36" t="s">
        <v>69</v>
      </c>
      <c r="B12" s="104" t="n">
        <v>2.594</v>
      </c>
      <c r="C12" s="104" t="n">
        <v>2.382</v>
      </c>
      <c r="D12" s="104" t="n">
        <v>54.438</v>
      </c>
      <c r="E12" s="105" t="n">
        <v>0.0476505382269738</v>
      </c>
      <c r="F12" s="106" t="n">
        <v>0.531</v>
      </c>
      <c r="G12" s="107" t="n">
        <v>0.49</v>
      </c>
      <c r="H12" s="104" t="n">
        <v>18.917</v>
      </c>
      <c r="I12" s="104" t="n">
        <v>16.783</v>
      </c>
      <c r="J12" s="104" t="n">
        <v>1.322</v>
      </c>
      <c r="K12" s="104" t="n">
        <v>0.948</v>
      </c>
      <c r="L12" s="104" t="n">
        <v>9.126</v>
      </c>
      <c r="M12" s="91"/>
      <c r="N12" s="91"/>
      <c r="O12" s="91"/>
      <c r="P12" s="91"/>
      <c r="Q12" s="91"/>
    </row>
    <row r="13" customFormat="false" ht="12.75" hidden="false" customHeight="false" outlineLevel="0" collapsed="false">
      <c r="A13" s="36" t="s">
        <v>34</v>
      </c>
      <c r="B13" s="104" t="n">
        <v>27.482</v>
      </c>
      <c r="C13" s="104" t="n">
        <v>27.403</v>
      </c>
      <c r="D13" s="104" t="n">
        <v>274.779</v>
      </c>
      <c r="E13" s="105" t="n">
        <v>0.100014921082033</v>
      </c>
      <c r="F13" s="106" t="n">
        <v>4.164</v>
      </c>
      <c r="G13" s="107" t="n">
        <v>4.124</v>
      </c>
      <c r="H13" s="104" t="n">
        <v>138.82</v>
      </c>
      <c r="I13" s="104" t="n">
        <v>137.597</v>
      </c>
      <c r="J13" s="104" t="n">
        <v>6.404</v>
      </c>
      <c r="K13" s="104" t="n">
        <v>6.205</v>
      </c>
      <c r="L13" s="104" t="n">
        <v>73.747</v>
      </c>
      <c r="M13" s="91"/>
      <c r="N13" s="91"/>
      <c r="O13" s="91"/>
      <c r="P13" s="91"/>
      <c r="Q13" s="91"/>
    </row>
    <row r="14" customFormat="false" ht="12.75" hidden="false" customHeight="false" outlineLevel="0" collapsed="false">
      <c r="A14" s="36" t="s">
        <v>35</v>
      </c>
      <c r="B14" s="104" t="n">
        <v>14.961</v>
      </c>
      <c r="C14" s="104" t="n">
        <v>9.527</v>
      </c>
      <c r="D14" s="104" t="n">
        <v>564.417</v>
      </c>
      <c r="E14" s="105" t="n">
        <v>0.0265069974859014</v>
      </c>
      <c r="F14" s="106" t="n">
        <v>6.071</v>
      </c>
      <c r="G14" s="107" t="n">
        <v>3.232</v>
      </c>
      <c r="H14" s="104" t="n">
        <v>163.912</v>
      </c>
      <c r="I14" s="104" t="n">
        <v>116.823</v>
      </c>
      <c r="J14" s="104" t="n">
        <v>14.858</v>
      </c>
      <c r="K14" s="104" t="n">
        <v>8.293</v>
      </c>
      <c r="L14" s="104" t="n">
        <v>59.935</v>
      </c>
      <c r="M14" s="91"/>
      <c r="N14" s="91"/>
      <c r="O14" s="91"/>
      <c r="P14" s="91"/>
      <c r="Q14" s="91"/>
    </row>
    <row r="15" customFormat="false" ht="12.75" hidden="false" customHeight="false" outlineLevel="0" collapsed="false">
      <c r="A15" s="36" t="s">
        <v>36</v>
      </c>
      <c r="B15" s="104" t="n">
        <v>1.468</v>
      </c>
      <c r="C15" s="104" t="n">
        <v>1.137</v>
      </c>
      <c r="D15" s="104" t="n">
        <v>12.82</v>
      </c>
      <c r="E15" s="105" t="n">
        <v>0.114508580343214</v>
      </c>
      <c r="F15" s="106" t="n">
        <v>0.751</v>
      </c>
      <c r="G15" s="107" t="n">
        <v>0.589</v>
      </c>
      <c r="H15" s="104" t="n">
        <v>16.272</v>
      </c>
      <c r="I15" s="104" t="n">
        <v>6.645</v>
      </c>
      <c r="J15" s="104" t="n">
        <v>2.156</v>
      </c>
      <c r="K15" s="104" t="n">
        <v>1.1602</v>
      </c>
      <c r="L15" s="104" t="n">
        <v>3.817</v>
      </c>
      <c r="M15" s="91"/>
      <c r="N15" s="91"/>
      <c r="O15" s="91"/>
      <c r="P15" s="91"/>
      <c r="Q15" s="91"/>
    </row>
    <row r="16" customFormat="false" ht="12.75" hidden="false" customHeight="false" outlineLevel="0" collapsed="false">
      <c r="A16" s="36" t="s">
        <v>37</v>
      </c>
      <c r="B16" s="104" t="n">
        <v>40.34</v>
      </c>
      <c r="C16" s="104" t="n">
        <v>37.247</v>
      </c>
      <c r="D16" s="104" t="n">
        <v>289.768</v>
      </c>
      <c r="E16" s="105" t="n">
        <v>0.139214820131968</v>
      </c>
      <c r="F16" s="106" t="n">
        <v>8.51</v>
      </c>
      <c r="G16" s="107" t="n">
        <v>7.809</v>
      </c>
      <c r="H16" s="104" t="n">
        <v>219.767</v>
      </c>
      <c r="I16" s="104" t="n">
        <v>190.402</v>
      </c>
      <c r="J16" s="104" t="n">
        <v>14.006</v>
      </c>
      <c r="K16" s="104" t="n">
        <v>11.468</v>
      </c>
      <c r="L16" s="104" t="n">
        <v>143.297</v>
      </c>
      <c r="M16" s="91"/>
      <c r="N16" s="91"/>
      <c r="O16" s="91"/>
      <c r="P16" s="91"/>
      <c r="Q16" s="91"/>
    </row>
    <row r="17" customFormat="false" ht="12.75" hidden="false" customHeight="false" outlineLevel="0" collapsed="false">
      <c r="A17" s="36" t="s">
        <v>38</v>
      </c>
      <c r="B17" s="104" t="n">
        <v>0.02823</v>
      </c>
      <c r="C17" s="104" t="n">
        <v>0.02293</v>
      </c>
      <c r="D17" s="104" t="n">
        <v>4.887</v>
      </c>
      <c r="E17" s="105" t="n">
        <v>0.00577655003069368</v>
      </c>
      <c r="F17" s="106" t="n">
        <v>0.00962</v>
      </c>
      <c r="G17" s="107" t="n">
        <v>0.00732</v>
      </c>
      <c r="H17" s="104" t="n">
        <v>0.124</v>
      </c>
      <c r="I17" s="104" t="n">
        <v>0.1</v>
      </c>
      <c r="J17" s="104" t="n">
        <v>0.01262</v>
      </c>
      <c r="K17" s="104" t="n">
        <v>0.00972</v>
      </c>
      <c r="L17" s="104" t="n">
        <v>0.12281</v>
      </c>
      <c r="M17" s="91"/>
      <c r="N17" s="91"/>
      <c r="O17" s="91"/>
      <c r="P17" s="91"/>
      <c r="Q17" s="91"/>
    </row>
    <row r="18" customFormat="false" ht="12.75" hidden="false" customHeight="false" outlineLevel="0" collapsed="false">
      <c r="A18" s="36" t="s">
        <v>70</v>
      </c>
      <c r="B18" s="104" t="n">
        <v>3.116</v>
      </c>
      <c r="C18" s="104" t="n">
        <v>2.078</v>
      </c>
      <c r="D18" s="104" t="n">
        <v>6.425</v>
      </c>
      <c r="E18" s="105" t="n">
        <v>0.484980544747082</v>
      </c>
      <c r="F18" s="106" t="n">
        <v>1.292</v>
      </c>
      <c r="G18" s="107" t="n">
        <v>0.459</v>
      </c>
      <c r="H18" s="104" t="n">
        <v>14.508</v>
      </c>
      <c r="I18" s="104" t="n">
        <v>11.674</v>
      </c>
      <c r="J18" s="104" t="n">
        <v>1.208</v>
      </c>
      <c r="K18" s="104" t="n">
        <v>0.653</v>
      </c>
      <c r="L18" s="104" t="n">
        <v>11.47</v>
      </c>
      <c r="M18" s="91"/>
      <c r="N18" s="91"/>
      <c r="O18" s="91"/>
      <c r="P18" s="91"/>
      <c r="Q18" s="91"/>
    </row>
    <row r="19" customFormat="false" ht="12.75" hidden="false" customHeight="false" outlineLevel="0" collapsed="false">
      <c r="A19" s="36" t="s">
        <v>40</v>
      </c>
      <c r="B19" s="104" t="n">
        <v>1.107</v>
      </c>
      <c r="C19" s="104" t="n">
        <v>1.106</v>
      </c>
      <c r="D19" s="104" t="n">
        <v>4.266</v>
      </c>
      <c r="E19" s="105" t="n">
        <v>0.259493670886076</v>
      </c>
      <c r="F19" s="106" t="n">
        <v>0.59</v>
      </c>
      <c r="G19" s="107" t="n">
        <v>0.548</v>
      </c>
      <c r="H19" s="104" t="n">
        <v>9.537</v>
      </c>
      <c r="I19" s="104" t="n">
        <v>9.525</v>
      </c>
      <c r="J19" s="104" t="n">
        <v>1.19</v>
      </c>
      <c r="K19" s="104" t="n">
        <v>1.096</v>
      </c>
      <c r="L19" s="104" t="n">
        <v>5.018</v>
      </c>
      <c r="M19" s="91"/>
      <c r="N19" s="91"/>
      <c r="O19" s="91"/>
      <c r="P19" s="91"/>
      <c r="Q19" s="91"/>
    </row>
    <row r="20" customFormat="false" ht="12.75" hidden="false" customHeight="false" outlineLevel="0" collapsed="false">
      <c r="A20" s="36" t="s">
        <v>41</v>
      </c>
      <c r="B20" s="104" t="n">
        <v>0.345</v>
      </c>
      <c r="C20" s="104" t="n">
        <v>0.345</v>
      </c>
      <c r="D20" s="104" t="n">
        <v>2.19758</v>
      </c>
      <c r="E20" s="105" t="n">
        <v>0.156990871777137</v>
      </c>
      <c r="F20" s="106" t="n">
        <v>0.12</v>
      </c>
      <c r="G20" s="107" t="n">
        <v>0.12</v>
      </c>
      <c r="H20" s="104" t="n">
        <v>2.275</v>
      </c>
      <c r="I20" s="104" t="n">
        <v>2.275</v>
      </c>
      <c r="J20" s="104" t="n">
        <v>0.204</v>
      </c>
      <c r="K20" s="104" t="n">
        <v>0.204</v>
      </c>
      <c r="L20" s="104" t="n">
        <v>0.929</v>
      </c>
      <c r="M20" s="91"/>
      <c r="N20" s="91"/>
      <c r="O20" s="91"/>
      <c r="P20" s="91"/>
      <c r="Q20" s="91"/>
    </row>
    <row r="21" customFormat="false" ht="13.5" hidden="false" customHeight="false" outlineLevel="0" collapsed="false">
      <c r="A21" s="36" t="s">
        <v>71</v>
      </c>
      <c r="B21" s="104" t="n">
        <v>4.82</v>
      </c>
      <c r="C21" s="104" t="n">
        <v>3.934</v>
      </c>
      <c r="D21" s="104" t="n">
        <v>31.902</v>
      </c>
      <c r="E21" s="105" t="n">
        <v>0.151087706099931</v>
      </c>
      <c r="F21" s="106" t="n">
        <v>1.474</v>
      </c>
      <c r="G21" s="107" t="n">
        <v>1.186</v>
      </c>
      <c r="H21" s="104" t="n">
        <v>24.653</v>
      </c>
      <c r="I21" s="104" t="n">
        <v>20.281</v>
      </c>
      <c r="J21" s="104" t="n">
        <v>2.819</v>
      </c>
      <c r="K21" s="104" t="n">
        <v>1.819</v>
      </c>
      <c r="L21" s="104" t="n">
        <v>7.695</v>
      </c>
      <c r="M21" s="91"/>
      <c r="N21" s="91"/>
      <c r="O21" s="91"/>
      <c r="P21" s="91"/>
      <c r="Q21" s="91"/>
    </row>
    <row r="22" customFormat="false" ht="12.75" hidden="false" customHeight="false" outlineLevel="0" collapsed="false">
      <c r="A22" s="36" t="s">
        <v>43</v>
      </c>
      <c r="B22" s="104" t="n">
        <v>0.242</v>
      </c>
      <c r="C22" s="104" t="n">
        <v>0.00544</v>
      </c>
      <c r="D22" s="104" t="n">
        <v>0.856</v>
      </c>
      <c r="E22" s="105" t="n">
        <v>0.282710280373832</v>
      </c>
      <c r="F22" s="106" t="n">
        <v>0.1388896</v>
      </c>
      <c r="G22" s="107" t="n">
        <v>0.001159</v>
      </c>
      <c r="H22" s="104" t="n">
        <v>0.08903</v>
      </c>
      <c r="I22" s="104" t="n">
        <v>0.02365</v>
      </c>
      <c r="J22" s="104" t="n">
        <v>0.015313</v>
      </c>
      <c r="K22" s="104" t="n">
        <v>0.001407</v>
      </c>
      <c r="L22" s="104" t="n">
        <v>0.102</v>
      </c>
      <c r="M22" s="91"/>
      <c r="N22" s="91"/>
      <c r="O22" s="91"/>
      <c r="P22" s="91"/>
      <c r="Q22" s="91"/>
    </row>
    <row r="23" customFormat="false" ht="12.75" hidden="false" customHeight="false" outlineLevel="0" collapsed="false">
      <c r="A23" s="36" t="s">
        <v>72</v>
      </c>
      <c r="B23" s="104" t="n">
        <v>30.776</v>
      </c>
      <c r="C23" s="104" t="n">
        <v>29.52</v>
      </c>
      <c r="D23" s="104" t="n">
        <v>115.17</v>
      </c>
      <c r="E23" s="105" t="n">
        <v>0.267222366935834</v>
      </c>
      <c r="F23" s="106" t="n">
        <v>9.08</v>
      </c>
      <c r="G23" s="107" t="n">
        <v>8.73</v>
      </c>
      <c r="H23" s="104" t="n">
        <v>174.263</v>
      </c>
      <c r="I23" s="104" t="n">
        <v>161.592</v>
      </c>
      <c r="J23" s="104" t="n">
        <v>15.981</v>
      </c>
      <c r="K23" s="104" t="n">
        <v>14.725</v>
      </c>
      <c r="L23" s="104" t="n">
        <v>109.599</v>
      </c>
      <c r="M23" s="91"/>
      <c r="N23" s="91"/>
      <c r="O23" s="91"/>
      <c r="P23" s="91"/>
      <c r="Q23" s="91"/>
    </row>
    <row r="24" customFormat="false" ht="12.75" hidden="false" customHeight="false" outlineLevel="0" collapsed="false">
      <c r="A24" s="36" t="s">
        <v>45</v>
      </c>
      <c r="B24" s="104" t="n">
        <v>10.902</v>
      </c>
      <c r="C24" s="104" t="n">
        <v>10.902</v>
      </c>
      <c r="D24" s="104" t="n">
        <v>68.351</v>
      </c>
      <c r="E24" s="105" t="n">
        <v>0.15950022677064</v>
      </c>
      <c r="F24" s="106" t="n">
        <v>3.428</v>
      </c>
      <c r="G24" s="107" t="n">
        <v>3.428</v>
      </c>
      <c r="H24" s="104" t="n">
        <v>114.94</v>
      </c>
      <c r="I24" s="104" t="n">
        <v>114.94</v>
      </c>
      <c r="J24" s="104" t="n">
        <v>8.851</v>
      </c>
      <c r="K24" s="104" t="n">
        <v>8.851</v>
      </c>
      <c r="L24" s="104" t="n">
        <v>14.279</v>
      </c>
      <c r="M24" s="91"/>
      <c r="N24" s="91"/>
      <c r="O24" s="91"/>
      <c r="P24" s="91"/>
      <c r="Q24" s="91"/>
    </row>
    <row r="25" customFormat="false" ht="12.75" hidden="false" customHeight="false" outlineLevel="0" collapsed="false">
      <c r="A25" s="36" t="s">
        <v>46</v>
      </c>
      <c r="B25" s="104" t="n">
        <v>27.599</v>
      </c>
      <c r="C25" s="104" t="n">
        <v>27.062</v>
      </c>
      <c r="D25" s="104" t="n">
        <v>166.635</v>
      </c>
      <c r="E25" s="105" t="n">
        <v>0.165625468839079</v>
      </c>
      <c r="F25" s="106" t="n">
        <v>8.717</v>
      </c>
      <c r="G25" s="107" t="n">
        <v>8.382</v>
      </c>
      <c r="H25" s="104" t="n">
        <v>246.473</v>
      </c>
      <c r="I25" s="104" t="n">
        <v>232.153</v>
      </c>
      <c r="J25" s="104" t="n">
        <v>23.779</v>
      </c>
      <c r="K25" s="104" t="n">
        <v>21.635</v>
      </c>
      <c r="L25" s="104" t="n">
        <v>109.495</v>
      </c>
      <c r="M25" s="91"/>
      <c r="N25" s="91"/>
      <c r="O25" s="91"/>
      <c r="P25" s="91"/>
      <c r="Q25" s="91"/>
    </row>
    <row r="26" customFormat="false" ht="12.75" hidden="false" customHeight="false" outlineLevel="0" collapsed="false">
      <c r="A26" s="36" t="s">
        <v>98</v>
      </c>
      <c r="B26" s="104" t="n">
        <v>6.249</v>
      </c>
      <c r="C26" s="104" t="n">
        <v>5.01</v>
      </c>
      <c r="D26" s="104" t="n">
        <v>60.28</v>
      </c>
      <c r="E26" s="105" t="n">
        <v>0.103666224286662</v>
      </c>
      <c r="F26" s="106" t="n">
        <v>1.189</v>
      </c>
      <c r="G26" s="107" t="n">
        <v>0.859</v>
      </c>
      <c r="H26" s="104" t="n">
        <v>61.689</v>
      </c>
      <c r="I26" s="104" t="n">
        <v>50.804</v>
      </c>
      <c r="J26" s="104" t="n">
        <v>3.764</v>
      </c>
      <c r="K26" s="104" t="n">
        <v>2.658</v>
      </c>
      <c r="L26" s="104" t="n">
        <v>15.522</v>
      </c>
      <c r="M26" s="91"/>
      <c r="N26" s="91"/>
      <c r="O26" s="91"/>
      <c r="P26" s="91"/>
      <c r="Q26" s="91"/>
    </row>
    <row r="27" customFormat="false" ht="12.75" hidden="false" customHeight="false" outlineLevel="0" collapsed="false">
      <c r="A27" s="36" t="s">
        <v>48</v>
      </c>
      <c r="B27" s="104" t="n">
        <v>5.288</v>
      </c>
      <c r="C27" s="104" t="n">
        <v>2.941</v>
      </c>
      <c r="D27" s="104" t="n">
        <v>65.103</v>
      </c>
      <c r="E27" s="105" t="n">
        <v>0.0812251355544292</v>
      </c>
      <c r="F27" s="106" t="n">
        <v>1.853</v>
      </c>
      <c r="G27" s="107" t="n">
        <v>0.842</v>
      </c>
      <c r="H27" s="104" t="n">
        <v>45.883</v>
      </c>
      <c r="I27" s="104" t="n">
        <v>17.476</v>
      </c>
      <c r="J27" s="104" t="n">
        <v>6.276</v>
      </c>
      <c r="K27" s="104" t="n">
        <v>2.08</v>
      </c>
      <c r="L27" s="104" t="n">
        <v>11.27</v>
      </c>
      <c r="M27" s="91"/>
      <c r="N27" s="91"/>
      <c r="O27" s="91"/>
      <c r="P27" s="91"/>
      <c r="Q27" s="91"/>
    </row>
    <row r="28" customFormat="false" ht="12.75" hidden="false" customHeight="false" outlineLevel="0" collapsed="false">
      <c r="A28" s="36" t="s">
        <v>99</v>
      </c>
      <c r="B28" s="104" t="n">
        <v>1.211</v>
      </c>
      <c r="C28" s="104" t="n">
        <v>0.98675</v>
      </c>
      <c r="D28" s="104" t="n">
        <v>16.5</v>
      </c>
      <c r="E28" s="105" t="n">
        <v>0.0733939393939394</v>
      </c>
      <c r="F28" s="106" t="n">
        <v>0.351</v>
      </c>
      <c r="G28" s="107" t="n">
        <v>0.246556</v>
      </c>
      <c r="H28" s="104" t="n">
        <v>10.762889</v>
      </c>
      <c r="I28" s="104" t="n">
        <v>7.8636686</v>
      </c>
      <c r="J28" s="104" t="n">
        <v>0.808692</v>
      </c>
      <c r="K28" s="104" t="n">
        <v>0.548483</v>
      </c>
      <c r="L28" s="104" t="n">
        <v>5.87</v>
      </c>
      <c r="M28" s="91"/>
      <c r="N28" s="91"/>
      <c r="O28" s="91"/>
      <c r="P28" s="91"/>
      <c r="Q28" s="91"/>
    </row>
    <row r="29" customFormat="false" ht="12.75" hidden="false" customHeight="false" outlineLevel="0" collapsed="false">
      <c r="A29" s="36" t="s">
        <v>50</v>
      </c>
      <c r="B29" s="104" t="n">
        <v>3.013</v>
      </c>
      <c r="C29" s="104" t="n">
        <v>2.64</v>
      </c>
      <c r="D29" s="104" t="n">
        <v>27.064</v>
      </c>
      <c r="E29" s="105" t="n">
        <v>0.111328702335205</v>
      </c>
      <c r="F29" s="106" t="n">
        <v>0.999</v>
      </c>
      <c r="G29" s="107" t="n">
        <v>0.732</v>
      </c>
      <c r="H29" s="104" t="n">
        <v>34.416</v>
      </c>
      <c r="I29" s="104" t="n">
        <v>27.934</v>
      </c>
      <c r="J29" s="104" t="n">
        <v>4.021</v>
      </c>
      <c r="K29" s="104" t="n">
        <v>2.701</v>
      </c>
      <c r="L29" s="104" t="n">
        <v>12.525</v>
      </c>
      <c r="M29" s="91"/>
      <c r="N29" s="91"/>
      <c r="O29" s="91"/>
      <c r="P29" s="91"/>
      <c r="Q29" s="91"/>
    </row>
    <row r="30" customFormat="false" ht="12.75" hidden="false" customHeight="false" outlineLevel="0" collapsed="false">
      <c r="A30" s="36" t="s">
        <v>75</v>
      </c>
      <c r="B30" s="109" t="n">
        <v>21.831</v>
      </c>
      <c r="C30" s="109" t="n">
        <v>21.557</v>
      </c>
      <c r="D30" s="109" t="n">
        <v>68.752</v>
      </c>
      <c r="E30" s="110" t="n">
        <v>0.317532580870375</v>
      </c>
      <c r="F30" s="111" t="n">
        <v>5.861</v>
      </c>
      <c r="G30" s="112" t="n">
        <v>5.534</v>
      </c>
      <c r="H30" s="109" t="n">
        <v>241.634</v>
      </c>
      <c r="I30" s="109" t="n">
        <v>236.786</v>
      </c>
      <c r="J30" s="109" t="n">
        <v>14.585</v>
      </c>
      <c r="K30" s="109" t="n">
        <v>13.853</v>
      </c>
      <c r="L30" s="109" t="n">
        <v>145.17</v>
      </c>
      <c r="M30" s="91"/>
      <c r="N30" s="91"/>
      <c r="O30" s="91"/>
      <c r="P30" s="91"/>
      <c r="Q30" s="91"/>
    </row>
    <row r="31" customFormat="false" ht="12.75" hidden="false" customHeight="false" outlineLevel="0" collapsed="false">
      <c r="A31" s="36" t="s">
        <v>76</v>
      </c>
      <c r="B31" s="107" t="n">
        <v>9.209</v>
      </c>
      <c r="C31" s="104" t="n">
        <v>9.106</v>
      </c>
      <c r="D31" s="104" t="n">
        <v>156.01</v>
      </c>
      <c r="E31" s="105" t="n">
        <v>0.0590282674187552</v>
      </c>
      <c r="F31" s="106" t="n">
        <v>3.887</v>
      </c>
      <c r="G31" s="107" t="n">
        <v>3.837</v>
      </c>
      <c r="H31" s="107" t="n">
        <v>91.073</v>
      </c>
      <c r="I31" s="157" t="n">
        <v>86.821</v>
      </c>
      <c r="J31" s="107" t="n">
        <v>8.421</v>
      </c>
      <c r="K31" s="107" t="n">
        <v>8.078</v>
      </c>
      <c r="L31" s="104" t="n">
        <v>75.855</v>
      </c>
      <c r="M31" s="91"/>
      <c r="N31" s="91"/>
      <c r="O31" s="91"/>
      <c r="P31" s="91"/>
      <c r="Q31" s="91"/>
    </row>
    <row r="32" customFormat="false" ht="12.75" hidden="false" customHeight="false" outlineLevel="0" collapsed="false">
      <c r="A32" s="55" t="s">
        <v>77</v>
      </c>
      <c r="B32" s="113" t="n">
        <v>19.797</v>
      </c>
      <c r="C32" s="114" t="n">
        <v>19.045</v>
      </c>
      <c r="D32" s="114" t="n">
        <v>339.399</v>
      </c>
      <c r="E32" s="115" t="n">
        <v>0.058329576692919</v>
      </c>
      <c r="F32" s="116" t="n">
        <v>4.565</v>
      </c>
      <c r="G32" s="113" t="n">
        <v>4.421</v>
      </c>
      <c r="H32" s="113" t="n">
        <v>129.775</v>
      </c>
      <c r="I32" s="117" t="n">
        <v>118.424</v>
      </c>
      <c r="J32" s="113" t="n">
        <v>7.116</v>
      </c>
      <c r="K32" s="113" t="n">
        <v>6.717</v>
      </c>
      <c r="L32" s="114" t="n">
        <v>56.169</v>
      </c>
      <c r="M32" s="91"/>
      <c r="N32" s="91"/>
      <c r="O32" s="91"/>
      <c r="P32" s="91"/>
      <c r="Q32" s="91"/>
    </row>
    <row r="33" customFormat="false" ht="13.5" hidden="false" customHeight="false" outlineLevel="0" collapsed="false">
      <c r="A33" s="173" t="s">
        <v>100</v>
      </c>
      <c r="B33" s="121" t="n">
        <v>3.024</v>
      </c>
      <c r="C33" s="121" t="n">
        <v>3.024</v>
      </c>
      <c r="D33" s="121" t="n">
        <v>149.633</v>
      </c>
      <c r="E33" s="122" t="n">
        <v>0.0202094457773352</v>
      </c>
      <c r="F33" s="123" t="n">
        <v>0.611</v>
      </c>
      <c r="G33" s="120" t="n">
        <v>0.611</v>
      </c>
      <c r="H33" s="121" t="n">
        <v>6.164</v>
      </c>
      <c r="I33" s="121" t="n">
        <v>6.164</v>
      </c>
      <c r="J33" s="121" t="n">
        <v>0.48</v>
      </c>
      <c r="K33" s="121" t="n">
        <v>0.48</v>
      </c>
      <c r="L33" s="121" t="s">
        <v>91</v>
      </c>
      <c r="M33" s="91"/>
      <c r="N33" s="91"/>
      <c r="O33" s="91"/>
      <c r="P33" s="91"/>
      <c r="Q33" s="91"/>
    </row>
    <row r="34" customFormat="false" ht="12.75" hidden="false" customHeight="false" outlineLevel="0" collapsed="false">
      <c r="A34" s="67"/>
      <c r="M34" s="91"/>
      <c r="N34" s="91"/>
      <c r="O34" s="91"/>
      <c r="P34" s="91"/>
      <c r="Q34" s="91"/>
    </row>
    <row r="35" s="67" customFormat="true" ht="13.5" hidden="false" customHeight="false" outlineLevel="0" collapsed="false">
      <c r="A35" s="171" t="s">
        <v>101</v>
      </c>
      <c r="B35" s="66"/>
      <c r="D35" s="171" t="s">
        <v>102</v>
      </c>
      <c r="F35" s="68"/>
      <c r="G35" s="158" t="s">
        <v>103</v>
      </c>
      <c r="H35" s="70"/>
      <c r="I35" s="71"/>
      <c r="J35" s="72"/>
      <c r="L35" s="73"/>
    </row>
    <row r="38" customFormat="false" ht="52.5" hidden="false" customHeight="true" outlineLevel="0" collapsed="false">
      <c r="A38" s="146" t="n">
        <v>2016</v>
      </c>
      <c r="B38" s="160" t="s">
        <v>55</v>
      </c>
      <c r="C38" s="161" t="s">
        <v>56</v>
      </c>
      <c r="D38" s="148" t="s">
        <v>57</v>
      </c>
      <c r="E38" s="148" t="s">
        <v>58</v>
      </c>
      <c r="F38" s="148" t="s">
        <v>59</v>
      </c>
      <c r="G38" s="148" t="s">
        <v>60</v>
      </c>
      <c r="H38" s="148" t="s">
        <v>61</v>
      </c>
    </row>
    <row r="39" customFormat="false" ht="13.5" hidden="false" customHeight="false" outlineLevel="0" collapsed="false">
      <c r="A39" s="162" t="s">
        <v>104</v>
      </c>
      <c r="B39" s="163" t="n">
        <v>5110.189814</v>
      </c>
      <c r="C39" s="163" t="n">
        <v>4093.77276</v>
      </c>
      <c r="D39" s="164" t="s">
        <v>91</v>
      </c>
      <c r="E39" s="165" t="s">
        <v>91</v>
      </c>
      <c r="F39" s="165" t="s">
        <v>91</v>
      </c>
      <c r="G39" s="165" t="s">
        <v>91</v>
      </c>
      <c r="H39" s="165" t="s">
        <v>91</v>
      </c>
    </row>
    <row r="40" customFormat="false" ht="12.75" hidden="false" customHeight="false" outlineLevel="0" collapsed="false">
      <c r="A40" s="30" t="s">
        <v>96</v>
      </c>
      <c r="B40" s="131" t="n">
        <v>167.664</v>
      </c>
      <c r="C40" s="131" t="n">
        <v>139.066</v>
      </c>
      <c r="D40" s="132" t="n">
        <v>0.012</v>
      </c>
      <c r="E40" s="133" t="n">
        <v>0.014</v>
      </c>
      <c r="F40" s="133" t="n">
        <v>0.593</v>
      </c>
      <c r="G40" s="133" t="n">
        <v>0.162</v>
      </c>
      <c r="H40" s="133" t="n">
        <v>0.219</v>
      </c>
    </row>
    <row r="41" customFormat="false" ht="12.75" hidden="false" customHeight="false" outlineLevel="0" collapsed="false">
      <c r="A41" s="36" t="s">
        <v>27</v>
      </c>
      <c r="B41" s="134" t="n">
        <v>64.719</v>
      </c>
      <c r="C41" s="134" t="n">
        <v>55.093</v>
      </c>
      <c r="D41" s="135" t="n">
        <v>0.423</v>
      </c>
      <c r="E41" s="136" t="n">
        <v>0.015</v>
      </c>
      <c r="F41" s="136" t="n">
        <v>0.391</v>
      </c>
      <c r="G41" s="136" t="n">
        <v>0.053</v>
      </c>
      <c r="H41" s="136" t="n">
        <v>0.119</v>
      </c>
    </row>
    <row r="42" customFormat="false" ht="12.75" hidden="false" customHeight="false" outlineLevel="0" collapsed="false">
      <c r="A42" s="36" t="s">
        <v>28</v>
      </c>
      <c r="B42" s="134" t="n">
        <v>165.757</v>
      </c>
      <c r="C42" s="134" t="n">
        <v>136.25</v>
      </c>
      <c r="D42" s="137" t="n">
        <v>0.681</v>
      </c>
      <c r="E42" s="136" t="n">
        <v>0.007</v>
      </c>
      <c r="F42" s="136" t="n">
        <v>0.13</v>
      </c>
      <c r="G42" s="136" t="n">
        <v>0.16</v>
      </c>
      <c r="H42" s="136" t="n">
        <v>0.023</v>
      </c>
    </row>
    <row r="43" customFormat="false" ht="12.75" hidden="false" customHeight="false" outlineLevel="0" collapsed="false">
      <c r="A43" s="36" t="s">
        <v>29</v>
      </c>
      <c r="B43" s="134" t="n">
        <v>155.038</v>
      </c>
      <c r="C43" s="134" t="n">
        <v>154.969</v>
      </c>
      <c r="D43" s="135" t="n">
        <v>0.296</v>
      </c>
      <c r="E43" s="136" t="n">
        <v>0.024</v>
      </c>
      <c r="F43" s="136" t="n">
        <v>0.149</v>
      </c>
      <c r="G43" s="136" t="n">
        <v>0.432</v>
      </c>
      <c r="H43" s="136" t="n">
        <v>0.1</v>
      </c>
    </row>
    <row r="44" customFormat="false" ht="12.75" hidden="false" customHeight="false" outlineLevel="0" collapsed="false">
      <c r="A44" s="36" t="s">
        <v>30</v>
      </c>
      <c r="B44" s="134" t="n">
        <v>1351.519</v>
      </c>
      <c r="C44" s="134" t="n">
        <v>785.0485</v>
      </c>
      <c r="D44" s="135" t="n">
        <v>0.135</v>
      </c>
      <c r="E44" s="136" t="n">
        <v>0.043</v>
      </c>
      <c r="F44" s="136" t="n">
        <v>0.456</v>
      </c>
      <c r="G44" s="136" t="n">
        <v>0.233</v>
      </c>
      <c r="H44" s="136" t="n">
        <v>0.133</v>
      </c>
    </row>
    <row r="45" customFormat="false" ht="13.5" hidden="false" customHeight="false" outlineLevel="0" collapsed="false">
      <c r="A45" s="36" t="s">
        <v>67</v>
      </c>
      <c r="B45" s="134" t="n">
        <v>7.651</v>
      </c>
      <c r="C45" s="134" t="n">
        <v>7.651</v>
      </c>
      <c r="D45" s="135" t="n">
        <v>0.116</v>
      </c>
      <c r="E45" s="136" t="n">
        <v>0.245</v>
      </c>
      <c r="F45" s="136" t="n">
        <v>0.001</v>
      </c>
      <c r="G45" s="136" t="n">
        <v>0.612</v>
      </c>
      <c r="H45" s="136" t="n">
        <v>0.026</v>
      </c>
    </row>
    <row r="46" customFormat="false" ht="12.75" hidden="false" customHeight="false" outlineLevel="0" collapsed="false">
      <c r="A46" s="36" t="s">
        <v>97</v>
      </c>
      <c r="B46" s="134" t="n">
        <v>23.822</v>
      </c>
      <c r="C46" s="134" t="n">
        <v>22.111</v>
      </c>
      <c r="D46" s="137" t="n">
        <v>0.036</v>
      </c>
      <c r="E46" s="136" t="n">
        <v>0.013</v>
      </c>
      <c r="F46" s="136" t="n">
        <v>0.921</v>
      </c>
      <c r="G46" s="136" t="n">
        <v>0.029</v>
      </c>
      <c r="H46" s="136" t="n">
        <v>0.001</v>
      </c>
    </row>
    <row r="47" customFormat="false" ht="13.5" hidden="false" customHeight="false" outlineLevel="0" collapsed="false">
      <c r="A47" s="36" t="s">
        <v>69</v>
      </c>
      <c r="B47" s="134" t="n">
        <v>26.747</v>
      </c>
      <c r="C47" s="134" t="n">
        <v>0.125</v>
      </c>
      <c r="D47" s="135" t="n">
        <v>0.135</v>
      </c>
      <c r="E47" s="136" t="n">
        <v>0.307</v>
      </c>
      <c r="F47" s="136" t="n">
        <v>0.296</v>
      </c>
      <c r="G47" s="136" t="n">
        <v>0.14</v>
      </c>
      <c r="H47" s="136" t="n">
        <v>0.122</v>
      </c>
    </row>
    <row r="48" customFormat="false" ht="12.75" hidden="false" customHeight="false" outlineLevel="0" collapsed="false">
      <c r="A48" s="36" t="s">
        <v>34</v>
      </c>
      <c r="B48" s="134" t="n">
        <v>302.481</v>
      </c>
      <c r="C48" s="134" t="n">
        <v>300.604</v>
      </c>
      <c r="D48" s="135" t="n">
        <v>0.023</v>
      </c>
      <c r="E48" s="136" t="n">
        <v>0.083</v>
      </c>
      <c r="F48" s="136" t="n">
        <v>0.792</v>
      </c>
      <c r="G48" s="136" t="n">
        <v>0.017</v>
      </c>
      <c r="H48" s="136" t="n">
        <v>0.086</v>
      </c>
    </row>
    <row r="49" customFormat="false" ht="12.75" hidden="false" customHeight="false" outlineLevel="0" collapsed="false">
      <c r="A49" s="36" t="s">
        <v>35</v>
      </c>
      <c r="B49" s="134" t="n">
        <v>260.015</v>
      </c>
      <c r="C49" s="134" t="n">
        <v>173.107</v>
      </c>
      <c r="D49" s="135" t="n">
        <v>0.047</v>
      </c>
      <c r="E49" s="136" t="n">
        <v>0.048</v>
      </c>
      <c r="F49" s="136" t="n">
        <v>0.503</v>
      </c>
      <c r="G49" s="136" t="n">
        <v>0.277</v>
      </c>
      <c r="H49" s="136" t="n">
        <v>0.125</v>
      </c>
    </row>
    <row r="50" customFormat="false" ht="12.75" hidden="false" customHeight="false" outlineLevel="0" collapsed="false">
      <c r="A50" s="36" t="s">
        <v>36</v>
      </c>
      <c r="B50" s="134" t="n">
        <v>27.272</v>
      </c>
      <c r="C50" s="134" t="n">
        <v>13.952</v>
      </c>
      <c r="D50" s="135" t="n">
        <v>0.025</v>
      </c>
      <c r="E50" s="136" t="n">
        <v>0.107</v>
      </c>
      <c r="F50" s="136" t="n">
        <v>0.78</v>
      </c>
      <c r="G50" s="136" t="n">
        <v>0.088</v>
      </c>
      <c r="H50" s="136" t="n">
        <v>0</v>
      </c>
    </row>
    <row r="51" customFormat="false" ht="12.75" hidden="false" customHeight="false" outlineLevel="0" collapsed="false">
      <c r="A51" s="36" t="s">
        <v>37</v>
      </c>
      <c r="B51" s="134" t="n">
        <v>451.708</v>
      </c>
      <c r="C51" s="134" t="n">
        <v>387.883</v>
      </c>
      <c r="D51" s="135" t="n">
        <v>0.032</v>
      </c>
      <c r="E51" s="136" t="n">
        <v>0.087</v>
      </c>
      <c r="F51" s="136" t="n">
        <v>0.652</v>
      </c>
      <c r="G51" s="136" t="n">
        <v>0.156</v>
      </c>
      <c r="H51" s="136" t="n">
        <v>0.073</v>
      </c>
    </row>
    <row r="52" customFormat="false" ht="12.75" hidden="false" customHeight="false" outlineLevel="0" collapsed="false">
      <c r="A52" s="36" t="s">
        <v>38</v>
      </c>
      <c r="B52" s="134" t="n">
        <v>0.301</v>
      </c>
      <c r="C52" s="134" t="n">
        <v>0.24356</v>
      </c>
      <c r="D52" s="135" t="n">
        <v>0</v>
      </c>
      <c r="E52" s="136" t="n">
        <v>0.07</v>
      </c>
      <c r="F52" s="136" t="n">
        <v>0</v>
      </c>
      <c r="G52" s="136" t="n">
        <v>0.93</v>
      </c>
      <c r="H52" s="136" t="n">
        <v>0</v>
      </c>
    </row>
    <row r="53" customFormat="false" ht="12.75" hidden="false" customHeight="false" outlineLevel="0" collapsed="false">
      <c r="A53" s="36" t="s">
        <v>70</v>
      </c>
      <c r="B53" s="134" t="n">
        <v>31.558</v>
      </c>
      <c r="C53" s="134" t="n">
        <v>23.34</v>
      </c>
      <c r="D53" s="135" t="n">
        <v>0.002</v>
      </c>
      <c r="E53" s="136" t="n">
        <v>0</v>
      </c>
      <c r="F53" s="136" t="n">
        <v>0.628</v>
      </c>
      <c r="G53" s="136" t="n">
        <v>0.37</v>
      </c>
      <c r="H53" s="136" t="n">
        <v>0</v>
      </c>
    </row>
    <row r="54" customFormat="false" ht="12.75" hidden="false" customHeight="false" outlineLevel="0" collapsed="false">
      <c r="A54" s="36" t="s">
        <v>40</v>
      </c>
      <c r="B54" s="134" t="n">
        <v>15.995</v>
      </c>
      <c r="C54" s="134" t="n">
        <v>15.974</v>
      </c>
      <c r="D54" s="135" t="n">
        <v>0</v>
      </c>
      <c r="E54" s="136" t="n">
        <v>0.128</v>
      </c>
      <c r="F54" s="136" t="n">
        <v>0.355</v>
      </c>
      <c r="G54" s="136" t="n">
        <v>0.404</v>
      </c>
      <c r="H54" s="136" t="n">
        <v>0.112</v>
      </c>
    </row>
    <row r="55" customFormat="false" ht="12.75" hidden="false" customHeight="false" outlineLevel="0" collapsed="false">
      <c r="A55" s="36" t="s">
        <v>41</v>
      </c>
      <c r="B55" s="134" t="n">
        <v>4.264</v>
      </c>
      <c r="C55" s="134" t="n">
        <v>4.264</v>
      </c>
      <c r="D55" s="135" t="n">
        <v>0</v>
      </c>
      <c r="E55" s="136" t="n">
        <v>0</v>
      </c>
      <c r="F55" s="136" t="n">
        <v>0.741</v>
      </c>
      <c r="G55" s="136" t="n">
        <v>0.254</v>
      </c>
      <c r="H55" s="136" t="n">
        <v>0.005</v>
      </c>
    </row>
    <row r="56" customFormat="false" ht="13.5" hidden="false" customHeight="false" outlineLevel="0" collapsed="false">
      <c r="A56" s="36" t="s">
        <v>71</v>
      </c>
      <c r="B56" s="134" t="n">
        <v>58.394</v>
      </c>
      <c r="C56" s="134" t="n">
        <v>44.958</v>
      </c>
      <c r="D56" s="135" t="n">
        <v>0.101</v>
      </c>
      <c r="E56" s="136" t="n">
        <v>0.001</v>
      </c>
      <c r="F56" s="136" t="n">
        <v>0.63</v>
      </c>
      <c r="G56" s="136" t="n">
        <v>0.215</v>
      </c>
      <c r="H56" s="136" t="n">
        <v>0.053</v>
      </c>
    </row>
    <row r="57" customFormat="false" ht="12.75" hidden="false" customHeight="false" outlineLevel="0" collapsed="false">
      <c r="A57" s="36" t="s">
        <v>43</v>
      </c>
      <c r="B57" s="134" t="n">
        <v>1.981</v>
      </c>
      <c r="C57" s="134" t="n">
        <v>0.0537</v>
      </c>
      <c r="D57" s="135" t="n">
        <v>0</v>
      </c>
      <c r="E57" s="136" t="n">
        <v>0</v>
      </c>
      <c r="F57" s="136" t="n">
        <v>0</v>
      </c>
      <c r="G57" s="136" t="n">
        <v>0.033</v>
      </c>
      <c r="H57" s="136" t="n">
        <v>0.967</v>
      </c>
    </row>
    <row r="58" customFormat="false" ht="12.75" hidden="false" customHeight="false" outlineLevel="0" collapsed="false">
      <c r="A58" s="36" t="s">
        <v>72</v>
      </c>
      <c r="B58" s="134" t="n">
        <v>338.808</v>
      </c>
      <c r="C58" s="134" t="n">
        <v>316.413</v>
      </c>
      <c r="D58" s="135" t="n">
        <v>0.038</v>
      </c>
      <c r="E58" s="136" t="n">
        <v>0.038</v>
      </c>
      <c r="F58" s="136" t="n">
        <v>0.81</v>
      </c>
      <c r="G58" s="136" t="n">
        <v>0.058</v>
      </c>
      <c r="H58" s="136" t="n">
        <v>0.055</v>
      </c>
    </row>
    <row r="59" customFormat="false" ht="12.75" hidden="false" customHeight="false" outlineLevel="0" collapsed="false">
      <c r="A59" s="36" t="s">
        <v>45</v>
      </c>
      <c r="B59" s="134" t="n">
        <v>184.517</v>
      </c>
      <c r="C59" s="134" t="n">
        <v>184.517</v>
      </c>
      <c r="D59" s="135" t="n">
        <v>0.078</v>
      </c>
      <c r="E59" s="136" t="n">
        <v>0.096</v>
      </c>
      <c r="F59" s="136" t="n">
        <v>0.376</v>
      </c>
      <c r="G59" s="136" t="n">
        <v>0.381</v>
      </c>
      <c r="H59" s="136" t="n">
        <v>0.07</v>
      </c>
    </row>
    <row r="60" customFormat="false" ht="12.75" hidden="false" customHeight="false" outlineLevel="0" collapsed="false">
      <c r="A60" s="36" t="s">
        <v>46</v>
      </c>
      <c r="B60" s="134" t="n">
        <v>421.238</v>
      </c>
      <c r="C60" s="134" t="n">
        <v>400.874</v>
      </c>
      <c r="D60" s="135" t="n">
        <v>0.708</v>
      </c>
      <c r="E60" s="136" t="n">
        <v>0.075</v>
      </c>
      <c r="F60" s="136" t="n">
        <v>0.101</v>
      </c>
      <c r="G60" s="136" t="n">
        <v>0.106</v>
      </c>
      <c r="H60" s="136" t="n">
        <v>0.01</v>
      </c>
    </row>
    <row r="61" customFormat="false" ht="12.75" hidden="false" customHeight="false" outlineLevel="0" collapsed="false">
      <c r="A61" s="36" t="s">
        <v>98</v>
      </c>
      <c r="B61" s="134" t="n">
        <v>108.297</v>
      </c>
      <c r="C61" s="134" t="n">
        <v>80.342</v>
      </c>
      <c r="D61" s="135" t="n">
        <v>0</v>
      </c>
      <c r="E61" s="136" t="n">
        <v>0.079</v>
      </c>
      <c r="F61" s="136" t="n">
        <v>0.456</v>
      </c>
      <c r="G61" s="136" t="n">
        <v>0.46</v>
      </c>
      <c r="H61" s="136" t="n">
        <v>0.006</v>
      </c>
    </row>
    <row r="62" customFormat="false" ht="12.75" hidden="false" customHeight="false" outlineLevel="0" collapsed="false">
      <c r="A62" s="36" t="s">
        <v>48</v>
      </c>
      <c r="B62" s="134" t="n">
        <v>82.173</v>
      </c>
      <c r="C62" s="134" t="n">
        <v>35.142</v>
      </c>
      <c r="D62" s="135" t="n">
        <v>0.287</v>
      </c>
      <c r="E62" s="136" t="n">
        <v>0.048</v>
      </c>
      <c r="F62" s="136" t="n">
        <v>0.598</v>
      </c>
      <c r="G62" s="136" t="n">
        <v>0.064</v>
      </c>
      <c r="H62" s="136" t="n">
        <v>0.004</v>
      </c>
    </row>
    <row r="63" customFormat="false" ht="12.75" hidden="false" customHeight="false" outlineLevel="0" collapsed="false">
      <c r="A63" s="36" t="s">
        <v>99</v>
      </c>
      <c r="B63" s="134" t="n">
        <v>18.404814</v>
      </c>
      <c r="C63" s="134" t="n">
        <v>13.587</v>
      </c>
      <c r="D63" s="135" t="n">
        <v>0.503</v>
      </c>
      <c r="E63" s="136" t="n">
        <v>0.002</v>
      </c>
      <c r="F63" s="136" t="n">
        <v>0.27</v>
      </c>
      <c r="G63" s="136" t="n">
        <v>0.206</v>
      </c>
      <c r="H63" s="136" t="n">
        <v>0.02</v>
      </c>
    </row>
    <row r="64" customFormat="false" ht="12.75" hidden="false" customHeight="false" outlineLevel="0" collapsed="false">
      <c r="A64" s="36" t="s">
        <v>50</v>
      </c>
      <c r="B64" s="104" t="n">
        <v>56.45</v>
      </c>
      <c r="C64" s="104" t="n">
        <v>46.859</v>
      </c>
      <c r="D64" s="166" t="n">
        <v>0.241</v>
      </c>
      <c r="E64" s="167" t="n">
        <v>0.127</v>
      </c>
      <c r="F64" s="167" t="n">
        <v>0.337</v>
      </c>
      <c r="G64" s="167" t="n">
        <v>0.239</v>
      </c>
      <c r="H64" s="167" t="n">
        <v>0.056</v>
      </c>
    </row>
    <row r="65" customFormat="false" ht="12.75" hidden="false" customHeight="false" outlineLevel="0" collapsed="false">
      <c r="A65" s="36" t="s">
        <v>75</v>
      </c>
      <c r="B65" s="168" t="n">
        <v>387.967</v>
      </c>
      <c r="C65" s="168" t="n">
        <v>379.751</v>
      </c>
      <c r="D65" s="169" t="n">
        <v>0.251</v>
      </c>
      <c r="E65" s="170" t="n">
        <v>0.006</v>
      </c>
      <c r="F65" s="170" t="n">
        <v>0.095</v>
      </c>
      <c r="G65" s="170" t="n">
        <v>0.608</v>
      </c>
      <c r="H65" s="170" t="n">
        <v>0.041</v>
      </c>
    </row>
    <row r="66" customFormat="false" ht="12.75" hidden="false" customHeight="false" outlineLevel="0" collapsed="false">
      <c r="A66" s="36" t="s">
        <v>76</v>
      </c>
      <c r="B66" s="134" t="n">
        <v>145.171</v>
      </c>
      <c r="C66" s="134" t="n">
        <v>139.266</v>
      </c>
      <c r="D66" s="135" t="n">
        <v>0.091</v>
      </c>
      <c r="E66" s="136" t="n">
        <v>0.006</v>
      </c>
      <c r="F66" s="136" t="n">
        <v>0.074</v>
      </c>
      <c r="G66" s="136" t="n">
        <v>0.587</v>
      </c>
      <c r="H66" s="136" t="n">
        <v>0.241</v>
      </c>
    </row>
    <row r="67" customFormat="false" ht="12.75" hidden="false" customHeight="false" outlineLevel="0" collapsed="false">
      <c r="A67" s="55" t="s">
        <v>77</v>
      </c>
      <c r="B67" s="168" t="n">
        <v>250.278</v>
      </c>
      <c r="C67" s="168" t="n">
        <v>232.329</v>
      </c>
      <c r="D67" s="169" t="n">
        <v>0.016</v>
      </c>
      <c r="E67" s="170" t="n">
        <v>0.142</v>
      </c>
      <c r="F67" s="170" t="n">
        <v>0.739</v>
      </c>
      <c r="G67" s="170" t="n">
        <v>0.066</v>
      </c>
      <c r="H67" s="170" t="n">
        <v>0.037</v>
      </c>
    </row>
    <row r="68" customFormat="false" ht="13.5" hidden="false" customHeight="false" outlineLevel="0" collapsed="false">
      <c r="A68" s="173" t="s">
        <v>100</v>
      </c>
      <c r="B68" s="174" t="n">
        <v>23.178</v>
      </c>
      <c r="C68" s="174" t="n">
        <v>23.178</v>
      </c>
      <c r="D68" s="175" t="n">
        <v>0.032</v>
      </c>
      <c r="E68" s="176" t="n">
        <v>0</v>
      </c>
      <c r="F68" s="176" t="n">
        <v>0.596</v>
      </c>
      <c r="G68" s="176" t="n">
        <v>0.187</v>
      </c>
      <c r="H68" s="176" t="n">
        <v>0.186</v>
      </c>
    </row>
    <row r="69" customFormat="false" ht="12.75" hidden="false" customHeight="false" outlineLevel="0" collapsed="false">
      <c r="A69" s="177"/>
    </row>
    <row r="70" customFormat="false" ht="12.75" hidden="false" customHeight="false" outlineLevel="0" collapsed="false">
      <c r="A70" s="67"/>
    </row>
    <row r="71" s="67" customFormat="true" ht="13.5" hidden="false" customHeight="false" outlineLevel="0" collapsed="false">
      <c r="A71" s="171" t="s">
        <v>101</v>
      </c>
      <c r="B71" s="66"/>
      <c r="D71" s="171" t="s">
        <v>102</v>
      </c>
      <c r="F71" s="68"/>
      <c r="G71" s="158" t="s">
        <v>103</v>
      </c>
      <c r="H71" s="70"/>
      <c r="I71" s="71"/>
      <c r="J71" s="72"/>
      <c r="L71" s="7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N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3:43 A1"/>
    </sheetView>
  </sheetViews>
  <sheetFormatPr defaultColWidth="9.1484375" defaultRowHeight="12" zeroHeight="false" outlineLevelRow="0" outlineLevelCol="0"/>
  <cols>
    <col collapsed="false" customWidth="true" hidden="false" outlineLevel="0" max="1" min="1" style="19" width="21.71"/>
    <col collapsed="false" customWidth="true" hidden="false" outlineLevel="0" max="2" min="2" style="15" width="10.71"/>
    <col collapsed="false" customWidth="true" hidden="false" outlineLevel="0" max="5" min="3" style="16" width="10.71"/>
    <col collapsed="false" customWidth="true" hidden="false" outlineLevel="0" max="7" min="6" style="19" width="10.71"/>
    <col collapsed="false" customWidth="true" hidden="false" outlineLevel="0" max="9" min="8" style="16" width="10.71"/>
    <col collapsed="false" customWidth="true" hidden="false" outlineLevel="0" max="10" min="10" style="15" width="10.71"/>
    <col collapsed="false" customWidth="false" hidden="false" outlineLevel="0" max="214" min="11" style="19" width="9.14"/>
    <col collapsed="false" customWidth="true" hidden="false" outlineLevel="0" max="215" min="215" style="19" width="21.71"/>
    <col collapsed="false" customWidth="true" hidden="false" outlineLevel="0" max="216" min="216" style="19" width="9.71"/>
    <col collapsed="false" customWidth="false" hidden="false" outlineLevel="0" max="219" min="217" style="19" width="9.14"/>
    <col collapsed="false" customWidth="true" hidden="false" outlineLevel="0" max="220" min="220" style="19" width="10.71"/>
    <col collapsed="false" customWidth="true" hidden="false" outlineLevel="0" max="221" min="221" style="19" width="9.57"/>
    <col collapsed="false" customWidth="false" hidden="false" outlineLevel="0" max="470" min="222" style="19" width="9.14"/>
    <col collapsed="false" customWidth="true" hidden="false" outlineLevel="0" max="471" min="471" style="19" width="21.71"/>
    <col collapsed="false" customWidth="true" hidden="false" outlineLevel="0" max="472" min="472" style="19" width="9.71"/>
    <col collapsed="false" customWidth="false" hidden="false" outlineLevel="0" max="475" min="473" style="19" width="9.14"/>
    <col collapsed="false" customWidth="true" hidden="false" outlineLevel="0" max="476" min="476" style="19" width="10.71"/>
    <col collapsed="false" customWidth="true" hidden="false" outlineLevel="0" max="477" min="477" style="19" width="9.57"/>
    <col collapsed="false" customWidth="false" hidden="false" outlineLevel="0" max="726" min="478" style="19" width="9.14"/>
    <col collapsed="false" customWidth="true" hidden="false" outlineLevel="0" max="727" min="727" style="19" width="21.71"/>
    <col collapsed="false" customWidth="true" hidden="false" outlineLevel="0" max="728" min="728" style="19" width="9.71"/>
    <col collapsed="false" customWidth="false" hidden="false" outlineLevel="0" max="731" min="729" style="19" width="9.14"/>
    <col collapsed="false" customWidth="true" hidden="false" outlineLevel="0" max="732" min="732" style="19" width="10.71"/>
    <col collapsed="false" customWidth="true" hidden="false" outlineLevel="0" max="733" min="733" style="19" width="9.57"/>
    <col collapsed="false" customWidth="false" hidden="false" outlineLevel="0" max="982" min="734" style="19" width="9.14"/>
    <col collapsed="false" customWidth="true" hidden="false" outlineLevel="0" max="983" min="983" style="19" width="21.71"/>
    <col collapsed="false" customWidth="true" hidden="false" outlineLevel="0" max="984" min="984" style="19" width="9.71"/>
    <col collapsed="false" customWidth="false" hidden="false" outlineLevel="0" max="987" min="985" style="19" width="9.14"/>
    <col collapsed="false" customWidth="true" hidden="false" outlineLevel="0" max="988" min="988" style="19" width="10.71"/>
    <col collapsed="false" customWidth="true" hidden="false" outlineLevel="0" max="989" min="989" style="19" width="9.57"/>
    <col collapsed="false" customWidth="false" hidden="false" outlineLevel="0" max="1238" min="990" style="19" width="9.14"/>
    <col collapsed="false" customWidth="true" hidden="false" outlineLevel="0" max="1239" min="1239" style="19" width="21.71"/>
    <col collapsed="false" customWidth="true" hidden="false" outlineLevel="0" max="1240" min="1240" style="19" width="9.71"/>
    <col collapsed="false" customWidth="false" hidden="false" outlineLevel="0" max="1243" min="1241" style="19" width="9.14"/>
    <col collapsed="false" customWidth="true" hidden="false" outlineLevel="0" max="1244" min="1244" style="19" width="10.71"/>
    <col collapsed="false" customWidth="true" hidden="false" outlineLevel="0" max="1245" min="1245" style="19" width="9.57"/>
    <col collapsed="false" customWidth="false" hidden="false" outlineLevel="0" max="1494" min="1246" style="19" width="9.14"/>
    <col collapsed="false" customWidth="true" hidden="false" outlineLevel="0" max="1495" min="1495" style="19" width="21.71"/>
    <col collapsed="false" customWidth="true" hidden="false" outlineLevel="0" max="1496" min="1496" style="19" width="9.71"/>
    <col collapsed="false" customWidth="false" hidden="false" outlineLevel="0" max="1499" min="1497" style="19" width="9.14"/>
    <col collapsed="false" customWidth="true" hidden="false" outlineLevel="0" max="1500" min="1500" style="19" width="10.71"/>
    <col collapsed="false" customWidth="true" hidden="false" outlineLevel="0" max="1501" min="1501" style="19" width="9.57"/>
    <col collapsed="false" customWidth="false" hidden="false" outlineLevel="0" max="1750" min="1502" style="19" width="9.14"/>
    <col collapsed="false" customWidth="true" hidden="false" outlineLevel="0" max="1751" min="1751" style="19" width="21.71"/>
    <col collapsed="false" customWidth="true" hidden="false" outlineLevel="0" max="1752" min="1752" style="19" width="9.71"/>
    <col collapsed="false" customWidth="false" hidden="false" outlineLevel="0" max="1755" min="1753" style="19" width="9.14"/>
    <col collapsed="false" customWidth="true" hidden="false" outlineLevel="0" max="1756" min="1756" style="19" width="10.71"/>
    <col collapsed="false" customWidth="true" hidden="false" outlineLevel="0" max="1757" min="1757" style="19" width="9.57"/>
    <col collapsed="false" customWidth="false" hidden="false" outlineLevel="0" max="2006" min="1758" style="19" width="9.14"/>
    <col collapsed="false" customWidth="true" hidden="false" outlineLevel="0" max="2007" min="2007" style="19" width="21.71"/>
    <col collapsed="false" customWidth="true" hidden="false" outlineLevel="0" max="2008" min="2008" style="19" width="9.71"/>
    <col collapsed="false" customWidth="false" hidden="false" outlineLevel="0" max="2011" min="2009" style="19" width="9.14"/>
    <col collapsed="false" customWidth="true" hidden="false" outlineLevel="0" max="2012" min="2012" style="19" width="10.71"/>
    <col collapsed="false" customWidth="true" hidden="false" outlineLevel="0" max="2013" min="2013" style="19" width="9.57"/>
    <col collapsed="false" customWidth="false" hidden="false" outlineLevel="0" max="2262" min="2014" style="19" width="9.14"/>
    <col collapsed="false" customWidth="true" hidden="false" outlineLevel="0" max="2263" min="2263" style="19" width="21.71"/>
    <col collapsed="false" customWidth="true" hidden="false" outlineLevel="0" max="2264" min="2264" style="19" width="9.71"/>
    <col collapsed="false" customWidth="false" hidden="false" outlineLevel="0" max="2267" min="2265" style="19" width="9.14"/>
    <col collapsed="false" customWidth="true" hidden="false" outlineLevel="0" max="2268" min="2268" style="19" width="10.71"/>
    <col collapsed="false" customWidth="true" hidden="false" outlineLevel="0" max="2269" min="2269" style="19" width="9.57"/>
    <col collapsed="false" customWidth="false" hidden="false" outlineLevel="0" max="2518" min="2270" style="19" width="9.14"/>
    <col collapsed="false" customWidth="true" hidden="false" outlineLevel="0" max="2519" min="2519" style="19" width="21.71"/>
    <col collapsed="false" customWidth="true" hidden="false" outlineLevel="0" max="2520" min="2520" style="19" width="9.71"/>
    <col collapsed="false" customWidth="false" hidden="false" outlineLevel="0" max="2523" min="2521" style="19" width="9.14"/>
    <col collapsed="false" customWidth="true" hidden="false" outlineLevel="0" max="2524" min="2524" style="19" width="10.71"/>
    <col collapsed="false" customWidth="true" hidden="false" outlineLevel="0" max="2525" min="2525" style="19" width="9.57"/>
    <col collapsed="false" customWidth="false" hidden="false" outlineLevel="0" max="2774" min="2526" style="19" width="9.14"/>
    <col collapsed="false" customWidth="true" hidden="false" outlineLevel="0" max="2775" min="2775" style="19" width="21.71"/>
    <col collapsed="false" customWidth="true" hidden="false" outlineLevel="0" max="2776" min="2776" style="19" width="9.71"/>
    <col collapsed="false" customWidth="false" hidden="false" outlineLevel="0" max="2779" min="2777" style="19" width="9.14"/>
    <col collapsed="false" customWidth="true" hidden="false" outlineLevel="0" max="2780" min="2780" style="19" width="10.71"/>
    <col collapsed="false" customWidth="true" hidden="false" outlineLevel="0" max="2781" min="2781" style="19" width="9.57"/>
    <col collapsed="false" customWidth="false" hidden="false" outlineLevel="0" max="3030" min="2782" style="19" width="9.14"/>
    <col collapsed="false" customWidth="true" hidden="false" outlineLevel="0" max="3031" min="3031" style="19" width="21.71"/>
    <col collapsed="false" customWidth="true" hidden="false" outlineLevel="0" max="3032" min="3032" style="19" width="9.71"/>
    <col collapsed="false" customWidth="false" hidden="false" outlineLevel="0" max="3035" min="3033" style="19" width="9.14"/>
    <col collapsed="false" customWidth="true" hidden="false" outlineLevel="0" max="3036" min="3036" style="19" width="10.71"/>
    <col collapsed="false" customWidth="true" hidden="false" outlineLevel="0" max="3037" min="3037" style="19" width="9.57"/>
    <col collapsed="false" customWidth="false" hidden="false" outlineLevel="0" max="3286" min="3038" style="19" width="9.14"/>
    <col collapsed="false" customWidth="true" hidden="false" outlineLevel="0" max="3287" min="3287" style="19" width="21.71"/>
    <col collapsed="false" customWidth="true" hidden="false" outlineLevel="0" max="3288" min="3288" style="19" width="9.71"/>
    <col collapsed="false" customWidth="false" hidden="false" outlineLevel="0" max="3291" min="3289" style="19" width="9.14"/>
    <col collapsed="false" customWidth="true" hidden="false" outlineLevel="0" max="3292" min="3292" style="19" width="10.71"/>
    <col collapsed="false" customWidth="true" hidden="false" outlineLevel="0" max="3293" min="3293" style="19" width="9.57"/>
    <col collapsed="false" customWidth="false" hidden="false" outlineLevel="0" max="3542" min="3294" style="19" width="9.14"/>
    <col collapsed="false" customWidth="true" hidden="false" outlineLevel="0" max="3543" min="3543" style="19" width="21.71"/>
    <col collapsed="false" customWidth="true" hidden="false" outlineLevel="0" max="3544" min="3544" style="19" width="9.71"/>
    <col collapsed="false" customWidth="false" hidden="false" outlineLevel="0" max="3547" min="3545" style="19" width="9.14"/>
    <col collapsed="false" customWidth="true" hidden="false" outlineLevel="0" max="3548" min="3548" style="19" width="10.71"/>
    <col collapsed="false" customWidth="true" hidden="false" outlineLevel="0" max="3549" min="3549" style="19" width="9.57"/>
    <col collapsed="false" customWidth="false" hidden="false" outlineLevel="0" max="3798" min="3550" style="19" width="9.14"/>
    <col collapsed="false" customWidth="true" hidden="false" outlineLevel="0" max="3799" min="3799" style="19" width="21.71"/>
    <col collapsed="false" customWidth="true" hidden="false" outlineLevel="0" max="3800" min="3800" style="19" width="9.71"/>
    <col collapsed="false" customWidth="false" hidden="false" outlineLevel="0" max="3803" min="3801" style="19" width="9.14"/>
    <col collapsed="false" customWidth="true" hidden="false" outlineLevel="0" max="3804" min="3804" style="19" width="10.71"/>
    <col collapsed="false" customWidth="true" hidden="false" outlineLevel="0" max="3805" min="3805" style="19" width="9.57"/>
    <col collapsed="false" customWidth="false" hidden="false" outlineLevel="0" max="4054" min="3806" style="19" width="9.14"/>
    <col collapsed="false" customWidth="true" hidden="false" outlineLevel="0" max="4055" min="4055" style="19" width="21.71"/>
    <col collapsed="false" customWidth="true" hidden="false" outlineLevel="0" max="4056" min="4056" style="19" width="9.71"/>
    <col collapsed="false" customWidth="false" hidden="false" outlineLevel="0" max="4059" min="4057" style="19" width="9.14"/>
    <col collapsed="false" customWidth="true" hidden="false" outlineLevel="0" max="4060" min="4060" style="19" width="10.71"/>
    <col collapsed="false" customWidth="true" hidden="false" outlineLevel="0" max="4061" min="4061" style="19" width="9.57"/>
    <col collapsed="false" customWidth="false" hidden="false" outlineLevel="0" max="4310" min="4062" style="19" width="9.14"/>
    <col collapsed="false" customWidth="true" hidden="false" outlineLevel="0" max="4311" min="4311" style="19" width="21.71"/>
    <col collapsed="false" customWidth="true" hidden="false" outlineLevel="0" max="4312" min="4312" style="19" width="9.71"/>
    <col collapsed="false" customWidth="false" hidden="false" outlineLevel="0" max="4315" min="4313" style="19" width="9.14"/>
    <col collapsed="false" customWidth="true" hidden="false" outlineLevel="0" max="4316" min="4316" style="19" width="10.71"/>
    <col collapsed="false" customWidth="true" hidden="false" outlineLevel="0" max="4317" min="4317" style="19" width="9.57"/>
    <col collapsed="false" customWidth="false" hidden="false" outlineLevel="0" max="4566" min="4318" style="19" width="9.14"/>
    <col collapsed="false" customWidth="true" hidden="false" outlineLevel="0" max="4567" min="4567" style="19" width="21.71"/>
    <col collapsed="false" customWidth="true" hidden="false" outlineLevel="0" max="4568" min="4568" style="19" width="9.71"/>
    <col collapsed="false" customWidth="false" hidden="false" outlineLevel="0" max="4571" min="4569" style="19" width="9.14"/>
    <col collapsed="false" customWidth="true" hidden="false" outlineLevel="0" max="4572" min="4572" style="19" width="10.71"/>
    <col collapsed="false" customWidth="true" hidden="false" outlineLevel="0" max="4573" min="4573" style="19" width="9.57"/>
    <col collapsed="false" customWidth="false" hidden="false" outlineLevel="0" max="4822" min="4574" style="19" width="9.14"/>
    <col collapsed="false" customWidth="true" hidden="false" outlineLevel="0" max="4823" min="4823" style="19" width="21.71"/>
    <col collapsed="false" customWidth="true" hidden="false" outlineLevel="0" max="4824" min="4824" style="19" width="9.71"/>
    <col collapsed="false" customWidth="false" hidden="false" outlineLevel="0" max="4827" min="4825" style="19" width="9.14"/>
    <col collapsed="false" customWidth="true" hidden="false" outlineLevel="0" max="4828" min="4828" style="19" width="10.71"/>
    <col collapsed="false" customWidth="true" hidden="false" outlineLevel="0" max="4829" min="4829" style="19" width="9.57"/>
    <col collapsed="false" customWidth="false" hidden="false" outlineLevel="0" max="5078" min="4830" style="19" width="9.14"/>
    <col collapsed="false" customWidth="true" hidden="false" outlineLevel="0" max="5079" min="5079" style="19" width="21.71"/>
    <col collapsed="false" customWidth="true" hidden="false" outlineLevel="0" max="5080" min="5080" style="19" width="9.71"/>
    <col collapsed="false" customWidth="false" hidden="false" outlineLevel="0" max="5083" min="5081" style="19" width="9.14"/>
    <col collapsed="false" customWidth="true" hidden="false" outlineLevel="0" max="5084" min="5084" style="19" width="10.71"/>
    <col collapsed="false" customWidth="true" hidden="false" outlineLevel="0" max="5085" min="5085" style="19" width="9.57"/>
    <col collapsed="false" customWidth="false" hidden="false" outlineLevel="0" max="5334" min="5086" style="19" width="9.14"/>
    <col collapsed="false" customWidth="true" hidden="false" outlineLevel="0" max="5335" min="5335" style="19" width="21.71"/>
    <col collapsed="false" customWidth="true" hidden="false" outlineLevel="0" max="5336" min="5336" style="19" width="9.71"/>
    <col collapsed="false" customWidth="false" hidden="false" outlineLevel="0" max="5339" min="5337" style="19" width="9.14"/>
    <col collapsed="false" customWidth="true" hidden="false" outlineLevel="0" max="5340" min="5340" style="19" width="10.71"/>
    <col collapsed="false" customWidth="true" hidden="false" outlineLevel="0" max="5341" min="5341" style="19" width="9.57"/>
    <col collapsed="false" customWidth="false" hidden="false" outlineLevel="0" max="5590" min="5342" style="19" width="9.14"/>
    <col collapsed="false" customWidth="true" hidden="false" outlineLevel="0" max="5591" min="5591" style="19" width="21.71"/>
    <col collapsed="false" customWidth="true" hidden="false" outlineLevel="0" max="5592" min="5592" style="19" width="9.71"/>
    <col collapsed="false" customWidth="false" hidden="false" outlineLevel="0" max="5595" min="5593" style="19" width="9.14"/>
    <col collapsed="false" customWidth="true" hidden="false" outlineLevel="0" max="5596" min="5596" style="19" width="10.71"/>
    <col collapsed="false" customWidth="true" hidden="false" outlineLevel="0" max="5597" min="5597" style="19" width="9.57"/>
    <col collapsed="false" customWidth="false" hidden="false" outlineLevel="0" max="5846" min="5598" style="19" width="9.14"/>
    <col collapsed="false" customWidth="true" hidden="false" outlineLevel="0" max="5847" min="5847" style="19" width="21.71"/>
    <col collapsed="false" customWidth="true" hidden="false" outlineLevel="0" max="5848" min="5848" style="19" width="9.71"/>
    <col collapsed="false" customWidth="false" hidden="false" outlineLevel="0" max="5851" min="5849" style="19" width="9.14"/>
    <col collapsed="false" customWidth="true" hidden="false" outlineLevel="0" max="5852" min="5852" style="19" width="10.71"/>
    <col collapsed="false" customWidth="true" hidden="false" outlineLevel="0" max="5853" min="5853" style="19" width="9.57"/>
    <col collapsed="false" customWidth="false" hidden="false" outlineLevel="0" max="6102" min="5854" style="19" width="9.14"/>
    <col collapsed="false" customWidth="true" hidden="false" outlineLevel="0" max="6103" min="6103" style="19" width="21.71"/>
    <col collapsed="false" customWidth="true" hidden="false" outlineLevel="0" max="6104" min="6104" style="19" width="9.71"/>
    <col collapsed="false" customWidth="false" hidden="false" outlineLevel="0" max="6107" min="6105" style="19" width="9.14"/>
    <col collapsed="false" customWidth="true" hidden="false" outlineLevel="0" max="6108" min="6108" style="19" width="10.71"/>
    <col collapsed="false" customWidth="true" hidden="false" outlineLevel="0" max="6109" min="6109" style="19" width="9.57"/>
    <col collapsed="false" customWidth="false" hidden="false" outlineLevel="0" max="6358" min="6110" style="19" width="9.14"/>
    <col collapsed="false" customWidth="true" hidden="false" outlineLevel="0" max="6359" min="6359" style="19" width="21.71"/>
    <col collapsed="false" customWidth="true" hidden="false" outlineLevel="0" max="6360" min="6360" style="19" width="9.71"/>
    <col collapsed="false" customWidth="false" hidden="false" outlineLevel="0" max="6363" min="6361" style="19" width="9.14"/>
    <col collapsed="false" customWidth="true" hidden="false" outlineLevel="0" max="6364" min="6364" style="19" width="10.71"/>
    <col collapsed="false" customWidth="true" hidden="false" outlineLevel="0" max="6365" min="6365" style="19" width="9.57"/>
    <col collapsed="false" customWidth="false" hidden="false" outlineLevel="0" max="6614" min="6366" style="19" width="9.14"/>
    <col collapsed="false" customWidth="true" hidden="false" outlineLevel="0" max="6615" min="6615" style="19" width="21.71"/>
    <col collapsed="false" customWidth="true" hidden="false" outlineLevel="0" max="6616" min="6616" style="19" width="9.71"/>
    <col collapsed="false" customWidth="false" hidden="false" outlineLevel="0" max="6619" min="6617" style="19" width="9.14"/>
    <col collapsed="false" customWidth="true" hidden="false" outlineLevel="0" max="6620" min="6620" style="19" width="10.71"/>
    <col collapsed="false" customWidth="true" hidden="false" outlineLevel="0" max="6621" min="6621" style="19" width="9.57"/>
    <col collapsed="false" customWidth="false" hidden="false" outlineLevel="0" max="6870" min="6622" style="19" width="9.14"/>
    <col collapsed="false" customWidth="true" hidden="false" outlineLevel="0" max="6871" min="6871" style="19" width="21.71"/>
    <col collapsed="false" customWidth="true" hidden="false" outlineLevel="0" max="6872" min="6872" style="19" width="9.71"/>
    <col collapsed="false" customWidth="false" hidden="false" outlineLevel="0" max="6875" min="6873" style="19" width="9.14"/>
    <col collapsed="false" customWidth="true" hidden="false" outlineLevel="0" max="6876" min="6876" style="19" width="10.71"/>
    <col collapsed="false" customWidth="true" hidden="false" outlineLevel="0" max="6877" min="6877" style="19" width="9.57"/>
    <col collapsed="false" customWidth="false" hidden="false" outlineLevel="0" max="7126" min="6878" style="19" width="9.14"/>
    <col collapsed="false" customWidth="true" hidden="false" outlineLevel="0" max="7127" min="7127" style="19" width="21.71"/>
    <col collapsed="false" customWidth="true" hidden="false" outlineLevel="0" max="7128" min="7128" style="19" width="9.71"/>
    <col collapsed="false" customWidth="false" hidden="false" outlineLevel="0" max="7131" min="7129" style="19" width="9.14"/>
    <col collapsed="false" customWidth="true" hidden="false" outlineLevel="0" max="7132" min="7132" style="19" width="10.71"/>
    <col collapsed="false" customWidth="true" hidden="false" outlineLevel="0" max="7133" min="7133" style="19" width="9.57"/>
    <col collapsed="false" customWidth="false" hidden="false" outlineLevel="0" max="7382" min="7134" style="19" width="9.14"/>
    <col collapsed="false" customWidth="true" hidden="false" outlineLevel="0" max="7383" min="7383" style="19" width="21.71"/>
    <col collapsed="false" customWidth="true" hidden="false" outlineLevel="0" max="7384" min="7384" style="19" width="9.71"/>
    <col collapsed="false" customWidth="false" hidden="false" outlineLevel="0" max="7387" min="7385" style="19" width="9.14"/>
    <col collapsed="false" customWidth="true" hidden="false" outlineLevel="0" max="7388" min="7388" style="19" width="10.71"/>
    <col collapsed="false" customWidth="true" hidden="false" outlineLevel="0" max="7389" min="7389" style="19" width="9.57"/>
    <col collapsed="false" customWidth="false" hidden="false" outlineLevel="0" max="7638" min="7390" style="19" width="9.14"/>
    <col collapsed="false" customWidth="true" hidden="false" outlineLevel="0" max="7639" min="7639" style="19" width="21.71"/>
    <col collapsed="false" customWidth="true" hidden="false" outlineLevel="0" max="7640" min="7640" style="19" width="9.71"/>
    <col collapsed="false" customWidth="false" hidden="false" outlineLevel="0" max="7643" min="7641" style="19" width="9.14"/>
    <col collapsed="false" customWidth="true" hidden="false" outlineLevel="0" max="7644" min="7644" style="19" width="10.71"/>
    <col collapsed="false" customWidth="true" hidden="false" outlineLevel="0" max="7645" min="7645" style="19" width="9.57"/>
    <col collapsed="false" customWidth="false" hidden="false" outlineLevel="0" max="7894" min="7646" style="19" width="9.14"/>
    <col collapsed="false" customWidth="true" hidden="false" outlineLevel="0" max="7895" min="7895" style="19" width="21.71"/>
    <col collapsed="false" customWidth="true" hidden="false" outlineLevel="0" max="7896" min="7896" style="19" width="9.71"/>
    <col collapsed="false" customWidth="false" hidden="false" outlineLevel="0" max="7899" min="7897" style="19" width="9.14"/>
    <col collapsed="false" customWidth="true" hidden="false" outlineLevel="0" max="7900" min="7900" style="19" width="10.71"/>
    <col collapsed="false" customWidth="true" hidden="false" outlineLevel="0" max="7901" min="7901" style="19" width="9.57"/>
    <col collapsed="false" customWidth="false" hidden="false" outlineLevel="0" max="8150" min="7902" style="19" width="9.14"/>
    <col collapsed="false" customWidth="true" hidden="false" outlineLevel="0" max="8151" min="8151" style="19" width="21.71"/>
    <col collapsed="false" customWidth="true" hidden="false" outlineLevel="0" max="8152" min="8152" style="19" width="9.71"/>
    <col collapsed="false" customWidth="false" hidden="false" outlineLevel="0" max="8155" min="8153" style="19" width="9.14"/>
    <col collapsed="false" customWidth="true" hidden="false" outlineLevel="0" max="8156" min="8156" style="19" width="10.71"/>
    <col collapsed="false" customWidth="true" hidden="false" outlineLevel="0" max="8157" min="8157" style="19" width="9.57"/>
    <col collapsed="false" customWidth="false" hidden="false" outlineLevel="0" max="8406" min="8158" style="19" width="9.14"/>
    <col collapsed="false" customWidth="true" hidden="false" outlineLevel="0" max="8407" min="8407" style="19" width="21.71"/>
    <col collapsed="false" customWidth="true" hidden="false" outlineLevel="0" max="8408" min="8408" style="19" width="9.71"/>
    <col collapsed="false" customWidth="false" hidden="false" outlineLevel="0" max="8411" min="8409" style="19" width="9.14"/>
    <col collapsed="false" customWidth="true" hidden="false" outlineLevel="0" max="8412" min="8412" style="19" width="10.71"/>
    <col collapsed="false" customWidth="true" hidden="false" outlineLevel="0" max="8413" min="8413" style="19" width="9.57"/>
    <col collapsed="false" customWidth="false" hidden="false" outlineLevel="0" max="8662" min="8414" style="19" width="9.14"/>
    <col collapsed="false" customWidth="true" hidden="false" outlineLevel="0" max="8663" min="8663" style="19" width="21.71"/>
    <col collapsed="false" customWidth="true" hidden="false" outlineLevel="0" max="8664" min="8664" style="19" width="9.71"/>
    <col collapsed="false" customWidth="false" hidden="false" outlineLevel="0" max="8667" min="8665" style="19" width="9.14"/>
    <col collapsed="false" customWidth="true" hidden="false" outlineLevel="0" max="8668" min="8668" style="19" width="10.71"/>
    <col collapsed="false" customWidth="true" hidden="false" outlineLevel="0" max="8669" min="8669" style="19" width="9.57"/>
    <col collapsed="false" customWidth="false" hidden="false" outlineLevel="0" max="8918" min="8670" style="19" width="9.14"/>
    <col collapsed="false" customWidth="true" hidden="false" outlineLevel="0" max="8919" min="8919" style="19" width="21.71"/>
    <col collapsed="false" customWidth="true" hidden="false" outlineLevel="0" max="8920" min="8920" style="19" width="9.71"/>
    <col collapsed="false" customWidth="false" hidden="false" outlineLevel="0" max="8923" min="8921" style="19" width="9.14"/>
    <col collapsed="false" customWidth="true" hidden="false" outlineLevel="0" max="8924" min="8924" style="19" width="10.71"/>
    <col collapsed="false" customWidth="true" hidden="false" outlineLevel="0" max="8925" min="8925" style="19" width="9.57"/>
    <col collapsed="false" customWidth="false" hidden="false" outlineLevel="0" max="9174" min="8926" style="19" width="9.14"/>
    <col collapsed="false" customWidth="true" hidden="false" outlineLevel="0" max="9175" min="9175" style="19" width="21.71"/>
    <col collapsed="false" customWidth="true" hidden="false" outlineLevel="0" max="9176" min="9176" style="19" width="9.71"/>
    <col collapsed="false" customWidth="false" hidden="false" outlineLevel="0" max="9179" min="9177" style="19" width="9.14"/>
    <col collapsed="false" customWidth="true" hidden="false" outlineLevel="0" max="9180" min="9180" style="19" width="10.71"/>
    <col collapsed="false" customWidth="true" hidden="false" outlineLevel="0" max="9181" min="9181" style="19" width="9.57"/>
    <col collapsed="false" customWidth="false" hidden="false" outlineLevel="0" max="9430" min="9182" style="19" width="9.14"/>
    <col collapsed="false" customWidth="true" hidden="false" outlineLevel="0" max="9431" min="9431" style="19" width="21.71"/>
    <col collapsed="false" customWidth="true" hidden="false" outlineLevel="0" max="9432" min="9432" style="19" width="9.71"/>
    <col collapsed="false" customWidth="false" hidden="false" outlineLevel="0" max="9435" min="9433" style="19" width="9.14"/>
    <col collapsed="false" customWidth="true" hidden="false" outlineLevel="0" max="9436" min="9436" style="19" width="10.71"/>
    <col collapsed="false" customWidth="true" hidden="false" outlineLevel="0" max="9437" min="9437" style="19" width="9.57"/>
    <col collapsed="false" customWidth="false" hidden="false" outlineLevel="0" max="9686" min="9438" style="19" width="9.14"/>
    <col collapsed="false" customWidth="true" hidden="false" outlineLevel="0" max="9687" min="9687" style="19" width="21.71"/>
    <col collapsed="false" customWidth="true" hidden="false" outlineLevel="0" max="9688" min="9688" style="19" width="9.71"/>
    <col collapsed="false" customWidth="false" hidden="false" outlineLevel="0" max="9691" min="9689" style="19" width="9.14"/>
    <col collapsed="false" customWidth="true" hidden="false" outlineLevel="0" max="9692" min="9692" style="19" width="10.71"/>
    <col collapsed="false" customWidth="true" hidden="false" outlineLevel="0" max="9693" min="9693" style="19" width="9.57"/>
    <col collapsed="false" customWidth="false" hidden="false" outlineLevel="0" max="9942" min="9694" style="19" width="9.14"/>
    <col collapsed="false" customWidth="true" hidden="false" outlineLevel="0" max="9943" min="9943" style="19" width="21.71"/>
    <col collapsed="false" customWidth="true" hidden="false" outlineLevel="0" max="9944" min="9944" style="19" width="9.71"/>
    <col collapsed="false" customWidth="false" hidden="false" outlineLevel="0" max="9947" min="9945" style="19" width="9.14"/>
    <col collapsed="false" customWidth="true" hidden="false" outlineLevel="0" max="9948" min="9948" style="19" width="10.71"/>
    <col collapsed="false" customWidth="true" hidden="false" outlineLevel="0" max="9949" min="9949" style="19" width="9.57"/>
    <col collapsed="false" customWidth="false" hidden="false" outlineLevel="0" max="10198" min="9950" style="19" width="9.14"/>
    <col collapsed="false" customWidth="true" hidden="false" outlineLevel="0" max="10199" min="10199" style="19" width="21.71"/>
    <col collapsed="false" customWidth="true" hidden="false" outlineLevel="0" max="10200" min="10200" style="19" width="9.71"/>
    <col collapsed="false" customWidth="false" hidden="false" outlineLevel="0" max="10203" min="10201" style="19" width="9.14"/>
    <col collapsed="false" customWidth="true" hidden="false" outlineLevel="0" max="10204" min="10204" style="19" width="10.71"/>
    <col collapsed="false" customWidth="true" hidden="false" outlineLevel="0" max="10205" min="10205" style="19" width="9.57"/>
    <col collapsed="false" customWidth="false" hidden="false" outlineLevel="0" max="10454" min="10206" style="19" width="9.14"/>
    <col collapsed="false" customWidth="true" hidden="false" outlineLevel="0" max="10455" min="10455" style="19" width="21.71"/>
    <col collapsed="false" customWidth="true" hidden="false" outlineLevel="0" max="10456" min="10456" style="19" width="9.71"/>
    <col collapsed="false" customWidth="false" hidden="false" outlineLevel="0" max="10459" min="10457" style="19" width="9.14"/>
    <col collapsed="false" customWidth="true" hidden="false" outlineLevel="0" max="10460" min="10460" style="19" width="10.71"/>
    <col collapsed="false" customWidth="true" hidden="false" outlineLevel="0" max="10461" min="10461" style="19" width="9.57"/>
    <col collapsed="false" customWidth="false" hidden="false" outlineLevel="0" max="10710" min="10462" style="19" width="9.14"/>
    <col collapsed="false" customWidth="true" hidden="false" outlineLevel="0" max="10711" min="10711" style="19" width="21.71"/>
    <col collapsed="false" customWidth="true" hidden="false" outlineLevel="0" max="10712" min="10712" style="19" width="9.71"/>
    <col collapsed="false" customWidth="false" hidden="false" outlineLevel="0" max="10715" min="10713" style="19" width="9.14"/>
    <col collapsed="false" customWidth="true" hidden="false" outlineLevel="0" max="10716" min="10716" style="19" width="10.71"/>
    <col collapsed="false" customWidth="true" hidden="false" outlineLevel="0" max="10717" min="10717" style="19" width="9.57"/>
    <col collapsed="false" customWidth="false" hidden="false" outlineLevel="0" max="10966" min="10718" style="19" width="9.14"/>
    <col collapsed="false" customWidth="true" hidden="false" outlineLevel="0" max="10967" min="10967" style="19" width="21.71"/>
    <col collapsed="false" customWidth="true" hidden="false" outlineLevel="0" max="10968" min="10968" style="19" width="9.71"/>
    <col collapsed="false" customWidth="false" hidden="false" outlineLevel="0" max="10971" min="10969" style="19" width="9.14"/>
    <col collapsed="false" customWidth="true" hidden="false" outlineLevel="0" max="10972" min="10972" style="19" width="10.71"/>
    <col collapsed="false" customWidth="true" hidden="false" outlineLevel="0" max="10973" min="10973" style="19" width="9.57"/>
    <col collapsed="false" customWidth="false" hidden="false" outlineLevel="0" max="11222" min="10974" style="19" width="9.14"/>
    <col collapsed="false" customWidth="true" hidden="false" outlineLevel="0" max="11223" min="11223" style="19" width="21.71"/>
    <col collapsed="false" customWidth="true" hidden="false" outlineLevel="0" max="11224" min="11224" style="19" width="9.71"/>
    <col collapsed="false" customWidth="false" hidden="false" outlineLevel="0" max="11227" min="11225" style="19" width="9.14"/>
    <col collapsed="false" customWidth="true" hidden="false" outlineLevel="0" max="11228" min="11228" style="19" width="10.71"/>
    <col collapsed="false" customWidth="true" hidden="false" outlineLevel="0" max="11229" min="11229" style="19" width="9.57"/>
    <col collapsed="false" customWidth="false" hidden="false" outlineLevel="0" max="11478" min="11230" style="19" width="9.14"/>
    <col collapsed="false" customWidth="true" hidden="false" outlineLevel="0" max="11479" min="11479" style="19" width="21.71"/>
    <col collapsed="false" customWidth="true" hidden="false" outlineLevel="0" max="11480" min="11480" style="19" width="9.71"/>
    <col collapsed="false" customWidth="false" hidden="false" outlineLevel="0" max="11483" min="11481" style="19" width="9.14"/>
    <col collapsed="false" customWidth="true" hidden="false" outlineLevel="0" max="11484" min="11484" style="19" width="10.71"/>
    <col collapsed="false" customWidth="true" hidden="false" outlineLevel="0" max="11485" min="11485" style="19" width="9.57"/>
    <col collapsed="false" customWidth="false" hidden="false" outlineLevel="0" max="11734" min="11486" style="19" width="9.14"/>
    <col collapsed="false" customWidth="true" hidden="false" outlineLevel="0" max="11735" min="11735" style="19" width="21.71"/>
    <col collapsed="false" customWidth="true" hidden="false" outlineLevel="0" max="11736" min="11736" style="19" width="9.71"/>
    <col collapsed="false" customWidth="false" hidden="false" outlineLevel="0" max="11739" min="11737" style="19" width="9.14"/>
    <col collapsed="false" customWidth="true" hidden="false" outlineLevel="0" max="11740" min="11740" style="19" width="10.71"/>
    <col collapsed="false" customWidth="true" hidden="false" outlineLevel="0" max="11741" min="11741" style="19" width="9.57"/>
    <col collapsed="false" customWidth="false" hidden="false" outlineLevel="0" max="11990" min="11742" style="19" width="9.14"/>
    <col collapsed="false" customWidth="true" hidden="false" outlineLevel="0" max="11991" min="11991" style="19" width="21.71"/>
    <col collapsed="false" customWidth="true" hidden="false" outlineLevel="0" max="11992" min="11992" style="19" width="9.71"/>
    <col collapsed="false" customWidth="false" hidden="false" outlineLevel="0" max="11995" min="11993" style="19" width="9.14"/>
    <col collapsed="false" customWidth="true" hidden="false" outlineLevel="0" max="11996" min="11996" style="19" width="10.71"/>
    <col collapsed="false" customWidth="true" hidden="false" outlineLevel="0" max="11997" min="11997" style="19" width="9.57"/>
    <col collapsed="false" customWidth="false" hidden="false" outlineLevel="0" max="12246" min="11998" style="19" width="9.14"/>
    <col collapsed="false" customWidth="true" hidden="false" outlineLevel="0" max="12247" min="12247" style="19" width="21.71"/>
    <col collapsed="false" customWidth="true" hidden="false" outlineLevel="0" max="12248" min="12248" style="19" width="9.71"/>
    <col collapsed="false" customWidth="false" hidden="false" outlineLevel="0" max="12251" min="12249" style="19" width="9.14"/>
    <col collapsed="false" customWidth="true" hidden="false" outlineLevel="0" max="12252" min="12252" style="19" width="10.71"/>
    <col collapsed="false" customWidth="true" hidden="false" outlineLevel="0" max="12253" min="12253" style="19" width="9.57"/>
    <col collapsed="false" customWidth="false" hidden="false" outlineLevel="0" max="12502" min="12254" style="19" width="9.14"/>
    <col collapsed="false" customWidth="true" hidden="false" outlineLevel="0" max="12503" min="12503" style="19" width="21.71"/>
    <col collapsed="false" customWidth="true" hidden="false" outlineLevel="0" max="12504" min="12504" style="19" width="9.71"/>
    <col collapsed="false" customWidth="false" hidden="false" outlineLevel="0" max="12507" min="12505" style="19" width="9.14"/>
    <col collapsed="false" customWidth="true" hidden="false" outlineLevel="0" max="12508" min="12508" style="19" width="10.71"/>
    <col collapsed="false" customWidth="true" hidden="false" outlineLevel="0" max="12509" min="12509" style="19" width="9.57"/>
    <col collapsed="false" customWidth="false" hidden="false" outlineLevel="0" max="12758" min="12510" style="19" width="9.14"/>
    <col collapsed="false" customWidth="true" hidden="false" outlineLevel="0" max="12759" min="12759" style="19" width="21.71"/>
    <col collapsed="false" customWidth="true" hidden="false" outlineLevel="0" max="12760" min="12760" style="19" width="9.71"/>
    <col collapsed="false" customWidth="false" hidden="false" outlineLevel="0" max="12763" min="12761" style="19" width="9.14"/>
    <col collapsed="false" customWidth="true" hidden="false" outlineLevel="0" max="12764" min="12764" style="19" width="10.71"/>
    <col collapsed="false" customWidth="true" hidden="false" outlineLevel="0" max="12765" min="12765" style="19" width="9.57"/>
    <col collapsed="false" customWidth="false" hidden="false" outlineLevel="0" max="13014" min="12766" style="19" width="9.14"/>
    <col collapsed="false" customWidth="true" hidden="false" outlineLevel="0" max="13015" min="13015" style="19" width="21.71"/>
    <col collapsed="false" customWidth="true" hidden="false" outlineLevel="0" max="13016" min="13016" style="19" width="9.71"/>
    <col collapsed="false" customWidth="false" hidden="false" outlineLevel="0" max="13019" min="13017" style="19" width="9.14"/>
    <col collapsed="false" customWidth="true" hidden="false" outlineLevel="0" max="13020" min="13020" style="19" width="10.71"/>
    <col collapsed="false" customWidth="true" hidden="false" outlineLevel="0" max="13021" min="13021" style="19" width="9.57"/>
    <col collapsed="false" customWidth="false" hidden="false" outlineLevel="0" max="13270" min="13022" style="19" width="9.14"/>
    <col collapsed="false" customWidth="true" hidden="false" outlineLevel="0" max="13271" min="13271" style="19" width="21.71"/>
    <col collapsed="false" customWidth="true" hidden="false" outlineLevel="0" max="13272" min="13272" style="19" width="9.71"/>
    <col collapsed="false" customWidth="false" hidden="false" outlineLevel="0" max="13275" min="13273" style="19" width="9.14"/>
    <col collapsed="false" customWidth="true" hidden="false" outlineLevel="0" max="13276" min="13276" style="19" width="10.71"/>
    <col collapsed="false" customWidth="true" hidden="false" outlineLevel="0" max="13277" min="13277" style="19" width="9.57"/>
    <col collapsed="false" customWidth="false" hidden="false" outlineLevel="0" max="13526" min="13278" style="19" width="9.14"/>
    <col collapsed="false" customWidth="true" hidden="false" outlineLevel="0" max="13527" min="13527" style="19" width="21.71"/>
    <col collapsed="false" customWidth="true" hidden="false" outlineLevel="0" max="13528" min="13528" style="19" width="9.71"/>
    <col collapsed="false" customWidth="false" hidden="false" outlineLevel="0" max="13531" min="13529" style="19" width="9.14"/>
    <col collapsed="false" customWidth="true" hidden="false" outlineLevel="0" max="13532" min="13532" style="19" width="10.71"/>
    <col collapsed="false" customWidth="true" hidden="false" outlineLevel="0" max="13533" min="13533" style="19" width="9.57"/>
    <col collapsed="false" customWidth="false" hidden="false" outlineLevel="0" max="13782" min="13534" style="19" width="9.14"/>
    <col collapsed="false" customWidth="true" hidden="false" outlineLevel="0" max="13783" min="13783" style="19" width="21.71"/>
    <col collapsed="false" customWidth="true" hidden="false" outlineLevel="0" max="13784" min="13784" style="19" width="9.71"/>
    <col collapsed="false" customWidth="false" hidden="false" outlineLevel="0" max="13787" min="13785" style="19" width="9.14"/>
    <col collapsed="false" customWidth="true" hidden="false" outlineLevel="0" max="13788" min="13788" style="19" width="10.71"/>
    <col collapsed="false" customWidth="true" hidden="false" outlineLevel="0" max="13789" min="13789" style="19" width="9.57"/>
    <col collapsed="false" customWidth="false" hidden="false" outlineLevel="0" max="14038" min="13790" style="19" width="9.14"/>
    <col collapsed="false" customWidth="true" hidden="false" outlineLevel="0" max="14039" min="14039" style="19" width="21.71"/>
    <col collapsed="false" customWidth="true" hidden="false" outlineLevel="0" max="14040" min="14040" style="19" width="9.71"/>
    <col collapsed="false" customWidth="false" hidden="false" outlineLevel="0" max="14043" min="14041" style="19" width="9.14"/>
    <col collapsed="false" customWidth="true" hidden="false" outlineLevel="0" max="14044" min="14044" style="19" width="10.71"/>
    <col collapsed="false" customWidth="true" hidden="false" outlineLevel="0" max="14045" min="14045" style="19" width="9.57"/>
    <col collapsed="false" customWidth="false" hidden="false" outlineLevel="0" max="14294" min="14046" style="19" width="9.14"/>
    <col collapsed="false" customWidth="true" hidden="false" outlineLevel="0" max="14295" min="14295" style="19" width="21.71"/>
    <col collapsed="false" customWidth="true" hidden="false" outlineLevel="0" max="14296" min="14296" style="19" width="9.71"/>
    <col collapsed="false" customWidth="false" hidden="false" outlineLevel="0" max="14299" min="14297" style="19" width="9.14"/>
    <col collapsed="false" customWidth="true" hidden="false" outlineLevel="0" max="14300" min="14300" style="19" width="10.71"/>
    <col collapsed="false" customWidth="true" hidden="false" outlineLevel="0" max="14301" min="14301" style="19" width="9.57"/>
    <col collapsed="false" customWidth="false" hidden="false" outlineLevel="0" max="14550" min="14302" style="19" width="9.14"/>
    <col collapsed="false" customWidth="true" hidden="false" outlineLevel="0" max="14551" min="14551" style="19" width="21.71"/>
    <col collapsed="false" customWidth="true" hidden="false" outlineLevel="0" max="14552" min="14552" style="19" width="9.71"/>
    <col collapsed="false" customWidth="false" hidden="false" outlineLevel="0" max="14555" min="14553" style="19" width="9.14"/>
    <col collapsed="false" customWidth="true" hidden="false" outlineLevel="0" max="14556" min="14556" style="19" width="10.71"/>
    <col collapsed="false" customWidth="true" hidden="false" outlineLevel="0" max="14557" min="14557" style="19" width="9.57"/>
    <col collapsed="false" customWidth="false" hidden="false" outlineLevel="0" max="14806" min="14558" style="19" width="9.14"/>
    <col collapsed="false" customWidth="true" hidden="false" outlineLevel="0" max="14807" min="14807" style="19" width="21.71"/>
    <col collapsed="false" customWidth="true" hidden="false" outlineLevel="0" max="14808" min="14808" style="19" width="9.71"/>
    <col collapsed="false" customWidth="false" hidden="false" outlineLevel="0" max="14811" min="14809" style="19" width="9.14"/>
    <col collapsed="false" customWidth="true" hidden="false" outlineLevel="0" max="14812" min="14812" style="19" width="10.71"/>
    <col collapsed="false" customWidth="true" hidden="false" outlineLevel="0" max="14813" min="14813" style="19" width="9.57"/>
    <col collapsed="false" customWidth="false" hidden="false" outlineLevel="0" max="15062" min="14814" style="19" width="9.14"/>
    <col collapsed="false" customWidth="true" hidden="false" outlineLevel="0" max="15063" min="15063" style="19" width="21.71"/>
    <col collapsed="false" customWidth="true" hidden="false" outlineLevel="0" max="15064" min="15064" style="19" width="9.71"/>
    <col collapsed="false" customWidth="false" hidden="false" outlineLevel="0" max="15067" min="15065" style="19" width="9.14"/>
    <col collapsed="false" customWidth="true" hidden="false" outlineLevel="0" max="15068" min="15068" style="19" width="10.71"/>
    <col collapsed="false" customWidth="true" hidden="false" outlineLevel="0" max="15069" min="15069" style="19" width="9.57"/>
    <col collapsed="false" customWidth="false" hidden="false" outlineLevel="0" max="15318" min="15070" style="19" width="9.14"/>
    <col collapsed="false" customWidth="true" hidden="false" outlineLevel="0" max="15319" min="15319" style="19" width="21.71"/>
    <col collapsed="false" customWidth="true" hidden="false" outlineLevel="0" max="15320" min="15320" style="19" width="9.71"/>
    <col collapsed="false" customWidth="false" hidden="false" outlineLevel="0" max="15323" min="15321" style="19" width="9.14"/>
    <col collapsed="false" customWidth="true" hidden="false" outlineLevel="0" max="15324" min="15324" style="19" width="10.71"/>
    <col collapsed="false" customWidth="true" hidden="false" outlineLevel="0" max="15325" min="15325" style="19" width="9.57"/>
    <col collapsed="false" customWidth="false" hidden="false" outlineLevel="0" max="15574" min="15326" style="19" width="9.14"/>
    <col collapsed="false" customWidth="true" hidden="false" outlineLevel="0" max="15575" min="15575" style="19" width="21.71"/>
    <col collapsed="false" customWidth="true" hidden="false" outlineLevel="0" max="15576" min="15576" style="19" width="9.71"/>
    <col collapsed="false" customWidth="false" hidden="false" outlineLevel="0" max="15579" min="15577" style="19" width="9.14"/>
    <col collapsed="false" customWidth="true" hidden="false" outlineLevel="0" max="15580" min="15580" style="19" width="10.71"/>
    <col collapsed="false" customWidth="true" hidden="false" outlineLevel="0" max="15581" min="15581" style="19" width="9.57"/>
    <col collapsed="false" customWidth="false" hidden="false" outlineLevel="0" max="15830" min="15582" style="19" width="9.14"/>
    <col collapsed="false" customWidth="true" hidden="false" outlineLevel="0" max="15831" min="15831" style="19" width="21.71"/>
    <col collapsed="false" customWidth="true" hidden="false" outlineLevel="0" max="15832" min="15832" style="19" width="9.71"/>
    <col collapsed="false" customWidth="false" hidden="false" outlineLevel="0" max="15835" min="15833" style="19" width="9.14"/>
    <col collapsed="false" customWidth="true" hidden="false" outlineLevel="0" max="15836" min="15836" style="19" width="10.71"/>
    <col collapsed="false" customWidth="true" hidden="false" outlineLevel="0" max="15837" min="15837" style="19" width="9.57"/>
    <col collapsed="false" customWidth="false" hidden="false" outlineLevel="0" max="16086" min="15838" style="19" width="9.14"/>
    <col collapsed="false" customWidth="true" hidden="false" outlineLevel="0" max="16087" min="16087" style="19" width="21.71"/>
    <col collapsed="false" customWidth="true" hidden="false" outlineLevel="0" max="16088" min="16088" style="19" width="9.71"/>
    <col collapsed="false" customWidth="false" hidden="false" outlineLevel="0" max="16091" min="16089" style="19" width="9.14"/>
    <col collapsed="false" customWidth="true" hidden="false" outlineLevel="0" max="16092" min="16092" style="19" width="10.71"/>
    <col collapsed="false" customWidth="true" hidden="false" outlineLevel="0" max="16093" min="16093" style="19" width="9.57"/>
    <col collapsed="false" customWidth="false" hidden="false" outlineLevel="0" max="16384" min="16094" style="19" width="9.14"/>
  </cols>
  <sheetData>
    <row r="1" customFormat="false" ht="15.75" hidden="false" customHeight="false" outlineLevel="0" collapsed="false">
      <c r="A1" s="14" t="s">
        <v>105</v>
      </c>
      <c r="F1" s="17"/>
      <c r="G1" s="17"/>
    </row>
    <row r="2" customFormat="false" ht="12" hidden="false" customHeight="false" outlineLevel="0" collapsed="false">
      <c r="F2" s="17"/>
      <c r="G2" s="17"/>
    </row>
    <row r="3" customFormat="false" ht="48" hidden="false" customHeight="false" outlineLevel="0" collapsed="false">
      <c r="A3" s="20" t="n">
        <v>2015</v>
      </c>
      <c r="B3" s="21" t="s">
        <v>17</v>
      </c>
      <c r="C3" s="22" t="s">
        <v>106</v>
      </c>
      <c r="D3" s="22" t="s">
        <v>107</v>
      </c>
      <c r="E3" s="25" t="s">
        <v>108</v>
      </c>
      <c r="F3" s="74" t="s">
        <v>109</v>
      </c>
      <c r="G3" s="24" t="s">
        <v>110</v>
      </c>
      <c r="H3" s="22" t="s">
        <v>106</v>
      </c>
      <c r="I3" s="22" t="s">
        <v>107</v>
      </c>
      <c r="J3" s="178" t="s">
        <v>111</v>
      </c>
    </row>
    <row r="4" customFormat="false" ht="13.5" hidden="false" customHeight="false" outlineLevel="0" collapsed="false">
      <c r="A4" s="179" t="s">
        <v>104</v>
      </c>
      <c r="B4" s="180" t="n">
        <f aca="false">SUM(B5:B32)</f>
        <v>362.85398</v>
      </c>
      <c r="C4" s="181"/>
      <c r="D4" s="182"/>
      <c r="E4" s="183" t="n">
        <v>0.112187917105834</v>
      </c>
      <c r="F4" s="180" t="n">
        <f aca="false">SUM(F5:F32)</f>
        <v>119.67319</v>
      </c>
      <c r="G4" s="184" t="n">
        <f aca="false">SUM(G5:G32)</f>
        <v>2791.66662</v>
      </c>
      <c r="H4" s="185"/>
      <c r="I4" s="185"/>
      <c r="J4" s="186" t="n">
        <f aca="false">SUM(J5:J32)</f>
        <v>303.78993</v>
      </c>
    </row>
    <row r="5" customFormat="false" ht="12" hidden="false" customHeight="false" outlineLevel="0" collapsed="false">
      <c r="A5" s="187" t="s">
        <v>96</v>
      </c>
      <c r="B5" s="188" t="n">
        <v>12.479</v>
      </c>
      <c r="C5" s="189" t="n">
        <v>0.42442711</v>
      </c>
      <c r="D5" s="190" t="n">
        <v>0.57557289</v>
      </c>
      <c r="E5" s="191" t="n">
        <v>0.176636281281848</v>
      </c>
      <c r="F5" s="188" t="n">
        <v>2.377</v>
      </c>
      <c r="G5" s="192" t="n">
        <v>104.405</v>
      </c>
      <c r="H5" s="193" t="n">
        <v>0.244554802</v>
      </c>
      <c r="I5" s="193" t="n">
        <v>0.75445198</v>
      </c>
      <c r="J5" s="194" t="n">
        <v>5.076</v>
      </c>
    </row>
    <row r="6" customFormat="false" ht="12" hidden="false" customHeight="false" outlineLevel="0" collapsed="false">
      <c r="A6" s="80" t="s">
        <v>27</v>
      </c>
      <c r="B6" s="134" t="n">
        <v>2.945</v>
      </c>
      <c r="C6" s="135" t="n">
        <f aca="false">+(2945-65)/2945</f>
        <v>0.977928692699491</v>
      </c>
      <c r="D6" s="195" t="n">
        <f aca="false">65/2945</f>
        <v>0.0220713073005093</v>
      </c>
      <c r="E6" s="136" t="n">
        <v>0.059823677581864</v>
      </c>
      <c r="F6" s="134" t="n">
        <v>1.121</v>
      </c>
      <c r="G6" s="196" t="n">
        <v>31.895</v>
      </c>
      <c r="H6" s="197" t="n">
        <f aca="false">+(G6-0.26)/+G6</f>
        <v>0.991848252077128</v>
      </c>
      <c r="I6" s="197" t="n">
        <f aca="false">0.26/100/+G6%</f>
        <v>0.00815174792287192</v>
      </c>
      <c r="J6" s="198" t="n">
        <v>3.728</v>
      </c>
    </row>
    <row r="7" customFormat="false" ht="12" hidden="false" customHeight="false" outlineLevel="0" collapsed="false">
      <c r="A7" s="80" t="s">
        <v>28</v>
      </c>
      <c r="B7" s="134" t="n">
        <v>11.785</v>
      </c>
      <c r="C7" s="135" t="n">
        <v>0.70386084</v>
      </c>
      <c r="D7" s="195" t="n">
        <v>0.29613915</v>
      </c>
      <c r="E7" s="136" t="n">
        <v>0.140478233919802</v>
      </c>
      <c r="F7" s="134" t="n">
        <v>4.638</v>
      </c>
      <c r="G7" s="196" t="n">
        <v>106.039</v>
      </c>
      <c r="H7" s="197" t="n">
        <v>0.6248455</v>
      </c>
      <c r="I7" s="197" t="n">
        <v>0.3751544</v>
      </c>
      <c r="J7" s="198" t="n">
        <v>21.032</v>
      </c>
    </row>
    <row r="8" customFormat="false" ht="12" hidden="false" customHeight="false" outlineLevel="0" collapsed="false">
      <c r="A8" s="80" t="s">
        <v>29</v>
      </c>
      <c r="B8" s="134" t="n">
        <v>11.568</v>
      </c>
      <c r="C8" s="135" t="n">
        <v>0.8242544</v>
      </c>
      <c r="D8" s="195" t="n">
        <v>0.1757456</v>
      </c>
      <c r="E8" s="136" t="n">
        <v>0.399626904342419</v>
      </c>
      <c r="F8" s="134" t="n">
        <v>6.133</v>
      </c>
      <c r="G8" s="196" t="n">
        <v>93.307</v>
      </c>
      <c r="H8" s="197" t="n">
        <v>0.7049548</v>
      </c>
      <c r="I8" s="197" t="n">
        <v>0.2950452</v>
      </c>
      <c r="J8" s="198" t="n">
        <v>9.509</v>
      </c>
    </row>
    <row r="9" customFormat="false" ht="13.5" hidden="false" customHeight="false" outlineLevel="0" collapsed="false">
      <c r="A9" s="80" t="s">
        <v>112</v>
      </c>
      <c r="B9" s="134" t="n">
        <v>78.787</v>
      </c>
      <c r="C9" s="135" t="n">
        <f aca="false">45.643/78.787</f>
        <v>0.579321461662457</v>
      </c>
      <c r="D9" s="195" t="n">
        <f aca="false">33.144/78.787</f>
        <v>0.420678538337543</v>
      </c>
      <c r="E9" s="136" t="n">
        <v>0.121793880857274</v>
      </c>
      <c r="F9" s="134" t="n">
        <v>37.132</v>
      </c>
      <c r="G9" s="196" t="n">
        <v>669.907</v>
      </c>
      <c r="H9" s="197" t="n">
        <f aca="false">+(G9-325.673)/+G9</f>
        <v>0.513853415474088</v>
      </c>
      <c r="I9" s="197" t="n">
        <f aca="false">324.673/100/+G9%</f>
        <v>0.484653840010628</v>
      </c>
      <c r="J9" s="198" t="n">
        <v>95.073</v>
      </c>
    </row>
    <row r="10" customFormat="false" ht="12" hidden="false" customHeight="false" outlineLevel="0" collapsed="false">
      <c r="A10" s="80" t="s">
        <v>31</v>
      </c>
      <c r="B10" s="134" t="n">
        <v>1.239</v>
      </c>
      <c r="C10" s="135" t="n">
        <v>0.97207</v>
      </c>
      <c r="D10" s="195" t="n">
        <v>0.0279</v>
      </c>
      <c r="E10" s="136" t="n">
        <v>0.118940193913795</v>
      </c>
      <c r="F10" s="134" t="n">
        <v>0.429</v>
      </c>
      <c r="G10" s="196" t="n">
        <v>12.472</v>
      </c>
      <c r="H10" s="197" t="n">
        <v>0.899648</v>
      </c>
      <c r="I10" s="197" t="n">
        <v>0.100352</v>
      </c>
      <c r="J10" s="198" t="n">
        <v>1.26</v>
      </c>
    </row>
    <row r="11" customFormat="false" ht="12" hidden="false" customHeight="false" outlineLevel="0" collapsed="false">
      <c r="A11" s="80" t="s">
        <v>97</v>
      </c>
      <c r="B11" s="134" t="n">
        <v>2.127</v>
      </c>
      <c r="C11" s="135" t="n">
        <v>0.00047014</v>
      </c>
      <c r="D11" s="195" t="n">
        <v>0.9995298</v>
      </c>
      <c r="E11" s="136" t="n">
        <v>0.0749286645295382</v>
      </c>
      <c r="F11" s="134" t="n">
        <v>0.31</v>
      </c>
      <c r="G11" s="196" t="n">
        <v>12.629</v>
      </c>
      <c r="H11" s="197" t="n">
        <v>0</v>
      </c>
      <c r="I11" s="197" t="n">
        <v>1</v>
      </c>
      <c r="J11" s="198" t="n">
        <v>0.592</v>
      </c>
    </row>
    <row r="12" customFormat="false" ht="12" hidden="false" customHeight="false" outlineLevel="0" collapsed="false">
      <c r="A12" s="80" t="s">
        <v>33</v>
      </c>
      <c r="B12" s="134" t="n">
        <v>2.025</v>
      </c>
      <c r="C12" s="135" t="n">
        <v>0.10123456</v>
      </c>
      <c r="D12" s="195" t="n">
        <v>0.8987654</v>
      </c>
      <c r="E12" s="136" t="n">
        <v>0.0390368970968115</v>
      </c>
      <c r="F12" s="134" t="n">
        <v>0.625</v>
      </c>
      <c r="G12" s="196" t="n">
        <v>10.853</v>
      </c>
      <c r="H12" s="197" t="n">
        <v>0.19579839</v>
      </c>
      <c r="I12" s="197" t="n">
        <v>0.8042016</v>
      </c>
      <c r="J12" s="198" t="n">
        <v>0.722</v>
      </c>
    </row>
    <row r="13" customFormat="false" ht="12" hidden="false" customHeight="false" outlineLevel="0" collapsed="false">
      <c r="A13" s="80" t="s">
        <v>34</v>
      </c>
      <c r="B13" s="134" t="n">
        <v>22.703</v>
      </c>
      <c r="C13" s="135" t="n">
        <v>0</v>
      </c>
      <c r="D13" s="195" t="n">
        <v>1</v>
      </c>
      <c r="E13" s="136" t="n">
        <v>0.0807878442815458</v>
      </c>
      <c r="F13" s="134" t="n">
        <v>3.473</v>
      </c>
      <c r="G13" s="196" t="n">
        <v>120.274</v>
      </c>
      <c r="H13" s="197" t="n">
        <v>0</v>
      </c>
      <c r="I13" s="197" t="n">
        <v>1</v>
      </c>
      <c r="J13" s="198" t="n">
        <v>5.005</v>
      </c>
    </row>
    <row r="14" customFormat="false" ht="12" hidden="false" customHeight="false" outlineLevel="0" collapsed="false">
      <c r="A14" s="80" t="s">
        <v>35</v>
      </c>
      <c r="B14" s="134" t="n">
        <v>13.943</v>
      </c>
      <c r="C14" s="135" t="n">
        <v>0.5093339</v>
      </c>
      <c r="D14" s="195" t="n">
        <v>0.4906661</v>
      </c>
      <c r="E14" s="136" t="n">
        <v>0.0245279301403456</v>
      </c>
      <c r="F14" s="134" t="n">
        <v>5.586</v>
      </c>
      <c r="G14" s="196" t="n">
        <v>154.932</v>
      </c>
      <c r="H14" s="197" t="n">
        <v>0.3983167</v>
      </c>
      <c r="I14" s="197" t="n">
        <v>0.6016833</v>
      </c>
      <c r="J14" s="198" t="n">
        <v>14.065</v>
      </c>
    </row>
    <row r="15" customFormat="false" ht="12" hidden="false" customHeight="false" outlineLevel="0" collapsed="false">
      <c r="A15" s="80" t="s">
        <v>36</v>
      </c>
      <c r="B15" s="134" t="n">
        <v>0.805</v>
      </c>
      <c r="C15" s="135" t="n">
        <v>0.850905303</v>
      </c>
      <c r="D15" s="195" t="n">
        <v>0.149094697</v>
      </c>
      <c r="E15" s="136" t="n">
        <v>0.0705954573357888</v>
      </c>
      <c r="F15" s="134" t="n">
        <v>0.64</v>
      </c>
      <c r="G15" s="196" t="n">
        <v>10.002</v>
      </c>
      <c r="H15" s="197" t="n">
        <v>0.5209862885</v>
      </c>
      <c r="I15" s="197" t="n">
        <v>0.4790137115</v>
      </c>
      <c r="J15" s="198" t="n">
        <v>1.578</v>
      </c>
    </row>
    <row r="16" customFormat="false" ht="12" hidden="false" customHeight="false" outlineLevel="0" collapsed="false">
      <c r="A16" s="80" t="s">
        <v>37</v>
      </c>
      <c r="B16" s="134" t="n">
        <v>39.523</v>
      </c>
      <c r="C16" s="135" t="n">
        <v>0.6998963</v>
      </c>
      <c r="D16" s="195" t="n">
        <v>0.3001037</v>
      </c>
      <c r="E16" s="136" t="n">
        <v>0.139660204809996</v>
      </c>
      <c r="F16" s="134" t="n">
        <v>9.02</v>
      </c>
      <c r="G16" s="196" t="n">
        <v>213.204</v>
      </c>
      <c r="H16" s="197" t="n">
        <v>0.6485573</v>
      </c>
      <c r="I16" s="197" t="n">
        <v>0.3514427</v>
      </c>
      <c r="J16" s="198" t="n">
        <v>14.224</v>
      </c>
    </row>
    <row r="17" customFormat="false" ht="12" hidden="false" customHeight="false" outlineLevel="0" collapsed="false">
      <c r="A17" s="80" t="s">
        <v>38</v>
      </c>
      <c r="B17" s="134" t="n">
        <f aca="false">3.98/1000</f>
        <v>0.00398</v>
      </c>
      <c r="C17" s="135" t="n">
        <v>0.9165744</v>
      </c>
      <c r="D17" s="195" t="n">
        <v>0.08342562</v>
      </c>
      <c r="E17" s="136" t="n">
        <v>0.000878005735715861</v>
      </c>
      <c r="F17" s="134" t="n">
        <f aca="false">13.19/1000</f>
        <v>0.01319</v>
      </c>
      <c r="G17" s="196" t="n">
        <f aca="false">199.62/1000</f>
        <v>0.19962</v>
      </c>
      <c r="H17" s="197" t="n">
        <v>0.9832181</v>
      </c>
      <c r="I17" s="197" t="n">
        <v>0.01678189</v>
      </c>
      <c r="J17" s="198" t="n">
        <f aca="false">12.93/1000</f>
        <v>0.01293</v>
      </c>
    </row>
    <row r="18" customFormat="false" ht="12" hidden="false" customHeight="false" outlineLevel="0" collapsed="false">
      <c r="A18" s="80" t="s">
        <v>70</v>
      </c>
      <c r="B18" s="134" t="n">
        <v>2.476</v>
      </c>
      <c r="C18" s="135" t="n">
        <v>0.8990307</v>
      </c>
      <c r="D18" s="195" t="n">
        <v>0.1009693</v>
      </c>
      <c r="E18" s="136" t="n">
        <v>0.447496837158865</v>
      </c>
      <c r="F18" s="134" t="n">
        <v>1.102</v>
      </c>
      <c r="G18" s="196" t="n">
        <v>12.351</v>
      </c>
      <c r="H18" s="197" t="n">
        <v>0.8826006</v>
      </c>
      <c r="I18" s="197" t="n">
        <v>0.1173994</v>
      </c>
      <c r="J18" s="198" t="n">
        <v>1.247</v>
      </c>
    </row>
    <row r="19" customFormat="false" ht="12" hidden="false" customHeight="false" outlineLevel="0" collapsed="false">
      <c r="A19" s="80" t="s">
        <v>40</v>
      </c>
      <c r="B19" s="134" t="n">
        <v>1.542</v>
      </c>
      <c r="C19" s="135" t="n">
        <v>0.6433204</v>
      </c>
      <c r="D19" s="195" t="n">
        <v>0.3566796</v>
      </c>
      <c r="E19" s="136" t="n">
        <v>0.312588688424894</v>
      </c>
      <c r="F19" s="134" t="n">
        <v>0.961</v>
      </c>
      <c r="G19" s="196" t="n">
        <v>12.4</v>
      </c>
      <c r="H19" s="197" t="n">
        <v>0.7274194</v>
      </c>
      <c r="I19" s="197" t="n">
        <v>0.2725806</v>
      </c>
      <c r="J19" s="198" t="n">
        <v>1.877</v>
      </c>
    </row>
    <row r="20" customFormat="false" ht="12" hidden="false" customHeight="false" outlineLevel="0" collapsed="false">
      <c r="A20" s="80" t="s">
        <v>41</v>
      </c>
      <c r="B20" s="134" t="n">
        <v>0.35</v>
      </c>
      <c r="C20" s="135" t="n">
        <v>0.5342857143</v>
      </c>
      <c r="D20" s="195" t="n">
        <v>0.4657142857</v>
      </c>
      <c r="E20" s="136" t="n">
        <v>0.126719768283852</v>
      </c>
      <c r="F20" s="134" t="n">
        <v>0.12</v>
      </c>
      <c r="G20" s="196" t="n">
        <v>2.37</v>
      </c>
      <c r="H20" s="197" t="n">
        <v>0.664556962</v>
      </c>
      <c r="I20" s="197" t="n">
        <v>0.335443038</v>
      </c>
      <c r="J20" s="198" t="n">
        <v>0.183</v>
      </c>
    </row>
    <row r="21" customFormat="false" ht="12" hidden="false" customHeight="false" outlineLevel="0" collapsed="false">
      <c r="A21" s="80" t="s">
        <v>113</v>
      </c>
      <c r="B21" s="134" t="n">
        <v>4.086</v>
      </c>
      <c r="C21" s="135" t="n">
        <v>0.882771</v>
      </c>
      <c r="D21" s="195" t="n">
        <v>0.117228</v>
      </c>
      <c r="E21" s="136" t="n">
        <v>0.134664821040142</v>
      </c>
      <c r="F21" s="134" t="n">
        <v>1.57</v>
      </c>
      <c r="G21" s="196" t="n">
        <v>24.372</v>
      </c>
      <c r="H21" s="197" t="n">
        <v>0.763427</v>
      </c>
      <c r="I21" s="197" t="n">
        <v>0.236572</v>
      </c>
      <c r="J21" s="198" t="n">
        <v>3.221</v>
      </c>
    </row>
    <row r="22" customFormat="false" ht="12" hidden="false" customHeight="false" outlineLevel="0" collapsed="false">
      <c r="A22" s="80" t="s">
        <v>43</v>
      </c>
      <c r="B22" s="134" t="n">
        <v>0</v>
      </c>
      <c r="C22" s="135" t="n">
        <v>0</v>
      </c>
      <c r="D22" s="195" t="n">
        <v>0</v>
      </c>
      <c r="E22" s="136" t="n">
        <v>0</v>
      </c>
      <c r="F22" s="134" t="n">
        <v>0</v>
      </c>
      <c r="G22" s="196" t="n">
        <v>0</v>
      </c>
      <c r="H22" s="197" t="n">
        <v>0</v>
      </c>
      <c r="I22" s="197" t="n">
        <v>0</v>
      </c>
      <c r="J22" s="198" t="n">
        <v>0</v>
      </c>
    </row>
    <row r="23" customFormat="false" ht="12" hidden="false" customHeight="false" outlineLevel="0" collapsed="false">
      <c r="A23" s="80" t="s">
        <v>72</v>
      </c>
      <c r="B23" s="134" t="n">
        <v>29.783</v>
      </c>
      <c r="C23" s="135" t="n">
        <v>0.4583364</v>
      </c>
      <c r="D23" s="195" t="n">
        <v>0.54166364</v>
      </c>
      <c r="E23" s="136" t="n">
        <v>0.270582356682111</v>
      </c>
      <c r="F23" s="134" t="n">
        <v>9.183</v>
      </c>
      <c r="G23" s="196" t="n">
        <v>189.642</v>
      </c>
      <c r="H23" s="197" t="n">
        <v>0.3808409</v>
      </c>
      <c r="I23" s="197" t="n">
        <v>0.61915908</v>
      </c>
      <c r="J23" s="198" t="n">
        <v>18.088</v>
      </c>
    </row>
    <row r="24" customFormat="false" ht="12" hidden="false" customHeight="false" outlineLevel="0" collapsed="false">
      <c r="A24" s="80" t="s">
        <v>45</v>
      </c>
      <c r="B24" s="134" t="n">
        <v>9.004</v>
      </c>
      <c r="C24" s="135" t="n">
        <v>0.5480132</v>
      </c>
      <c r="D24" s="195" t="n">
        <v>0.4519868</v>
      </c>
      <c r="E24" s="136" t="n">
        <v>0.137888788495995</v>
      </c>
      <c r="F24" s="134" t="n">
        <v>2.807</v>
      </c>
      <c r="G24" s="196" t="n">
        <v>105.906</v>
      </c>
      <c r="H24" s="197" t="n">
        <v>0.3663361</v>
      </c>
      <c r="I24" s="197" t="n">
        <v>0.6339939</v>
      </c>
      <c r="J24" s="198" t="n">
        <v>8.596</v>
      </c>
    </row>
    <row r="25" customFormat="false" ht="12" hidden="false" customHeight="false" outlineLevel="0" collapsed="false">
      <c r="A25" s="80" t="s">
        <v>46</v>
      </c>
      <c r="B25" s="134" t="n">
        <v>26.542</v>
      </c>
      <c r="C25" s="135" t="n">
        <v>0.745347</v>
      </c>
      <c r="D25" s="195" t="n">
        <v>0.254653</v>
      </c>
      <c r="E25" s="136" t="n">
        <v>0.160915219710932</v>
      </c>
      <c r="F25" s="134" t="n">
        <v>8.553</v>
      </c>
      <c r="G25" s="196" t="n">
        <v>238.608</v>
      </c>
      <c r="H25" s="197" t="n">
        <v>0.6021508</v>
      </c>
      <c r="I25" s="197" t="n">
        <v>0.3978492</v>
      </c>
      <c r="J25" s="198" t="n">
        <v>23.909</v>
      </c>
    </row>
    <row r="26" customFormat="false" ht="12" hidden="false" customHeight="false" outlineLevel="0" collapsed="false">
      <c r="A26" s="80" t="s">
        <v>98</v>
      </c>
      <c r="B26" s="134" t="n">
        <v>6.468</v>
      </c>
      <c r="C26" s="135" t="n">
        <v>0.74926021</v>
      </c>
      <c r="D26" s="195" t="n">
        <v>0.25073979</v>
      </c>
      <c r="E26" s="136" t="n">
        <v>0.123388019839756</v>
      </c>
      <c r="F26" s="134" t="n">
        <v>1.332</v>
      </c>
      <c r="G26" s="196" t="n">
        <v>59.282</v>
      </c>
      <c r="H26" s="197" t="n">
        <v>0.581018597</v>
      </c>
      <c r="I26" s="197" t="n">
        <v>0.418981403</v>
      </c>
      <c r="J26" s="198" t="n">
        <v>4.348</v>
      </c>
    </row>
    <row r="27" customFormat="false" ht="12" hidden="false" customHeight="false" outlineLevel="0" collapsed="false">
      <c r="A27" s="80" t="s">
        <v>48</v>
      </c>
      <c r="B27" s="134" t="n">
        <v>5.601</v>
      </c>
      <c r="C27" s="135" t="n">
        <v>0.8323514</v>
      </c>
      <c r="D27" s="195" t="n">
        <v>0.1676486</v>
      </c>
      <c r="E27" s="136" t="n">
        <v>0.0844847351273078</v>
      </c>
      <c r="F27" s="134" t="n">
        <v>1.831</v>
      </c>
      <c r="G27" s="196" t="n">
        <v>50.978</v>
      </c>
      <c r="H27" s="197" t="n">
        <v>0.8157833</v>
      </c>
      <c r="I27" s="197" t="n">
        <v>0.1842167</v>
      </c>
      <c r="J27" s="198" t="n">
        <v>9.831</v>
      </c>
    </row>
    <row r="28" customFormat="false" ht="12" hidden="false" customHeight="false" outlineLevel="0" collapsed="false">
      <c r="A28" s="80" t="s">
        <v>99</v>
      </c>
      <c r="B28" s="134" t="n">
        <v>1.158</v>
      </c>
      <c r="C28" s="135" t="n">
        <v>0.784477069</v>
      </c>
      <c r="D28" s="195" t="n">
        <v>0.215522931</v>
      </c>
      <c r="E28" s="136" t="n">
        <v>0.0766887417218543</v>
      </c>
      <c r="F28" s="134" t="n">
        <v>0.359</v>
      </c>
      <c r="G28" s="196" t="n">
        <v>10.381</v>
      </c>
      <c r="H28" s="197" t="n">
        <v>0.6556827105</v>
      </c>
      <c r="I28" s="197" t="n">
        <v>0.3443172895</v>
      </c>
      <c r="J28" s="198" t="n">
        <v>0.728</v>
      </c>
    </row>
    <row r="29" customFormat="false" ht="13.5" hidden="false" customHeight="false" outlineLevel="0" collapsed="false">
      <c r="A29" s="80" t="s">
        <v>114</v>
      </c>
      <c r="B29" s="134" t="n">
        <v>21.116</v>
      </c>
      <c r="C29" s="135" t="n">
        <v>0.9399981</v>
      </c>
      <c r="D29" s="195" t="n">
        <v>0.0600019</v>
      </c>
      <c r="E29" s="136" t="n">
        <v>0.78489387800617</v>
      </c>
      <c r="F29" s="134" t="n">
        <v>3.744</v>
      </c>
      <c r="G29" s="196" t="n">
        <v>27.33</v>
      </c>
      <c r="H29" s="197" t="n">
        <v>0.7972192</v>
      </c>
      <c r="I29" s="197" t="n">
        <v>0.2027808</v>
      </c>
      <c r="J29" s="198" t="n">
        <v>24.286</v>
      </c>
    </row>
    <row r="30" customFormat="false" ht="12" hidden="false" customHeight="false" outlineLevel="0" collapsed="false">
      <c r="A30" s="80" t="s">
        <v>75</v>
      </c>
      <c r="B30" s="134" t="n">
        <v>21.739</v>
      </c>
      <c r="C30" s="135" t="n">
        <v>0.6215557</v>
      </c>
      <c r="D30" s="195" t="n">
        <v>0.3784443</v>
      </c>
      <c r="E30" s="136" t="n">
        <v>0.3169042829237</v>
      </c>
      <c r="F30" s="134" t="n">
        <v>5.848</v>
      </c>
      <c r="G30" s="196" t="n">
        <v>242.432</v>
      </c>
      <c r="H30" s="197" t="n">
        <v>0.4301247</v>
      </c>
      <c r="I30" s="197" t="n">
        <v>0.5698753</v>
      </c>
      <c r="J30" s="198" t="n">
        <v>15.182</v>
      </c>
    </row>
    <row r="31" customFormat="false" ht="13.5" hidden="false" customHeight="false" outlineLevel="0" collapsed="false">
      <c r="A31" s="108" t="s">
        <v>52</v>
      </c>
      <c r="B31" s="168" t="n">
        <v>13.659</v>
      </c>
      <c r="C31" s="169" t="n">
        <v>0.5742001611</v>
      </c>
      <c r="D31" s="199" t="n">
        <v>0.4257998389</v>
      </c>
      <c r="E31" s="170" t="n">
        <v>0.0842846388330104</v>
      </c>
      <c r="F31" s="168" t="n">
        <v>4.853</v>
      </c>
      <c r="G31" s="200" t="n">
        <v>151.346</v>
      </c>
      <c r="H31" s="201" t="n">
        <v>0.4747532145</v>
      </c>
      <c r="I31" s="201" t="n">
        <v>0.5252467855</v>
      </c>
      <c r="J31" s="202" t="n">
        <v>12.798</v>
      </c>
    </row>
    <row r="32" customFormat="false" ht="12" hidden="false" customHeight="false" outlineLevel="0" collapsed="false">
      <c r="A32" s="87" t="s">
        <v>77</v>
      </c>
      <c r="B32" s="140" t="n">
        <v>19.397</v>
      </c>
      <c r="C32" s="141" t="n">
        <v>0.0176068</v>
      </c>
      <c r="D32" s="203" t="n">
        <v>0.9823932</v>
      </c>
      <c r="E32" s="142" t="n">
        <v>0.0572022589539804</v>
      </c>
      <c r="F32" s="140" t="n">
        <v>5.913</v>
      </c>
      <c r="G32" s="204" t="n">
        <v>124.15</v>
      </c>
      <c r="H32" s="205" t="n">
        <v>0.0228606</v>
      </c>
      <c r="I32" s="205" t="n">
        <v>0.9771394</v>
      </c>
      <c r="J32" s="206" t="n">
        <v>7.619</v>
      </c>
    </row>
    <row r="33" customFormat="false" ht="12" hidden="false" customHeight="false" outlineLevel="0" collapsed="false">
      <c r="A33" s="119" t="s">
        <v>115</v>
      </c>
      <c r="B33" s="143" t="n">
        <v>0.408</v>
      </c>
      <c r="C33" s="144" t="n">
        <v>1</v>
      </c>
      <c r="D33" s="207" t="n">
        <v>0</v>
      </c>
      <c r="E33" s="145" t="n">
        <v>0.00281338564759587</v>
      </c>
      <c r="F33" s="143" t="n">
        <v>0.11</v>
      </c>
      <c r="G33" s="208" t="n">
        <v>9.707</v>
      </c>
      <c r="H33" s="209" t="n">
        <v>1</v>
      </c>
      <c r="I33" s="209" t="n">
        <v>0</v>
      </c>
      <c r="J33" s="210" t="n">
        <v>0.501</v>
      </c>
    </row>
    <row r="34" customFormat="false" ht="12" hidden="false" customHeight="false" outlineLevel="0" collapsed="false">
      <c r="F34" s="16"/>
      <c r="G34" s="16"/>
    </row>
    <row r="35" customFormat="false" ht="36" hidden="false" customHeight="false" outlineLevel="0" collapsed="false">
      <c r="A35" s="20" t="n">
        <v>2015</v>
      </c>
      <c r="B35" s="21" t="s">
        <v>55</v>
      </c>
      <c r="C35" s="25" t="s">
        <v>57</v>
      </c>
      <c r="D35" s="22" t="s">
        <v>58</v>
      </c>
      <c r="E35" s="22" t="s">
        <v>59</v>
      </c>
      <c r="F35" s="211" t="s">
        <v>60</v>
      </c>
      <c r="G35" s="211" t="s">
        <v>61</v>
      </c>
      <c r="H35" s="212"/>
      <c r="I35" s="212"/>
      <c r="J35" s="213"/>
      <c r="K35" s="214"/>
      <c r="L35" s="214"/>
    </row>
    <row r="36" customFormat="false" ht="13.5" hidden="false" customHeight="false" outlineLevel="0" collapsed="false">
      <c r="A36" s="179" t="s">
        <v>104</v>
      </c>
      <c r="B36" s="180" t="n">
        <f aca="false">SUM(B37:B64)</f>
        <v>5239.55746</v>
      </c>
      <c r="C36" s="181" t="n">
        <v>0.179896880478622</v>
      </c>
      <c r="D36" s="183" t="n">
        <v>0.0485227715301695</v>
      </c>
      <c r="E36" s="183" t="n">
        <v>0.435449930599527</v>
      </c>
      <c r="F36" s="183" t="n">
        <v>0.205571055515899</v>
      </c>
      <c r="G36" s="183" t="n">
        <v>0.130559361875782</v>
      </c>
    </row>
    <row r="37" customFormat="false" ht="12" hidden="false" customHeight="false" outlineLevel="0" collapsed="false">
      <c r="A37" s="187" t="s">
        <v>96</v>
      </c>
      <c r="B37" s="188" t="n">
        <v>181.527</v>
      </c>
      <c r="C37" s="215" t="n">
        <v>0.012</v>
      </c>
      <c r="D37" s="216" t="n">
        <v>0.015</v>
      </c>
      <c r="E37" s="216" t="n">
        <v>0.559</v>
      </c>
      <c r="F37" s="216" t="n">
        <v>0.173</v>
      </c>
      <c r="G37" s="216" t="n">
        <v>0.241</v>
      </c>
      <c r="K37" s="217"/>
      <c r="L37" s="217"/>
      <c r="M37" s="218"/>
      <c r="N37" s="219"/>
    </row>
    <row r="38" customFormat="false" ht="12" hidden="false" customHeight="false" outlineLevel="0" collapsed="false">
      <c r="A38" s="80" t="s">
        <v>27</v>
      </c>
      <c r="B38" s="134" t="n">
        <v>55.086</v>
      </c>
      <c r="C38" s="135" t="n">
        <v>0.598790981374578</v>
      </c>
      <c r="D38" s="136" t="n">
        <v>0.129161674472643</v>
      </c>
      <c r="E38" s="136" t="n">
        <v>0.270558762662019</v>
      </c>
      <c r="F38" s="136" t="n">
        <v>0.000326761790654613</v>
      </c>
      <c r="G38" s="136" t="n">
        <v>0.00116181970010529</v>
      </c>
      <c r="K38" s="217"/>
      <c r="L38" s="217"/>
      <c r="M38" s="218"/>
      <c r="N38" s="219"/>
    </row>
    <row r="39" customFormat="false" ht="12" hidden="false" customHeight="false" outlineLevel="0" collapsed="false">
      <c r="A39" s="80" t="s">
        <v>116</v>
      </c>
      <c r="B39" s="134" t="n">
        <v>238.43</v>
      </c>
      <c r="C39" s="135" t="n">
        <v>0.784</v>
      </c>
      <c r="D39" s="136" t="n">
        <v>0.003</v>
      </c>
      <c r="E39" s="136" t="n">
        <v>0.063</v>
      </c>
      <c r="F39" s="136" t="n">
        <v>0.133</v>
      </c>
      <c r="G39" s="136" t="n">
        <v>0.017</v>
      </c>
      <c r="K39" s="217"/>
      <c r="L39" s="217"/>
      <c r="M39" s="218"/>
      <c r="N39" s="219"/>
    </row>
    <row r="40" customFormat="false" ht="12" hidden="false" customHeight="false" outlineLevel="0" collapsed="false">
      <c r="A40" s="80" t="s">
        <v>29</v>
      </c>
      <c r="B40" s="134" t="n">
        <v>155.942</v>
      </c>
      <c r="C40" s="135" t="n">
        <v>0.332</v>
      </c>
      <c r="D40" s="136" t="n">
        <v>0.029</v>
      </c>
      <c r="E40" s="136" t="n">
        <v>0.13</v>
      </c>
      <c r="F40" s="136" t="n">
        <v>0.409</v>
      </c>
      <c r="G40" s="136" t="n">
        <v>0.101</v>
      </c>
      <c r="K40" s="217"/>
      <c r="L40" s="217"/>
      <c r="M40" s="218"/>
      <c r="N40" s="219"/>
    </row>
    <row r="41" customFormat="false" ht="13.5" hidden="false" customHeight="false" outlineLevel="0" collapsed="false">
      <c r="A41" s="80" t="s">
        <v>112</v>
      </c>
      <c r="B41" s="134" t="n">
        <v>669.907</v>
      </c>
      <c r="C41" s="135" t="n">
        <v>0.129</v>
      </c>
      <c r="D41" s="136" t="n">
        <v>0.04</v>
      </c>
      <c r="E41" s="136" t="n">
        <v>0.468</v>
      </c>
      <c r="F41" s="136" t="n">
        <v>0.178</v>
      </c>
      <c r="G41" s="136" t="n">
        <v>0.186</v>
      </c>
      <c r="K41" s="217"/>
      <c r="L41" s="217"/>
      <c r="M41" s="218"/>
      <c r="N41" s="219"/>
    </row>
    <row r="42" customFormat="false" ht="12" hidden="false" customHeight="false" outlineLevel="0" collapsed="false">
      <c r="A42" s="80" t="s">
        <v>31</v>
      </c>
      <c r="B42" s="134" t="n">
        <v>21.065</v>
      </c>
      <c r="C42" s="135" t="n">
        <v>0.253</v>
      </c>
      <c r="D42" s="136" t="n">
        <v>0.002</v>
      </c>
      <c r="E42" s="136" t="n">
        <v>0.124</v>
      </c>
      <c r="F42" s="136" t="n">
        <v>0.514</v>
      </c>
      <c r="G42" s="136" t="n">
        <v>0.108</v>
      </c>
      <c r="K42" s="217"/>
      <c r="L42" s="217"/>
      <c r="M42" s="218"/>
      <c r="N42" s="219"/>
    </row>
    <row r="43" customFormat="false" ht="12" hidden="false" customHeight="false" outlineLevel="0" collapsed="false">
      <c r="A43" s="80" t="s">
        <v>97</v>
      </c>
      <c r="B43" s="134" t="n">
        <v>24.2</v>
      </c>
      <c r="C43" s="135" t="n">
        <v>0.027</v>
      </c>
      <c r="D43" s="136" t="n">
        <v>0.027</v>
      </c>
      <c r="E43" s="136" t="n">
        <v>0.922</v>
      </c>
      <c r="F43" s="136" t="n">
        <v>0.023</v>
      </c>
      <c r="G43" s="136" t="n">
        <v>0.001</v>
      </c>
      <c r="K43" s="217"/>
      <c r="L43" s="217"/>
      <c r="M43" s="218"/>
      <c r="N43" s="219"/>
    </row>
    <row r="44" customFormat="false" ht="12" hidden="false" customHeight="false" outlineLevel="0" collapsed="false">
      <c r="A44" s="80" t="s">
        <v>33</v>
      </c>
      <c r="B44" s="134" t="n">
        <v>22.852</v>
      </c>
      <c r="C44" s="135" t="n">
        <v>0.125</v>
      </c>
      <c r="D44" s="136" t="n">
        <v>0.384</v>
      </c>
      <c r="E44" s="136" t="n">
        <v>0.405</v>
      </c>
      <c r="F44" s="136" t="n">
        <v>0.013</v>
      </c>
      <c r="G44" s="136" t="n">
        <v>0.073</v>
      </c>
      <c r="K44" s="217"/>
      <c r="L44" s="217"/>
      <c r="M44" s="218"/>
      <c r="N44" s="219"/>
    </row>
    <row r="45" customFormat="false" ht="12" hidden="false" customHeight="false" outlineLevel="0" collapsed="false">
      <c r="A45" s="80" t="s">
        <v>34</v>
      </c>
      <c r="B45" s="134" t="n">
        <v>321.171</v>
      </c>
      <c r="C45" s="135" t="n">
        <v>0.022</v>
      </c>
      <c r="D45" s="136" t="n">
        <v>0.084</v>
      </c>
      <c r="E45" s="136" t="n">
        <v>0.786</v>
      </c>
      <c r="F45" s="136" t="n">
        <v>0</v>
      </c>
      <c r="G45" s="136" t="n">
        <v>0.108</v>
      </c>
      <c r="K45" s="217"/>
      <c r="L45" s="217"/>
      <c r="M45" s="218"/>
      <c r="N45" s="219"/>
    </row>
    <row r="46" customFormat="false" ht="12" hidden="false" customHeight="false" outlineLevel="0" collapsed="false">
      <c r="A46" s="80" t="s">
        <v>35</v>
      </c>
      <c r="B46" s="134" t="n">
        <v>246.438</v>
      </c>
      <c r="C46" s="135" t="n">
        <v>0.056</v>
      </c>
      <c r="D46" s="136" t="n">
        <v>0.047</v>
      </c>
      <c r="E46" s="136" t="n">
        <v>0.535</v>
      </c>
      <c r="F46" s="136" t="n">
        <v>0.244</v>
      </c>
      <c r="G46" s="136" t="n">
        <v>0.118</v>
      </c>
      <c r="K46" s="217"/>
      <c r="L46" s="217"/>
      <c r="M46" s="218"/>
      <c r="N46" s="219"/>
    </row>
    <row r="47" customFormat="false" ht="12" hidden="false" customHeight="false" outlineLevel="0" collapsed="false">
      <c r="A47" s="80" t="s">
        <v>36</v>
      </c>
      <c r="B47" s="134" t="n">
        <v>15.194</v>
      </c>
      <c r="C47" s="135" t="n">
        <v>0.046</v>
      </c>
      <c r="D47" s="136" t="n">
        <v>0.056</v>
      </c>
      <c r="E47" s="136" t="n">
        <v>0.867</v>
      </c>
      <c r="F47" s="136" t="n">
        <v>0.031</v>
      </c>
      <c r="G47" s="136" t="n">
        <v>0</v>
      </c>
      <c r="K47" s="217"/>
      <c r="L47" s="217"/>
      <c r="M47" s="218"/>
      <c r="N47" s="219"/>
    </row>
    <row r="48" customFormat="false" ht="12" hidden="false" customHeight="false" outlineLevel="0" collapsed="false">
      <c r="A48" s="80" t="s">
        <v>37</v>
      </c>
      <c r="B48" s="134" t="n">
        <v>864.751</v>
      </c>
      <c r="C48" s="135" t="n">
        <v>0.027</v>
      </c>
      <c r="D48" s="136" t="n">
        <v>0.033</v>
      </c>
      <c r="E48" s="136" t="n">
        <v>0.691</v>
      </c>
      <c r="F48" s="136" t="n">
        <v>0.137</v>
      </c>
      <c r="G48" s="136" t="n">
        <v>0.111</v>
      </c>
      <c r="K48" s="217"/>
      <c r="L48" s="217"/>
      <c r="M48" s="218"/>
      <c r="N48" s="219"/>
    </row>
    <row r="49" customFormat="false" ht="12" hidden="false" customHeight="false" outlineLevel="0" collapsed="false">
      <c r="A49" s="80" t="s">
        <v>38</v>
      </c>
      <c r="B49" s="134" t="n">
        <f aca="false">568.46/1000</f>
        <v>0.56846</v>
      </c>
      <c r="C49" s="135" t="n">
        <v>0</v>
      </c>
      <c r="D49" s="136" t="n">
        <v>0.103</v>
      </c>
      <c r="E49" s="136" t="n">
        <v>0</v>
      </c>
      <c r="F49" s="136" t="n">
        <v>0.897</v>
      </c>
      <c r="G49" s="136" t="n">
        <v>0</v>
      </c>
      <c r="K49" s="217"/>
      <c r="L49" s="217"/>
      <c r="M49" s="218"/>
      <c r="N49" s="219"/>
    </row>
    <row r="50" customFormat="false" ht="12" hidden="false" customHeight="false" outlineLevel="0" collapsed="false">
      <c r="A50" s="80" t="s">
        <v>70</v>
      </c>
      <c r="B50" s="134" t="n">
        <v>32.945</v>
      </c>
      <c r="C50" s="135" t="n">
        <v>0</v>
      </c>
      <c r="D50" s="136" t="n">
        <v>0</v>
      </c>
      <c r="E50" s="136" t="n">
        <v>0.671</v>
      </c>
      <c r="F50" s="136" t="n">
        <v>0.328</v>
      </c>
      <c r="G50" s="136" t="n">
        <v>0</v>
      </c>
      <c r="K50" s="217"/>
      <c r="L50" s="217"/>
      <c r="M50" s="218"/>
      <c r="N50" s="219"/>
    </row>
    <row r="51" customFormat="false" ht="12" hidden="false" customHeight="false" outlineLevel="0" collapsed="false">
      <c r="A51" s="80" t="s">
        <v>40</v>
      </c>
      <c r="B51" s="134" t="n">
        <v>21.073</v>
      </c>
      <c r="C51" s="135" t="n">
        <v>0</v>
      </c>
      <c r="D51" s="136" t="n">
        <v>0.14</v>
      </c>
      <c r="E51" s="136" t="n">
        <v>0.477</v>
      </c>
      <c r="F51" s="136" t="n">
        <v>0.338</v>
      </c>
      <c r="G51" s="136" t="n">
        <v>0.045</v>
      </c>
      <c r="K51" s="217"/>
      <c r="L51" s="217"/>
      <c r="M51" s="218"/>
      <c r="N51" s="219"/>
    </row>
    <row r="52" customFormat="false" ht="12" hidden="false" customHeight="false" outlineLevel="0" collapsed="false">
      <c r="A52" s="80" t="s">
        <v>41</v>
      </c>
      <c r="B52" s="134" t="n">
        <v>4.473</v>
      </c>
      <c r="C52" s="135" t="n">
        <v>0</v>
      </c>
      <c r="D52" s="136" t="n">
        <v>0</v>
      </c>
      <c r="E52" s="136" t="n">
        <v>0.73</v>
      </c>
      <c r="F52" s="136" t="n">
        <v>0.268</v>
      </c>
      <c r="G52" s="136" t="n">
        <v>0.002</v>
      </c>
      <c r="K52" s="217"/>
      <c r="L52" s="217"/>
      <c r="M52" s="218"/>
      <c r="N52" s="219"/>
    </row>
    <row r="53" customFormat="false" ht="12" hidden="false" customHeight="false" outlineLevel="0" collapsed="false">
      <c r="A53" s="80" t="s">
        <v>113</v>
      </c>
      <c r="B53" s="134" t="n">
        <v>50.991</v>
      </c>
      <c r="C53" s="135" t="n">
        <v>0.081</v>
      </c>
      <c r="D53" s="136" t="n">
        <v>0.047</v>
      </c>
      <c r="E53" s="136" t="n">
        <v>0.696</v>
      </c>
      <c r="F53" s="136" t="n">
        <v>0.129</v>
      </c>
      <c r="G53" s="136" t="n">
        <v>0.047</v>
      </c>
      <c r="K53" s="217"/>
      <c r="L53" s="217"/>
      <c r="M53" s="218"/>
      <c r="N53" s="219"/>
    </row>
    <row r="54" customFormat="false" ht="12" hidden="false" customHeight="false" outlineLevel="0" collapsed="false">
      <c r="A54" s="80" t="s">
        <v>43</v>
      </c>
      <c r="B54" s="134" t="n">
        <v>0</v>
      </c>
      <c r="C54" s="135" t="n">
        <v>0</v>
      </c>
      <c r="D54" s="136" t="n">
        <v>0</v>
      </c>
      <c r="E54" s="136" t="n">
        <v>0</v>
      </c>
      <c r="F54" s="136" t="n">
        <v>0</v>
      </c>
      <c r="G54" s="136" t="n">
        <v>0</v>
      </c>
      <c r="K54" s="217"/>
      <c r="L54" s="217"/>
      <c r="M54" s="218"/>
      <c r="N54" s="219"/>
    </row>
    <row r="55" customFormat="false" ht="12" hidden="false" customHeight="false" outlineLevel="0" collapsed="false">
      <c r="A55" s="80" t="s">
        <v>72</v>
      </c>
      <c r="B55" s="134" t="n">
        <v>370.843</v>
      </c>
      <c r="C55" s="135" t="n">
        <v>0.025</v>
      </c>
      <c r="D55" s="136" t="n">
        <v>0.04</v>
      </c>
      <c r="E55" s="136" t="n">
        <v>0.748</v>
      </c>
      <c r="F55" s="136" t="n">
        <v>0.04</v>
      </c>
      <c r="G55" s="136" t="n">
        <v>0.148</v>
      </c>
      <c r="K55" s="217"/>
      <c r="L55" s="217"/>
      <c r="M55" s="218"/>
      <c r="N55" s="219"/>
    </row>
    <row r="56" customFormat="false" ht="12" hidden="false" customHeight="false" outlineLevel="0" collapsed="false">
      <c r="A56" s="80" t="s">
        <v>45</v>
      </c>
      <c r="B56" s="134" t="n">
        <v>165.681</v>
      </c>
      <c r="C56" s="135" t="n">
        <v>0.089</v>
      </c>
      <c r="D56" s="136" t="n">
        <v>0.091</v>
      </c>
      <c r="E56" s="136" t="n">
        <v>0.376</v>
      </c>
      <c r="F56" s="136" t="n">
        <v>0.214</v>
      </c>
      <c r="G56" s="136" t="n">
        <v>0.231</v>
      </c>
      <c r="K56" s="217"/>
      <c r="L56" s="217"/>
      <c r="M56" s="218"/>
      <c r="N56" s="219"/>
    </row>
    <row r="57" customFormat="false" ht="12" hidden="false" customHeight="false" outlineLevel="0" collapsed="false">
      <c r="A57" s="80" t="s">
        <v>46</v>
      </c>
      <c r="B57" s="134" t="n">
        <v>401.84</v>
      </c>
      <c r="C57" s="135" t="n">
        <v>0.711</v>
      </c>
      <c r="D57" s="136" t="n">
        <v>0.079</v>
      </c>
      <c r="E57" s="136" t="n">
        <v>0.093</v>
      </c>
      <c r="F57" s="136" t="n">
        <v>0.109</v>
      </c>
      <c r="G57" s="136" t="n">
        <v>0.008</v>
      </c>
      <c r="K57" s="217"/>
      <c r="L57" s="217"/>
      <c r="M57" s="218"/>
      <c r="N57" s="219"/>
    </row>
    <row r="58" customFormat="false" ht="12" hidden="false" customHeight="false" outlineLevel="0" collapsed="false">
      <c r="A58" s="80" t="s">
        <v>98</v>
      </c>
      <c r="B58" s="134" t="n">
        <v>108.671</v>
      </c>
      <c r="C58" s="135" t="n">
        <v>0</v>
      </c>
      <c r="D58" s="136" t="n">
        <v>0.086</v>
      </c>
      <c r="E58" s="136" t="n">
        <v>0.474</v>
      </c>
      <c r="F58" s="136" t="n">
        <v>0.434</v>
      </c>
      <c r="G58" s="136" t="n">
        <v>0.005</v>
      </c>
      <c r="K58" s="217"/>
      <c r="L58" s="217"/>
      <c r="M58" s="218"/>
      <c r="N58" s="219"/>
    </row>
    <row r="59" customFormat="false" ht="12" hidden="false" customHeight="false" outlineLevel="0" collapsed="false">
      <c r="A59" s="80" t="s">
        <v>48</v>
      </c>
      <c r="B59" s="134" t="n">
        <v>90.259</v>
      </c>
      <c r="C59" s="135" t="n">
        <v>0.351</v>
      </c>
      <c r="D59" s="136" t="n">
        <v>0.034</v>
      </c>
      <c r="E59" s="136" t="n">
        <v>0.548</v>
      </c>
      <c r="F59" s="136" t="n">
        <v>0.064</v>
      </c>
      <c r="G59" s="136" t="n">
        <v>0.003</v>
      </c>
      <c r="K59" s="217"/>
      <c r="L59" s="217"/>
      <c r="M59" s="218"/>
      <c r="N59" s="219"/>
    </row>
    <row r="60" customFormat="false" ht="12" hidden="false" customHeight="false" outlineLevel="0" collapsed="false">
      <c r="A60" s="80" t="s">
        <v>99</v>
      </c>
      <c r="B60" s="134" t="n">
        <v>18.265</v>
      </c>
      <c r="C60" s="135" t="n">
        <v>0.503</v>
      </c>
      <c r="D60" s="136" t="n">
        <v>0.001</v>
      </c>
      <c r="E60" s="136" t="n">
        <v>0.268</v>
      </c>
      <c r="F60" s="136" t="n">
        <v>0.207</v>
      </c>
      <c r="G60" s="136" t="n">
        <v>0.02</v>
      </c>
      <c r="K60" s="217"/>
      <c r="L60" s="217"/>
      <c r="M60" s="218"/>
      <c r="N60" s="219"/>
    </row>
    <row r="61" customFormat="false" ht="13.5" hidden="false" customHeight="false" outlineLevel="0" collapsed="false">
      <c r="A61" s="80" t="s">
        <v>114</v>
      </c>
      <c r="B61" s="134" t="n">
        <v>280.567</v>
      </c>
      <c r="C61" s="135" t="n">
        <v>0.215</v>
      </c>
      <c r="D61" s="136" t="n">
        <v>0.031</v>
      </c>
      <c r="E61" s="136" t="n">
        <v>0.066</v>
      </c>
      <c r="F61" s="136" t="n">
        <v>0.044</v>
      </c>
      <c r="G61" s="136" t="n">
        <v>0.644</v>
      </c>
      <c r="K61" s="217"/>
      <c r="L61" s="217"/>
      <c r="M61" s="218"/>
      <c r="N61" s="219"/>
    </row>
    <row r="62" customFormat="false" ht="12" hidden="false" customHeight="false" outlineLevel="0" collapsed="false">
      <c r="A62" s="80" t="s">
        <v>75</v>
      </c>
      <c r="B62" s="134" t="n">
        <v>382.098</v>
      </c>
      <c r="C62" s="135" t="n">
        <v>0.223</v>
      </c>
      <c r="D62" s="136" t="n">
        <v>0.016</v>
      </c>
      <c r="E62" s="136" t="n">
        <v>0.127</v>
      </c>
      <c r="F62" s="136" t="n">
        <v>0.594</v>
      </c>
      <c r="G62" s="136" t="n">
        <v>0.04</v>
      </c>
      <c r="K62" s="217"/>
      <c r="L62" s="217"/>
      <c r="M62" s="218"/>
      <c r="N62" s="219"/>
    </row>
    <row r="63" customFormat="false" ht="13.5" hidden="false" customHeight="false" outlineLevel="0" collapsed="false">
      <c r="A63" s="108" t="s">
        <v>52</v>
      </c>
      <c r="B63" s="168" t="n">
        <v>256.416</v>
      </c>
      <c r="C63" s="169" t="n">
        <v>0.055</v>
      </c>
      <c r="D63" s="170" t="n">
        <v>0.022</v>
      </c>
      <c r="E63" s="170" t="n">
        <v>0.032</v>
      </c>
      <c r="F63" s="170" t="n">
        <v>0.805</v>
      </c>
      <c r="G63" s="170" t="n">
        <v>0.085</v>
      </c>
      <c r="K63" s="217"/>
      <c r="L63" s="217"/>
      <c r="M63" s="218"/>
      <c r="N63" s="219"/>
    </row>
    <row r="64" customFormat="false" ht="12" hidden="false" customHeight="false" outlineLevel="0" collapsed="false">
      <c r="A64" s="108" t="s">
        <v>77</v>
      </c>
      <c r="B64" s="168" t="n">
        <v>238.304</v>
      </c>
      <c r="C64" s="169" t="n">
        <v>0.046</v>
      </c>
      <c r="D64" s="170" t="n">
        <v>0.145</v>
      </c>
      <c r="E64" s="170" t="n">
        <v>0.708</v>
      </c>
      <c r="F64" s="170" t="n">
        <v>0.057</v>
      </c>
      <c r="G64" s="170" t="n">
        <v>0.045</v>
      </c>
      <c r="K64" s="217"/>
      <c r="L64" s="217"/>
      <c r="M64" s="218"/>
      <c r="N64" s="219"/>
    </row>
    <row r="65" customFormat="false" ht="12" hidden="false" customHeight="false" outlineLevel="0" collapsed="false">
      <c r="A65" s="220" t="s">
        <v>115</v>
      </c>
      <c r="B65" s="174" t="n">
        <v>13.979</v>
      </c>
      <c r="C65" s="175" t="n">
        <v>0.053</v>
      </c>
      <c r="D65" s="176" t="n">
        <v>0</v>
      </c>
      <c r="E65" s="176" t="n">
        <v>0</v>
      </c>
      <c r="F65" s="176" t="n">
        <v>0.475</v>
      </c>
      <c r="G65" s="176" t="n">
        <v>0.475</v>
      </c>
      <c r="K65" s="217"/>
      <c r="L65" s="217"/>
      <c r="M65" s="217"/>
      <c r="N65" s="219"/>
    </row>
    <row r="67" customFormat="false" ht="13.5" hidden="false" customHeight="false" outlineLevel="0" collapsed="false">
      <c r="A67" s="221" t="s">
        <v>117</v>
      </c>
    </row>
    <row r="68" customFormat="false" ht="12" hidden="false" customHeight="false" outlineLevel="0" collapsed="false">
      <c r="A68" s="222" t="s">
        <v>118</v>
      </c>
    </row>
    <row r="69" customFormat="false" ht="13.5" hidden="false" customHeight="false" outlineLevel="0" collapsed="false">
      <c r="A69" s="223" t="s">
        <v>119</v>
      </c>
    </row>
    <row r="70" customFormat="false" ht="13.5" hidden="false" customHeight="false" outlineLevel="0" collapsed="false">
      <c r="A70" s="223" t="s">
        <v>120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3:43 A1"/>
    </sheetView>
  </sheetViews>
  <sheetFormatPr defaultColWidth="9.1484375" defaultRowHeight="12" zeroHeight="false" outlineLevelRow="0" outlineLevelCol="0"/>
  <cols>
    <col collapsed="false" customWidth="true" hidden="false" outlineLevel="0" max="1" min="1" style="19" width="21.71"/>
    <col collapsed="false" customWidth="true" hidden="false" outlineLevel="0" max="2" min="2" style="15" width="10.71"/>
    <col collapsed="false" customWidth="true" hidden="false" outlineLevel="0" max="5" min="3" style="16" width="10.71"/>
    <col collapsed="false" customWidth="true" hidden="false" outlineLevel="0" max="7" min="6" style="19" width="10.71"/>
    <col collapsed="false" customWidth="true" hidden="false" outlineLevel="0" max="9" min="8" style="16" width="10.71"/>
    <col collapsed="false" customWidth="true" hidden="false" outlineLevel="0" max="10" min="10" style="15" width="10.71"/>
    <col collapsed="false" customWidth="false" hidden="false" outlineLevel="0" max="216" min="11" style="19" width="9.14"/>
    <col collapsed="false" customWidth="true" hidden="false" outlineLevel="0" max="217" min="217" style="19" width="21.71"/>
    <col collapsed="false" customWidth="true" hidden="false" outlineLevel="0" max="218" min="218" style="19" width="9.71"/>
    <col collapsed="false" customWidth="false" hidden="false" outlineLevel="0" max="221" min="219" style="19" width="9.14"/>
    <col collapsed="false" customWidth="true" hidden="false" outlineLevel="0" max="222" min="222" style="19" width="10.71"/>
    <col collapsed="false" customWidth="true" hidden="false" outlineLevel="0" max="223" min="223" style="19" width="9.57"/>
    <col collapsed="false" customWidth="false" hidden="false" outlineLevel="0" max="472" min="224" style="19" width="9.14"/>
    <col collapsed="false" customWidth="true" hidden="false" outlineLevel="0" max="473" min="473" style="19" width="21.71"/>
    <col collapsed="false" customWidth="true" hidden="false" outlineLevel="0" max="474" min="474" style="19" width="9.71"/>
    <col collapsed="false" customWidth="false" hidden="false" outlineLevel="0" max="477" min="475" style="19" width="9.14"/>
    <col collapsed="false" customWidth="true" hidden="false" outlineLevel="0" max="478" min="478" style="19" width="10.71"/>
    <col collapsed="false" customWidth="true" hidden="false" outlineLevel="0" max="479" min="479" style="19" width="9.57"/>
    <col collapsed="false" customWidth="false" hidden="false" outlineLevel="0" max="728" min="480" style="19" width="9.14"/>
    <col collapsed="false" customWidth="true" hidden="false" outlineLevel="0" max="729" min="729" style="19" width="21.71"/>
    <col collapsed="false" customWidth="true" hidden="false" outlineLevel="0" max="730" min="730" style="19" width="9.71"/>
    <col collapsed="false" customWidth="false" hidden="false" outlineLevel="0" max="733" min="731" style="19" width="9.14"/>
    <col collapsed="false" customWidth="true" hidden="false" outlineLevel="0" max="734" min="734" style="19" width="10.71"/>
    <col collapsed="false" customWidth="true" hidden="false" outlineLevel="0" max="735" min="735" style="19" width="9.57"/>
    <col collapsed="false" customWidth="false" hidden="false" outlineLevel="0" max="984" min="736" style="19" width="9.14"/>
    <col collapsed="false" customWidth="true" hidden="false" outlineLevel="0" max="985" min="985" style="19" width="21.71"/>
    <col collapsed="false" customWidth="true" hidden="false" outlineLevel="0" max="986" min="986" style="19" width="9.71"/>
    <col collapsed="false" customWidth="false" hidden="false" outlineLevel="0" max="989" min="987" style="19" width="9.14"/>
    <col collapsed="false" customWidth="true" hidden="false" outlineLevel="0" max="990" min="990" style="19" width="10.71"/>
    <col collapsed="false" customWidth="true" hidden="false" outlineLevel="0" max="991" min="991" style="19" width="9.57"/>
    <col collapsed="false" customWidth="false" hidden="false" outlineLevel="0" max="1240" min="992" style="19" width="9.14"/>
    <col collapsed="false" customWidth="true" hidden="false" outlineLevel="0" max="1241" min="1241" style="19" width="21.71"/>
    <col collapsed="false" customWidth="true" hidden="false" outlineLevel="0" max="1242" min="1242" style="19" width="9.71"/>
    <col collapsed="false" customWidth="false" hidden="false" outlineLevel="0" max="1245" min="1243" style="19" width="9.14"/>
    <col collapsed="false" customWidth="true" hidden="false" outlineLevel="0" max="1246" min="1246" style="19" width="10.71"/>
    <col collapsed="false" customWidth="true" hidden="false" outlineLevel="0" max="1247" min="1247" style="19" width="9.57"/>
    <col collapsed="false" customWidth="false" hidden="false" outlineLevel="0" max="1496" min="1248" style="19" width="9.14"/>
    <col collapsed="false" customWidth="true" hidden="false" outlineLevel="0" max="1497" min="1497" style="19" width="21.71"/>
    <col collapsed="false" customWidth="true" hidden="false" outlineLevel="0" max="1498" min="1498" style="19" width="9.71"/>
    <col collapsed="false" customWidth="false" hidden="false" outlineLevel="0" max="1501" min="1499" style="19" width="9.14"/>
    <col collapsed="false" customWidth="true" hidden="false" outlineLevel="0" max="1502" min="1502" style="19" width="10.71"/>
    <col collapsed="false" customWidth="true" hidden="false" outlineLevel="0" max="1503" min="1503" style="19" width="9.57"/>
    <col collapsed="false" customWidth="false" hidden="false" outlineLevel="0" max="1752" min="1504" style="19" width="9.14"/>
    <col collapsed="false" customWidth="true" hidden="false" outlineLevel="0" max="1753" min="1753" style="19" width="21.71"/>
    <col collapsed="false" customWidth="true" hidden="false" outlineLevel="0" max="1754" min="1754" style="19" width="9.71"/>
    <col collapsed="false" customWidth="false" hidden="false" outlineLevel="0" max="1757" min="1755" style="19" width="9.14"/>
    <col collapsed="false" customWidth="true" hidden="false" outlineLevel="0" max="1758" min="1758" style="19" width="10.71"/>
    <col collapsed="false" customWidth="true" hidden="false" outlineLevel="0" max="1759" min="1759" style="19" width="9.57"/>
    <col collapsed="false" customWidth="false" hidden="false" outlineLevel="0" max="2008" min="1760" style="19" width="9.14"/>
    <col collapsed="false" customWidth="true" hidden="false" outlineLevel="0" max="2009" min="2009" style="19" width="21.71"/>
    <col collapsed="false" customWidth="true" hidden="false" outlineLevel="0" max="2010" min="2010" style="19" width="9.71"/>
    <col collapsed="false" customWidth="false" hidden="false" outlineLevel="0" max="2013" min="2011" style="19" width="9.14"/>
    <col collapsed="false" customWidth="true" hidden="false" outlineLevel="0" max="2014" min="2014" style="19" width="10.71"/>
    <col collapsed="false" customWidth="true" hidden="false" outlineLevel="0" max="2015" min="2015" style="19" width="9.57"/>
    <col collapsed="false" customWidth="false" hidden="false" outlineLevel="0" max="2264" min="2016" style="19" width="9.14"/>
    <col collapsed="false" customWidth="true" hidden="false" outlineLevel="0" max="2265" min="2265" style="19" width="21.71"/>
    <col collapsed="false" customWidth="true" hidden="false" outlineLevel="0" max="2266" min="2266" style="19" width="9.71"/>
    <col collapsed="false" customWidth="false" hidden="false" outlineLevel="0" max="2269" min="2267" style="19" width="9.14"/>
    <col collapsed="false" customWidth="true" hidden="false" outlineLevel="0" max="2270" min="2270" style="19" width="10.71"/>
    <col collapsed="false" customWidth="true" hidden="false" outlineLevel="0" max="2271" min="2271" style="19" width="9.57"/>
    <col collapsed="false" customWidth="false" hidden="false" outlineLevel="0" max="2520" min="2272" style="19" width="9.14"/>
    <col collapsed="false" customWidth="true" hidden="false" outlineLevel="0" max="2521" min="2521" style="19" width="21.71"/>
    <col collapsed="false" customWidth="true" hidden="false" outlineLevel="0" max="2522" min="2522" style="19" width="9.71"/>
    <col collapsed="false" customWidth="false" hidden="false" outlineLevel="0" max="2525" min="2523" style="19" width="9.14"/>
    <col collapsed="false" customWidth="true" hidden="false" outlineLevel="0" max="2526" min="2526" style="19" width="10.71"/>
    <col collapsed="false" customWidth="true" hidden="false" outlineLevel="0" max="2527" min="2527" style="19" width="9.57"/>
    <col collapsed="false" customWidth="false" hidden="false" outlineLevel="0" max="2776" min="2528" style="19" width="9.14"/>
    <col collapsed="false" customWidth="true" hidden="false" outlineLevel="0" max="2777" min="2777" style="19" width="21.71"/>
    <col collapsed="false" customWidth="true" hidden="false" outlineLevel="0" max="2778" min="2778" style="19" width="9.71"/>
    <col collapsed="false" customWidth="false" hidden="false" outlineLevel="0" max="2781" min="2779" style="19" width="9.14"/>
    <col collapsed="false" customWidth="true" hidden="false" outlineLevel="0" max="2782" min="2782" style="19" width="10.71"/>
    <col collapsed="false" customWidth="true" hidden="false" outlineLevel="0" max="2783" min="2783" style="19" width="9.57"/>
    <col collapsed="false" customWidth="false" hidden="false" outlineLevel="0" max="3032" min="2784" style="19" width="9.14"/>
    <col collapsed="false" customWidth="true" hidden="false" outlineLevel="0" max="3033" min="3033" style="19" width="21.71"/>
    <col collapsed="false" customWidth="true" hidden="false" outlineLevel="0" max="3034" min="3034" style="19" width="9.71"/>
    <col collapsed="false" customWidth="false" hidden="false" outlineLevel="0" max="3037" min="3035" style="19" width="9.14"/>
    <col collapsed="false" customWidth="true" hidden="false" outlineLevel="0" max="3038" min="3038" style="19" width="10.71"/>
    <col collapsed="false" customWidth="true" hidden="false" outlineLevel="0" max="3039" min="3039" style="19" width="9.57"/>
    <col collapsed="false" customWidth="false" hidden="false" outlineLevel="0" max="3288" min="3040" style="19" width="9.14"/>
    <col collapsed="false" customWidth="true" hidden="false" outlineLevel="0" max="3289" min="3289" style="19" width="21.71"/>
    <col collapsed="false" customWidth="true" hidden="false" outlineLevel="0" max="3290" min="3290" style="19" width="9.71"/>
    <col collapsed="false" customWidth="false" hidden="false" outlineLevel="0" max="3293" min="3291" style="19" width="9.14"/>
    <col collapsed="false" customWidth="true" hidden="false" outlineLevel="0" max="3294" min="3294" style="19" width="10.71"/>
    <col collapsed="false" customWidth="true" hidden="false" outlineLevel="0" max="3295" min="3295" style="19" width="9.57"/>
    <col collapsed="false" customWidth="false" hidden="false" outlineLevel="0" max="3544" min="3296" style="19" width="9.14"/>
    <col collapsed="false" customWidth="true" hidden="false" outlineLevel="0" max="3545" min="3545" style="19" width="21.71"/>
    <col collapsed="false" customWidth="true" hidden="false" outlineLevel="0" max="3546" min="3546" style="19" width="9.71"/>
    <col collapsed="false" customWidth="false" hidden="false" outlineLevel="0" max="3549" min="3547" style="19" width="9.14"/>
    <col collapsed="false" customWidth="true" hidden="false" outlineLevel="0" max="3550" min="3550" style="19" width="10.71"/>
    <col collapsed="false" customWidth="true" hidden="false" outlineLevel="0" max="3551" min="3551" style="19" width="9.57"/>
    <col collapsed="false" customWidth="false" hidden="false" outlineLevel="0" max="3800" min="3552" style="19" width="9.14"/>
    <col collapsed="false" customWidth="true" hidden="false" outlineLevel="0" max="3801" min="3801" style="19" width="21.71"/>
    <col collapsed="false" customWidth="true" hidden="false" outlineLevel="0" max="3802" min="3802" style="19" width="9.71"/>
    <col collapsed="false" customWidth="false" hidden="false" outlineLevel="0" max="3805" min="3803" style="19" width="9.14"/>
    <col collapsed="false" customWidth="true" hidden="false" outlineLevel="0" max="3806" min="3806" style="19" width="10.71"/>
    <col collapsed="false" customWidth="true" hidden="false" outlineLevel="0" max="3807" min="3807" style="19" width="9.57"/>
    <col collapsed="false" customWidth="false" hidden="false" outlineLevel="0" max="4056" min="3808" style="19" width="9.14"/>
    <col collapsed="false" customWidth="true" hidden="false" outlineLevel="0" max="4057" min="4057" style="19" width="21.71"/>
    <col collapsed="false" customWidth="true" hidden="false" outlineLevel="0" max="4058" min="4058" style="19" width="9.71"/>
    <col collapsed="false" customWidth="false" hidden="false" outlineLevel="0" max="4061" min="4059" style="19" width="9.14"/>
    <col collapsed="false" customWidth="true" hidden="false" outlineLevel="0" max="4062" min="4062" style="19" width="10.71"/>
    <col collapsed="false" customWidth="true" hidden="false" outlineLevel="0" max="4063" min="4063" style="19" width="9.57"/>
    <col collapsed="false" customWidth="false" hidden="false" outlineLevel="0" max="4312" min="4064" style="19" width="9.14"/>
    <col collapsed="false" customWidth="true" hidden="false" outlineLevel="0" max="4313" min="4313" style="19" width="21.71"/>
    <col collapsed="false" customWidth="true" hidden="false" outlineLevel="0" max="4314" min="4314" style="19" width="9.71"/>
    <col collapsed="false" customWidth="false" hidden="false" outlineLevel="0" max="4317" min="4315" style="19" width="9.14"/>
    <col collapsed="false" customWidth="true" hidden="false" outlineLevel="0" max="4318" min="4318" style="19" width="10.71"/>
    <col collapsed="false" customWidth="true" hidden="false" outlineLevel="0" max="4319" min="4319" style="19" width="9.57"/>
    <col collapsed="false" customWidth="false" hidden="false" outlineLevel="0" max="4568" min="4320" style="19" width="9.14"/>
    <col collapsed="false" customWidth="true" hidden="false" outlineLevel="0" max="4569" min="4569" style="19" width="21.71"/>
    <col collapsed="false" customWidth="true" hidden="false" outlineLevel="0" max="4570" min="4570" style="19" width="9.71"/>
    <col collapsed="false" customWidth="false" hidden="false" outlineLevel="0" max="4573" min="4571" style="19" width="9.14"/>
    <col collapsed="false" customWidth="true" hidden="false" outlineLevel="0" max="4574" min="4574" style="19" width="10.71"/>
    <col collapsed="false" customWidth="true" hidden="false" outlineLevel="0" max="4575" min="4575" style="19" width="9.57"/>
    <col collapsed="false" customWidth="false" hidden="false" outlineLevel="0" max="4824" min="4576" style="19" width="9.14"/>
    <col collapsed="false" customWidth="true" hidden="false" outlineLevel="0" max="4825" min="4825" style="19" width="21.71"/>
    <col collapsed="false" customWidth="true" hidden="false" outlineLevel="0" max="4826" min="4826" style="19" width="9.71"/>
    <col collapsed="false" customWidth="false" hidden="false" outlineLevel="0" max="4829" min="4827" style="19" width="9.14"/>
    <col collapsed="false" customWidth="true" hidden="false" outlineLevel="0" max="4830" min="4830" style="19" width="10.71"/>
    <col collapsed="false" customWidth="true" hidden="false" outlineLevel="0" max="4831" min="4831" style="19" width="9.57"/>
    <col collapsed="false" customWidth="false" hidden="false" outlineLevel="0" max="5080" min="4832" style="19" width="9.14"/>
    <col collapsed="false" customWidth="true" hidden="false" outlineLevel="0" max="5081" min="5081" style="19" width="21.71"/>
    <col collapsed="false" customWidth="true" hidden="false" outlineLevel="0" max="5082" min="5082" style="19" width="9.71"/>
    <col collapsed="false" customWidth="false" hidden="false" outlineLevel="0" max="5085" min="5083" style="19" width="9.14"/>
    <col collapsed="false" customWidth="true" hidden="false" outlineLevel="0" max="5086" min="5086" style="19" width="10.71"/>
    <col collapsed="false" customWidth="true" hidden="false" outlineLevel="0" max="5087" min="5087" style="19" width="9.57"/>
    <col collapsed="false" customWidth="false" hidden="false" outlineLevel="0" max="5336" min="5088" style="19" width="9.14"/>
    <col collapsed="false" customWidth="true" hidden="false" outlineLevel="0" max="5337" min="5337" style="19" width="21.71"/>
    <col collapsed="false" customWidth="true" hidden="false" outlineLevel="0" max="5338" min="5338" style="19" width="9.71"/>
    <col collapsed="false" customWidth="false" hidden="false" outlineLevel="0" max="5341" min="5339" style="19" width="9.14"/>
    <col collapsed="false" customWidth="true" hidden="false" outlineLevel="0" max="5342" min="5342" style="19" width="10.71"/>
    <col collapsed="false" customWidth="true" hidden="false" outlineLevel="0" max="5343" min="5343" style="19" width="9.57"/>
    <col collapsed="false" customWidth="false" hidden="false" outlineLevel="0" max="5592" min="5344" style="19" width="9.14"/>
    <col collapsed="false" customWidth="true" hidden="false" outlineLevel="0" max="5593" min="5593" style="19" width="21.71"/>
    <col collapsed="false" customWidth="true" hidden="false" outlineLevel="0" max="5594" min="5594" style="19" width="9.71"/>
    <col collapsed="false" customWidth="false" hidden="false" outlineLevel="0" max="5597" min="5595" style="19" width="9.14"/>
    <col collapsed="false" customWidth="true" hidden="false" outlineLevel="0" max="5598" min="5598" style="19" width="10.71"/>
    <col collapsed="false" customWidth="true" hidden="false" outlineLevel="0" max="5599" min="5599" style="19" width="9.57"/>
    <col collapsed="false" customWidth="false" hidden="false" outlineLevel="0" max="5848" min="5600" style="19" width="9.14"/>
    <col collapsed="false" customWidth="true" hidden="false" outlineLevel="0" max="5849" min="5849" style="19" width="21.71"/>
    <col collapsed="false" customWidth="true" hidden="false" outlineLevel="0" max="5850" min="5850" style="19" width="9.71"/>
    <col collapsed="false" customWidth="false" hidden="false" outlineLevel="0" max="5853" min="5851" style="19" width="9.14"/>
    <col collapsed="false" customWidth="true" hidden="false" outlineLevel="0" max="5854" min="5854" style="19" width="10.71"/>
    <col collapsed="false" customWidth="true" hidden="false" outlineLevel="0" max="5855" min="5855" style="19" width="9.57"/>
    <col collapsed="false" customWidth="false" hidden="false" outlineLevel="0" max="6104" min="5856" style="19" width="9.14"/>
    <col collapsed="false" customWidth="true" hidden="false" outlineLevel="0" max="6105" min="6105" style="19" width="21.71"/>
    <col collapsed="false" customWidth="true" hidden="false" outlineLevel="0" max="6106" min="6106" style="19" width="9.71"/>
    <col collapsed="false" customWidth="false" hidden="false" outlineLevel="0" max="6109" min="6107" style="19" width="9.14"/>
    <col collapsed="false" customWidth="true" hidden="false" outlineLevel="0" max="6110" min="6110" style="19" width="10.71"/>
    <col collapsed="false" customWidth="true" hidden="false" outlineLevel="0" max="6111" min="6111" style="19" width="9.57"/>
    <col collapsed="false" customWidth="false" hidden="false" outlineLevel="0" max="6360" min="6112" style="19" width="9.14"/>
    <col collapsed="false" customWidth="true" hidden="false" outlineLevel="0" max="6361" min="6361" style="19" width="21.71"/>
    <col collapsed="false" customWidth="true" hidden="false" outlineLevel="0" max="6362" min="6362" style="19" width="9.71"/>
    <col collapsed="false" customWidth="false" hidden="false" outlineLevel="0" max="6365" min="6363" style="19" width="9.14"/>
    <col collapsed="false" customWidth="true" hidden="false" outlineLevel="0" max="6366" min="6366" style="19" width="10.71"/>
    <col collapsed="false" customWidth="true" hidden="false" outlineLevel="0" max="6367" min="6367" style="19" width="9.57"/>
    <col collapsed="false" customWidth="false" hidden="false" outlineLevel="0" max="6616" min="6368" style="19" width="9.14"/>
    <col collapsed="false" customWidth="true" hidden="false" outlineLevel="0" max="6617" min="6617" style="19" width="21.71"/>
    <col collapsed="false" customWidth="true" hidden="false" outlineLevel="0" max="6618" min="6618" style="19" width="9.71"/>
    <col collapsed="false" customWidth="false" hidden="false" outlineLevel="0" max="6621" min="6619" style="19" width="9.14"/>
    <col collapsed="false" customWidth="true" hidden="false" outlineLevel="0" max="6622" min="6622" style="19" width="10.71"/>
    <col collapsed="false" customWidth="true" hidden="false" outlineLevel="0" max="6623" min="6623" style="19" width="9.57"/>
    <col collapsed="false" customWidth="false" hidden="false" outlineLevel="0" max="6872" min="6624" style="19" width="9.14"/>
    <col collapsed="false" customWidth="true" hidden="false" outlineLevel="0" max="6873" min="6873" style="19" width="21.71"/>
    <col collapsed="false" customWidth="true" hidden="false" outlineLevel="0" max="6874" min="6874" style="19" width="9.71"/>
    <col collapsed="false" customWidth="false" hidden="false" outlineLevel="0" max="6877" min="6875" style="19" width="9.14"/>
    <col collapsed="false" customWidth="true" hidden="false" outlineLevel="0" max="6878" min="6878" style="19" width="10.71"/>
    <col collapsed="false" customWidth="true" hidden="false" outlineLevel="0" max="6879" min="6879" style="19" width="9.57"/>
    <col collapsed="false" customWidth="false" hidden="false" outlineLevel="0" max="7128" min="6880" style="19" width="9.14"/>
    <col collapsed="false" customWidth="true" hidden="false" outlineLevel="0" max="7129" min="7129" style="19" width="21.71"/>
    <col collapsed="false" customWidth="true" hidden="false" outlineLevel="0" max="7130" min="7130" style="19" width="9.71"/>
    <col collapsed="false" customWidth="false" hidden="false" outlineLevel="0" max="7133" min="7131" style="19" width="9.14"/>
    <col collapsed="false" customWidth="true" hidden="false" outlineLevel="0" max="7134" min="7134" style="19" width="10.71"/>
    <col collapsed="false" customWidth="true" hidden="false" outlineLevel="0" max="7135" min="7135" style="19" width="9.57"/>
    <col collapsed="false" customWidth="false" hidden="false" outlineLevel="0" max="7384" min="7136" style="19" width="9.14"/>
    <col collapsed="false" customWidth="true" hidden="false" outlineLevel="0" max="7385" min="7385" style="19" width="21.71"/>
    <col collapsed="false" customWidth="true" hidden="false" outlineLevel="0" max="7386" min="7386" style="19" width="9.71"/>
    <col collapsed="false" customWidth="false" hidden="false" outlineLevel="0" max="7389" min="7387" style="19" width="9.14"/>
    <col collapsed="false" customWidth="true" hidden="false" outlineLevel="0" max="7390" min="7390" style="19" width="10.71"/>
    <col collapsed="false" customWidth="true" hidden="false" outlineLevel="0" max="7391" min="7391" style="19" width="9.57"/>
    <col collapsed="false" customWidth="false" hidden="false" outlineLevel="0" max="7640" min="7392" style="19" width="9.14"/>
    <col collapsed="false" customWidth="true" hidden="false" outlineLevel="0" max="7641" min="7641" style="19" width="21.71"/>
    <col collapsed="false" customWidth="true" hidden="false" outlineLevel="0" max="7642" min="7642" style="19" width="9.71"/>
    <col collapsed="false" customWidth="false" hidden="false" outlineLevel="0" max="7645" min="7643" style="19" width="9.14"/>
    <col collapsed="false" customWidth="true" hidden="false" outlineLevel="0" max="7646" min="7646" style="19" width="10.71"/>
    <col collapsed="false" customWidth="true" hidden="false" outlineLevel="0" max="7647" min="7647" style="19" width="9.57"/>
    <col collapsed="false" customWidth="false" hidden="false" outlineLevel="0" max="7896" min="7648" style="19" width="9.14"/>
    <col collapsed="false" customWidth="true" hidden="false" outlineLevel="0" max="7897" min="7897" style="19" width="21.71"/>
    <col collapsed="false" customWidth="true" hidden="false" outlineLevel="0" max="7898" min="7898" style="19" width="9.71"/>
    <col collapsed="false" customWidth="false" hidden="false" outlineLevel="0" max="7901" min="7899" style="19" width="9.14"/>
    <col collapsed="false" customWidth="true" hidden="false" outlineLevel="0" max="7902" min="7902" style="19" width="10.71"/>
    <col collapsed="false" customWidth="true" hidden="false" outlineLevel="0" max="7903" min="7903" style="19" width="9.57"/>
    <col collapsed="false" customWidth="false" hidden="false" outlineLevel="0" max="8152" min="7904" style="19" width="9.14"/>
    <col collapsed="false" customWidth="true" hidden="false" outlineLevel="0" max="8153" min="8153" style="19" width="21.71"/>
    <col collapsed="false" customWidth="true" hidden="false" outlineLevel="0" max="8154" min="8154" style="19" width="9.71"/>
    <col collapsed="false" customWidth="false" hidden="false" outlineLevel="0" max="8157" min="8155" style="19" width="9.14"/>
    <col collapsed="false" customWidth="true" hidden="false" outlineLevel="0" max="8158" min="8158" style="19" width="10.71"/>
    <col collapsed="false" customWidth="true" hidden="false" outlineLevel="0" max="8159" min="8159" style="19" width="9.57"/>
    <col collapsed="false" customWidth="false" hidden="false" outlineLevel="0" max="8408" min="8160" style="19" width="9.14"/>
    <col collapsed="false" customWidth="true" hidden="false" outlineLevel="0" max="8409" min="8409" style="19" width="21.71"/>
    <col collapsed="false" customWidth="true" hidden="false" outlineLevel="0" max="8410" min="8410" style="19" width="9.71"/>
    <col collapsed="false" customWidth="false" hidden="false" outlineLevel="0" max="8413" min="8411" style="19" width="9.14"/>
    <col collapsed="false" customWidth="true" hidden="false" outlineLevel="0" max="8414" min="8414" style="19" width="10.71"/>
    <col collapsed="false" customWidth="true" hidden="false" outlineLevel="0" max="8415" min="8415" style="19" width="9.57"/>
    <col collapsed="false" customWidth="false" hidden="false" outlineLevel="0" max="8664" min="8416" style="19" width="9.14"/>
    <col collapsed="false" customWidth="true" hidden="false" outlineLevel="0" max="8665" min="8665" style="19" width="21.71"/>
    <col collapsed="false" customWidth="true" hidden="false" outlineLevel="0" max="8666" min="8666" style="19" width="9.71"/>
    <col collapsed="false" customWidth="false" hidden="false" outlineLevel="0" max="8669" min="8667" style="19" width="9.14"/>
    <col collapsed="false" customWidth="true" hidden="false" outlineLevel="0" max="8670" min="8670" style="19" width="10.71"/>
    <col collapsed="false" customWidth="true" hidden="false" outlineLevel="0" max="8671" min="8671" style="19" width="9.57"/>
    <col collapsed="false" customWidth="false" hidden="false" outlineLevel="0" max="8920" min="8672" style="19" width="9.14"/>
    <col collapsed="false" customWidth="true" hidden="false" outlineLevel="0" max="8921" min="8921" style="19" width="21.71"/>
    <col collapsed="false" customWidth="true" hidden="false" outlineLevel="0" max="8922" min="8922" style="19" width="9.71"/>
    <col collapsed="false" customWidth="false" hidden="false" outlineLevel="0" max="8925" min="8923" style="19" width="9.14"/>
    <col collapsed="false" customWidth="true" hidden="false" outlineLevel="0" max="8926" min="8926" style="19" width="10.71"/>
    <col collapsed="false" customWidth="true" hidden="false" outlineLevel="0" max="8927" min="8927" style="19" width="9.57"/>
    <col collapsed="false" customWidth="false" hidden="false" outlineLevel="0" max="9176" min="8928" style="19" width="9.14"/>
    <col collapsed="false" customWidth="true" hidden="false" outlineLevel="0" max="9177" min="9177" style="19" width="21.71"/>
    <col collapsed="false" customWidth="true" hidden="false" outlineLevel="0" max="9178" min="9178" style="19" width="9.71"/>
    <col collapsed="false" customWidth="false" hidden="false" outlineLevel="0" max="9181" min="9179" style="19" width="9.14"/>
    <col collapsed="false" customWidth="true" hidden="false" outlineLevel="0" max="9182" min="9182" style="19" width="10.71"/>
    <col collapsed="false" customWidth="true" hidden="false" outlineLevel="0" max="9183" min="9183" style="19" width="9.57"/>
    <col collapsed="false" customWidth="false" hidden="false" outlineLevel="0" max="9432" min="9184" style="19" width="9.14"/>
    <col collapsed="false" customWidth="true" hidden="false" outlineLevel="0" max="9433" min="9433" style="19" width="21.71"/>
    <col collapsed="false" customWidth="true" hidden="false" outlineLevel="0" max="9434" min="9434" style="19" width="9.71"/>
    <col collapsed="false" customWidth="false" hidden="false" outlineLevel="0" max="9437" min="9435" style="19" width="9.14"/>
    <col collapsed="false" customWidth="true" hidden="false" outlineLevel="0" max="9438" min="9438" style="19" width="10.71"/>
    <col collapsed="false" customWidth="true" hidden="false" outlineLevel="0" max="9439" min="9439" style="19" width="9.57"/>
    <col collapsed="false" customWidth="false" hidden="false" outlineLevel="0" max="9688" min="9440" style="19" width="9.14"/>
    <col collapsed="false" customWidth="true" hidden="false" outlineLevel="0" max="9689" min="9689" style="19" width="21.71"/>
    <col collapsed="false" customWidth="true" hidden="false" outlineLevel="0" max="9690" min="9690" style="19" width="9.71"/>
    <col collapsed="false" customWidth="false" hidden="false" outlineLevel="0" max="9693" min="9691" style="19" width="9.14"/>
    <col collapsed="false" customWidth="true" hidden="false" outlineLevel="0" max="9694" min="9694" style="19" width="10.71"/>
    <col collapsed="false" customWidth="true" hidden="false" outlineLevel="0" max="9695" min="9695" style="19" width="9.57"/>
    <col collapsed="false" customWidth="false" hidden="false" outlineLevel="0" max="9944" min="9696" style="19" width="9.14"/>
    <col collapsed="false" customWidth="true" hidden="false" outlineLevel="0" max="9945" min="9945" style="19" width="21.71"/>
    <col collapsed="false" customWidth="true" hidden="false" outlineLevel="0" max="9946" min="9946" style="19" width="9.71"/>
    <col collapsed="false" customWidth="false" hidden="false" outlineLevel="0" max="9949" min="9947" style="19" width="9.14"/>
    <col collapsed="false" customWidth="true" hidden="false" outlineLevel="0" max="9950" min="9950" style="19" width="10.71"/>
    <col collapsed="false" customWidth="true" hidden="false" outlineLevel="0" max="9951" min="9951" style="19" width="9.57"/>
    <col collapsed="false" customWidth="false" hidden="false" outlineLevel="0" max="10200" min="9952" style="19" width="9.14"/>
    <col collapsed="false" customWidth="true" hidden="false" outlineLevel="0" max="10201" min="10201" style="19" width="21.71"/>
    <col collapsed="false" customWidth="true" hidden="false" outlineLevel="0" max="10202" min="10202" style="19" width="9.71"/>
    <col collapsed="false" customWidth="false" hidden="false" outlineLevel="0" max="10205" min="10203" style="19" width="9.14"/>
    <col collapsed="false" customWidth="true" hidden="false" outlineLevel="0" max="10206" min="10206" style="19" width="10.71"/>
    <col collapsed="false" customWidth="true" hidden="false" outlineLevel="0" max="10207" min="10207" style="19" width="9.57"/>
    <col collapsed="false" customWidth="false" hidden="false" outlineLevel="0" max="10456" min="10208" style="19" width="9.14"/>
    <col collapsed="false" customWidth="true" hidden="false" outlineLevel="0" max="10457" min="10457" style="19" width="21.71"/>
    <col collapsed="false" customWidth="true" hidden="false" outlineLevel="0" max="10458" min="10458" style="19" width="9.71"/>
    <col collapsed="false" customWidth="false" hidden="false" outlineLevel="0" max="10461" min="10459" style="19" width="9.14"/>
    <col collapsed="false" customWidth="true" hidden="false" outlineLevel="0" max="10462" min="10462" style="19" width="10.71"/>
    <col collapsed="false" customWidth="true" hidden="false" outlineLevel="0" max="10463" min="10463" style="19" width="9.57"/>
    <col collapsed="false" customWidth="false" hidden="false" outlineLevel="0" max="10712" min="10464" style="19" width="9.14"/>
    <col collapsed="false" customWidth="true" hidden="false" outlineLevel="0" max="10713" min="10713" style="19" width="21.71"/>
    <col collapsed="false" customWidth="true" hidden="false" outlineLevel="0" max="10714" min="10714" style="19" width="9.71"/>
    <col collapsed="false" customWidth="false" hidden="false" outlineLevel="0" max="10717" min="10715" style="19" width="9.14"/>
    <col collapsed="false" customWidth="true" hidden="false" outlineLevel="0" max="10718" min="10718" style="19" width="10.71"/>
    <col collapsed="false" customWidth="true" hidden="false" outlineLevel="0" max="10719" min="10719" style="19" width="9.57"/>
    <col collapsed="false" customWidth="false" hidden="false" outlineLevel="0" max="10968" min="10720" style="19" width="9.14"/>
    <col collapsed="false" customWidth="true" hidden="false" outlineLevel="0" max="10969" min="10969" style="19" width="21.71"/>
    <col collapsed="false" customWidth="true" hidden="false" outlineLevel="0" max="10970" min="10970" style="19" width="9.71"/>
    <col collapsed="false" customWidth="false" hidden="false" outlineLevel="0" max="10973" min="10971" style="19" width="9.14"/>
    <col collapsed="false" customWidth="true" hidden="false" outlineLevel="0" max="10974" min="10974" style="19" width="10.71"/>
    <col collapsed="false" customWidth="true" hidden="false" outlineLevel="0" max="10975" min="10975" style="19" width="9.57"/>
    <col collapsed="false" customWidth="false" hidden="false" outlineLevel="0" max="11224" min="10976" style="19" width="9.14"/>
    <col collapsed="false" customWidth="true" hidden="false" outlineLevel="0" max="11225" min="11225" style="19" width="21.71"/>
    <col collapsed="false" customWidth="true" hidden="false" outlineLevel="0" max="11226" min="11226" style="19" width="9.71"/>
    <col collapsed="false" customWidth="false" hidden="false" outlineLevel="0" max="11229" min="11227" style="19" width="9.14"/>
    <col collapsed="false" customWidth="true" hidden="false" outlineLevel="0" max="11230" min="11230" style="19" width="10.71"/>
    <col collapsed="false" customWidth="true" hidden="false" outlineLevel="0" max="11231" min="11231" style="19" width="9.57"/>
    <col collapsed="false" customWidth="false" hidden="false" outlineLevel="0" max="11480" min="11232" style="19" width="9.14"/>
    <col collapsed="false" customWidth="true" hidden="false" outlineLevel="0" max="11481" min="11481" style="19" width="21.71"/>
    <col collapsed="false" customWidth="true" hidden="false" outlineLevel="0" max="11482" min="11482" style="19" width="9.71"/>
    <col collapsed="false" customWidth="false" hidden="false" outlineLevel="0" max="11485" min="11483" style="19" width="9.14"/>
    <col collapsed="false" customWidth="true" hidden="false" outlineLevel="0" max="11486" min="11486" style="19" width="10.71"/>
    <col collapsed="false" customWidth="true" hidden="false" outlineLevel="0" max="11487" min="11487" style="19" width="9.57"/>
    <col collapsed="false" customWidth="false" hidden="false" outlineLevel="0" max="11736" min="11488" style="19" width="9.14"/>
    <col collapsed="false" customWidth="true" hidden="false" outlineLevel="0" max="11737" min="11737" style="19" width="21.71"/>
    <col collapsed="false" customWidth="true" hidden="false" outlineLevel="0" max="11738" min="11738" style="19" width="9.71"/>
    <col collapsed="false" customWidth="false" hidden="false" outlineLevel="0" max="11741" min="11739" style="19" width="9.14"/>
    <col collapsed="false" customWidth="true" hidden="false" outlineLevel="0" max="11742" min="11742" style="19" width="10.71"/>
    <col collapsed="false" customWidth="true" hidden="false" outlineLevel="0" max="11743" min="11743" style="19" width="9.57"/>
    <col collapsed="false" customWidth="false" hidden="false" outlineLevel="0" max="11992" min="11744" style="19" width="9.14"/>
    <col collapsed="false" customWidth="true" hidden="false" outlineLevel="0" max="11993" min="11993" style="19" width="21.71"/>
    <col collapsed="false" customWidth="true" hidden="false" outlineLevel="0" max="11994" min="11994" style="19" width="9.71"/>
    <col collapsed="false" customWidth="false" hidden="false" outlineLevel="0" max="11997" min="11995" style="19" width="9.14"/>
    <col collapsed="false" customWidth="true" hidden="false" outlineLevel="0" max="11998" min="11998" style="19" width="10.71"/>
    <col collapsed="false" customWidth="true" hidden="false" outlineLevel="0" max="11999" min="11999" style="19" width="9.57"/>
    <col collapsed="false" customWidth="false" hidden="false" outlineLevel="0" max="12248" min="12000" style="19" width="9.14"/>
    <col collapsed="false" customWidth="true" hidden="false" outlineLevel="0" max="12249" min="12249" style="19" width="21.71"/>
    <col collapsed="false" customWidth="true" hidden="false" outlineLevel="0" max="12250" min="12250" style="19" width="9.71"/>
    <col collapsed="false" customWidth="false" hidden="false" outlineLevel="0" max="12253" min="12251" style="19" width="9.14"/>
    <col collapsed="false" customWidth="true" hidden="false" outlineLevel="0" max="12254" min="12254" style="19" width="10.71"/>
    <col collapsed="false" customWidth="true" hidden="false" outlineLevel="0" max="12255" min="12255" style="19" width="9.57"/>
    <col collapsed="false" customWidth="false" hidden="false" outlineLevel="0" max="12504" min="12256" style="19" width="9.14"/>
    <col collapsed="false" customWidth="true" hidden="false" outlineLevel="0" max="12505" min="12505" style="19" width="21.71"/>
    <col collapsed="false" customWidth="true" hidden="false" outlineLevel="0" max="12506" min="12506" style="19" width="9.71"/>
    <col collapsed="false" customWidth="false" hidden="false" outlineLevel="0" max="12509" min="12507" style="19" width="9.14"/>
    <col collapsed="false" customWidth="true" hidden="false" outlineLevel="0" max="12510" min="12510" style="19" width="10.71"/>
    <col collapsed="false" customWidth="true" hidden="false" outlineLevel="0" max="12511" min="12511" style="19" width="9.57"/>
    <col collapsed="false" customWidth="false" hidden="false" outlineLevel="0" max="12760" min="12512" style="19" width="9.14"/>
    <col collapsed="false" customWidth="true" hidden="false" outlineLevel="0" max="12761" min="12761" style="19" width="21.71"/>
    <col collapsed="false" customWidth="true" hidden="false" outlineLevel="0" max="12762" min="12762" style="19" width="9.71"/>
    <col collapsed="false" customWidth="false" hidden="false" outlineLevel="0" max="12765" min="12763" style="19" width="9.14"/>
    <col collapsed="false" customWidth="true" hidden="false" outlineLevel="0" max="12766" min="12766" style="19" width="10.71"/>
    <col collapsed="false" customWidth="true" hidden="false" outlineLevel="0" max="12767" min="12767" style="19" width="9.57"/>
    <col collapsed="false" customWidth="false" hidden="false" outlineLevel="0" max="13016" min="12768" style="19" width="9.14"/>
    <col collapsed="false" customWidth="true" hidden="false" outlineLevel="0" max="13017" min="13017" style="19" width="21.71"/>
    <col collapsed="false" customWidth="true" hidden="false" outlineLevel="0" max="13018" min="13018" style="19" width="9.71"/>
    <col collapsed="false" customWidth="false" hidden="false" outlineLevel="0" max="13021" min="13019" style="19" width="9.14"/>
    <col collapsed="false" customWidth="true" hidden="false" outlineLevel="0" max="13022" min="13022" style="19" width="10.71"/>
    <col collapsed="false" customWidth="true" hidden="false" outlineLevel="0" max="13023" min="13023" style="19" width="9.57"/>
    <col collapsed="false" customWidth="false" hidden="false" outlineLevel="0" max="13272" min="13024" style="19" width="9.14"/>
    <col collapsed="false" customWidth="true" hidden="false" outlineLevel="0" max="13273" min="13273" style="19" width="21.71"/>
    <col collapsed="false" customWidth="true" hidden="false" outlineLevel="0" max="13274" min="13274" style="19" width="9.71"/>
    <col collapsed="false" customWidth="false" hidden="false" outlineLevel="0" max="13277" min="13275" style="19" width="9.14"/>
    <col collapsed="false" customWidth="true" hidden="false" outlineLevel="0" max="13278" min="13278" style="19" width="10.71"/>
    <col collapsed="false" customWidth="true" hidden="false" outlineLevel="0" max="13279" min="13279" style="19" width="9.57"/>
    <col collapsed="false" customWidth="false" hidden="false" outlineLevel="0" max="13528" min="13280" style="19" width="9.14"/>
    <col collapsed="false" customWidth="true" hidden="false" outlineLevel="0" max="13529" min="13529" style="19" width="21.71"/>
    <col collapsed="false" customWidth="true" hidden="false" outlineLevel="0" max="13530" min="13530" style="19" width="9.71"/>
    <col collapsed="false" customWidth="false" hidden="false" outlineLevel="0" max="13533" min="13531" style="19" width="9.14"/>
    <col collapsed="false" customWidth="true" hidden="false" outlineLevel="0" max="13534" min="13534" style="19" width="10.71"/>
    <col collapsed="false" customWidth="true" hidden="false" outlineLevel="0" max="13535" min="13535" style="19" width="9.57"/>
    <col collapsed="false" customWidth="false" hidden="false" outlineLevel="0" max="13784" min="13536" style="19" width="9.14"/>
    <col collapsed="false" customWidth="true" hidden="false" outlineLevel="0" max="13785" min="13785" style="19" width="21.71"/>
    <col collapsed="false" customWidth="true" hidden="false" outlineLevel="0" max="13786" min="13786" style="19" width="9.71"/>
    <col collapsed="false" customWidth="false" hidden="false" outlineLevel="0" max="13789" min="13787" style="19" width="9.14"/>
    <col collapsed="false" customWidth="true" hidden="false" outlineLevel="0" max="13790" min="13790" style="19" width="10.71"/>
    <col collapsed="false" customWidth="true" hidden="false" outlineLevel="0" max="13791" min="13791" style="19" width="9.57"/>
    <col collapsed="false" customWidth="false" hidden="false" outlineLevel="0" max="14040" min="13792" style="19" width="9.14"/>
    <col collapsed="false" customWidth="true" hidden="false" outlineLevel="0" max="14041" min="14041" style="19" width="21.71"/>
    <col collapsed="false" customWidth="true" hidden="false" outlineLevel="0" max="14042" min="14042" style="19" width="9.71"/>
    <col collapsed="false" customWidth="false" hidden="false" outlineLevel="0" max="14045" min="14043" style="19" width="9.14"/>
    <col collapsed="false" customWidth="true" hidden="false" outlineLevel="0" max="14046" min="14046" style="19" width="10.71"/>
    <col collapsed="false" customWidth="true" hidden="false" outlineLevel="0" max="14047" min="14047" style="19" width="9.57"/>
    <col collapsed="false" customWidth="false" hidden="false" outlineLevel="0" max="14296" min="14048" style="19" width="9.14"/>
    <col collapsed="false" customWidth="true" hidden="false" outlineLevel="0" max="14297" min="14297" style="19" width="21.71"/>
    <col collapsed="false" customWidth="true" hidden="false" outlineLevel="0" max="14298" min="14298" style="19" width="9.71"/>
    <col collapsed="false" customWidth="false" hidden="false" outlineLevel="0" max="14301" min="14299" style="19" width="9.14"/>
    <col collapsed="false" customWidth="true" hidden="false" outlineLevel="0" max="14302" min="14302" style="19" width="10.71"/>
    <col collapsed="false" customWidth="true" hidden="false" outlineLevel="0" max="14303" min="14303" style="19" width="9.57"/>
    <col collapsed="false" customWidth="false" hidden="false" outlineLevel="0" max="14552" min="14304" style="19" width="9.14"/>
    <col collapsed="false" customWidth="true" hidden="false" outlineLevel="0" max="14553" min="14553" style="19" width="21.71"/>
    <col collapsed="false" customWidth="true" hidden="false" outlineLevel="0" max="14554" min="14554" style="19" width="9.71"/>
    <col collapsed="false" customWidth="false" hidden="false" outlineLevel="0" max="14557" min="14555" style="19" width="9.14"/>
    <col collapsed="false" customWidth="true" hidden="false" outlineLevel="0" max="14558" min="14558" style="19" width="10.71"/>
    <col collapsed="false" customWidth="true" hidden="false" outlineLevel="0" max="14559" min="14559" style="19" width="9.57"/>
    <col collapsed="false" customWidth="false" hidden="false" outlineLevel="0" max="14808" min="14560" style="19" width="9.14"/>
    <col collapsed="false" customWidth="true" hidden="false" outlineLevel="0" max="14809" min="14809" style="19" width="21.71"/>
    <col collapsed="false" customWidth="true" hidden="false" outlineLevel="0" max="14810" min="14810" style="19" width="9.71"/>
    <col collapsed="false" customWidth="false" hidden="false" outlineLevel="0" max="14813" min="14811" style="19" width="9.14"/>
    <col collapsed="false" customWidth="true" hidden="false" outlineLevel="0" max="14814" min="14814" style="19" width="10.71"/>
    <col collapsed="false" customWidth="true" hidden="false" outlineLevel="0" max="14815" min="14815" style="19" width="9.57"/>
    <col collapsed="false" customWidth="false" hidden="false" outlineLevel="0" max="15064" min="14816" style="19" width="9.14"/>
    <col collapsed="false" customWidth="true" hidden="false" outlineLevel="0" max="15065" min="15065" style="19" width="21.71"/>
    <col collapsed="false" customWidth="true" hidden="false" outlineLevel="0" max="15066" min="15066" style="19" width="9.71"/>
    <col collapsed="false" customWidth="false" hidden="false" outlineLevel="0" max="15069" min="15067" style="19" width="9.14"/>
    <col collapsed="false" customWidth="true" hidden="false" outlineLevel="0" max="15070" min="15070" style="19" width="10.71"/>
    <col collapsed="false" customWidth="true" hidden="false" outlineLevel="0" max="15071" min="15071" style="19" width="9.57"/>
    <col collapsed="false" customWidth="false" hidden="false" outlineLevel="0" max="15320" min="15072" style="19" width="9.14"/>
    <col collapsed="false" customWidth="true" hidden="false" outlineLevel="0" max="15321" min="15321" style="19" width="21.71"/>
    <col collapsed="false" customWidth="true" hidden="false" outlineLevel="0" max="15322" min="15322" style="19" width="9.71"/>
    <col collapsed="false" customWidth="false" hidden="false" outlineLevel="0" max="15325" min="15323" style="19" width="9.14"/>
    <col collapsed="false" customWidth="true" hidden="false" outlineLevel="0" max="15326" min="15326" style="19" width="10.71"/>
    <col collapsed="false" customWidth="true" hidden="false" outlineLevel="0" max="15327" min="15327" style="19" width="9.57"/>
    <col collapsed="false" customWidth="false" hidden="false" outlineLevel="0" max="15576" min="15328" style="19" width="9.14"/>
    <col collapsed="false" customWidth="true" hidden="false" outlineLevel="0" max="15577" min="15577" style="19" width="21.71"/>
    <col collapsed="false" customWidth="true" hidden="false" outlineLevel="0" max="15578" min="15578" style="19" width="9.71"/>
    <col collapsed="false" customWidth="false" hidden="false" outlineLevel="0" max="15581" min="15579" style="19" width="9.14"/>
    <col collapsed="false" customWidth="true" hidden="false" outlineLevel="0" max="15582" min="15582" style="19" width="10.71"/>
    <col collapsed="false" customWidth="true" hidden="false" outlineLevel="0" max="15583" min="15583" style="19" width="9.57"/>
    <col collapsed="false" customWidth="false" hidden="false" outlineLevel="0" max="15832" min="15584" style="19" width="9.14"/>
    <col collapsed="false" customWidth="true" hidden="false" outlineLevel="0" max="15833" min="15833" style="19" width="21.71"/>
    <col collapsed="false" customWidth="true" hidden="false" outlineLevel="0" max="15834" min="15834" style="19" width="9.71"/>
    <col collapsed="false" customWidth="false" hidden="false" outlineLevel="0" max="15837" min="15835" style="19" width="9.14"/>
    <col collapsed="false" customWidth="true" hidden="false" outlineLevel="0" max="15838" min="15838" style="19" width="10.71"/>
    <col collapsed="false" customWidth="true" hidden="false" outlineLevel="0" max="15839" min="15839" style="19" width="9.57"/>
    <col collapsed="false" customWidth="false" hidden="false" outlineLevel="0" max="16088" min="15840" style="19" width="9.14"/>
    <col collapsed="false" customWidth="true" hidden="false" outlineLevel="0" max="16089" min="16089" style="19" width="21.71"/>
    <col collapsed="false" customWidth="true" hidden="false" outlineLevel="0" max="16090" min="16090" style="19" width="9.71"/>
    <col collapsed="false" customWidth="false" hidden="false" outlineLevel="0" max="16093" min="16091" style="19" width="9.14"/>
    <col collapsed="false" customWidth="true" hidden="false" outlineLevel="0" max="16094" min="16094" style="19" width="10.71"/>
    <col collapsed="false" customWidth="true" hidden="false" outlineLevel="0" max="16095" min="16095" style="19" width="9.57"/>
    <col collapsed="false" customWidth="false" hidden="false" outlineLevel="0" max="16384" min="16096" style="19" width="9.14"/>
  </cols>
  <sheetData>
    <row r="1" customFormat="false" ht="15.75" hidden="false" customHeight="false" outlineLevel="0" collapsed="false">
      <c r="A1" s="14" t="s">
        <v>121</v>
      </c>
      <c r="F1" s="17"/>
      <c r="G1" s="17"/>
    </row>
    <row r="2" customFormat="false" ht="12" hidden="false" customHeight="false" outlineLevel="0" collapsed="false">
      <c r="F2" s="17"/>
      <c r="G2" s="17"/>
    </row>
    <row r="3" customFormat="false" ht="48" hidden="false" customHeight="false" outlineLevel="0" collapsed="false">
      <c r="A3" s="20" t="n">
        <v>2014</v>
      </c>
      <c r="B3" s="21" t="s">
        <v>17</v>
      </c>
      <c r="C3" s="22" t="s">
        <v>106</v>
      </c>
      <c r="D3" s="22" t="s">
        <v>107</v>
      </c>
      <c r="E3" s="25" t="s">
        <v>108</v>
      </c>
      <c r="F3" s="74" t="s">
        <v>109</v>
      </c>
      <c r="G3" s="24" t="s">
        <v>110</v>
      </c>
      <c r="H3" s="22" t="s">
        <v>106</v>
      </c>
      <c r="I3" s="22" t="s">
        <v>107</v>
      </c>
      <c r="J3" s="178" t="s">
        <v>111</v>
      </c>
    </row>
    <row r="4" customFormat="false" ht="13.5" hidden="false" customHeight="false" outlineLevel="0" collapsed="false">
      <c r="A4" s="179" t="s">
        <v>104</v>
      </c>
      <c r="B4" s="180" t="n">
        <f aca="false">SUM(B5:B32)</f>
        <v>331.14377695409</v>
      </c>
      <c r="C4" s="181"/>
      <c r="D4" s="182"/>
      <c r="E4" s="183" t="n">
        <v>0.104</v>
      </c>
      <c r="F4" s="180" t="n">
        <f aca="false">SUM(F5:F32)</f>
        <v>119.272051714194</v>
      </c>
      <c r="G4" s="184" t="n">
        <f aca="false">SUM(G5:G32)</f>
        <v>2767.94167003631</v>
      </c>
      <c r="H4" s="185"/>
      <c r="I4" s="185"/>
      <c r="J4" s="186" t="n">
        <f aca="false">SUM(J5:J32)</f>
        <v>285.702629423786</v>
      </c>
    </row>
    <row r="5" customFormat="false" ht="12" hidden="false" customHeight="false" outlineLevel="0" collapsed="false">
      <c r="A5" s="187" t="s">
        <v>96</v>
      </c>
      <c r="B5" s="188" t="n">
        <v>12.2037522923221</v>
      </c>
      <c r="C5" s="189" t="n">
        <v>0.420430155497723</v>
      </c>
      <c r="D5" s="190" t="n">
        <v>0.579569844502277</v>
      </c>
      <c r="E5" s="191" t="n">
        <v>0.167894565635149</v>
      </c>
      <c r="F5" s="188" t="n">
        <v>2.403619699</v>
      </c>
      <c r="G5" s="192" t="n">
        <v>107.357835260331</v>
      </c>
      <c r="H5" s="193" t="n">
        <v>0.221532765465071</v>
      </c>
      <c r="I5" s="193" t="n">
        <v>0.778467234534929</v>
      </c>
      <c r="J5" s="194" t="n">
        <v>5.52121772663</v>
      </c>
    </row>
    <row r="6" customFormat="false" ht="12" hidden="false" customHeight="false" outlineLevel="0" collapsed="false">
      <c r="A6" s="80" t="s">
        <v>27</v>
      </c>
      <c r="B6" s="134" t="n">
        <v>2.959</v>
      </c>
      <c r="C6" s="135" t="n">
        <v>0.968908415005069</v>
      </c>
      <c r="D6" s="195" t="n">
        <v>0.0310915849949307</v>
      </c>
      <c r="E6" s="136" t="n">
        <v>0.0623144150784458</v>
      </c>
      <c r="F6" s="134" t="n">
        <v>0.92</v>
      </c>
      <c r="G6" s="196" t="n">
        <v>33.378</v>
      </c>
      <c r="H6" s="197" t="n">
        <v>0.989903529270777</v>
      </c>
      <c r="I6" s="197" t="n">
        <v>0.0100964707292228</v>
      </c>
      <c r="J6" s="198" t="n">
        <v>3.4</v>
      </c>
    </row>
    <row r="7" customFormat="false" ht="12" hidden="false" customHeight="false" outlineLevel="0" collapsed="false">
      <c r="A7" s="80" t="s">
        <v>28</v>
      </c>
      <c r="B7" s="134" t="n">
        <v>11.801</v>
      </c>
      <c r="C7" s="135" t="n">
        <v>0.70426235064825</v>
      </c>
      <c r="D7" s="195" t="n">
        <v>0.29573764935175</v>
      </c>
      <c r="E7" s="136" t="n">
        <v>0.137182646703246</v>
      </c>
      <c r="F7" s="134" t="n">
        <v>4.629</v>
      </c>
      <c r="G7" s="196" t="n">
        <v>105.626</v>
      </c>
      <c r="H7" s="197" t="n">
        <v>0.623378713574309</v>
      </c>
      <c r="I7" s="197" t="n">
        <v>0.376621286425691</v>
      </c>
      <c r="J7" s="198" t="n">
        <v>21.011</v>
      </c>
    </row>
    <row r="8" customFormat="false" ht="12" hidden="false" customHeight="false" outlineLevel="0" collapsed="false">
      <c r="A8" s="80" t="s">
        <v>29</v>
      </c>
      <c r="B8" s="134" t="n">
        <v>11.492</v>
      </c>
      <c r="C8" s="135" t="n">
        <v>0.8264038</v>
      </c>
      <c r="D8" s="195" t="n">
        <v>0.1735962</v>
      </c>
      <c r="E8" s="136" t="n">
        <v>0.357</v>
      </c>
      <c r="F8" s="134" t="n">
        <v>6.167</v>
      </c>
      <c r="G8" s="196" t="n">
        <v>91.122</v>
      </c>
      <c r="H8" s="197" t="n">
        <v>0.7014193</v>
      </c>
      <c r="I8" s="197" t="n">
        <v>0.2985807</v>
      </c>
      <c r="J8" s="198" t="n">
        <v>9.566</v>
      </c>
    </row>
    <row r="9" customFormat="false" ht="13.5" hidden="false" customHeight="false" outlineLevel="0" collapsed="false">
      <c r="A9" s="80" t="s">
        <v>122</v>
      </c>
      <c r="B9" s="134" t="n">
        <v>74.8306</v>
      </c>
      <c r="C9" s="135" t="n">
        <v>0.600198314593228</v>
      </c>
      <c r="D9" s="195" t="n">
        <v>0.399801685406772</v>
      </c>
      <c r="E9" s="136" t="n">
        <v>0.119195915864255</v>
      </c>
      <c r="F9" s="134" t="n">
        <v>37.1854</v>
      </c>
      <c r="G9" s="196" t="n">
        <v>651.4289</v>
      </c>
      <c r="H9" s="197" t="n">
        <v>0.513557350618003</v>
      </c>
      <c r="I9" s="197" t="n">
        <v>0.486442649381997</v>
      </c>
      <c r="J9" s="198" t="n">
        <v>92.2349</v>
      </c>
    </row>
    <row r="10" customFormat="false" ht="12" hidden="false" customHeight="false" outlineLevel="0" collapsed="false">
      <c r="A10" s="80" t="s">
        <v>31</v>
      </c>
      <c r="B10" s="134" t="n">
        <v>1.239252</v>
      </c>
      <c r="C10" s="135" t="n">
        <v>0.963624831753348</v>
      </c>
      <c r="D10" s="195" t="n">
        <v>0.036375168246652</v>
      </c>
      <c r="E10" s="136" t="n">
        <v>0.099570303712036</v>
      </c>
      <c r="F10" s="134" t="n">
        <v>0.46665</v>
      </c>
      <c r="G10" s="196" t="n">
        <v>12.656045</v>
      </c>
      <c r="H10" s="197" t="n">
        <v>0.900577392068375</v>
      </c>
      <c r="I10" s="197" t="n">
        <v>0.0994226079316248</v>
      </c>
      <c r="J10" s="198" t="n">
        <v>1.432175</v>
      </c>
    </row>
    <row r="11" customFormat="false" ht="12" hidden="false" customHeight="false" outlineLevel="0" collapsed="false">
      <c r="A11" s="80" t="s">
        <v>97</v>
      </c>
      <c r="B11" s="134" t="n">
        <v>2.042</v>
      </c>
      <c r="C11" s="135" t="n">
        <v>0</v>
      </c>
      <c r="D11" s="195" t="n">
        <v>1</v>
      </c>
      <c r="E11" s="136" t="n">
        <v>0.0743085880640466</v>
      </c>
      <c r="F11" s="134" t="n">
        <v>0.309</v>
      </c>
      <c r="G11" s="196" t="n">
        <v>11.559</v>
      </c>
      <c r="H11" s="197" t="n">
        <v>0</v>
      </c>
      <c r="I11" s="197" t="n">
        <v>1</v>
      </c>
      <c r="J11" s="198" t="n">
        <v>0.59</v>
      </c>
    </row>
    <row r="12" customFormat="false" ht="13.5" hidden="false" customHeight="false" outlineLevel="0" collapsed="false">
      <c r="A12" s="80" t="s">
        <v>69</v>
      </c>
      <c r="B12" s="134" t="n">
        <v>1.888</v>
      </c>
      <c r="C12" s="135" t="n">
        <v>0.117055084745763</v>
      </c>
      <c r="D12" s="195" t="n">
        <v>0.882944915254237</v>
      </c>
      <c r="E12" s="136" t="n">
        <v>0.037405396837976</v>
      </c>
      <c r="F12" s="134" t="n">
        <v>0.553</v>
      </c>
      <c r="G12" s="196" t="n">
        <v>10.068</v>
      </c>
      <c r="H12" s="197" t="n">
        <v>0.211263408820024</v>
      </c>
      <c r="I12" s="197" t="n">
        <v>0.788736591179976</v>
      </c>
      <c r="J12" s="198" t="n">
        <v>0.761</v>
      </c>
    </row>
    <row r="13" customFormat="false" ht="12" hidden="false" customHeight="false" outlineLevel="0" collapsed="false">
      <c r="A13" s="80" t="s">
        <v>34</v>
      </c>
      <c r="B13" s="134" t="n">
        <v>23.2928788752</v>
      </c>
      <c r="C13" s="135" t="n">
        <v>1</v>
      </c>
      <c r="D13" s="195" t="n">
        <v>0</v>
      </c>
      <c r="E13" s="136" t="n">
        <v>0.0835621970848326</v>
      </c>
      <c r="F13" s="134" t="n">
        <v>3.90841481658349</v>
      </c>
      <c r="G13" s="196" t="n">
        <v>138.205003815399</v>
      </c>
      <c r="H13" s="197" t="n">
        <v>1</v>
      </c>
      <c r="I13" s="197" t="n">
        <v>0</v>
      </c>
      <c r="J13" s="198" t="n">
        <v>5.50305503596708</v>
      </c>
    </row>
    <row r="14" customFormat="false" ht="12" hidden="false" customHeight="false" outlineLevel="0" collapsed="false">
      <c r="A14" s="80" t="s">
        <v>35</v>
      </c>
      <c r="B14" s="134" t="n">
        <v>11.62492</v>
      </c>
      <c r="C14" s="135" t="n">
        <v>0.439225388217725</v>
      </c>
      <c r="D14" s="195" t="n">
        <v>0.560774611782275</v>
      </c>
      <c r="E14" s="136" t="n">
        <v>0.0206563890428874</v>
      </c>
      <c r="F14" s="134" t="n">
        <v>6.17125</v>
      </c>
      <c r="G14" s="196" t="n">
        <v>132.0430985</v>
      </c>
      <c r="H14" s="197" t="n">
        <v>0.280721286618399</v>
      </c>
      <c r="I14" s="197" t="n">
        <v>0.719278713381601</v>
      </c>
      <c r="J14" s="198" t="n">
        <v>13.73948</v>
      </c>
    </row>
    <row r="15" customFormat="false" ht="12" hidden="false" customHeight="false" outlineLevel="0" collapsed="false">
      <c r="A15" s="80" t="s">
        <v>36</v>
      </c>
      <c r="B15" s="134" t="n">
        <v>0.86</v>
      </c>
      <c r="C15" s="135" t="n">
        <v>0.854651162790698</v>
      </c>
      <c r="D15" s="195" t="n">
        <v>0.145348837209302</v>
      </c>
      <c r="E15" s="136" t="n">
        <v>0.0634499040873543</v>
      </c>
      <c r="F15" s="134" t="n">
        <v>0.681</v>
      </c>
      <c r="G15" s="196" t="n">
        <v>11.316</v>
      </c>
      <c r="H15" s="197" t="n">
        <v>0.501590668080594</v>
      </c>
      <c r="I15" s="197" t="n">
        <v>0.498409331919406</v>
      </c>
      <c r="J15" s="198" t="n">
        <v>1.709</v>
      </c>
    </row>
    <row r="16" customFormat="false" ht="12" hidden="false" customHeight="false" outlineLevel="0" collapsed="false">
      <c r="A16" s="80" t="s">
        <v>37</v>
      </c>
      <c r="B16" s="134" t="n">
        <v>36.654</v>
      </c>
      <c r="C16" s="135" t="n">
        <v>0.703524854040487</v>
      </c>
      <c r="D16" s="195" t="n">
        <v>0.296475145959513</v>
      </c>
      <c r="E16" s="136" t="n">
        <v>0.130988074774772</v>
      </c>
      <c r="F16" s="134" t="n">
        <v>8.573</v>
      </c>
      <c r="G16" s="196" t="n">
        <v>202.451</v>
      </c>
      <c r="H16" s="197" t="n">
        <v>0.637956838938805</v>
      </c>
      <c r="I16" s="197" t="n">
        <v>0.362043161061195</v>
      </c>
      <c r="J16" s="198" t="n">
        <v>19.762</v>
      </c>
    </row>
    <row r="17" customFormat="false" ht="12" hidden="false" customHeight="false" outlineLevel="0" collapsed="false">
      <c r="A17" s="80" t="s">
        <v>38</v>
      </c>
      <c r="B17" s="134" t="n">
        <v>0.0668</v>
      </c>
      <c r="C17" s="135" t="n">
        <v>1</v>
      </c>
      <c r="D17" s="195" t="n">
        <v>0</v>
      </c>
      <c r="E17" s="136" t="n">
        <v>0.0153563218390805</v>
      </c>
      <c r="F17" s="134" t="n">
        <v>0.013295</v>
      </c>
      <c r="G17" s="196" t="n">
        <v>0.18144</v>
      </c>
      <c r="H17" s="197" t="n">
        <v>1</v>
      </c>
      <c r="I17" s="197" t="n">
        <v>0</v>
      </c>
      <c r="J17" s="198" t="n">
        <v>0.012946</v>
      </c>
    </row>
    <row r="18" customFormat="false" ht="12" hidden="false" customHeight="false" outlineLevel="0" collapsed="false">
      <c r="A18" s="80" t="s">
        <v>70</v>
      </c>
      <c r="B18" s="134" t="n">
        <v>2.44</v>
      </c>
      <c r="C18" s="135" t="n">
        <v>0.902868852459016</v>
      </c>
      <c r="D18" s="195" t="n">
        <v>0.0971311475409836</v>
      </c>
      <c r="E18" s="136" t="n">
        <v>0.474615833495429</v>
      </c>
      <c r="F18" s="134" t="n">
        <v>1.09</v>
      </c>
      <c r="G18" s="196" t="n">
        <v>11.776</v>
      </c>
      <c r="H18" s="197" t="n">
        <v>0.890625</v>
      </c>
      <c r="I18" s="197" t="n">
        <v>0.109375</v>
      </c>
      <c r="J18" s="198" t="n">
        <v>1.256</v>
      </c>
    </row>
    <row r="19" customFormat="false" ht="12" hidden="false" customHeight="false" outlineLevel="0" collapsed="false">
      <c r="A19" s="80" t="s">
        <v>40</v>
      </c>
      <c r="B19" s="134" t="n">
        <v>1.458</v>
      </c>
      <c r="C19" s="135" t="n">
        <v>0.671467764060357</v>
      </c>
      <c r="D19" s="195" t="n">
        <v>0.328532235939643</v>
      </c>
      <c r="E19" s="136" t="n">
        <v>0.331589720263816</v>
      </c>
      <c r="F19" s="134" t="n">
        <v>1.124</v>
      </c>
      <c r="G19" s="196" t="n">
        <v>13.143</v>
      </c>
      <c r="H19" s="197" t="n">
        <v>0.701133683329529</v>
      </c>
      <c r="I19" s="197" t="n">
        <v>0.298866316670471</v>
      </c>
      <c r="J19" s="198" t="n">
        <v>2.236</v>
      </c>
    </row>
    <row r="20" customFormat="false" ht="12" hidden="false" customHeight="false" outlineLevel="0" collapsed="false">
      <c r="A20" s="80" t="s">
        <v>41</v>
      </c>
      <c r="B20" s="134" t="n">
        <v>0.381</v>
      </c>
      <c r="C20" s="135" t="n">
        <v>0.556430446194226</v>
      </c>
      <c r="D20" s="195" t="n">
        <v>0.443569553805774</v>
      </c>
      <c r="E20" s="136" t="n">
        <v>0.128412537917088</v>
      </c>
      <c r="F20" s="134" t="n">
        <v>0.121</v>
      </c>
      <c r="G20" s="196" t="n">
        <v>2.546</v>
      </c>
      <c r="H20" s="197" t="n">
        <v>0.676747839748625</v>
      </c>
      <c r="I20" s="197" t="n">
        <v>0.323252160251375</v>
      </c>
      <c r="J20" s="198" t="n">
        <v>0.205</v>
      </c>
    </row>
    <row r="21" customFormat="false" ht="12" hidden="false" customHeight="false" outlineLevel="0" collapsed="false">
      <c r="A21" s="80" t="s">
        <v>113</v>
      </c>
      <c r="B21" s="134" t="n">
        <v>3.82029695621506</v>
      </c>
      <c r="C21" s="135" t="n">
        <v>0.909398647113552</v>
      </c>
      <c r="D21" s="195" t="n">
        <v>0.0906013528864482</v>
      </c>
      <c r="E21" s="136" t="n">
        <v>0.130070374049745</v>
      </c>
      <c r="F21" s="134" t="n">
        <v>2.3146819193368</v>
      </c>
      <c r="G21" s="196" t="n">
        <v>25.940201203</v>
      </c>
      <c r="H21" s="197" t="n">
        <v>0.775571546093994</v>
      </c>
      <c r="I21" s="197" t="n">
        <v>0.224428453906006</v>
      </c>
      <c r="J21" s="198" t="n">
        <v>4.8166372</v>
      </c>
    </row>
    <row r="22" customFormat="false" ht="12" hidden="false" customHeight="false" outlineLevel="0" collapsed="false">
      <c r="A22" s="80" t="s">
        <v>43</v>
      </c>
      <c r="B22" s="134" t="n">
        <v>0</v>
      </c>
      <c r="C22" s="135" t="n">
        <v>0</v>
      </c>
      <c r="D22" s="195" t="n">
        <v>0</v>
      </c>
      <c r="E22" s="136" t="n">
        <v>0</v>
      </c>
      <c r="F22" s="134" t="n">
        <v>0</v>
      </c>
      <c r="G22" s="196" t="n">
        <v>0.022</v>
      </c>
      <c r="H22" s="197" t="n">
        <v>1</v>
      </c>
      <c r="I22" s="197" t="n">
        <v>0</v>
      </c>
      <c r="J22" s="198" t="n">
        <v>0</v>
      </c>
    </row>
    <row r="23" customFormat="false" ht="12" hidden="false" customHeight="false" outlineLevel="0" collapsed="false">
      <c r="A23" s="80" t="s">
        <v>72</v>
      </c>
      <c r="B23" s="134" t="n">
        <v>29.9646422222222</v>
      </c>
      <c r="C23" s="135" t="n">
        <v>0.458805358485842</v>
      </c>
      <c r="D23" s="195" t="n">
        <v>0.541194641514158</v>
      </c>
      <c r="E23" s="136" t="n">
        <v>0.289743006267983</v>
      </c>
      <c r="F23" s="134" t="n">
        <v>9.183799625</v>
      </c>
      <c r="G23" s="196" t="n">
        <v>196.279326</v>
      </c>
      <c r="H23" s="197" t="n">
        <v>0.416193680021094</v>
      </c>
      <c r="I23" s="197" t="n">
        <v>0.583806319978906</v>
      </c>
      <c r="J23" s="198" t="n">
        <v>18.2636408333333</v>
      </c>
    </row>
    <row r="24" customFormat="false" ht="12" hidden="false" customHeight="false" outlineLevel="0" collapsed="false">
      <c r="A24" s="80" t="s">
        <v>45</v>
      </c>
      <c r="B24" s="134" t="n">
        <v>8.48903859581014</v>
      </c>
      <c r="C24" s="135" t="n">
        <v>0.526446663486207</v>
      </c>
      <c r="D24" s="195" t="n">
        <v>0.473553336513793</v>
      </c>
      <c r="E24" s="136" t="n">
        <v>0.129760147289252</v>
      </c>
      <c r="F24" s="134" t="n">
        <v>3.99129604880037</v>
      </c>
      <c r="G24" s="196" t="n">
        <v>102.45123675773</v>
      </c>
      <c r="H24" s="197" t="n">
        <v>0.337318903701693</v>
      </c>
      <c r="I24" s="197" t="n">
        <v>0.662681096298307</v>
      </c>
      <c r="J24" s="198" t="n">
        <v>8.902089</v>
      </c>
    </row>
    <row r="25" customFormat="false" ht="12" hidden="false" customHeight="false" outlineLevel="0" collapsed="false">
      <c r="A25" s="80" t="s">
        <v>46</v>
      </c>
      <c r="B25" s="134" t="n">
        <v>24.087</v>
      </c>
      <c r="C25" s="135" t="n">
        <v>0.738987835762029</v>
      </c>
      <c r="D25" s="195" t="n">
        <v>0.261012164237971</v>
      </c>
      <c r="E25" s="136" t="n">
        <v>0.151434373408609</v>
      </c>
      <c r="F25" s="134" t="n">
        <v>8.553</v>
      </c>
      <c r="G25" s="196" t="n">
        <v>237.646</v>
      </c>
      <c r="H25" s="197" t="n">
        <v>0.578894658441548</v>
      </c>
      <c r="I25" s="197" t="n">
        <v>0.421105341558453</v>
      </c>
      <c r="J25" s="198" t="n">
        <v>25.237</v>
      </c>
    </row>
    <row r="26" customFormat="false" ht="12" hidden="false" customHeight="false" outlineLevel="0" collapsed="false">
      <c r="A26" s="80" t="s">
        <v>98</v>
      </c>
      <c r="B26" s="134" t="n">
        <v>6.80314208614253</v>
      </c>
      <c r="C26" s="135" t="n">
        <v>0.761961044544606</v>
      </c>
      <c r="D26" s="195" t="n">
        <v>0.238038955455394</v>
      </c>
      <c r="E26" s="136" t="n">
        <v>0.128842507597109</v>
      </c>
      <c r="F26" s="134" t="n">
        <v>1.38381262157303</v>
      </c>
      <c r="G26" s="196" t="n">
        <v>69.2986806021341</v>
      </c>
      <c r="H26" s="197" t="n">
        <v>0.60835174519875</v>
      </c>
      <c r="I26" s="197" t="n">
        <v>0.39164825480125</v>
      </c>
      <c r="J26" s="198" t="n">
        <v>4.583216</v>
      </c>
    </row>
    <row r="27" customFormat="false" ht="12" hidden="false" customHeight="false" outlineLevel="0" collapsed="false">
      <c r="A27" s="80" t="s">
        <v>48</v>
      </c>
      <c r="B27" s="134" t="n">
        <v>6.1</v>
      </c>
      <c r="C27" s="135" t="n">
        <v>0.806229508196721</v>
      </c>
      <c r="D27" s="195" t="n">
        <v>0.193770491803279</v>
      </c>
      <c r="E27" s="136" t="n">
        <v>0.0928801997685608</v>
      </c>
      <c r="F27" s="134" t="n">
        <v>1.816</v>
      </c>
      <c r="G27" s="196" t="n">
        <v>55.363</v>
      </c>
      <c r="H27" s="197" t="n">
        <v>0.781406354424435</v>
      </c>
      <c r="I27" s="197" t="n">
        <v>0.218593645575565</v>
      </c>
      <c r="J27" s="198" t="n">
        <v>9.962</v>
      </c>
    </row>
    <row r="28" customFormat="false" ht="12" hidden="false" customHeight="false" outlineLevel="0" collapsed="false">
      <c r="A28" s="80" t="s">
        <v>99</v>
      </c>
      <c r="B28" s="134" t="n">
        <v>1.17459920839603</v>
      </c>
      <c r="C28" s="135" t="n">
        <v>0.764413848410012</v>
      </c>
      <c r="D28" s="195" t="n">
        <v>0.235586151589988</v>
      </c>
      <c r="E28" s="136" t="n">
        <v>0.0714476404133837</v>
      </c>
      <c r="F28" s="134" t="n">
        <v>0.3670957</v>
      </c>
      <c r="G28" s="196" t="n">
        <v>10.1535885617204</v>
      </c>
      <c r="H28" s="197" t="n">
        <v>0.60349879104045</v>
      </c>
      <c r="I28" s="197" t="n">
        <v>0.39650120895955</v>
      </c>
      <c r="J28" s="198" t="n">
        <v>0.740299416666667</v>
      </c>
    </row>
    <row r="29" customFormat="false" ht="13.5" hidden="false" customHeight="false" outlineLevel="0" collapsed="false">
      <c r="A29" s="80" t="s">
        <v>114</v>
      </c>
      <c r="B29" s="104" t="s">
        <v>91</v>
      </c>
      <c r="C29" s="166" t="s">
        <v>91</v>
      </c>
      <c r="D29" s="105" t="s">
        <v>91</v>
      </c>
      <c r="E29" s="167" t="s">
        <v>91</v>
      </c>
      <c r="F29" s="104" t="s">
        <v>91</v>
      </c>
      <c r="G29" s="107" t="s">
        <v>91</v>
      </c>
      <c r="H29" s="224" t="s">
        <v>91</v>
      </c>
      <c r="I29" s="224" t="s">
        <v>91</v>
      </c>
      <c r="J29" s="106" t="s">
        <v>91</v>
      </c>
    </row>
    <row r="30" customFormat="false" ht="12" hidden="false" customHeight="false" outlineLevel="0" collapsed="false">
      <c r="A30" s="80" t="s">
        <v>75</v>
      </c>
      <c r="B30" s="134" t="n">
        <v>23.035</v>
      </c>
      <c r="C30" s="135" t="n">
        <v>0.627870631647493</v>
      </c>
      <c r="D30" s="195" t="n">
        <v>0.372129368352507</v>
      </c>
      <c r="E30" s="136" t="n">
        <v>0.338287342311251</v>
      </c>
      <c r="F30" s="134" t="n">
        <v>6.011</v>
      </c>
      <c r="G30" s="196" t="n">
        <v>247.583</v>
      </c>
      <c r="H30" s="197" t="n">
        <v>0.439254714580565</v>
      </c>
      <c r="I30" s="197" t="n">
        <v>0.560745285419435</v>
      </c>
      <c r="J30" s="198" t="n">
        <v>15.381</v>
      </c>
    </row>
    <row r="31" customFormat="false" ht="13.5" hidden="false" customHeight="false" outlineLevel="0" collapsed="false">
      <c r="A31" s="108" t="s">
        <v>52</v>
      </c>
      <c r="B31" s="168" t="n">
        <v>12.116</v>
      </c>
      <c r="C31" s="169" t="n">
        <v>0.545972268075272</v>
      </c>
      <c r="D31" s="199" t="n">
        <v>0.454027731924728</v>
      </c>
      <c r="E31" s="170" t="n">
        <v>0.0788483815126707</v>
      </c>
      <c r="F31" s="168" t="n">
        <v>5.013</v>
      </c>
      <c r="G31" s="200" t="n">
        <v>145.097</v>
      </c>
      <c r="H31" s="201" t="n">
        <v>0.45408244140127</v>
      </c>
      <c r="I31" s="201" t="n">
        <v>0.545917558598731</v>
      </c>
      <c r="J31" s="202" t="n">
        <v>10.683</v>
      </c>
    </row>
    <row r="32" customFormat="false" ht="12" hidden="false" customHeight="false" outlineLevel="0" collapsed="false">
      <c r="A32" s="87" t="s">
        <v>77</v>
      </c>
      <c r="B32" s="140" t="n">
        <v>20.3208547177815</v>
      </c>
      <c r="C32" s="141" t="n">
        <v>0.0151554640874928</v>
      </c>
      <c r="D32" s="203" t="n">
        <v>0.984844535912507</v>
      </c>
      <c r="E32" s="142" t="n">
        <v>0.0599566121152743</v>
      </c>
      <c r="F32" s="140" t="n">
        <v>6.3227362839</v>
      </c>
      <c r="G32" s="204" t="n">
        <v>143.250314335998</v>
      </c>
      <c r="H32" s="205" t="n">
        <v>0.0178343486185072</v>
      </c>
      <c r="I32" s="205" t="n">
        <v>0.982165651381493</v>
      </c>
      <c r="J32" s="206" t="n">
        <v>8.193973211189</v>
      </c>
    </row>
    <row r="33" customFormat="false" ht="12" hidden="false" customHeight="false" outlineLevel="0" collapsed="false">
      <c r="A33" s="119" t="s">
        <v>115</v>
      </c>
      <c r="B33" s="143" t="n">
        <v>0.391</v>
      </c>
      <c r="C33" s="144" t="n">
        <v>1</v>
      </c>
      <c r="D33" s="207" t="n">
        <v>0</v>
      </c>
      <c r="E33" s="145" t="n">
        <v>0.00274719484005143</v>
      </c>
      <c r="F33" s="143" t="n">
        <v>0.092</v>
      </c>
      <c r="G33" s="208" t="n">
        <v>9.055</v>
      </c>
      <c r="H33" s="209" t="n">
        <v>1</v>
      </c>
      <c r="I33" s="209" t="n">
        <v>0</v>
      </c>
      <c r="J33" s="210" t="n">
        <v>0.535</v>
      </c>
    </row>
    <row r="35" customFormat="false" ht="36" hidden="false" customHeight="false" outlineLevel="0" collapsed="false">
      <c r="A35" s="20" t="n">
        <v>2014</v>
      </c>
      <c r="B35" s="21" t="s">
        <v>55</v>
      </c>
      <c r="C35" s="25" t="s">
        <v>57</v>
      </c>
      <c r="D35" s="22" t="s">
        <v>58</v>
      </c>
      <c r="E35" s="22" t="s">
        <v>59</v>
      </c>
      <c r="F35" s="211" t="s">
        <v>60</v>
      </c>
      <c r="G35" s="211" t="s">
        <v>61</v>
      </c>
      <c r="H35" s="212"/>
      <c r="I35" s="212"/>
      <c r="J35" s="213"/>
      <c r="K35" s="214"/>
      <c r="L35" s="214"/>
    </row>
    <row r="36" customFormat="false" ht="13.5" hidden="false" customHeight="false" outlineLevel="0" collapsed="false">
      <c r="A36" s="179" t="s">
        <v>104</v>
      </c>
      <c r="B36" s="180" t="n">
        <v>5429.31575033336</v>
      </c>
      <c r="C36" s="181" t="n">
        <v>0.159674406890374</v>
      </c>
      <c r="D36" s="183" t="n">
        <v>0.0662272546500608</v>
      </c>
      <c r="E36" s="183" t="n">
        <v>0.454284350722678</v>
      </c>
      <c r="F36" s="183" t="n">
        <v>0.211704634202884</v>
      </c>
      <c r="G36" s="183" t="n">
        <v>0.108109353534004</v>
      </c>
    </row>
    <row r="37" customFormat="false" ht="12" hidden="false" customHeight="false" outlineLevel="0" collapsed="false">
      <c r="A37" s="187" t="s">
        <v>96</v>
      </c>
      <c r="B37" s="188" t="n">
        <v>183.624003380023</v>
      </c>
      <c r="C37" s="215" t="n">
        <v>0.011182825081045</v>
      </c>
      <c r="D37" s="216" t="n">
        <v>0.00664770296399214</v>
      </c>
      <c r="E37" s="216" t="n">
        <v>0.561890498603104</v>
      </c>
      <c r="F37" s="216" t="n">
        <v>0.16977055175109</v>
      </c>
      <c r="G37" s="216" t="n">
        <v>0.250508421600769</v>
      </c>
      <c r="K37" s="217"/>
      <c r="L37" s="217"/>
      <c r="M37" s="218"/>
      <c r="N37" s="219"/>
    </row>
    <row r="38" customFormat="false" ht="12" hidden="false" customHeight="false" outlineLevel="0" collapsed="false">
      <c r="A38" s="80" t="s">
        <v>27</v>
      </c>
      <c r="B38" s="134" t="n">
        <v>55.086</v>
      </c>
      <c r="C38" s="135" t="n">
        <v>0.598790981374578</v>
      </c>
      <c r="D38" s="136" t="n">
        <v>0.129161674472643</v>
      </c>
      <c r="E38" s="136" t="n">
        <v>0.270558762662019</v>
      </c>
      <c r="F38" s="136" t="n">
        <v>0.000326761790654613</v>
      </c>
      <c r="G38" s="136" t="n">
        <v>0.00116181970010529</v>
      </c>
      <c r="K38" s="217"/>
      <c r="L38" s="217"/>
      <c r="M38" s="218"/>
      <c r="N38" s="219"/>
    </row>
    <row r="39" customFormat="false" ht="12" hidden="false" customHeight="false" outlineLevel="0" collapsed="false">
      <c r="A39" s="80" t="s">
        <v>116</v>
      </c>
      <c r="B39" s="134" t="n">
        <v>241.833</v>
      </c>
      <c r="C39" s="135" t="n">
        <v>0.707719790103088</v>
      </c>
      <c r="D39" s="136" t="n">
        <v>0.00114955361757907</v>
      </c>
      <c r="E39" s="136" t="n">
        <v>0.0865804087944987</v>
      </c>
      <c r="F39" s="136" t="n">
        <v>0.126810650324811</v>
      </c>
      <c r="G39" s="136" t="n">
        <v>0.0777395971600237</v>
      </c>
      <c r="K39" s="217"/>
      <c r="L39" s="217"/>
      <c r="M39" s="218"/>
      <c r="N39" s="219"/>
    </row>
    <row r="40" customFormat="false" ht="12" hidden="false" customHeight="false" outlineLevel="0" collapsed="false">
      <c r="A40" s="80" t="s">
        <v>29</v>
      </c>
      <c r="B40" s="134" t="n">
        <v>153.798</v>
      </c>
      <c r="C40" s="135" t="n">
        <v>0.312</v>
      </c>
      <c r="D40" s="136" t="n">
        <v>0.03</v>
      </c>
      <c r="E40" s="136" t="n">
        <v>0.144</v>
      </c>
      <c r="F40" s="136" t="n">
        <v>0.413</v>
      </c>
      <c r="G40" s="136" t="n">
        <v>0.101</v>
      </c>
      <c r="K40" s="217"/>
      <c r="L40" s="217"/>
      <c r="M40" s="218"/>
      <c r="N40" s="219"/>
    </row>
    <row r="41" customFormat="false" ht="13.5" hidden="false" customHeight="false" outlineLevel="0" collapsed="false">
      <c r="A41" s="80" t="s">
        <v>122</v>
      </c>
      <c r="B41" s="134" t="n">
        <v>1207.84920847002</v>
      </c>
      <c r="C41" s="135" t="n">
        <v>0.104156361055634</v>
      </c>
      <c r="D41" s="136" t="n">
        <v>0.12897528186286</v>
      </c>
      <c r="E41" s="136" t="n">
        <v>0.459862404904203</v>
      </c>
      <c r="F41" s="136" t="n">
        <v>0.17218789188929</v>
      </c>
      <c r="G41" s="136" t="n">
        <v>0.134818060288012</v>
      </c>
      <c r="K41" s="217"/>
      <c r="L41" s="217"/>
      <c r="M41" s="218"/>
      <c r="N41" s="219"/>
    </row>
    <row r="42" customFormat="false" ht="12" hidden="false" customHeight="false" outlineLevel="0" collapsed="false">
      <c r="A42" s="80" t="s">
        <v>31</v>
      </c>
      <c r="B42" s="134" t="n">
        <v>21.06746</v>
      </c>
      <c r="C42" s="135" t="n">
        <v>0.275939909224937</v>
      </c>
      <c r="D42" s="136" t="n">
        <v>0.0018264185620858</v>
      </c>
      <c r="E42" s="136" t="n">
        <v>0.13924198740617</v>
      </c>
      <c r="F42" s="136" t="n">
        <v>0.513920520081681</v>
      </c>
      <c r="G42" s="136" t="n">
        <v>0.069071069791992</v>
      </c>
      <c r="K42" s="217"/>
      <c r="L42" s="217"/>
      <c r="M42" s="218"/>
      <c r="N42" s="219"/>
    </row>
    <row r="43" customFormat="false" ht="12" hidden="false" customHeight="false" outlineLevel="0" collapsed="false">
      <c r="A43" s="80" t="s">
        <v>97</v>
      </c>
      <c r="B43" s="134" t="n">
        <v>22.514</v>
      </c>
      <c r="C43" s="135" t="n">
        <v>0.0338011903704362</v>
      </c>
      <c r="D43" s="136" t="n">
        <v>0.000888336146397797</v>
      </c>
      <c r="E43" s="136" t="n">
        <v>0.920005330016878</v>
      </c>
      <c r="F43" s="136" t="n">
        <v>0.0303366793994848</v>
      </c>
      <c r="G43" s="136" t="n">
        <v>0.0149684640668029</v>
      </c>
      <c r="K43" s="217"/>
      <c r="L43" s="217"/>
      <c r="M43" s="218"/>
      <c r="N43" s="219"/>
    </row>
    <row r="44" customFormat="false" ht="13.5" hidden="false" customHeight="false" outlineLevel="0" collapsed="false">
      <c r="A44" s="80" t="s">
        <v>69</v>
      </c>
      <c r="B44" s="134" t="n">
        <v>20.974</v>
      </c>
      <c r="C44" s="135" t="n">
        <v>0.135548774673405</v>
      </c>
      <c r="D44" s="136" t="n">
        <v>0.0335653666444169</v>
      </c>
      <c r="E44" s="136" t="n">
        <v>0.653189663392772</v>
      </c>
      <c r="F44" s="136" t="n">
        <v>0.00972632783446172</v>
      </c>
      <c r="G44" s="136" t="n">
        <v>0.167969867454944</v>
      </c>
      <c r="K44" s="217"/>
      <c r="L44" s="217"/>
      <c r="M44" s="218"/>
      <c r="N44" s="219"/>
    </row>
    <row r="45" customFormat="false" ht="12" hidden="false" customHeight="false" outlineLevel="0" collapsed="false">
      <c r="A45" s="80" t="s">
        <v>34</v>
      </c>
      <c r="B45" s="134" t="n">
        <v>307.228997521046</v>
      </c>
      <c r="C45" s="135" t="n">
        <v>0.0230127582692335</v>
      </c>
      <c r="D45" s="136" t="n">
        <v>0.065291272438486</v>
      </c>
      <c r="E45" s="136" t="n">
        <v>0.787680703644303</v>
      </c>
      <c r="F45" s="136" t="n">
        <v>0</v>
      </c>
      <c r="G45" s="136" t="n">
        <v>0.124015265647978</v>
      </c>
      <c r="K45" s="217"/>
      <c r="L45" s="217"/>
      <c r="M45" s="218"/>
      <c r="N45" s="219"/>
    </row>
    <row r="46" customFormat="false" ht="12" hidden="false" customHeight="false" outlineLevel="0" collapsed="false">
      <c r="A46" s="80" t="s">
        <v>35</v>
      </c>
      <c r="B46" s="134" t="n">
        <v>204.703008912</v>
      </c>
      <c r="C46" s="135" t="n">
        <v>0.0711952375759419</v>
      </c>
      <c r="D46" s="136" t="n">
        <v>0.0532647927842004</v>
      </c>
      <c r="E46" s="136" t="n">
        <v>0.554203775933601</v>
      </c>
      <c r="F46" s="136" t="n">
        <v>0.196560213119766</v>
      </c>
      <c r="G46" s="136" t="n">
        <v>0.124775980586491</v>
      </c>
      <c r="K46" s="217"/>
      <c r="L46" s="217"/>
      <c r="M46" s="218"/>
      <c r="N46" s="219"/>
    </row>
    <row r="47" customFormat="false" ht="12" hidden="false" customHeight="false" outlineLevel="0" collapsed="false">
      <c r="A47" s="80" t="s">
        <v>36</v>
      </c>
      <c r="B47" s="134" t="n">
        <v>26.964</v>
      </c>
      <c r="C47" s="135" t="n">
        <v>0.0243658210947931</v>
      </c>
      <c r="D47" s="136" t="n">
        <v>0.0689066904020175</v>
      </c>
      <c r="E47" s="136" t="n">
        <v>0.895749888740543</v>
      </c>
      <c r="F47" s="136" t="n">
        <v>0.0109775997626465</v>
      </c>
      <c r="G47" s="136" t="n">
        <v>0</v>
      </c>
      <c r="K47" s="217"/>
      <c r="L47" s="217"/>
      <c r="M47" s="218"/>
      <c r="N47" s="219"/>
    </row>
    <row r="48" customFormat="false" ht="12" hidden="false" customHeight="false" outlineLevel="0" collapsed="false">
      <c r="A48" s="80" t="s">
        <v>37</v>
      </c>
      <c r="B48" s="134" t="n">
        <v>797.373</v>
      </c>
      <c r="C48" s="135" t="n">
        <v>0.00325067440206779</v>
      </c>
      <c r="D48" s="136" t="n">
        <v>0.11196391149437</v>
      </c>
      <c r="E48" s="136" t="n">
        <v>0.657731074415612</v>
      </c>
      <c r="F48" s="136" t="n">
        <v>0.150115441581293</v>
      </c>
      <c r="G48" s="136" t="n">
        <v>0.0769388981066577</v>
      </c>
      <c r="K48" s="217"/>
      <c r="L48" s="217"/>
      <c r="M48" s="218"/>
      <c r="N48" s="219"/>
    </row>
    <row r="49" customFormat="false" ht="12" hidden="false" customHeight="false" outlineLevel="0" collapsed="false">
      <c r="A49" s="80" t="s">
        <v>38</v>
      </c>
      <c r="B49" s="134" t="n">
        <v>0.7028</v>
      </c>
      <c r="C49" s="135" t="n">
        <v>0</v>
      </c>
      <c r="D49" s="136" t="n">
        <v>0.279311326124075</v>
      </c>
      <c r="E49" s="136" t="n">
        <v>0</v>
      </c>
      <c r="F49" s="136" t="n">
        <v>0.720688673875925</v>
      </c>
      <c r="G49" s="136" t="n">
        <v>0</v>
      </c>
      <c r="K49" s="217"/>
      <c r="L49" s="217"/>
      <c r="M49" s="218"/>
      <c r="N49" s="219"/>
    </row>
    <row r="50" customFormat="false" ht="12" hidden="false" customHeight="false" outlineLevel="0" collapsed="false">
      <c r="A50" s="80" t="s">
        <v>70</v>
      </c>
      <c r="B50" s="134" t="n">
        <v>27.145</v>
      </c>
      <c r="C50" s="135" t="n">
        <v>0.000552587953582612</v>
      </c>
      <c r="D50" s="136" t="n">
        <v>0</v>
      </c>
      <c r="E50" s="136" t="n">
        <v>0.660895192484804</v>
      </c>
      <c r="F50" s="136" t="n">
        <v>0.338552219561614</v>
      </c>
      <c r="G50" s="136" t="n">
        <v>0</v>
      </c>
      <c r="K50" s="217"/>
      <c r="L50" s="217"/>
      <c r="M50" s="218"/>
      <c r="N50" s="219"/>
    </row>
    <row r="51" customFormat="false" ht="12" hidden="false" customHeight="false" outlineLevel="0" collapsed="false">
      <c r="A51" s="80" t="s">
        <v>40</v>
      </c>
      <c r="B51" s="134" t="n">
        <v>21.714</v>
      </c>
      <c r="C51" s="135" t="n">
        <v>0</v>
      </c>
      <c r="D51" s="136" t="n">
        <v>0.147370360136318</v>
      </c>
      <c r="E51" s="136" t="n">
        <v>0.482407663258727</v>
      </c>
      <c r="F51" s="136" t="n">
        <v>0.313208068527217</v>
      </c>
      <c r="G51" s="136" t="n">
        <v>0.0570139080777379</v>
      </c>
      <c r="K51" s="217"/>
      <c r="L51" s="217"/>
      <c r="M51" s="218"/>
      <c r="N51" s="219"/>
    </row>
    <row r="52" customFormat="false" ht="12" hidden="false" customHeight="false" outlineLevel="0" collapsed="false">
      <c r="A52" s="80" t="s">
        <v>41</v>
      </c>
      <c r="B52" s="134" t="n">
        <v>4.738</v>
      </c>
      <c r="C52" s="135" t="n">
        <v>0</v>
      </c>
      <c r="D52" s="136" t="n">
        <v>0.00105529759392149</v>
      </c>
      <c r="E52" s="136" t="n">
        <v>0.763824398480371</v>
      </c>
      <c r="F52" s="136" t="n">
        <v>0.235120303925707</v>
      </c>
      <c r="G52" s="136" t="n">
        <v>0</v>
      </c>
      <c r="K52" s="217"/>
      <c r="L52" s="217"/>
      <c r="M52" s="218"/>
      <c r="N52" s="219"/>
    </row>
    <row r="53" customFormat="false" ht="12" hidden="false" customHeight="false" outlineLevel="0" collapsed="false">
      <c r="A53" s="80" t="s">
        <v>113</v>
      </c>
      <c r="B53" s="134" t="n">
        <v>51.1488363852746</v>
      </c>
      <c r="C53" s="135" t="n">
        <v>0.0376507502006745</v>
      </c>
      <c r="D53" s="136" t="n">
        <v>0.00280462424817833</v>
      </c>
      <c r="E53" s="136" t="n">
        <v>0.711724777928276</v>
      </c>
      <c r="F53" s="136" t="n">
        <v>0.124457544176293</v>
      </c>
      <c r="G53" s="136" t="n">
        <v>0.123362303446578</v>
      </c>
      <c r="K53" s="217"/>
      <c r="L53" s="217"/>
      <c r="M53" s="218"/>
      <c r="N53" s="219"/>
    </row>
    <row r="54" customFormat="false" ht="12" hidden="false" customHeight="false" outlineLevel="0" collapsed="false">
      <c r="A54" s="80" t="s">
        <v>43</v>
      </c>
      <c r="B54" s="134" t="n">
        <v>0.036</v>
      </c>
      <c r="C54" s="135" t="n">
        <v>0</v>
      </c>
      <c r="D54" s="136" t="n">
        <v>0</v>
      </c>
      <c r="E54" s="136" t="n">
        <v>0</v>
      </c>
      <c r="F54" s="136" t="n">
        <v>1</v>
      </c>
      <c r="G54" s="136" t="n">
        <v>0</v>
      </c>
      <c r="K54" s="217"/>
      <c r="L54" s="217"/>
      <c r="M54" s="218"/>
      <c r="N54" s="219"/>
    </row>
    <row r="55" customFormat="false" ht="12" hidden="false" customHeight="false" outlineLevel="0" collapsed="false">
      <c r="A55" s="80" t="s">
        <v>72</v>
      </c>
      <c r="B55" s="134" t="n">
        <v>378.541948317457</v>
      </c>
      <c r="C55" s="135" t="n">
        <v>0.0156835924453617</v>
      </c>
      <c r="D55" s="136" t="n">
        <v>0.009504891111784</v>
      </c>
      <c r="E55" s="136" t="n">
        <v>0.753968829465685</v>
      </c>
      <c r="F55" s="136" t="n">
        <v>0.0287894117110122</v>
      </c>
      <c r="G55" s="136" t="n">
        <v>0.192053275266157</v>
      </c>
      <c r="K55" s="217"/>
      <c r="L55" s="217"/>
      <c r="M55" s="218"/>
      <c r="N55" s="219"/>
    </row>
    <row r="56" customFormat="false" ht="12" hidden="false" customHeight="false" outlineLevel="0" collapsed="false">
      <c r="A56" s="80" t="s">
        <v>45</v>
      </c>
      <c r="B56" s="134" t="n">
        <v>159.26427513281</v>
      </c>
      <c r="C56" s="135" t="n">
        <v>0.0636485309552132</v>
      </c>
      <c r="D56" s="136" t="n">
        <v>0.0751209641042967</v>
      </c>
      <c r="E56" s="136" t="n">
        <v>0.374288824191104</v>
      </c>
      <c r="F56" s="136" t="n">
        <v>0.388546215603166</v>
      </c>
      <c r="G56" s="136" t="n">
        <v>0.0983954651462198</v>
      </c>
      <c r="K56" s="217"/>
      <c r="L56" s="217"/>
      <c r="M56" s="218"/>
      <c r="N56" s="219"/>
    </row>
    <row r="57" customFormat="false" ht="12" hidden="false" customHeight="false" outlineLevel="0" collapsed="false">
      <c r="A57" s="80" t="s">
        <v>46</v>
      </c>
      <c r="B57" s="134" t="n">
        <v>390.89</v>
      </c>
      <c r="C57" s="135" t="n">
        <v>0.712028959553839</v>
      </c>
      <c r="D57" s="136" t="n">
        <v>0.077863337511832</v>
      </c>
      <c r="E57" s="136" t="n">
        <v>0.0696564250812249</v>
      </c>
      <c r="F57" s="136" t="n">
        <v>0.113182736831334</v>
      </c>
      <c r="G57" s="136" t="n">
        <v>0.0272685410217708</v>
      </c>
      <c r="K57" s="217"/>
      <c r="L57" s="217"/>
      <c r="M57" s="218"/>
      <c r="N57" s="219"/>
    </row>
    <row r="58" customFormat="false" ht="12" hidden="false" customHeight="false" outlineLevel="0" collapsed="false">
      <c r="A58" s="80" t="s">
        <v>98</v>
      </c>
      <c r="B58" s="134" t="n">
        <v>122.434</v>
      </c>
      <c r="C58" s="135" t="n">
        <v>0</v>
      </c>
      <c r="D58" s="136" t="n">
        <v>0.033732459937599</v>
      </c>
      <c r="E58" s="136" t="n">
        <v>0.532041753107797</v>
      </c>
      <c r="F58" s="136" t="n">
        <v>0.399937925739582</v>
      </c>
      <c r="G58" s="136" t="n">
        <v>0.034287861215022</v>
      </c>
      <c r="K58" s="217"/>
      <c r="L58" s="217"/>
      <c r="M58" s="218"/>
      <c r="N58" s="219"/>
    </row>
    <row r="59" customFormat="false" ht="12" hidden="false" customHeight="false" outlineLevel="0" collapsed="false">
      <c r="A59" s="80" t="s">
        <v>48</v>
      </c>
      <c r="B59" s="134" t="n">
        <v>97.67</v>
      </c>
      <c r="C59" s="135" t="n">
        <v>0.360346063274291</v>
      </c>
      <c r="D59" s="136" t="n">
        <v>0.00532405037370738</v>
      </c>
      <c r="E59" s="136" t="n">
        <v>0.543534350363469</v>
      </c>
      <c r="F59" s="136" t="n">
        <v>0.0537831473328555</v>
      </c>
      <c r="G59" s="136" t="n">
        <v>0.0370123886556773</v>
      </c>
      <c r="K59" s="217"/>
      <c r="L59" s="217"/>
      <c r="M59" s="218"/>
      <c r="N59" s="219"/>
    </row>
    <row r="60" customFormat="false" ht="12" hidden="false" customHeight="false" outlineLevel="0" collapsed="false">
      <c r="A60" s="80" t="s">
        <v>99</v>
      </c>
      <c r="B60" s="134" t="n">
        <v>18.8766434158937</v>
      </c>
      <c r="C60" s="135" t="n">
        <v>0.519153792076951</v>
      </c>
      <c r="D60" s="136" t="n">
        <v>0.000845832579883168</v>
      </c>
      <c r="E60" s="136" t="n">
        <v>0.258834672045039</v>
      </c>
      <c r="F60" s="136" t="n">
        <v>0.202121943130394</v>
      </c>
      <c r="G60" s="136" t="n">
        <v>0.0190437601677322</v>
      </c>
      <c r="K60" s="217"/>
      <c r="L60" s="217"/>
      <c r="M60" s="218"/>
      <c r="N60" s="219"/>
    </row>
    <row r="61" customFormat="false" ht="13.5" hidden="false" customHeight="false" outlineLevel="0" collapsed="false">
      <c r="A61" s="80" t="s">
        <v>114</v>
      </c>
      <c r="B61" s="104" t="s">
        <v>91</v>
      </c>
      <c r="C61" s="166" t="s">
        <v>91</v>
      </c>
      <c r="D61" s="167" t="s">
        <v>91</v>
      </c>
      <c r="E61" s="167" t="s">
        <v>91</v>
      </c>
      <c r="F61" s="167" t="s">
        <v>91</v>
      </c>
      <c r="G61" s="167" t="s">
        <v>91</v>
      </c>
      <c r="K61" s="217"/>
      <c r="L61" s="217"/>
      <c r="M61" s="218"/>
      <c r="N61" s="219"/>
    </row>
    <row r="62" customFormat="false" ht="12" hidden="false" customHeight="false" outlineLevel="0" collapsed="false">
      <c r="A62" s="80" t="s">
        <v>75</v>
      </c>
      <c r="B62" s="134" t="n">
        <v>397.414</v>
      </c>
      <c r="C62" s="135" t="n">
        <v>0.224307648950465</v>
      </c>
      <c r="D62" s="136" t="n">
        <v>0.0125763058171076</v>
      </c>
      <c r="E62" s="136" t="n">
        <v>0.135410428419734</v>
      </c>
      <c r="F62" s="136" t="n">
        <v>0.583129935029969</v>
      </c>
      <c r="G62" s="136" t="n">
        <v>0.0445756817827253</v>
      </c>
      <c r="K62" s="217"/>
      <c r="L62" s="217"/>
      <c r="M62" s="218"/>
      <c r="N62" s="219"/>
    </row>
    <row r="63" customFormat="false" ht="13.5" hidden="false" customHeight="false" outlineLevel="0" collapsed="false">
      <c r="A63" s="108" t="s">
        <v>52</v>
      </c>
      <c r="B63" s="168" t="n">
        <v>249.588</v>
      </c>
      <c r="C63" s="169" t="n">
        <v>0.0444853117938362</v>
      </c>
      <c r="D63" s="170" t="n">
        <v>0.0189472250268442</v>
      </c>
      <c r="E63" s="170" t="n">
        <v>0.0300735612289052</v>
      </c>
      <c r="F63" s="170" t="n">
        <v>0.800631440614132</v>
      </c>
      <c r="G63" s="170" t="n">
        <v>0.105862461336282</v>
      </c>
      <c r="K63" s="217"/>
      <c r="L63" s="217"/>
      <c r="M63" s="218"/>
      <c r="N63" s="219"/>
    </row>
    <row r="64" customFormat="false" ht="12" hidden="false" customHeight="false" outlineLevel="0" collapsed="false">
      <c r="A64" s="108" t="s">
        <v>77</v>
      </c>
      <c r="B64" s="168" t="n">
        <v>266.137568798835</v>
      </c>
      <c r="C64" s="169" t="n">
        <v>0.0415321134558616</v>
      </c>
      <c r="D64" s="170" t="n">
        <v>0.0141364766476437</v>
      </c>
      <c r="E64" s="170" t="n">
        <v>0.688826998140885</v>
      </c>
      <c r="F64" s="170" t="n">
        <v>0.0506168008743696</v>
      </c>
      <c r="G64" s="170" t="n">
        <v>0.20488761088124</v>
      </c>
      <c r="K64" s="217"/>
      <c r="L64" s="217"/>
      <c r="M64" s="218"/>
      <c r="N64" s="219"/>
    </row>
    <row r="65" customFormat="false" ht="12" hidden="false" customHeight="false" outlineLevel="0" collapsed="false">
      <c r="A65" s="220" t="s">
        <v>115</v>
      </c>
      <c r="B65" s="174" t="n">
        <v>13.41</v>
      </c>
      <c r="C65" s="175" t="n">
        <v>0.0529455630126771</v>
      </c>
      <c r="D65" s="176" t="n">
        <v>0</v>
      </c>
      <c r="E65" s="176" t="n">
        <v>0</v>
      </c>
      <c r="F65" s="176" t="n">
        <v>0.473527218493662</v>
      </c>
      <c r="G65" s="176" t="n">
        <v>0.473527218493662</v>
      </c>
      <c r="K65" s="217"/>
      <c r="L65" s="217"/>
      <c r="M65" s="217"/>
      <c r="N65" s="219"/>
    </row>
    <row r="67" customFormat="false" ht="13.5" hidden="false" customHeight="false" outlineLevel="0" collapsed="false">
      <c r="A67" s="221" t="s">
        <v>117</v>
      </c>
    </row>
    <row r="68" customFormat="false" ht="12" hidden="false" customHeight="false" outlineLevel="0" collapsed="false">
      <c r="A68" s="222" t="s">
        <v>118</v>
      </c>
    </row>
    <row r="69" customFormat="false" ht="13.5" hidden="false" customHeight="false" outlineLevel="0" collapsed="false">
      <c r="A69" s="223" t="s">
        <v>119</v>
      </c>
    </row>
    <row r="70" customFormat="false" ht="13.5" hidden="false" customHeight="false" outlineLevel="0" collapsed="false">
      <c r="A70" s="223" t="s">
        <v>123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3:43 A1"/>
    </sheetView>
  </sheetViews>
  <sheetFormatPr defaultColWidth="9.1484375" defaultRowHeight="12" zeroHeight="false" outlineLevelRow="0" outlineLevelCol="0"/>
  <cols>
    <col collapsed="false" customWidth="true" hidden="false" outlineLevel="0" max="1" min="1" style="19" width="21.71"/>
    <col collapsed="false" customWidth="true" hidden="false" outlineLevel="0" max="2" min="2" style="15" width="10.71"/>
    <col collapsed="false" customWidth="true" hidden="false" outlineLevel="0" max="5" min="3" style="16" width="10.71"/>
    <col collapsed="false" customWidth="true" hidden="false" outlineLevel="0" max="7" min="6" style="19" width="10.71"/>
    <col collapsed="false" customWidth="true" hidden="false" outlineLevel="0" max="9" min="8" style="16" width="10.71"/>
    <col collapsed="false" customWidth="true" hidden="false" outlineLevel="0" max="10" min="10" style="15" width="10.71"/>
    <col collapsed="false" customWidth="false" hidden="false" outlineLevel="0" max="230" min="11" style="19" width="9.14"/>
    <col collapsed="false" customWidth="true" hidden="false" outlineLevel="0" max="231" min="231" style="19" width="21.71"/>
    <col collapsed="false" customWidth="true" hidden="false" outlineLevel="0" max="232" min="232" style="19" width="9.71"/>
    <col collapsed="false" customWidth="false" hidden="false" outlineLevel="0" max="235" min="233" style="19" width="9.14"/>
    <col collapsed="false" customWidth="true" hidden="false" outlineLevel="0" max="236" min="236" style="19" width="10.71"/>
    <col collapsed="false" customWidth="true" hidden="false" outlineLevel="0" max="237" min="237" style="19" width="9.57"/>
    <col collapsed="false" customWidth="false" hidden="false" outlineLevel="0" max="486" min="238" style="19" width="9.14"/>
    <col collapsed="false" customWidth="true" hidden="false" outlineLevel="0" max="487" min="487" style="19" width="21.71"/>
    <col collapsed="false" customWidth="true" hidden="false" outlineLevel="0" max="488" min="488" style="19" width="9.71"/>
    <col collapsed="false" customWidth="false" hidden="false" outlineLevel="0" max="491" min="489" style="19" width="9.14"/>
    <col collapsed="false" customWidth="true" hidden="false" outlineLevel="0" max="492" min="492" style="19" width="10.71"/>
    <col collapsed="false" customWidth="true" hidden="false" outlineLevel="0" max="493" min="493" style="19" width="9.57"/>
    <col collapsed="false" customWidth="false" hidden="false" outlineLevel="0" max="742" min="494" style="19" width="9.14"/>
    <col collapsed="false" customWidth="true" hidden="false" outlineLevel="0" max="743" min="743" style="19" width="21.71"/>
    <col collapsed="false" customWidth="true" hidden="false" outlineLevel="0" max="744" min="744" style="19" width="9.71"/>
    <col collapsed="false" customWidth="false" hidden="false" outlineLevel="0" max="747" min="745" style="19" width="9.14"/>
    <col collapsed="false" customWidth="true" hidden="false" outlineLevel="0" max="748" min="748" style="19" width="10.71"/>
    <col collapsed="false" customWidth="true" hidden="false" outlineLevel="0" max="749" min="749" style="19" width="9.57"/>
    <col collapsed="false" customWidth="false" hidden="false" outlineLevel="0" max="998" min="750" style="19" width="9.14"/>
    <col collapsed="false" customWidth="true" hidden="false" outlineLevel="0" max="999" min="999" style="19" width="21.71"/>
    <col collapsed="false" customWidth="true" hidden="false" outlineLevel="0" max="1000" min="1000" style="19" width="9.71"/>
    <col collapsed="false" customWidth="false" hidden="false" outlineLevel="0" max="1003" min="1001" style="19" width="9.14"/>
    <col collapsed="false" customWidth="true" hidden="false" outlineLevel="0" max="1004" min="1004" style="19" width="10.71"/>
    <col collapsed="false" customWidth="true" hidden="false" outlineLevel="0" max="1005" min="1005" style="19" width="9.57"/>
    <col collapsed="false" customWidth="false" hidden="false" outlineLevel="0" max="1254" min="1006" style="19" width="9.14"/>
    <col collapsed="false" customWidth="true" hidden="false" outlineLevel="0" max="1255" min="1255" style="19" width="21.71"/>
    <col collapsed="false" customWidth="true" hidden="false" outlineLevel="0" max="1256" min="1256" style="19" width="9.71"/>
    <col collapsed="false" customWidth="false" hidden="false" outlineLevel="0" max="1259" min="1257" style="19" width="9.14"/>
    <col collapsed="false" customWidth="true" hidden="false" outlineLevel="0" max="1260" min="1260" style="19" width="10.71"/>
    <col collapsed="false" customWidth="true" hidden="false" outlineLevel="0" max="1261" min="1261" style="19" width="9.57"/>
    <col collapsed="false" customWidth="false" hidden="false" outlineLevel="0" max="1510" min="1262" style="19" width="9.14"/>
    <col collapsed="false" customWidth="true" hidden="false" outlineLevel="0" max="1511" min="1511" style="19" width="21.71"/>
    <col collapsed="false" customWidth="true" hidden="false" outlineLevel="0" max="1512" min="1512" style="19" width="9.71"/>
    <col collapsed="false" customWidth="false" hidden="false" outlineLevel="0" max="1515" min="1513" style="19" width="9.14"/>
    <col collapsed="false" customWidth="true" hidden="false" outlineLevel="0" max="1516" min="1516" style="19" width="10.71"/>
    <col collapsed="false" customWidth="true" hidden="false" outlineLevel="0" max="1517" min="1517" style="19" width="9.57"/>
    <col collapsed="false" customWidth="false" hidden="false" outlineLevel="0" max="1766" min="1518" style="19" width="9.14"/>
    <col collapsed="false" customWidth="true" hidden="false" outlineLevel="0" max="1767" min="1767" style="19" width="21.71"/>
    <col collapsed="false" customWidth="true" hidden="false" outlineLevel="0" max="1768" min="1768" style="19" width="9.71"/>
    <col collapsed="false" customWidth="false" hidden="false" outlineLevel="0" max="1771" min="1769" style="19" width="9.14"/>
    <col collapsed="false" customWidth="true" hidden="false" outlineLevel="0" max="1772" min="1772" style="19" width="10.71"/>
    <col collapsed="false" customWidth="true" hidden="false" outlineLevel="0" max="1773" min="1773" style="19" width="9.57"/>
    <col collapsed="false" customWidth="false" hidden="false" outlineLevel="0" max="2022" min="1774" style="19" width="9.14"/>
    <col collapsed="false" customWidth="true" hidden="false" outlineLevel="0" max="2023" min="2023" style="19" width="21.71"/>
    <col collapsed="false" customWidth="true" hidden="false" outlineLevel="0" max="2024" min="2024" style="19" width="9.71"/>
    <col collapsed="false" customWidth="false" hidden="false" outlineLevel="0" max="2027" min="2025" style="19" width="9.14"/>
    <col collapsed="false" customWidth="true" hidden="false" outlineLevel="0" max="2028" min="2028" style="19" width="10.71"/>
    <col collapsed="false" customWidth="true" hidden="false" outlineLevel="0" max="2029" min="2029" style="19" width="9.57"/>
    <col collapsed="false" customWidth="false" hidden="false" outlineLevel="0" max="2278" min="2030" style="19" width="9.14"/>
    <col collapsed="false" customWidth="true" hidden="false" outlineLevel="0" max="2279" min="2279" style="19" width="21.71"/>
    <col collapsed="false" customWidth="true" hidden="false" outlineLevel="0" max="2280" min="2280" style="19" width="9.71"/>
    <col collapsed="false" customWidth="false" hidden="false" outlineLevel="0" max="2283" min="2281" style="19" width="9.14"/>
    <col collapsed="false" customWidth="true" hidden="false" outlineLevel="0" max="2284" min="2284" style="19" width="10.71"/>
    <col collapsed="false" customWidth="true" hidden="false" outlineLevel="0" max="2285" min="2285" style="19" width="9.57"/>
    <col collapsed="false" customWidth="false" hidden="false" outlineLevel="0" max="2534" min="2286" style="19" width="9.14"/>
    <col collapsed="false" customWidth="true" hidden="false" outlineLevel="0" max="2535" min="2535" style="19" width="21.71"/>
    <col collapsed="false" customWidth="true" hidden="false" outlineLevel="0" max="2536" min="2536" style="19" width="9.71"/>
    <col collapsed="false" customWidth="false" hidden="false" outlineLevel="0" max="2539" min="2537" style="19" width="9.14"/>
    <col collapsed="false" customWidth="true" hidden="false" outlineLevel="0" max="2540" min="2540" style="19" width="10.71"/>
    <col collapsed="false" customWidth="true" hidden="false" outlineLevel="0" max="2541" min="2541" style="19" width="9.57"/>
    <col collapsed="false" customWidth="false" hidden="false" outlineLevel="0" max="2790" min="2542" style="19" width="9.14"/>
    <col collapsed="false" customWidth="true" hidden="false" outlineLevel="0" max="2791" min="2791" style="19" width="21.71"/>
    <col collapsed="false" customWidth="true" hidden="false" outlineLevel="0" max="2792" min="2792" style="19" width="9.71"/>
    <col collapsed="false" customWidth="false" hidden="false" outlineLevel="0" max="2795" min="2793" style="19" width="9.14"/>
    <col collapsed="false" customWidth="true" hidden="false" outlineLevel="0" max="2796" min="2796" style="19" width="10.71"/>
    <col collapsed="false" customWidth="true" hidden="false" outlineLevel="0" max="2797" min="2797" style="19" width="9.57"/>
    <col collapsed="false" customWidth="false" hidden="false" outlineLevel="0" max="3046" min="2798" style="19" width="9.14"/>
    <col collapsed="false" customWidth="true" hidden="false" outlineLevel="0" max="3047" min="3047" style="19" width="21.71"/>
    <col collapsed="false" customWidth="true" hidden="false" outlineLevel="0" max="3048" min="3048" style="19" width="9.71"/>
    <col collapsed="false" customWidth="false" hidden="false" outlineLevel="0" max="3051" min="3049" style="19" width="9.14"/>
    <col collapsed="false" customWidth="true" hidden="false" outlineLevel="0" max="3052" min="3052" style="19" width="10.71"/>
    <col collapsed="false" customWidth="true" hidden="false" outlineLevel="0" max="3053" min="3053" style="19" width="9.57"/>
    <col collapsed="false" customWidth="false" hidden="false" outlineLevel="0" max="3302" min="3054" style="19" width="9.14"/>
    <col collapsed="false" customWidth="true" hidden="false" outlineLevel="0" max="3303" min="3303" style="19" width="21.71"/>
    <col collapsed="false" customWidth="true" hidden="false" outlineLevel="0" max="3304" min="3304" style="19" width="9.71"/>
    <col collapsed="false" customWidth="false" hidden="false" outlineLevel="0" max="3307" min="3305" style="19" width="9.14"/>
    <col collapsed="false" customWidth="true" hidden="false" outlineLevel="0" max="3308" min="3308" style="19" width="10.71"/>
    <col collapsed="false" customWidth="true" hidden="false" outlineLevel="0" max="3309" min="3309" style="19" width="9.57"/>
    <col collapsed="false" customWidth="false" hidden="false" outlineLevel="0" max="3558" min="3310" style="19" width="9.14"/>
    <col collapsed="false" customWidth="true" hidden="false" outlineLevel="0" max="3559" min="3559" style="19" width="21.71"/>
    <col collapsed="false" customWidth="true" hidden="false" outlineLevel="0" max="3560" min="3560" style="19" width="9.71"/>
    <col collapsed="false" customWidth="false" hidden="false" outlineLevel="0" max="3563" min="3561" style="19" width="9.14"/>
    <col collapsed="false" customWidth="true" hidden="false" outlineLevel="0" max="3564" min="3564" style="19" width="10.71"/>
    <col collapsed="false" customWidth="true" hidden="false" outlineLevel="0" max="3565" min="3565" style="19" width="9.57"/>
    <col collapsed="false" customWidth="false" hidden="false" outlineLevel="0" max="3814" min="3566" style="19" width="9.14"/>
    <col collapsed="false" customWidth="true" hidden="false" outlineLevel="0" max="3815" min="3815" style="19" width="21.71"/>
    <col collapsed="false" customWidth="true" hidden="false" outlineLevel="0" max="3816" min="3816" style="19" width="9.71"/>
    <col collapsed="false" customWidth="false" hidden="false" outlineLevel="0" max="3819" min="3817" style="19" width="9.14"/>
    <col collapsed="false" customWidth="true" hidden="false" outlineLevel="0" max="3820" min="3820" style="19" width="10.71"/>
    <col collapsed="false" customWidth="true" hidden="false" outlineLevel="0" max="3821" min="3821" style="19" width="9.57"/>
    <col collapsed="false" customWidth="false" hidden="false" outlineLevel="0" max="4070" min="3822" style="19" width="9.14"/>
    <col collapsed="false" customWidth="true" hidden="false" outlineLevel="0" max="4071" min="4071" style="19" width="21.71"/>
    <col collapsed="false" customWidth="true" hidden="false" outlineLevel="0" max="4072" min="4072" style="19" width="9.71"/>
    <col collapsed="false" customWidth="false" hidden="false" outlineLevel="0" max="4075" min="4073" style="19" width="9.14"/>
    <col collapsed="false" customWidth="true" hidden="false" outlineLevel="0" max="4076" min="4076" style="19" width="10.71"/>
    <col collapsed="false" customWidth="true" hidden="false" outlineLevel="0" max="4077" min="4077" style="19" width="9.57"/>
    <col collapsed="false" customWidth="false" hidden="false" outlineLevel="0" max="4326" min="4078" style="19" width="9.14"/>
    <col collapsed="false" customWidth="true" hidden="false" outlineLevel="0" max="4327" min="4327" style="19" width="21.71"/>
    <col collapsed="false" customWidth="true" hidden="false" outlineLevel="0" max="4328" min="4328" style="19" width="9.71"/>
    <col collapsed="false" customWidth="false" hidden="false" outlineLevel="0" max="4331" min="4329" style="19" width="9.14"/>
    <col collapsed="false" customWidth="true" hidden="false" outlineLevel="0" max="4332" min="4332" style="19" width="10.71"/>
    <col collapsed="false" customWidth="true" hidden="false" outlineLevel="0" max="4333" min="4333" style="19" width="9.57"/>
    <col collapsed="false" customWidth="false" hidden="false" outlineLevel="0" max="4582" min="4334" style="19" width="9.14"/>
    <col collapsed="false" customWidth="true" hidden="false" outlineLevel="0" max="4583" min="4583" style="19" width="21.71"/>
    <col collapsed="false" customWidth="true" hidden="false" outlineLevel="0" max="4584" min="4584" style="19" width="9.71"/>
    <col collapsed="false" customWidth="false" hidden="false" outlineLevel="0" max="4587" min="4585" style="19" width="9.14"/>
    <col collapsed="false" customWidth="true" hidden="false" outlineLevel="0" max="4588" min="4588" style="19" width="10.71"/>
    <col collapsed="false" customWidth="true" hidden="false" outlineLevel="0" max="4589" min="4589" style="19" width="9.57"/>
    <col collapsed="false" customWidth="false" hidden="false" outlineLevel="0" max="4838" min="4590" style="19" width="9.14"/>
    <col collapsed="false" customWidth="true" hidden="false" outlineLevel="0" max="4839" min="4839" style="19" width="21.71"/>
    <col collapsed="false" customWidth="true" hidden="false" outlineLevel="0" max="4840" min="4840" style="19" width="9.71"/>
    <col collapsed="false" customWidth="false" hidden="false" outlineLevel="0" max="4843" min="4841" style="19" width="9.14"/>
    <col collapsed="false" customWidth="true" hidden="false" outlineLevel="0" max="4844" min="4844" style="19" width="10.71"/>
    <col collapsed="false" customWidth="true" hidden="false" outlineLevel="0" max="4845" min="4845" style="19" width="9.57"/>
    <col collapsed="false" customWidth="false" hidden="false" outlineLevel="0" max="5094" min="4846" style="19" width="9.14"/>
    <col collapsed="false" customWidth="true" hidden="false" outlineLevel="0" max="5095" min="5095" style="19" width="21.71"/>
    <col collapsed="false" customWidth="true" hidden="false" outlineLevel="0" max="5096" min="5096" style="19" width="9.71"/>
    <col collapsed="false" customWidth="false" hidden="false" outlineLevel="0" max="5099" min="5097" style="19" width="9.14"/>
    <col collapsed="false" customWidth="true" hidden="false" outlineLevel="0" max="5100" min="5100" style="19" width="10.71"/>
    <col collapsed="false" customWidth="true" hidden="false" outlineLevel="0" max="5101" min="5101" style="19" width="9.57"/>
    <col collapsed="false" customWidth="false" hidden="false" outlineLevel="0" max="5350" min="5102" style="19" width="9.14"/>
    <col collapsed="false" customWidth="true" hidden="false" outlineLevel="0" max="5351" min="5351" style="19" width="21.71"/>
    <col collapsed="false" customWidth="true" hidden="false" outlineLevel="0" max="5352" min="5352" style="19" width="9.71"/>
    <col collapsed="false" customWidth="false" hidden="false" outlineLevel="0" max="5355" min="5353" style="19" width="9.14"/>
    <col collapsed="false" customWidth="true" hidden="false" outlineLevel="0" max="5356" min="5356" style="19" width="10.71"/>
    <col collapsed="false" customWidth="true" hidden="false" outlineLevel="0" max="5357" min="5357" style="19" width="9.57"/>
    <col collapsed="false" customWidth="false" hidden="false" outlineLevel="0" max="5606" min="5358" style="19" width="9.14"/>
    <col collapsed="false" customWidth="true" hidden="false" outlineLevel="0" max="5607" min="5607" style="19" width="21.71"/>
    <col collapsed="false" customWidth="true" hidden="false" outlineLevel="0" max="5608" min="5608" style="19" width="9.71"/>
    <col collapsed="false" customWidth="false" hidden="false" outlineLevel="0" max="5611" min="5609" style="19" width="9.14"/>
    <col collapsed="false" customWidth="true" hidden="false" outlineLevel="0" max="5612" min="5612" style="19" width="10.71"/>
    <col collapsed="false" customWidth="true" hidden="false" outlineLevel="0" max="5613" min="5613" style="19" width="9.57"/>
    <col collapsed="false" customWidth="false" hidden="false" outlineLevel="0" max="5862" min="5614" style="19" width="9.14"/>
    <col collapsed="false" customWidth="true" hidden="false" outlineLevel="0" max="5863" min="5863" style="19" width="21.71"/>
    <col collapsed="false" customWidth="true" hidden="false" outlineLevel="0" max="5864" min="5864" style="19" width="9.71"/>
    <col collapsed="false" customWidth="false" hidden="false" outlineLevel="0" max="5867" min="5865" style="19" width="9.14"/>
    <col collapsed="false" customWidth="true" hidden="false" outlineLevel="0" max="5868" min="5868" style="19" width="10.71"/>
    <col collapsed="false" customWidth="true" hidden="false" outlineLevel="0" max="5869" min="5869" style="19" width="9.57"/>
    <col collapsed="false" customWidth="false" hidden="false" outlineLevel="0" max="6118" min="5870" style="19" width="9.14"/>
    <col collapsed="false" customWidth="true" hidden="false" outlineLevel="0" max="6119" min="6119" style="19" width="21.71"/>
    <col collapsed="false" customWidth="true" hidden="false" outlineLevel="0" max="6120" min="6120" style="19" width="9.71"/>
    <col collapsed="false" customWidth="false" hidden="false" outlineLevel="0" max="6123" min="6121" style="19" width="9.14"/>
    <col collapsed="false" customWidth="true" hidden="false" outlineLevel="0" max="6124" min="6124" style="19" width="10.71"/>
    <col collapsed="false" customWidth="true" hidden="false" outlineLevel="0" max="6125" min="6125" style="19" width="9.57"/>
    <col collapsed="false" customWidth="false" hidden="false" outlineLevel="0" max="6374" min="6126" style="19" width="9.14"/>
    <col collapsed="false" customWidth="true" hidden="false" outlineLevel="0" max="6375" min="6375" style="19" width="21.71"/>
    <col collapsed="false" customWidth="true" hidden="false" outlineLevel="0" max="6376" min="6376" style="19" width="9.71"/>
    <col collapsed="false" customWidth="false" hidden="false" outlineLevel="0" max="6379" min="6377" style="19" width="9.14"/>
    <col collapsed="false" customWidth="true" hidden="false" outlineLevel="0" max="6380" min="6380" style="19" width="10.71"/>
    <col collapsed="false" customWidth="true" hidden="false" outlineLevel="0" max="6381" min="6381" style="19" width="9.57"/>
    <col collapsed="false" customWidth="false" hidden="false" outlineLevel="0" max="6630" min="6382" style="19" width="9.14"/>
    <col collapsed="false" customWidth="true" hidden="false" outlineLevel="0" max="6631" min="6631" style="19" width="21.71"/>
    <col collapsed="false" customWidth="true" hidden="false" outlineLevel="0" max="6632" min="6632" style="19" width="9.71"/>
    <col collapsed="false" customWidth="false" hidden="false" outlineLevel="0" max="6635" min="6633" style="19" width="9.14"/>
    <col collapsed="false" customWidth="true" hidden="false" outlineLevel="0" max="6636" min="6636" style="19" width="10.71"/>
    <col collapsed="false" customWidth="true" hidden="false" outlineLevel="0" max="6637" min="6637" style="19" width="9.57"/>
    <col collapsed="false" customWidth="false" hidden="false" outlineLevel="0" max="6886" min="6638" style="19" width="9.14"/>
    <col collapsed="false" customWidth="true" hidden="false" outlineLevel="0" max="6887" min="6887" style="19" width="21.71"/>
    <col collapsed="false" customWidth="true" hidden="false" outlineLevel="0" max="6888" min="6888" style="19" width="9.71"/>
    <col collapsed="false" customWidth="false" hidden="false" outlineLevel="0" max="6891" min="6889" style="19" width="9.14"/>
    <col collapsed="false" customWidth="true" hidden="false" outlineLevel="0" max="6892" min="6892" style="19" width="10.71"/>
    <col collapsed="false" customWidth="true" hidden="false" outlineLevel="0" max="6893" min="6893" style="19" width="9.57"/>
    <col collapsed="false" customWidth="false" hidden="false" outlineLevel="0" max="7142" min="6894" style="19" width="9.14"/>
    <col collapsed="false" customWidth="true" hidden="false" outlineLevel="0" max="7143" min="7143" style="19" width="21.71"/>
    <col collapsed="false" customWidth="true" hidden="false" outlineLevel="0" max="7144" min="7144" style="19" width="9.71"/>
    <col collapsed="false" customWidth="false" hidden="false" outlineLevel="0" max="7147" min="7145" style="19" width="9.14"/>
    <col collapsed="false" customWidth="true" hidden="false" outlineLevel="0" max="7148" min="7148" style="19" width="10.71"/>
    <col collapsed="false" customWidth="true" hidden="false" outlineLevel="0" max="7149" min="7149" style="19" width="9.57"/>
    <col collapsed="false" customWidth="false" hidden="false" outlineLevel="0" max="7398" min="7150" style="19" width="9.14"/>
    <col collapsed="false" customWidth="true" hidden="false" outlineLevel="0" max="7399" min="7399" style="19" width="21.71"/>
    <col collapsed="false" customWidth="true" hidden="false" outlineLevel="0" max="7400" min="7400" style="19" width="9.71"/>
    <col collapsed="false" customWidth="false" hidden="false" outlineLevel="0" max="7403" min="7401" style="19" width="9.14"/>
    <col collapsed="false" customWidth="true" hidden="false" outlineLevel="0" max="7404" min="7404" style="19" width="10.71"/>
    <col collapsed="false" customWidth="true" hidden="false" outlineLevel="0" max="7405" min="7405" style="19" width="9.57"/>
    <col collapsed="false" customWidth="false" hidden="false" outlineLevel="0" max="7654" min="7406" style="19" width="9.14"/>
    <col collapsed="false" customWidth="true" hidden="false" outlineLevel="0" max="7655" min="7655" style="19" width="21.71"/>
    <col collapsed="false" customWidth="true" hidden="false" outlineLevel="0" max="7656" min="7656" style="19" width="9.71"/>
    <col collapsed="false" customWidth="false" hidden="false" outlineLevel="0" max="7659" min="7657" style="19" width="9.14"/>
    <col collapsed="false" customWidth="true" hidden="false" outlineLevel="0" max="7660" min="7660" style="19" width="10.71"/>
    <col collapsed="false" customWidth="true" hidden="false" outlineLevel="0" max="7661" min="7661" style="19" width="9.57"/>
    <col collapsed="false" customWidth="false" hidden="false" outlineLevel="0" max="7910" min="7662" style="19" width="9.14"/>
    <col collapsed="false" customWidth="true" hidden="false" outlineLevel="0" max="7911" min="7911" style="19" width="21.71"/>
    <col collapsed="false" customWidth="true" hidden="false" outlineLevel="0" max="7912" min="7912" style="19" width="9.71"/>
    <col collapsed="false" customWidth="false" hidden="false" outlineLevel="0" max="7915" min="7913" style="19" width="9.14"/>
    <col collapsed="false" customWidth="true" hidden="false" outlineLevel="0" max="7916" min="7916" style="19" width="10.71"/>
    <col collapsed="false" customWidth="true" hidden="false" outlineLevel="0" max="7917" min="7917" style="19" width="9.57"/>
    <col collapsed="false" customWidth="false" hidden="false" outlineLevel="0" max="8166" min="7918" style="19" width="9.14"/>
    <col collapsed="false" customWidth="true" hidden="false" outlineLevel="0" max="8167" min="8167" style="19" width="21.71"/>
    <col collapsed="false" customWidth="true" hidden="false" outlineLevel="0" max="8168" min="8168" style="19" width="9.71"/>
    <col collapsed="false" customWidth="false" hidden="false" outlineLevel="0" max="8171" min="8169" style="19" width="9.14"/>
    <col collapsed="false" customWidth="true" hidden="false" outlineLevel="0" max="8172" min="8172" style="19" width="10.71"/>
    <col collapsed="false" customWidth="true" hidden="false" outlineLevel="0" max="8173" min="8173" style="19" width="9.57"/>
    <col collapsed="false" customWidth="false" hidden="false" outlineLevel="0" max="8422" min="8174" style="19" width="9.14"/>
    <col collapsed="false" customWidth="true" hidden="false" outlineLevel="0" max="8423" min="8423" style="19" width="21.71"/>
    <col collapsed="false" customWidth="true" hidden="false" outlineLevel="0" max="8424" min="8424" style="19" width="9.71"/>
    <col collapsed="false" customWidth="false" hidden="false" outlineLevel="0" max="8427" min="8425" style="19" width="9.14"/>
    <col collapsed="false" customWidth="true" hidden="false" outlineLevel="0" max="8428" min="8428" style="19" width="10.71"/>
    <col collapsed="false" customWidth="true" hidden="false" outlineLevel="0" max="8429" min="8429" style="19" width="9.57"/>
    <col collapsed="false" customWidth="false" hidden="false" outlineLevel="0" max="8678" min="8430" style="19" width="9.14"/>
    <col collapsed="false" customWidth="true" hidden="false" outlineLevel="0" max="8679" min="8679" style="19" width="21.71"/>
    <col collapsed="false" customWidth="true" hidden="false" outlineLevel="0" max="8680" min="8680" style="19" width="9.71"/>
    <col collapsed="false" customWidth="false" hidden="false" outlineLevel="0" max="8683" min="8681" style="19" width="9.14"/>
    <col collapsed="false" customWidth="true" hidden="false" outlineLevel="0" max="8684" min="8684" style="19" width="10.71"/>
    <col collapsed="false" customWidth="true" hidden="false" outlineLevel="0" max="8685" min="8685" style="19" width="9.57"/>
    <col collapsed="false" customWidth="false" hidden="false" outlineLevel="0" max="8934" min="8686" style="19" width="9.14"/>
    <col collapsed="false" customWidth="true" hidden="false" outlineLevel="0" max="8935" min="8935" style="19" width="21.71"/>
    <col collapsed="false" customWidth="true" hidden="false" outlineLevel="0" max="8936" min="8936" style="19" width="9.71"/>
    <col collapsed="false" customWidth="false" hidden="false" outlineLevel="0" max="8939" min="8937" style="19" width="9.14"/>
    <col collapsed="false" customWidth="true" hidden="false" outlineLevel="0" max="8940" min="8940" style="19" width="10.71"/>
    <col collapsed="false" customWidth="true" hidden="false" outlineLevel="0" max="8941" min="8941" style="19" width="9.57"/>
    <col collapsed="false" customWidth="false" hidden="false" outlineLevel="0" max="9190" min="8942" style="19" width="9.14"/>
    <col collapsed="false" customWidth="true" hidden="false" outlineLevel="0" max="9191" min="9191" style="19" width="21.71"/>
    <col collapsed="false" customWidth="true" hidden="false" outlineLevel="0" max="9192" min="9192" style="19" width="9.71"/>
    <col collapsed="false" customWidth="false" hidden="false" outlineLevel="0" max="9195" min="9193" style="19" width="9.14"/>
    <col collapsed="false" customWidth="true" hidden="false" outlineLevel="0" max="9196" min="9196" style="19" width="10.71"/>
    <col collapsed="false" customWidth="true" hidden="false" outlineLevel="0" max="9197" min="9197" style="19" width="9.57"/>
    <col collapsed="false" customWidth="false" hidden="false" outlineLevel="0" max="9446" min="9198" style="19" width="9.14"/>
    <col collapsed="false" customWidth="true" hidden="false" outlineLevel="0" max="9447" min="9447" style="19" width="21.71"/>
    <col collapsed="false" customWidth="true" hidden="false" outlineLevel="0" max="9448" min="9448" style="19" width="9.71"/>
    <col collapsed="false" customWidth="false" hidden="false" outlineLevel="0" max="9451" min="9449" style="19" width="9.14"/>
    <col collapsed="false" customWidth="true" hidden="false" outlineLevel="0" max="9452" min="9452" style="19" width="10.71"/>
    <col collapsed="false" customWidth="true" hidden="false" outlineLevel="0" max="9453" min="9453" style="19" width="9.57"/>
    <col collapsed="false" customWidth="false" hidden="false" outlineLevel="0" max="9702" min="9454" style="19" width="9.14"/>
    <col collapsed="false" customWidth="true" hidden="false" outlineLevel="0" max="9703" min="9703" style="19" width="21.71"/>
    <col collapsed="false" customWidth="true" hidden="false" outlineLevel="0" max="9704" min="9704" style="19" width="9.71"/>
    <col collapsed="false" customWidth="false" hidden="false" outlineLevel="0" max="9707" min="9705" style="19" width="9.14"/>
    <col collapsed="false" customWidth="true" hidden="false" outlineLevel="0" max="9708" min="9708" style="19" width="10.71"/>
    <col collapsed="false" customWidth="true" hidden="false" outlineLevel="0" max="9709" min="9709" style="19" width="9.57"/>
    <col collapsed="false" customWidth="false" hidden="false" outlineLevel="0" max="9958" min="9710" style="19" width="9.14"/>
    <col collapsed="false" customWidth="true" hidden="false" outlineLevel="0" max="9959" min="9959" style="19" width="21.71"/>
    <col collapsed="false" customWidth="true" hidden="false" outlineLevel="0" max="9960" min="9960" style="19" width="9.71"/>
    <col collapsed="false" customWidth="false" hidden="false" outlineLevel="0" max="9963" min="9961" style="19" width="9.14"/>
    <col collapsed="false" customWidth="true" hidden="false" outlineLevel="0" max="9964" min="9964" style="19" width="10.71"/>
    <col collapsed="false" customWidth="true" hidden="false" outlineLevel="0" max="9965" min="9965" style="19" width="9.57"/>
    <col collapsed="false" customWidth="false" hidden="false" outlineLevel="0" max="10214" min="9966" style="19" width="9.14"/>
    <col collapsed="false" customWidth="true" hidden="false" outlineLevel="0" max="10215" min="10215" style="19" width="21.71"/>
    <col collapsed="false" customWidth="true" hidden="false" outlineLevel="0" max="10216" min="10216" style="19" width="9.71"/>
    <col collapsed="false" customWidth="false" hidden="false" outlineLevel="0" max="10219" min="10217" style="19" width="9.14"/>
    <col collapsed="false" customWidth="true" hidden="false" outlineLevel="0" max="10220" min="10220" style="19" width="10.71"/>
    <col collapsed="false" customWidth="true" hidden="false" outlineLevel="0" max="10221" min="10221" style="19" width="9.57"/>
    <col collapsed="false" customWidth="false" hidden="false" outlineLevel="0" max="10470" min="10222" style="19" width="9.14"/>
    <col collapsed="false" customWidth="true" hidden="false" outlineLevel="0" max="10471" min="10471" style="19" width="21.71"/>
    <col collapsed="false" customWidth="true" hidden="false" outlineLevel="0" max="10472" min="10472" style="19" width="9.71"/>
    <col collapsed="false" customWidth="false" hidden="false" outlineLevel="0" max="10475" min="10473" style="19" width="9.14"/>
    <col collapsed="false" customWidth="true" hidden="false" outlineLevel="0" max="10476" min="10476" style="19" width="10.71"/>
    <col collapsed="false" customWidth="true" hidden="false" outlineLevel="0" max="10477" min="10477" style="19" width="9.57"/>
    <col collapsed="false" customWidth="false" hidden="false" outlineLevel="0" max="10726" min="10478" style="19" width="9.14"/>
    <col collapsed="false" customWidth="true" hidden="false" outlineLevel="0" max="10727" min="10727" style="19" width="21.71"/>
    <col collapsed="false" customWidth="true" hidden="false" outlineLevel="0" max="10728" min="10728" style="19" width="9.71"/>
    <col collapsed="false" customWidth="false" hidden="false" outlineLevel="0" max="10731" min="10729" style="19" width="9.14"/>
    <col collapsed="false" customWidth="true" hidden="false" outlineLevel="0" max="10732" min="10732" style="19" width="10.71"/>
    <col collapsed="false" customWidth="true" hidden="false" outlineLevel="0" max="10733" min="10733" style="19" width="9.57"/>
    <col collapsed="false" customWidth="false" hidden="false" outlineLevel="0" max="10982" min="10734" style="19" width="9.14"/>
    <col collapsed="false" customWidth="true" hidden="false" outlineLevel="0" max="10983" min="10983" style="19" width="21.71"/>
    <col collapsed="false" customWidth="true" hidden="false" outlineLevel="0" max="10984" min="10984" style="19" width="9.71"/>
    <col collapsed="false" customWidth="false" hidden="false" outlineLevel="0" max="10987" min="10985" style="19" width="9.14"/>
    <col collapsed="false" customWidth="true" hidden="false" outlineLevel="0" max="10988" min="10988" style="19" width="10.71"/>
    <col collapsed="false" customWidth="true" hidden="false" outlineLevel="0" max="10989" min="10989" style="19" width="9.57"/>
    <col collapsed="false" customWidth="false" hidden="false" outlineLevel="0" max="11238" min="10990" style="19" width="9.14"/>
    <col collapsed="false" customWidth="true" hidden="false" outlineLevel="0" max="11239" min="11239" style="19" width="21.71"/>
    <col collapsed="false" customWidth="true" hidden="false" outlineLevel="0" max="11240" min="11240" style="19" width="9.71"/>
    <col collapsed="false" customWidth="false" hidden="false" outlineLevel="0" max="11243" min="11241" style="19" width="9.14"/>
    <col collapsed="false" customWidth="true" hidden="false" outlineLevel="0" max="11244" min="11244" style="19" width="10.71"/>
    <col collapsed="false" customWidth="true" hidden="false" outlineLevel="0" max="11245" min="11245" style="19" width="9.57"/>
    <col collapsed="false" customWidth="false" hidden="false" outlineLevel="0" max="11494" min="11246" style="19" width="9.14"/>
    <col collapsed="false" customWidth="true" hidden="false" outlineLevel="0" max="11495" min="11495" style="19" width="21.71"/>
    <col collapsed="false" customWidth="true" hidden="false" outlineLevel="0" max="11496" min="11496" style="19" width="9.71"/>
    <col collapsed="false" customWidth="false" hidden="false" outlineLevel="0" max="11499" min="11497" style="19" width="9.14"/>
    <col collapsed="false" customWidth="true" hidden="false" outlineLevel="0" max="11500" min="11500" style="19" width="10.71"/>
    <col collapsed="false" customWidth="true" hidden="false" outlineLevel="0" max="11501" min="11501" style="19" width="9.57"/>
    <col collapsed="false" customWidth="false" hidden="false" outlineLevel="0" max="11750" min="11502" style="19" width="9.14"/>
    <col collapsed="false" customWidth="true" hidden="false" outlineLevel="0" max="11751" min="11751" style="19" width="21.71"/>
    <col collapsed="false" customWidth="true" hidden="false" outlineLevel="0" max="11752" min="11752" style="19" width="9.71"/>
    <col collapsed="false" customWidth="false" hidden="false" outlineLevel="0" max="11755" min="11753" style="19" width="9.14"/>
    <col collapsed="false" customWidth="true" hidden="false" outlineLevel="0" max="11756" min="11756" style="19" width="10.71"/>
    <col collapsed="false" customWidth="true" hidden="false" outlineLevel="0" max="11757" min="11757" style="19" width="9.57"/>
    <col collapsed="false" customWidth="false" hidden="false" outlineLevel="0" max="12006" min="11758" style="19" width="9.14"/>
    <col collapsed="false" customWidth="true" hidden="false" outlineLevel="0" max="12007" min="12007" style="19" width="21.71"/>
    <col collapsed="false" customWidth="true" hidden="false" outlineLevel="0" max="12008" min="12008" style="19" width="9.71"/>
    <col collapsed="false" customWidth="false" hidden="false" outlineLevel="0" max="12011" min="12009" style="19" width="9.14"/>
    <col collapsed="false" customWidth="true" hidden="false" outlineLevel="0" max="12012" min="12012" style="19" width="10.71"/>
    <col collapsed="false" customWidth="true" hidden="false" outlineLevel="0" max="12013" min="12013" style="19" width="9.57"/>
    <col collapsed="false" customWidth="false" hidden="false" outlineLevel="0" max="12262" min="12014" style="19" width="9.14"/>
    <col collapsed="false" customWidth="true" hidden="false" outlineLevel="0" max="12263" min="12263" style="19" width="21.71"/>
    <col collapsed="false" customWidth="true" hidden="false" outlineLevel="0" max="12264" min="12264" style="19" width="9.71"/>
    <col collapsed="false" customWidth="false" hidden="false" outlineLevel="0" max="12267" min="12265" style="19" width="9.14"/>
    <col collapsed="false" customWidth="true" hidden="false" outlineLevel="0" max="12268" min="12268" style="19" width="10.71"/>
    <col collapsed="false" customWidth="true" hidden="false" outlineLevel="0" max="12269" min="12269" style="19" width="9.57"/>
    <col collapsed="false" customWidth="false" hidden="false" outlineLevel="0" max="12518" min="12270" style="19" width="9.14"/>
    <col collapsed="false" customWidth="true" hidden="false" outlineLevel="0" max="12519" min="12519" style="19" width="21.71"/>
    <col collapsed="false" customWidth="true" hidden="false" outlineLevel="0" max="12520" min="12520" style="19" width="9.71"/>
    <col collapsed="false" customWidth="false" hidden="false" outlineLevel="0" max="12523" min="12521" style="19" width="9.14"/>
    <col collapsed="false" customWidth="true" hidden="false" outlineLevel="0" max="12524" min="12524" style="19" width="10.71"/>
    <col collapsed="false" customWidth="true" hidden="false" outlineLevel="0" max="12525" min="12525" style="19" width="9.57"/>
    <col collapsed="false" customWidth="false" hidden="false" outlineLevel="0" max="12774" min="12526" style="19" width="9.14"/>
    <col collapsed="false" customWidth="true" hidden="false" outlineLevel="0" max="12775" min="12775" style="19" width="21.71"/>
    <col collapsed="false" customWidth="true" hidden="false" outlineLevel="0" max="12776" min="12776" style="19" width="9.71"/>
    <col collapsed="false" customWidth="false" hidden="false" outlineLevel="0" max="12779" min="12777" style="19" width="9.14"/>
    <col collapsed="false" customWidth="true" hidden="false" outlineLevel="0" max="12780" min="12780" style="19" width="10.71"/>
    <col collapsed="false" customWidth="true" hidden="false" outlineLevel="0" max="12781" min="12781" style="19" width="9.57"/>
    <col collapsed="false" customWidth="false" hidden="false" outlineLevel="0" max="13030" min="12782" style="19" width="9.14"/>
    <col collapsed="false" customWidth="true" hidden="false" outlineLevel="0" max="13031" min="13031" style="19" width="21.71"/>
    <col collapsed="false" customWidth="true" hidden="false" outlineLevel="0" max="13032" min="13032" style="19" width="9.71"/>
    <col collapsed="false" customWidth="false" hidden="false" outlineLevel="0" max="13035" min="13033" style="19" width="9.14"/>
    <col collapsed="false" customWidth="true" hidden="false" outlineLevel="0" max="13036" min="13036" style="19" width="10.71"/>
    <col collapsed="false" customWidth="true" hidden="false" outlineLevel="0" max="13037" min="13037" style="19" width="9.57"/>
    <col collapsed="false" customWidth="false" hidden="false" outlineLevel="0" max="13286" min="13038" style="19" width="9.14"/>
    <col collapsed="false" customWidth="true" hidden="false" outlineLevel="0" max="13287" min="13287" style="19" width="21.71"/>
    <col collapsed="false" customWidth="true" hidden="false" outlineLevel="0" max="13288" min="13288" style="19" width="9.71"/>
    <col collapsed="false" customWidth="false" hidden="false" outlineLevel="0" max="13291" min="13289" style="19" width="9.14"/>
    <col collapsed="false" customWidth="true" hidden="false" outlineLevel="0" max="13292" min="13292" style="19" width="10.71"/>
    <col collapsed="false" customWidth="true" hidden="false" outlineLevel="0" max="13293" min="13293" style="19" width="9.57"/>
    <col collapsed="false" customWidth="false" hidden="false" outlineLevel="0" max="13542" min="13294" style="19" width="9.14"/>
    <col collapsed="false" customWidth="true" hidden="false" outlineLevel="0" max="13543" min="13543" style="19" width="21.71"/>
    <col collapsed="false" customWidth="true" hidden="false" outlineLevel="0" max="13544" min="13544" style="19" width="9.71"/>
    <col collapsed="false" customWidth="false" hidden="false" outlineLevel="0" max="13547" min="13545" style="19" width="9.14"/>
    <col collapsed="false" customWidth="true" hidden="false" outlineLevel="0" max="13548" min="13548" style="19" width="10.71"/>
    <col collapsed="false" customWidth="true" hidden="false" outlineLevel="0" max="13549" min="13549" style="19" width="9.57"/>
    <col collapsed="false" customWidth="false" hidden="false" outlineLevel="0" max="13798" min="13550" style="19" width="9.14"/>
    <col collapsed="false" customWidth="true" hidden="false" outlineLevel="0" max="13799" min="13799" style="19" width="21.71"/>
    <col collapsed="false" customWidth="true" hidden="false" outlineLevel="0" max="13800" min="13800" style="19" width="9.71"/>
    <col collapsed="false" customWidth="false" hidden="false" outlineLevel="0" max="13803" min="13801" style="19" width="9.14"/>
    <col collapsed="false" customWidth="true" hidden="false" outlineLevel="0" max="13804" min="13804" style="19" width="10.71"/>
    <col collapsed="false" customWidth="true" hidden="false" outlineLevel="0" max="13805" min="13805" style="19" width="9.57"/>
    <col collapsed="false" customWidth="false" hidden="false" outlineLevel="0" max="14054" min="13806" style="19" width="9.14"/>
    <col collapsed="false" customWidth="true" hidden="false" outlineLevel="0" max="14055" min="14055" style="19" width="21.71"/>
    <col collapsed="false" customWidth="true" hidden="false" outlineLevel="0" max="14056" min="14056" style="19" width="9.71"/>
    <col collapsed="false" customWidth="false" hidden="false" outlineLevel="0" max="14059" min="14057" style="19" width="9.14"/>
    <col collapsed="false" customWidth="true" hidden="false" outlineLevel="0" max="14060" min="14060" style="19" width="10.71"/>
    <col collapsed="false" customWidth="true" hidden="false" outlineLevel="0" max="14061" min="14061" style="19" width="9.57"/>
    <col collapsed="false" customWidth="false" hidden="false" outlineLevel="0" max="14310" min="14062" style="19" width="9.14"/>
    <col collapsed="false" customWidth="true" hidden="false" outlineLevel="0" max="14311" min="14311" style="19" width="21.71"/>
    <col collapsed="false" customWidth="true" hidden="false" outlineLevel="0" max="14312" min="14312" style="19" width="9.71"/>
    <col collapsed="false" customWidth="false" hidden="false" outlineLevel="0" max="14315" min="14313" style="19" width="9.14"/>
    <col collapsed="false" customWidth="true" hidden="false" outlineLevel="0" max="14316" min="14316" style="19" width="10.71"/>
    <col collapsed="false" customWidth="true" hidden="false" outlineLevel="0" max="14317" min="14317" style="19" width="9.57"/>
    <col collapsed="false" customWidth="false" hidden="false" outlineLevel="0" max="14566" min="14318" style="19" width="9.14"/>
    <col collapsed="false" customWidth="true" hidden="false" outlineLevel="0" max="14567" min="14567" style="19" width="21.71"/>
    <col collapsed="false" customWidth="true" hidden="false" outlineLevel="0" max="14568" min="14568" style="19" width="9.71"/>
    <col collapsed="false" customWidth="false" hidden="false" outlineLevel="0" max="14571" min="14569" style="19" width="9.14"/>
    <col collapsed="false" customWidth="true" hidden="false" outlineLevel="0" max="14572" min="14572" style="19" width="10.71"/>
    <col collapsed="false" customWidth="true" hidden="false" outlineLevel="0" max="14573" min="14573" style="19" width="9.57"/>
    <col collapsed="false" customWidth="false" hidden="false" outlineLevel="0" max="14822" min="14574" style="19" width="9.14"/>
    <col collapsed="false" customWidth="true" hidden="false" outlineLevel="0" max="14823" min="14823" style="19" width="21.71"/>
    <col collapsed="false" customWidth="true" hidden="false" outlineLevel="0" max="14824" min="14824" style="19" width="9.71"/>
    <col collapsed="false" customWidth="false" hidden="false" outlineLevel="0" max="14827" min="14825" style="19" width="9.14"/>
    <col collapsed="false" customWidth="true" hidden="false" outlineLevel="0" max="14828" min="14828" style="19" width="10.71"/>
    <col collapsed="false" customWidth="true" hidden="false" outlineLevel="0" max="14829" min="14829" style="19" width="9.57"/>
    <col collapsed="false" customWidth="false" hidden="false" outlineLevel="0" max="15078" min="14830" style="19" width="9.14"/>
    <col collapsed="false" customWidth="true" hidden="false" outlineLevel="0" max="15079" min="15079" style="19" width="21.71"/>
    <col collapsed="false" customWidth="true" hidden="false" outlineLevel="0" max="15080" min="15080" style="19" width="9.71"/>
    <col collapsed="false" customWidth="false" hidden="false" outlineLevel="0" max="15083" min="15081" style="19" width="9.14"/>
    <col collapsed="false" customWidth="true" hidden="false" outlineLevel="0" max="15084" min="15084" style="19" width="10.71"/>
    <col collapsed="false" customWidth="true" hidden="false" outlineLevel="0" max="15085" min="15085" style="19" width="9.57"/>
    <col collapsed="false" customWidth="false" hidden="false" outlineLevel="0" max="15334" min="15086" style="19" width="9.14"/>
    <col collapsed="false" customWidth="true" hidden="false" outlineLevel="0" max="15335" min="15335" style="19" width="21.71"/>
    <col collapsed="false" customWidth="true" hidden="false" outlineLevel="0" max="15336" min="15336" style="19" width="9.71"/>
    <col collapsed="false" customWidth="false" hidden="false" outlineLevel="0" max="15339" min="15337" style="19" width="9.14"/>
    <col collapsed="false" customWidth="true" hidden="false" outlineLevel="0" max="15340" min="15340" style="19" width="10.71"/>
    <col collapsed="false" customWidth="true" hidden="false" outlineLevel="0" max="15341" min="15341" style="19" width="9.57"/>
    <col collapsed="false" customWidth="false" hidden="false" outlineLevel="0" max="15590" min="15342" style="19" width="9.14"/>
    <col collapsed="false" customWidth="true" hidden="false" outlineLevel="0" max="15591" min="15591" style="19" width="21.71"/>
    <col collapsed="false" customWidth="true" hidden="false" outlineLevel="0" max="15592" min="15592" style="19" width="9.71"/>
    <col collapsed="false" customWidth="false" hidden="false" outlineLevel="0" max="15595" min="15593" style="19" width="9.14"/>
    <col collapsed="false" customWidth="true" hidden="false" outlineLevel="0" max="15596" min="15596" style="19" width="10.71"/>
    <col collapsed="false" customWidth="true" hidden="false" outlineLevel="0" max="15597" min="15597" style="19" width="9.57"/>
    <col collapsed="false" customWidth="false" hidden="false" outlineLevel="0" max="15846" min="15598" style="19" width="9.14"/>
    <col collapsed="false" customWidth="true" hidden="false" outlineLevel="0" max="15847" min="15847" style="19" width="21.71"/>
    <col collapsed="false" customWidth="true" hidden="false" outlineLevel="0" max="15848" min="15848" style="19" width="9.71"/>
    <col collapsed="false" customWidth="false" hidden="false" outlineLevel="0" max="15851" min="15849" style="19" width="9.14"/>
    <col collapsed="false" customWidth="true" hidden="false" outlineLevel="0" max="15852" min="15852" style="19" width="10.71"/>
    <col collapsed="false" customWidth="true" hidden="false" outlineLevel="0" max="15853" min="15853" style="19" width="9.57"/>
    <col collapsed="false" customWidth="false" hidden="false" outlineLevel="0" max="16102" min="15854" style="19" width="9.14"/>
    <col collapsed="false" customWidth="true" hidden="false" outlineLevel="0" max="16103" min="16103" style="19" width="21.71"/>
    <col collapsed="false" customWidth="true" hidden="false" outlineLevel="0" max="16104" min="16104" style="19" width="9.71"/>
    <col collapsed="false" customWidth="false" hidden="false" outlineLevel="0" max="16107" min="16105" style="19" width="9.14"/>
    <col collapsed="false" customWidth="true" hidden="false" outlineLevel="0" max="16108" min="16108" style="19" width="10.71"/>
    <col collapsed="false" customWidth="true" hidden="false" outlineLevel="0" max="16109" min="16109" style="19" width="9.57"/>
    <col collapsed="false" customWidth="false" hidden="false" outlineLevel="0" max="16384" min="16110" style="19" width="9.14"/>
  </cols>
  <sheetData>
    <row r="1" customFormat="false" ht="15.75" hidden="false" customHeight="false" outlineLevel="0" collapsed="false">
      <c r="A1" s="14" t="s">
        <v>124</v>
      </c>
      <c r="F1" s="17"/>
      <c r="G1" s="17"/>
    </row>
    <row r="2" customFormat="false" ht="12" hidden="false" customHeight="false" outlineLevel="0" collapsed="false">
      <c r="F2" s="17"/>
      <c r="G2" s="17"/>
    </row>
    <row r="3" customFormat="false" ht="48" hidden="false" customHeight="false" outlineLevel="0" collapsed="false">
      <c r="A3" s="20" t="n">
        <v>2013</v>
      </c>
      <c r="B3" s="21" t="s">
        <v>17</v>
      </c>
      <c r="C3" s="22" t="s">
        <v>106</v>
      </c>
      <c r="D3" s="22" t="s">
        <v>107</v>
      </c>
      <c r="E3" s="25" t="s">
        <v>108</v>
      </c>
      <c r="F3" s="74" t="s">
        <v>109</v>
      </c>
      <c r="G3" s="24" t="s">
        <v>110</v>
      </c>
      <c r="H3" s="22" t="s">
        <v>106</v>
      </c>
      <c r="I3" s="22" t="s">
        <v>107</v>
      </c>
      <c r="J3" s="178" t="s">
        <v>111</v>
      </c>
    </row>
    <row r="4" customFormat="false" ht="12" hidden="false" customHeight="false" outlineLevel="0" collapsed="false">
      <c r="A4" s="179" t="s">
        <v>95</v>
      </c>
      <c r="B4" s="180" t="n">
        <f aca="false">SUM(B5:B32)</f>
        <v>378.540526199388</v>
      </c>
      <c r="C4" s="181"/>
      <c r="D4" s="182"/>
      <c r="E4" s="183" t="n">
        <v>0.11606182</v>
      </c>
      <c r="F4" s="180" t="n">
        <f aca="false">SUM(F5:F32)</f>
        <v>113.422767869147</v>
      </c>
      <c r="G4" s="184" t="n">
        <f aca="false">SUM(G5:G32)</f>
        <v>2901.05778719926</v>
      </c>
      <c r="H4" s="185"/>
      <c r="I4" s="185"/>
      <c r="J4" s="186" t="n">
        <v>279.4</v>
      </c>
      <c r="L4" s="225"/>
      <c r="N4" s="217"/>
    </row>
    <row r="5" customFormat="false" ht="12" hidden="false" customHeight="false" outlineLevel="0" collapsed="false">
      <c r="A5" s="187" t="s">
        <v>96</v>
      </c>
      <c r="B5" s="188" t="n">
        <v>12.6696948371202</v>
      </c>
      <c r="C5" s="189" t="n">
        <v>0.463178211126553</v>
      </c>
      <c r="D5" s="190" t="n">
        <v>0.536821788873447</v>
      </c>
      <c r="E5" s="191" t="n">
        <v>0.151812869501537</v>
      </c>
      <c r="F5" s="188" t="n">
        <v>2.341778399</v>
      </c>
      <c r="G5" s="192" t="n">
        <v>27.1392214293034</v>
      </c>
      <c r="H5" s="193" t="n">
        <v>0.993041219163491</v>
      </c>
      <c r="I5" s="193" t="n">
        <v>0.0069587808365086</v>
      </c>
      <c r="J5" s="194" t="n">
        <v>5.30695571996</v>
      </c>
    </row>
    <row r="6" customFormat="false" ht="12" hidden="false" customHeight="false" outlineLevel="0" collapsed="false">
      <c r="A6" s="80" t="s">
        <v>27</v>
      </c>
      <c r="B6" s="134" t="n">
        <v>3.727</v>
      </c>
      <c r="C6" s="135" t="n">
        <v>0.960021464985243</v>
      </c>
      <c r="D6" s="195" t="n">
        <v>0.0399785350147572</v>
      </c>
      <c r="E6" s="136" t="n">
        <v>0.0851224191485474</v>
      </c>
      <c r="F6" s="134" t="n">
        <v>1.196</v>
      </c>
      <c r="G6" s="196" t="n">
        <v>40.358</v>
      </c>
      <c r="H6" s="197" t="n">
        <v>0.984687050894494</v>
      </c>
      <c r="I6" s="197" t="n">
        <v>0.0153129491055057</v>
      </c>
      <c r="J6" s="198" t="n">
        <v>4.092</v>
      </c>
    </row>
    <row r="7" customFormat="false" ht="12" hidden="false" customHeight="false" outlineLevel="0" collapsed="false">
      <c r="A7" s="80" t="s">
        <v>28</v>
      </c>
      <c r="B7" s="134" t="n">
        <v>11.965</v>
      </c>
      <c r="C7" s="135" t="n">
        <v>0.707814458838278</v>
      </c>
      <c r="D7" s="195" t="n">
        <v>0.292185541161722</v>
      </c>
      <c r="E7" s="136" t="n">
        <v>0.137426060988916</v>
      </c>
      <c r="F7" s="134" t="n">
        <v>4.645</v>
      </c>
      <c r="G7" s="196" t="n">
        <v>120.917</v>
      </c>
      <c r="H7" s="197" t="n">
        <v>0.659518512698794</v>
      </c>
      <c r="I7" s="197" t="n">
        <v>0.340481487301207</v>
      </c>
      <c r="J7" s="198" t="n">
        <v>20.978</v>
      </c>
    </row>
    <row r="8" customFormat="false" ht="12" hidden="false" customHeight="false" outlineLevel="0" collapsed="false">
      <c r="A8" s="80" t="s">
        <v>29</v>
      </c>
      <c r="B8" s="134" t="n">
        <v>14.1</v>
      </c>
      <c r="C8" s="135" t="n">
        <v>0.8666791</v>
      </c>
      <c r="D8" s="195" t="n">
        <v>0.1333209</v>
      </c>
      <c r="E8" s="136" t="n">
        <v>0.405767072433739</v>
      </c>
      <c r="F8" s="134" t="n">
        <v>6.33</v>
      </c>
      <c r="G8" s="196" t="n">
        <v>104.575</v>
      </c>
      <c r="H8" s="197" t="n">
        <v>0.7677601</v>
      </c>
      <c r="I8" s="197" t="n">
        <v>0.2322399</v>
      </c>
      <c r="J8" s="198" t="n">
        <v>9.749</v>
      </c>
      <c r="L8" s="225"/>
      <c r="M8" s="226"/>
    </row>
    <row r="9" customFormat="false" ht="12" hidden="false" customHeight="false" outlineLevel="0" collapsed="false">
      <c r="A9" s="80" t="s">
        <v>30</v>
      </c>
      <c r="B9" s="134" t="n">
        <v>78.666</v>
      </c>
      <c r="C9" s="135" t="n">
        <v>0.632001118653548</v>
      </c>
      <c r="D9" s="195" t="n">
        <v>0.367998881346452</v>
      </c>
      <c r="E9" s="136" t="n">
        <v>0.124243869618642</v>
      </c>
      <c r="F9" s="134" t="n">
        <v>27.265</v>
      </c>
      <c r="G9" s="196" t="n">
        <v>654.009</v>
      </c>
      <c r="H9" s="197" t="n">
        <v>0.533452903553315</v>
      </c>
      <c r="I9" s="197" t="n">
        <v>0.466547096446685</v>
      </c>
      <c r="J9" s="198" t="n">
        <v>73.091</v>
      </c>
    </row>
    <row r="10" customFormat="false" ht="12" hidden="false" customHeight="false" outlineLevel="0" collapsed="false">
      <c r="A10" s="80" t="s">
        <v>31</v>
      </c>
      <c r="B10" s="134" t="n">
        <v>1.233</v>
      </c>
      <c r="C10" s="135" t="n">
        <v>0.965125709651257</v>
      </c>
      <c r="D10" s="195" t="n">
        <v>0.0348742903487429</v>
      </c>
      <c r="E10" s="136" t="n">
        <v>0.0928813559322034</v>
      </c>
      <c r="F10" s="134" t="n">
        <v>0.466</v>
      </c>
      <c r="G10" s="196" t="n">
        <v>12.573</v>
      </c>
      <c r="H10" s="197" t="n">
        <v>0.900898751292452</v>
      </c>
      <c r="I10" s="197" t="n">
        <v>0.0991012487075479</v>
      </c>
      <c r="J10" s="198" t="n">
        <v>1.432</v>
      </c>
    </row>
    <row r="11" customFormat="false" ht="12" hidden="false" customHeight="false" outlineLevel="0" collapsed="false">
      <c r="A11" s="80" t="s">
        <v>97</v>
      </c>
      <c r="B11" s="134" t="n">
        <v>2.027</v>
      </c>
      <c r="C11" s="135" t="n">
        <v>1</v>
      </c>
      <c r="D11" s="195" t="n">
        <v>0</v>
      </c>
      <c r="E11" s="136" t="n">
        <v>0.0775974274557844</v>
      </c>
      <c r="F11" s="134" t="n">
        <v>0.306</v>
      </c>
      <c r="G11" s="196" t="n">
        <v>12.393</v>
      </c>
      <c r="H11" s="197" t="n">
        <v>1</v>
      </c>
      <c r="I11" s="197" t="n">
        <v>0</v>
      </c>
      <c r="J11" s="198" t="n">
        <v>0.686</v>
      </c>
    </row>
    <row r="12" customFormat="false" ht="12" hidden="false" customHeight="false" outlineLevel="0" collapsed="false">
      <c r="A12" s="80" t="s">
        <v>33</v>
      </c>
      <c r="B12" s="134" t="n">
        <v>1.945</v>
      </c>
      <c r="C12" s="135" t="n">
        <v>0.0658097686375321</v>
      </c>
      <c r="D12" s="195" t="n">
        <v>0.934190231362468</v>
      </c>
      <c r="E12" s="136" t="n">
        <v>0.0340320548712206</v>
      </c>
      <c r="F12" s="134" t="n">
        <v>0.559</v>
      </c>
      <c r="G12" s="196" t="n">
        <v>10.485</v>
      </c>
      <c r="H12" s="197" t="n">
        <v>0.149451597520267</v>
      </c>
      <c r="I12" s="197" t="n">
        <v>0.850548402479733</v>
      </c>
      <c r="J12" s="198" t="n">
        <v>0.804</v>
      </c>
    </row>
    <row r="13" customFormat="false" ht="12" hidden="false" customHeight="false" outlineLevel="0" collapsed="false">
      <c r="A13" s="80" t="s">
        <v>34</v>
      </c>
      <c r="B13" s="134" t="n">
        <v>24.1047083751582</v>
      </c>
      <c r="C13" s="135" t="n">
        <v>1</v>
      </c>
      <c r="D13" s="195" t="n">
        <v>0</v>
      </c>
      <c r="E13" s="136" t="n">
        <v>0.0850056366953663</v>
      </c>
      <c r="F13" s="134" t="n">
        <v>3.35895784872354</v>
      </c>
      <c r="G13" s="196" t="n">
        <v>174.884145831465</v>
      </c>
      <c r="H13" s="197" t="n">
        <v>1</v>
      </c>
      <c r="I13" s="197" t="n">
        <v>0</v>
      </c>
      <c r="J13" s="198" t="n">
        <v>5.63073824937346</v>
      </c>
    </row>
    <row r="14" customFormat="false" ht="12" hidden="false" customHeight="false" outlineLevel="0" collapsed="false">
      <c r="A14" s="80" t="s">
        <v>35</v>
      </c>
      <c r="B14" s="134" t="n">
        <v>13.90281</v>
      </c>
      <c r="C14" s="135" t="n">
        <v>0.496678728976372</v>
      </c>
      <c r="D14" s="195" t="n">
        <v>0.503321271023628</v>
      </c>
      <c r="E14" s="136" t="n">
        <v>0.024283663192534</v>
      </c>
      <c r="F14" s="134" t="n">
        <v>4.79639</v>
      </c>
      <c r="G14" s="196" t="n">
        <v>150.65487</v>
      </c>
      <c r="H14" s="197" t="n">
        <v>0.296705177867798</v>
      </c>
      <c r="I14" s="197" t="n">
        <v>0.703294822132202</v>
      </c>
      <c r="J14" s="198" t="n">
        <v>12.09951</v>
      </c>
    </row>
    <row r="15" customFormat="false" ht="12" hidden="false" customHeight="false" outlineLevel="0" collapsed="false">
      <c r="A15" s="80" t="s">
        <v>36</v>
      </c>
      <c r="B15" s="134" t="n">
        <v>1.696</v>
      </c>
      <c r="C15" s="135" t="n">
        <v>0.870872641509434</v>
      </c>
      <c r="D15" s="195" t="n">
        <v>0.129127358490566</v>
      </c>
      <c r="E15" s="136" t="n">
        <v>0.126275035365944</v>
      </c>
      <c r="F15" s="134" t="n">
        <v>0.691</v>
      </c>
      <c r="G15" s="196" t="n">
        <v>13.264</v>
      </c>
      <c r="H15" s="197" t="n">
        <v>0.564007840772015</v>
      </c>
      <c r="I15" s="197" t="n">
        <v>0.435992159227986</v>
      </c>
      <c r="J15" s="198" t="n">
        <v>1.722</v>
      </c>
    </row>
    <row r="16" customFormat="false" ht="12" hidden="false" customHeight="false" outlineLevel="0" collapsed="false">
      <c r="A16" s="80" t="s">
        <v>37</v>
      </c>
      <c r="B16" s="134" t="n">
        <v>36.662</v>
      </c>
      <c r="C16" s="135" t="n">
        <v>0.688669467023076</v>
      </c>
      <c r="D16" s="195" t="n">
        <v>0.311330532976924</v>
      </c>
      <c r="E16" s="136" t="n">
        <v>0.126504880834486</v>
      </c>
      <c r="F16" s="134" t="n">
        <v>8.292</v>
      </c>
      <c r="G16" s="196" t="n">
        <v>212.765</v>
      </c>
      <c r="H16" s="197" t="n">
        <v>0.606119427537424</v>
      </c>
      <c r="I16" s="197" t="n">
        <v>0.393880572462576</v>
      </c>
      <c r="J16" s="198" t="n">
        <v>16.325</v>
      </c>
    </row>
    <row r="17" customFormat="false" ht="12" hidden="false" customHeight="false" outlineLevel="0" collapsed="false">
      <c r="A17" s="80" t="s">
        <v>38</v>
      </c>
      <c r="B17" s="134" t="n">
        <v>0.0598</v>
      </c>
      <c r="C17" s="135" t="n">
        <v>1</v>
      </c>
      <c r="D17" s="195" t="n">
        <v>0</v>
      </c>
      <c r="E17" s="136" t="n">
        <v>0.0139393939393939</v>
      </c>
      <c r="F17" s="134" t="n">
        <v>0.013295</v>
      </c>
      <c r="G17" s="196" t="n">
        <v>0.15</v>
      </c>
      <c r="H17" s="197" t="n">
        <v>1</v>
      </c>
      <c r="I17" s="197" t="n">
        <v>0</v>
      </c>
      <c r="J17" s="198" t="n">
        <v>0.01295</v>
      </c>
    </row>
    <row r="18" customFormat="false" ht="12" hidden="false" customHeight="false" outlineLevel="0" collapsed="false">
      <c r="A18" s="80" t="s">
        <v>70</v>
      </c>
      <c r="B18" s="134" t="n">
        <v>2.37942</v>
      </c>
      <c r="C18" s="135" t="n">
        <v>0.909851980734801</v>
      </c>
      <c r="D18" s="195" t="n">
        <v>0.0901480192651991</v>
      </c>
      <c r="E18" s="136" t="n">
        <v>0.383221130616847</v>
      </c>
      <c r="F18" s="134" t="n">
        <v>1.23827</v>
      </c>
      <c r="G18" s="196" t="n">
        <v>11.3143</v>
      </c>
      <c r="H18" s="197" t="n">
        <v>0.885940800579797</v>
      </c>
      <c r="I18" s="197" t="n">
        <v>0.114059199420203</v>
      </c>
      <c r="J18" s="198" t="n">
        <v>3.27746</v>
      </c>
    </row>
    <row r="19" customFormat="false" ht="12" hidden="false" customHeight="false" outlineLevel="0" collapsed="false">
      <c r="A19" s="80" t="s">
        <v>40</v>
      </c>
      <c r="B19" s="134" t="n">
        <v>1.665</v>
      </c>
      <c r="C19" s="135" t="n">
        <v>0.771771771771772</v>
      </c>
      <c r="D19" s="195" t="n">
        <v>0.228228228228228</v>
      </c>
      <c r="E19" s="136" t="n">
        <v>0.349643007139857</v>
      </c>
      <c r="F19" s="134" t="n">
        <v>1.182</v>
      </c>
      <c r="G19" s="196" t="n">
        <v>15.345</v>
      </c>
      <c r="H19" s="197" t="n">
        <v>0.739263603779733</v>
      </c>
      <c r="I19" s="197" t="n">
        <v>0.260736396220267</v>
      </c>
      <c r="J19" s="198" t="n">
        <v>2.449</v>
      </c>
    </row>
    <row r="20" customFormat="false" ht="12" hidden="false" customHeight="false" outlineLevel="0" collapsed="false">
      <c r="A20" s="80" t="s">
        <v>41</v>
      </c>
      <c r="B20" s="134" t="n">
        <v>0.424</v>
      </c>
      <c r="C20" s="135" t="n">
        <v>0.561320754716981</v>
      </c>
      <c r="D20" s="195" t="n">
        <v>0.438679245283019</v>
      </c>
      <c r="E20" s="136" t="n">
        <v>0.146814404432133</v>
      </c>
      <c r="F20" s="134" t="n">
        <v>0.507</v>
      </c>
      <c r="G20" s="196" t="n">
        <v>3.377</v>
      </c>
      <c r="H20" s="197" t="n">
        <v>0.732010660349423</v>
      </c>
      <c r="I20" s="197" t="n">
        <v>0.267989339650577</v>
      </c>
      <c r="J20" s="198" t="n">
        <v>0.912</v>
      </c>
    </row>
    <row r="21" customFormat="false" ht="12" hidden="false" customHeight="false" outlineLevel="0" collapsed="false">
      <c r="A21" s="80" t="s">
        <v>113</v>
      </c>
      <c r="B21" s="134" t="n">
        <v>3.87987561032428</v>
      </c>
      <c r="C21" s="135" t="n">
        <v>0.891212241590331</v>
      </c>
      <c r="D21" s="195" t="n">
        <v>0.108787758409669</v>
      </c>
      <c r="E21" s="136" t="n">
        <v>0.128162904579139</v>
      </c>
      <c r="F21" s="134" t="n">
        <v>1.67200629445482</v>
      </c>
      <c r="G21" s="196" t="n">
        <v>26.9971746919876</v>
      </c>
      <c r="H21" s="197" t="n">
        <v>0.825485799745491</v>
      </c>
      <c r="I21" s="197" t="n">
        <v>0.174514200254509</v>
      </c>
      <c r="J21" s="198" t="n">
        <v>3.15556975252525</v>
      </c>
    </row>
    <row r="22" customFormat="false" ht="12" hidden="false" customHeight="false" outlineLevel="0" collapsed="false">
      <c r="A22" s="80" t="s">
        <v>43</v>
      </c>
      <c r="B22" s="134" t="n">
        <v>0</v>
      </c>
      <c r="C22" s="135" t="n">
        <v>0</v>
      </c>
      <c r="D22" s="195" t="n">
        <v>0</v>
      </c>
      <c r="E22" s="136" t="n">
        <v>0</v>
      </c>
      <c r="F22" s="134" t="n">
        <v>0</v>
      </c>
      <c r="G22" s="196" t="n">
        <v>0.021</v>
      </c>
      <c r="H22" s="197" t="n">
        <v>1</v>
      </c>
      <c r="I22" s="197" t="n">
        <v>0</v>
      </c>
      <c r="J22" s="198" t="n">
        <v>0</v>
      </c>
    </row>
    <row r="23" customFormat="false" ht="12" hidden="false" customHeight="false" outlineLevel="0" collapsed="false">
      <c r="A23" s="80" t="s">
        <v>72</v>
      </c>
      <c r="B23" s="134" t="n">
        <v>34.767</v>
      </c>
      <c r="C23" s="135" t="n">
        <v>0.4909253027296</v>
      </c>
      <c r="D23" s="195" t="n">
        <v>0.5090746972704</v>
      </c>
      <c r="E23" s="136" t="n">
        <v>0.344654275092937</v>
      </c>
      <c r="F23" s="134" t="n">
        <v>9.392</v>
      </c>
      <c r="G23" s="196" t="n">
        <v>217.92</v>
      </c>
      <c r="H23" s="197" t="n">
        <v>0.410563509544787</v>
      </c>
      <c r="I23" s="197" t="n">
        <v>0.589436490455213</v>
      </c>
      <c r="J23" s="198" t="n">
        <v>18.309</v>
      </c>
    </row>
    <row r="24" customFormat="false" ht="12" hidden="false" customHeight="false" outlineLevel="0" collapsed="false">
      <c r="A24" s="80" t="s">
        <v>45</v>
      </c>
      <c r="B24" s="134" t="n">
        <v>9.86609971341305</v>
      </c>
      <c r="C24" s="135" t="n">
        <v>1</v>
      </c>
      <c r="D24" s="195" t="n">
        <v>0</v>
      </c>
      <c r="E24" s="136" t="n">
        <v>0.144450296678131</v>
      </c>
      <c r="F24" s="134" t="n">
        <v>5.56737193021654</v>
      </c>
      <c r="G24" s="196" t="n">
        <v>110.828235844147</v>
      </c>
      <c r="H24" s="197" t="n">
        <v>1</v>
      </c>
      <c r="I24" s="197" t="n">
        <v>0</v>
      </c>
      <c r="J24" s="198" t="n">
        <v>9.15361</v>
      </c>
    </row>
    <row r="25" customFormat="false" ht="12" hidden="false" customHeight="false" outlineLevel="0" collapsed="false">
      <c r="A25" s="80" t="s">
        <v>46</v>
      </c>
      <c r="B25" s="134" t="n">
        <v>26.124</v>
      </c>
      <c r="C25" s="135" t="n">
        <v>0.746440055121727</v>
      </c>
      <c r="D25" s="195" t="n">
        <v>0.253559944878273</v>
      </c>
      <c r="E25" s="136" t="n">
        <v>0.158753501826115</v>
      </c>
      <c r="F25" s="134" t="n">
        <v>8.285</v>
      </c>
      <c r="G25" s="196" t="n">
        <v>257.424</v>
      </c>
      <c r="H25" s="197" t="n">
        <v>0.596556653614271</v>
      </c>
      <c r="I25" s="197" t="n">
        <v>0.403443346385729</v>
      </c>
      <c r="J25" s="198" t="n">
        <v>24.562</v>
      </c>
    </row>
    <row r="26" customFormat="false" ht="12" hidden="false" customHeight="false" outlineLevel="0" collapsed="false">
      <c r="A26" s="80" t="s">
        <v>98</v>
      </c>
      <c r="B26" s="134" t="n">
        <v>7.15</v>
      </c>
      <c r="C26" s="135" t="n">
        <v>0.768</v>
      </c>
      <c r="D26" s="195" t="n">
        <v>0.232</v>
      </c>
      <c r="E26" s="136" t="n">
        <v>0.138372813128967</v>
      </c>
      <c r="F26" s="134" t="n">
        <v>1.4</v>
      </c>
      <c r="G26" s="196" t="n">
        <v>68.37</v>
      </c>
      <c r="H26" s="197" t="n">
        <v>0.6505</v>
      </c>
      <c r="I26" s="197" t="n">
        <v>0.3495</v>
      </c>
      <c r="J26" s="198" t="n">
        <v>4.78</v>
      </c>
    </row>
    <row r="27" customFormat="false" ht="12" hidden="false" customHeight="false" outlineLevel="0" collapsed="false">
      <c r="A27" s="80" t="s">
        <v>48</v>
      </c>
      <c r="B27" s="134" t="n">
        <v>6.61</v>
      </c>
      <c r="C27" s="135" t="n">
        <v>0.8122</v>
      </c>
      <c r="D27" s="195" t="n">
        <v>0.1878</v>
      </c>
      <c r="E27" s="136" t="n">
        <v>0.112246977312865</v>
      </c>
      <c r="F27" s="134" t="n">
        <v>2.07</v>
      </c>
      <c r="G27" s="196" t="n">
        <v>57.93</v>
      </c>
      <c r="H27" s="197" t="n">
        <v>0.7801</v>
      </c>
      <c r="I27" s="197" t="n">
        <v>0.2199</v>
      </c>
      <c r="J27" s="198" t="n">
        <v>10.05</v>
      </c>
    </row>
    <row r="28" customFormat="false" ht="12" hidden="false" customHeight="false" outlineLevel="0" collapsed="false">
      <c r="A28" s="80" t="s">
        <v>99</v>
      </c>
      <c r="B28" s="134" t="n">
        <v>1.15</v>
      </c>
      <c r="C28" s="135" t="n">
        <v>0.7943</v>
      </c>
      <c r="D28" s="195" t="n">
        <v>0.2057</v>
      </c>
      <c r="E28" s="136" t="n">
        <v>0.0714862932802884</v>
      </c>
      <c r="F28" s="134" t="n">
        <v>0.35</v>
      </c>
      <c r="G28" s="196" t="n">
        <v>10.83</v>
      </c>
      <c r="H28" s="197" t="n">
        <v>0.6453</v>
      </c>
      <c r="I28" s="197" t="n">
        <v>0.3547</v>
      </c>
      <c r="J28" s="198" t="n">
        <v>0.72</v>
      </c>
    </row>
    <row r="29" customFormat="false" ht="12" hidden="false" customHeight="false" outlineLevel="0" collapsed="false">
      <c r="A29" s="80" t="s">
        <v>50</v>
      </c>
      <c r="B29" s="104" t="n">
        <v>22.199</v>
      </c>
      <c r="C29" s="166" t="n">
        <v>0.930222082075769</v>
      </c>
      <c r="D29" s="105" t="n">
        <v>0.0697779179242308</v>
      </c>
      <c r="E29" s="167" t="n">
        <v>0.769943118756937</v>
      </c>
      <c r="F29" s="104" t="n">
        <v>4.382</v>
      </c>
      <c r="G29" s="107" t="n">
        <v>27.763</v>
      </c>
      <c r="H29" s="224" t="n">
        <v>0.829341209523467</v>
      </c>
      <c r="I29" s="224" t="n">
        <v>0.170658790476534</v>
      </c>
      <c r="J29" s="106" t="n">
        <v>15.545</v>
      </c>
    </row>
    <row r="30" customFormat="false" ht="12" hidden="false" customHeight="false" outlineLevel="0" collapsed="false">
      <c r="A30" s="80" t="s">
        <v>75</v>
      </c>
      <c r="B30" s="134" t="n">
        <v>24.323</v>
      </c>
      <c r="C30" s="135" t="n">
        <v>0.661719360276282</v>
      </c>
      <c r="D30" s="195" t="n">
        <v>0.338280639723718</v>
      </c>
      <c r="E30" s="136" t="n">
        <v>0.34137064742951</v>
      </c>
      <c r="F30" s="134" t="n">
        <v>6.096</v>
      </c>
      <c r="G30" s="196" t="n">
        <v>251.205</v>
      </c>
      <c r="H30" s="197" t="n">
        <v>0.480862243983997</v>
      </c>
      <c r="I30" s="197" t="n">
        <v>0.519137756016003</v>
      </c>
      <c r="J30" s="198" t="n">
        <v>15.767</v>
      </c>
    </row>
    <row r="31" customFormat="false" ht="12" hidden="false" customHeight="false" outlineLevel="0" collapsed="false">
      <c r="A31" s="108" t="s">
        <v>76</v>
      </c>
      <c r="B31" s="168" t="n">
        <v>15.59</v>
      </c>
      <c r="C31" s="169" t="n">
        <v>0.6485</v>
      </c>
      <c r="D31" s="199" t="n">
        <v>0.3515</v>
      </c>
      <c r="E31" s="170" t="n">
        <v>0.101784991447188</v>
      </c>
      <c r="F31" s="168" t="n">
        <v>4.8</v>
      </c>
      <c r="G31" s="200" t="n">
        <v>165.07</v>
      </c>
      <c r="H31" s="201" t="n">
        <v>0.5219</v>
      </c>
      <c r="I31" s="201" t="n">
        <v>0.4781</v>
      </c>
      <c r="J31" s="202" t="n">
        <v>11.41</v>
      </c>
    </row>
    <row r="32" customFormat="false" ht="12" hidden="false" customHeight="false" outlineLevel="0" collapsed="false">
      <c r="A32" s="87" t="s">
        <v>77</v>
      </c>
      <c r="B32" s="140" t="n">
        <v>19.6551176633727</v>
      </c>
      <c r="C32" s="141" t="n">
        <v>0.0153206400754906</v>
      </c>
      <c r="D32" s="203" t="n">
        <v>0.984679359924509</v>
      </c>
      <c r="E32" s="142" t="n">
        <v>0.0547267650379304</v>
      </c>
      <c r="F32" s="140" t="n">
        <v>6.22069839675218</v>
      </c>
      <c r="G32" s="204" t="n">
        <v>142.49583940236</v>
      </c>
      <c r="H32" s="205" t="n">
        <v>0.0179806882201004</v>
      </c>
      <c r="I32" s="205" t="n">
        <v>0.982019311779899</v>
      </c>
      <c r="J32" s="206" t="n">
        <v>7.6917481416396</v>
      </c>
    </row>
    <row r="33" customFormat="false" ht="12" hidden="false" customHeight="false" outlineLevel="0" collapsed="false">
      <c r="A33" s="119" t="s">
        <v>115</v>
      </c>
      <c r="B33" s="143" t="n">
        <v>0.37</v>
      </c>
      <c r="C33" s="144" t="n">
        <v>1</v>
      </c>
      <c r="D33" s="207" t="n">
        <v>0</v>
      </c>
      <c r="E33" s="145" t="n">
        <v>0.00275625744934446</v>
      </c>
      <c r="F33" s="143" t="n">
        <v>0.08</v>
      </c>
      <c r="G33" s="208" t="n">
        <v>9.53</v>
      </c>
      <c r="H33" s="209" t="n">
        <v>1</v>
      </c>
      <c r="I33" s="209" t="n">
        <v>0</v>
      </c>
      <c r="J33" s="210" t="n">
        <v>0.54</v>
      </c>
    </row>
    <row r="35" customFormat="false" ht="36" hidden="false" customHeight="false" outlineLevel="0" collapsed="false">
      <c r="A35" s="20" t="n">
        <v>2013</v>
      </c>
      <c r="B35" s="21" t="s">
        <v>55</v>
      </c>
      <c r="C35" s="25" t="s">
        <v>57</v>
      </c>
      <c r="D35" s="22" t="s">
        <v>58</v>
      </c>
      <c r="E35" s="22" t="s">
        <v>59</v>
      </c>
      <c r="F35" s="211" t="s">
        <v>60</v>
      </c>
      <c r="G35" s="211" t="s">
        <v>61</v>
      </c>
      <c r="H35" s="212"/>
      <c r="I35" s="212"/>
      <c r="J35" s="213"/>
      <c r="K35" s="214"/>
    </row>
    <row r="36" customFormat="false" ht="12" hidden="false" customHeight="false" outlineLevel="0" collapsed="false">
      <c r="A36" s="179" t="s">
        <v>95</v>
      </c>
      <c r="B36" s="180" t="n">
        <v>6082.01562657955</v>
      </c>
      <c r="C36" s="181" t="n">
        <v>0.197798478339808</v>
      </c>
      <c r="D36" s="183" t="n">
        <v>0.0436483887666993</v>
      </c>
      <c r="E36" s="183" t="n">
        <v>0.454417882886947</v>
      </c>
      <c r="F36" s="183" t="n">
        <v>0.182302772534635</v>
      </c>
      <c r="G36" s="183" t="n">
        <v>0.12183247747191</v>
      </c>
    </row>
    <row r="37" customFormat="false" ht="12" hidden="false" customHeight="false" outlineLevel="0" collapsed="false">
      <c r="A37" s="187" t="s">
        <v>96</v>
      </c>
      <c r="B37" s="188" t="n">
        <v>167.346760268484</v>
      </c>
      <c r="C37" s="215" t="n">
        <v>0.01287194090184</v>
      </c>
      <c r="D37" s="216" t="n">
        <v>0.00130118944126286</v>
      </c>
      <c r="E37" s="216" t="n">
        <v>0.659701319748354</v>
      </c>
      <c r="F37" s="216" t="n">
        <v>0.102451034318788</v>
      </c>
      <c r="G37" s="216" t="n">
        <v>0.223677070086772</v>
      </c>
      <c r="K37" s="217"/>
    </row>
    <row r="38" customFormat="false" ht="12" hidden="false" customHeight="false" outlineLevel="0" collapsed="false">
      <c r="A38" s="80" t="s">
        <v>27</v>
      </c>
      <c r="B38" s="134" t="n">
        <v>72.162</v>
      </c>
      <c r="C38" s="135" t="n">
        <v>0.439954546714337</v>
      </c>
      <c r="D38" s="136" t="n">
        <v>0.0845874560017738</v>
      </c>
      <c r="E38" s="136" t="n">
        <v>0.474695823286494</v>
      </c>
      <c r="F38" s="136" t="n">
        <v>4.15731271306228E-005</v>
      </c>
      <c r="G38" s="136" t="n">
        <v>0.000720600870264128</v>
      </c>
      <c r="K38" s="217"/>
    </row>
    <row r="39" customFormat="false" ht="12" hidden="false" customHeight="false" outlineLevel="0" collapsed="false">
      <c r="A39" s="80" t="s">
        <v>116</v>
      </c>
      <c r="B39" s="134" t="n">
        <v>251.408</v>
      </c>
      <c r="C39" s="135" t="n">
        <v>0.711534794340678</v>
      </c>
      <c r="D39" s="136" t="n">
        <v>0.0024347009741526</v>
      </c>
      <c r="E39" s="136" t="n">
        <v>0.0902672011989531</v>
      </c>
      <c r="F39" s="136" t="n">
        <v>0.110532744781728</v>
      </c>
      <c r="G39" s="136" t="n">
        <v>0.0852316331824502</v>
      </c>
      <c r="K39" s="217"/>
    </row>
    <row r="40" customFormat="false" ht="12" hidden="false" customHeight="false" outlineLevel="0" collapsed="false">
      <c r="A40" s="80" t="s">
        <v>29</v>
      </c>
      <c r="B40" s="134" t="n">
        <v>179.262</v>
      </c>
      <c r="C40" s="135" t="n">
        <v>0.336</v>
      </c>
      <c r="D40" s="136" t="n">
        <v>0.025</v>
      </c>
      <c r="E40" s="136" t="n">
        <v>0.205</v>
      </c>
      <c r="F40" s="136" t="n">
        <v>0.349</v>
      </c>
      <c r="G40" s="136" t="n">
        <v>0.084</v>
      </c>
      <c r="K40" s="217"/>
    </row>
    <row r="41" customFormat="false" ht="12" hidden="false" customHeight="false" outlineLevel="0" collapsed="false">
      <c r="A41" s="80" t="s">
        <v>30</v>
      </c>
      <c r="B41" s="134" t="n">
        <v>1220.666</v>
      </c>
      <c r="C41" s="135" t="n">
        <v>0.284557774198675</v>
      </c>
      <c r="D41" s="136" t="n">
        <v>0.035903351121437</v>
      </c>
      <c r="E41" s="136" t="n">
        <v>0.456779331938466</v>
      </c>
      <c r="F41" s="136" t="n">
        <v>0.130454194677332</v>
      </c>
      <c r="G41" s="136" t="n">
        <v>0.0923053480640896</v>
      </c>
      <c r="K41" s="217"/>
    </row>
    <row r="42" customFormat="false" ht="12" hidden="false" customHeight="false" outlineLevel="0" collapsed="false">
      <c r="A42" s="80" t="s">
        <v>31</v>
      </c>
      <c r="B42" s="134" t="n">
        <v>20.936</v>
      </c>
      <c r="C42" s="135" t="n">
        <v>0.272115017195262</v>
      </c>
      <c r="D42" s="136" t="n">
        <v>0.00186282002292702</v>
      </c>
      <c r="E42" s="136" t="n">
        <v>0.140093618647306</v>
      </c>
      <c r="F42" s="136" t="n">
        <v>0.516526557126481</v>
      </c>
      <c r="G42" s="136" t="n">
        <v>0.0694019870080245</v>
      </c>
      <c r="K42" s="217"/>
    </row>
    <row r="43" customFormat="false" ht="12" hidden="false" customHeight="false" outlineLevel="0" collapsed="false">
      <c r="A43" s="80" t="s">
        <v>97</v>
      </c>
      <c r="B43" s="134" t="n">
        <v>23.455</v>
      </c>
      <c r="C43" s="135" t="n">
        <v>0.0409720741846088</v>
      </c>
      <c r="D43" s="136" t="n">
        <v>0.00102323598379876</v>
      </c>
      <c r="E43" s="136" t="n">
        <v>0.916520997655084</v>
      </c>
      <c r="F43" s="136" t="n">
        <v>0.0259646130888936</v>
      </c>
      <c r="G43" s="136" t="n">
        <v>0.0150500959283735</v>
      </c>
      <c r="K43" s="217"/>
    </row>
    <row r="44" customFormat="false" ht="12" hidden="false" customHeight="false" outlineLevel="0" collapsed="false">
      <c r="A44" s="80" t="s">
        <v>33</v>
      </c>
      <c r="B44" s="134" t="n">
        <v>22.16</v>
      </c>
      <c r="C44" s="135" t="n">
        <v>0.111146209386282</v>
      </c>
      <c r="D44" s="136" t="n">
        <v>0.0317689530685921</v>
      </c>
      <c r="E44" s="136" t="n">
        <v>0.295712996389892</v>
      </c>
      <c r="F44" s="136" t="n">
        <v>0.115297833935018</v>
      </c>
      <c r="G44" s="136" t="n">
        <v>0.446074007220217</v>
      </c>
      <c r="K44" s="217"/>
    </row>
    <row r="45" customFormat="false" ht="12" hidden="false" customHeight="false" outlineLevel="0" collapsed="false">
      <c r="A45" s="80" t="s">
        <v>34</v>
      </c>
      <c r="B45" s="134" t="n">
        <v>398.536744662842</v>
      </c>
      <c r="C45" s="135" t="n">
        <v>0.0172969598982192</v>
      </c>
      <c r="D45" s="136" t="n">
        <v>0.0436640183826504</v>
      </c>
      <c r="E45" s="136" t="n">
        <v>0.806055602373553</v>
      </c>
      <c r="F45" s="136" t="n">
        <v>0</v>
      </c>
      <c r="G45" s="136" t="n">
        <v>0.132983419345577</v>
      </c>
      <c r="K45" s="217"/>
    </row>
    <row r="46" customFormat="false" ht="12" hidden="false" customHeight="false" outlineLevel="0" collapsed="false">
      <c r="A46" s="80" t="s">
        <v>35</v>
      </c>
      <c r="B46" s="134" t="n">
        <v>238.35231</v>
      </c>
      <c r="C46" s="135" t="n">
        <v>0.0594819755176696</v>
      </c>
      <c r="D46" s="136" t="n">
        <v>0.0363219386797636</v>
      </c>
      <c r="E46" s="136" t="n">
        <v>0.598781595395488</v>
      </c>
      <c r="F46" s="136" t="n">
        <v>0.198782550401966</v>
      </c>
      <c r="G46" s="136" t="n">
        <v>0.10675842799258</v>
      </c>
      <c r="K46" s="217"/>
    </row>
    <row r="47" customFormat="false" ht="12" hidden="false" customHeight="false" outlineLevel="0" collapsed="false">
      <c r="A47" s="80" t="s">
        <v>36</v>
      </c>
      <c r="B47" s="134" t="n">
        <v>23.956</v>
      </c>
      <c r="C47" s="135" t="n">
        <v>0.0275922524628486</v>
      </c>
      <c r="D47" s="136" t="n">
        <v>0.0344381365837369</v>
      </c>
      <c r="E47" s="136" t="n">
        <v>0.928493905493405</v>
      </c>
      <c r="F47" s="136" t="n">
        <v>0.00947570546001002</v>
      </c>
      <c r="G47" s="136" t="n">
        <v>0</v>
      </c>
      <c r="K47" s="217"/>
    </row>
    <row r="48" customFormat="false" ht="12" hidden="false" customHeight="false" outlineLevel="0" collapsed="false">
      <c r="A48" s="80" t="s">
        <v>37</v>
      </c>
      <c r="B48" s="134" t="n">
        <v>839.624</v>
      </c>
      <c r="C48" s="135" t="n">
        <v>0.00296084914199689</v>
      </c>
      <c r="D48" s="136" t="n">
        <v>0.11833987594447</v>
      </c>
      <c r="E48" s="136" t="n">
        <v>0.671781654645413</v>
      </c>
      <c r="F48" s="136" t="n">
        <v>0.127291501910379</v>
      </c>
      <c r="G48" s="136" t="n">
        <v>0.0795391746781893</v>
      </c>
      <c r="K48" s="217"/>
    </row>
    <row r="49" customFormat="false" ht="12" hidden="false" customHeight="false" outlineLevel="0" collapsed="false">
      <c r="A49" s="80" t="s">
        <v>38</v>
      </c>
      <c r="B49" s="134" t="n">
        <v>0.6364</v>
      </c>
      <c r="C49" s="135" t="n">
        <v>0</v>
      </c>
      <c r="D49" s="136" t="n">
        <v>0.232086737900691</v>
      </c>
      <c r="E49" s="136" t="n">
        <v>0</v>
      </c>
      <c r="F49" s="136" t="n">
        <v>0.767913262099309</v>
      </c>
      <c r="G49" s="136" t="n">
        <v>0</v>
      </c>
      <c r="K49" s="217"/>
    </row>
    <row r="50" customFormat="false" ht="12" hidden="false" customHeight="false" outlineLevel="0" collapsed="false">
      <c r="A50" s="80" t="s">
        <v>70</v>
      </c>
      <c r="B50" s="134" t="n">
        <v>24.92649</v>
      </c>
      <c r="C50" s="135" t="n">
        <v>0.0117738197395622</v>
      </c>
      <c r="D50" s="136" t="n">
        <v>0.00440735939957852</v>
      </c>
      <c r="E50" s="136" t="n">
        <v>0.695288827267698</v>
      </c>
      <c r="F50" s="136" t="n">
        <v>0.288302123564128</v>
      </c>
      <c r="G50" s="136" t="n">
        <v>0.00022787002903337</v>
      </c>
      <c r="K50" s="217"/>
    </row>
    <row r="51" customFormat="false" ht="12" hidden="false" customHeight="false" outlineLevel="0" collapsed="false">
      <c r="A51" s="80" t="s">
        <v>40</v>
      </c>
      <c r="B51" s="134" t="n">
        <v>25.348</v>
      </c>
      <c r="C51" s="135" t="n">
        <v>0</v>
      </c>
      <c r="D51" s="136" t="n">
        <v>0.138314659933723</v>
      </c>
      <c r="E51" s="136" t="n">
        <v>0.548721792646363</v>
      </c>
      <c r="F51" s="136" t="n">
        <v>0.250039450844248</v>
      </c>
      <c r="G51" s="136" t="n">
        <v>0.0629240965756667</v>
      </c>
      <c r="K51" s="217"/>
    </row>
    <row r="52" customFormat="false" ht="12" hidden="false" customHeight="false" outlineLevel="0" collapsed="false">
      <c r="A52" s="80" t="s">
        <v>41</v>
      </c>
      <c r="B52" s="134" t="n">
        <v>5.835</v>
      </c>
      <c r="C52" s="135" t="n">
        <v>0</v>
      </c>
      <c r="D52" s="136" t="n">
        <v>0.000685518423307627</v>
      </c>
      <c r="E52" s="136" t="n">
        <v>0.896829477292202</v>
      </c>
      <c r="F52" s="136" t="n">
        <v>0.10248500428449</v>
      </c>
      <c r="G52" s="136" t="n">
        <v>0</v>
      </c>
      <c r="K52" s="217"/>
    </row>
    <row r="53" customFormat="false" ht="12" hidden="false" customHeight="false" outlineLevel="0" collapsed="false">
      <c r="A53" s="80" t="s">
        <v>113</v>
      </c>
      <c r="B53" s="134" t="n">
        <v>50.5196291080744</v>
      </c>
      <c r="C53" s="135" t="n">
        <v>0.0429535169599459</v>
      </c>
      <c r="D53" s="136" t="n">
        <v>0.00466704775652772</v>
      </c>
      <c r="E53" s="136" t="n">
        <v>0.750602545563225</v>
      </c>
      <c r="F53" s="136" t="n">
        <v>0.127564688594168</v>
      </c>
      <c r="G53" s="136" t="n">
        <v>0.0742122011261335</v>
      </c>
      <c r="K53" s="217"/>
    </row>
    <row r="54" customFormat="false" ht="12" hidden="false" customHeight="false" outlineLevel="0" collapsed="false">
      <c r="A54" s="80" t="s">
        <v>43</v>
      </c>
      <c r="B54" s="134" t="n">
        <v>0.065</v>
      </c>
      <c r="C54" s="135" t="n">
        <v>0</v>
      </c>
      <c r="D54" s="136" t="n">
        <v>0</v>
      </c>
      <c r="E54" s="136" t="n">
        <v>0</v>
      </c>
      <c r="F54" s="136" t="n">
        <v>1</v>
      </c>
      <c r="G54" s="136" t="n">
        <v>0</v>
      </c>
      <c r="K54" s="217"/>
    </row>
    <row r="55" customFormat="false" ht="12" hidden="false" customHeight="false" outlineLevel="0" collapsed="false">
      <c r="A55" s="80" t="s">
        <v>72</v>
      </c>
      <c r="B55" s="134" t="n">
        <v>426.407</v>
      </c>
      <c r="C55" s="135" t="n">
        <v>0.0122113379939823</v>
      </c>
      <c r="D55" s="136" t="n">
        <v>0.00627803952561755</v>
      </c>
      <c r="E55" s="136" t="n">
        <v>0.793375812310774</v>
      </c>
      <c r="F55" s="136" t="n">
        <v>0.0266717009805186</v>
      </c>
      <c r="G55" s="136" t="n">
        <v>0.161463109189108</v>
      </c>
      <c r="K55" s="217"/>
    </row>
    <row r="56" customFormat="false" ht="12" hidden="false" customHeight="false" outlineLevel="0" collapsed="false">
      <c r="A56" s="80" t="s">
        <v>45</v>
      </c>
      <c r="B56" s="134" t="n">
        <v>175.654294541083</v>
      </c>
      <c r="C56" s="135" t="n">
        <v>0.05174320137819</v>
      </c>
      <c r="D56" s="136" t="n">
        <v>0.0789747877468136</v>
      </c>
      <c r="E56" s="136" t="n">
        <v>0.396579228313275</v>
      </c>
      <c r="F56" s="136" t="n">
        <v>0.377231248007698</v>
      </c>
      <c r="G56" s="136" t="n">
        <v>0.0954715345540237</v>
      </c>
      <c r="K56" s="217"/>
    </row>
    <row r="57" customFormat="false" ht="12" hidden="false" customHeight="false" outlineLevel="0" collapsed="false">
      <c r="A57" s="80" t="s">
        <v>46</v>
      </c>
      <c r="B57" s="134" t="n">
        <v>424.194</v>
      </c>
      <c r="C57" s="135" t="n">
        <v>0.72279428751939</v>
      </c>
      <c r="D57" s="136" t="n">
        <v>0.0779030349321301</v>
      </c>
      <c r="E57" s="136" t="n">
        <v>0.0678651748963917</v>
      </c>
      <c r="F57" s="136" t="n">
        <v>0.104527645369807</v>
      </c>
      <c r="G57" s="136" t="n">
        <v>0.0269098572822812</v>
      </c>
      <c r="K57" s="217"/>
    </row>
    <row r="58" customFormat="false" ht="12" hidden="false" customHeight="false" outlineLevel="0" collapsed="false">
      <c r="A58" s="80" t="s">
        <v>98</v>
      </c>
      <c r="B58" s="134" t="n">
        <v>119.41</v>
      </c>
      <c r="C58" s="135" t="n">
        <v>0</v>
      </c>
      <c r="D58" s="136" t="n">
        <v>0.0454</v>
      </c>
      <c r="E58" s="136" t="n">
        <v>0.5188</v>
      </c>
      <c r="F58" s="136" t="n">
        <v>0.4</v>
      </c>
      <c r="G58" s="136" t="n">
        <v>0.0358</v>
      </c>
      <c r="K58" s="217"/>
    </row>
    <row r="59" customFormat="false" ht="12" hidden="false" customHeight="false" outlineLevel="0" collapsed="false">
      <c r="A59" s="80" t="s">
        <v>48</v>
      </c>
      <c r="B59" s="134" t="n">
        <v>103.6</v>
      </c>
      <c r="C59" s="135" t="n">
        <v>0.3739</v>
      </c>
      <c r="D59" s="136" t="n">
        <v>0.0092</v>
      </c>
      <c r="E59" s="136" t="n">
        <v>0.5463</v>
      </c>
      <c r="F59" s="136" t="n">
        <v>0.0358</v>
      </c>
      <c r="G59" s="136" t="n">
        <v>0.0347</v>
      </c>
      <c r="K59" s="217"/>
    </row>
    <row r="60" customFormat="false" ht="12" hidden="false" customHeight="false" outlineLevel="0" collapsed="false">
      <c r="A60" s="80" t="s">
        <v>99</v>
      </c>
      <c r="B60" s="134" t="n">
        <v>19.38</v>
      </c>
      <c r="C60" s="135" t="n">
        <v>0.5577</v>
      </c>
      <c r="D60" s="136" t="n">
        <v>0.0013</v>
      </c>
      <c r="E60" s="136" t="n">
        <v>0.2472</v>
      </c>
      <c r="F60" s="136" t="n">
        <v>0.1773</v>
      </c>
      <c r="G60" s="136" t="n">
        <v>0.0165</v>
      </c>
      <c r="K60" s="217"/>
    </row>
    <row r="61" customFormat="false" ht="12" hidden="false" customHeight="false" outlineLevel="0" collapsed="false">
      <c r="A61" s="80" t="s">
        <v>50</v>
      </c>
      <c r="B61" s="104" t="n">
        <v>292.271</v>
      </c>
      <c r="C61" s="166" t="n">
        <v>0.181006668468647</v>
      </c>
      <c r="D61" s="167" t="n">
        <v>0.0304990915964978</v>
      </c>
      <c r="E61" s="167" t="n">
        <v>0.071769008899275</v>
      </c>
      <c r="F61" s="167" t="n">
        <v>0.087589942211167</v>
      </c>
      <c r="G61" s="167" t="n">
        <v>0.629135288824413</v>
      </c>
      <c r="K61" s="217"/>
    </row>
    <row r="62" customFormat="false" ht="12" hidden="false" customHeight="false" outlineLevel="0" collapsed="false">
      <c r="A62" s="80" t="s">
        <v>75</v>
      </c>
      <c r="B62" s="134" t="n">
        <v>411.219</v>
      </c>
      <c r="C62" s="135" t="n">
        <v>0.223075782004236</v>
      </c>
      <c r="D62" s="136" t="n">
        <v>0.0100700599923642</v>
      </c>
      <c r="E62" s="136" t="n">
        <v>0.159970721197221</v>
      </c>
      <c r="F62" s="136" t="n">
        <v>0.563526977109521</v>
      </c>
      <c r="G62" s="136" t="n">
        <v>0.043356459696658</v>
      </c>
      <c r="K62" s="217"/>
    </row>
    <row r="63" customFormat="false" ht="12" hidden="false" customHeight="false" outlineLevel="0" collapsed="false">
      <c r="A63" s="108" t="s">
        <v>76</v>
      </c>
      <c r="B63" s="168" t="n">
        <v>267.29</v>
      </c>
      <c r="C63" s="169" t="n">
        <v>0.0666</v>
      </c>
      <c r="D63" s="170" t="n">
        <v>0.0234</v>
      </c>
      <c r="E63" s="170" t="n">
        <v>0.0546</v>
      </c>
      <c r="F63" s="170" t="n">
        <v>0.7477</v>
      </c>
      <c r="G63" s="170" t="n">
        <v>0.1077</v>
      </c>
      <c r="K63" s="217"/>
    </row>
    <row r="64" customFormat="false" ht="12" hidden="false" customHeight="false" outlineLevel="0" collapsed="false">
      <c r="A64" s="108" t="s">
        <v>77</v>
      </c>
      <c r="B64" s="168" t="n">
        <v>277.394997999067</v>
      </c>
      <c r="C64" s="169" t="n">
        <v>0.0501467394649338</v>
      </c>
      <c r="D64" s="170" t="n">
        <v>0.0140533780063434</v>
      </c>
      <c r="E64" s="170" t="n">
        <v>0.666658131159735</v>
      </c>
      <c r="F64" s="170" t="n">
        <v>0.0660830700606114</v>
      </c>
      <c r="G64" s="170" t="n">
        <v>0.203058681308374</v>
      </c>
      <c r="K64" s="217"/>
    </row>
    <row r="65" customFormat="false" ht="12" hidden="false" customHeight="false" outlineLevel="0" collapsed="false">
      <c r="A65" s="220" t="s">
        <v>115</v>
      </c>
      <c r="B65" s="174" t="n">
        <v>12.37</v>
      </c>
      <c r="C65" s="175" t="n">
        <v>0.057</v>
      </c>
      <c r="D65" s="176" t="n">
        <v>0</v>
      </c>
      <c r="E65" s="176" t="n">
        <v>0</v>
      </c>
      <c r="F65" s="176" t="n">
        <v>0.471</v>
      </c>
      <c r="G65" s="176" t="n">
        <v>0.471</v>
      </c>
      <c r="K65" s="217"/>
    </row>
    <row r="67" customFormat="false" ht="12" hidden="false" customHeight="false" outlineLevel="0" collapsed="false">
      <c r="A67" s="2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43:43 A1"/>
    </sheetView>
  </sheetViews>
  <sheetFormatPr defaultColWidth="9.1484375" defaultRowHeight="12" zeroHeight="false" outlineLevelRow="0" outlineLevelCol="0"/>
  <cols>
    <col collapsed="false" customWidth="true" hidden="false" outlineLevel="0" max="1" min="1" style="19" width="21.71"/>
    <col collapsed="false" customWidth="true" hidden="false" outlineLevel="0" max="2" min="2" style="15" width="10.71"/>
    <col collapsed="false" customWidth="true" hidden="false" outlineLevel="0" max="5" min="3" style="16" width="10.71"/>
    <col collapsed="false" customWidth="true" hidden="false" outlineLevel="0" max="7" min="6" style="19" width="10.71"/>
    <col collapsed="false" customWidth="true" hidden="false" outlineLevel="0" max="9" min="8" style="16" width="10.71"/>
    <col collapsed="false" customWidth="true" hidden="false" outlineLevel="0" max="10" min="10" style="15" width="10.71"/>
    <col collapsed="false" customWidth="false" hidden="false" outlineLevel="0" max="256" min="11" style="19" width="9.14"/>
    <col collapsed="false" customWidth="true" hidden="false" outlineLevel="0" max="257" min="257" style="19" width="21.71"/>
    <col collapsed="false" customWidth="true" hidden="false" outlineLevel="0" max="258" min="258" style="19" width="9.71"/>
    <col collapsed="false" customWidth="false" hidden="false" outlineLevel="0" max="261" min="259" style="19" width="9.14"/>
    <col collapsed="false" customWidth="true" hidden="false" outlineLevel="0" max="262" min="262" style="19" width="10.71"/>
    <col collapsed="false" customWidth="true" hidden="false" outlineLevel="0" max="263" min="263" style="19" width="9.57"/>
    <col collapsed="false" customWidth="false" hidden="false" outlineLevel="0" max="512" min="264" style="19" width="9.14"/>
    <col collapsed="false" customWidth="true" hidden="false" outlineLevel="0" max="513" min="513" style="19" width="21.71"/>
    <col collapsed="false" customWidth="true" hidden="false" outlineLevel="0" max="514" min="514" style="19" width="9.71"/>
    <col collapsed="false" customWidth="false" hidden="false" outlineLevel="0" max="517" min="515" style="19" width="9.14"/>
    <col collapsed="false" customWidth="true" hidden="false" outlineLevel="0" max="518" min="518" style="19" width="10.71"/>
    <col collapsed="false" customWidth="true" hidden="false" outlineLevel="0" max="519" min="519" style="19" width="9.57"/>
    <col collapsed="false" customWidth="false" hidden="false" outlineLevel="0" max="768" min="520" style="19" width="9.14"/>
    <col collapsed="false" customWidth="true" hidden="false" outlineLevel="0" max="769" min="769" style="19" width="21.71"/>
    <col collapsed="false" customWidth="true" hidden="false" outlineLevel="0" max="770" min="770" style="19" width="9.71"/>
    <col collapsed="false" customWidth="false" hidden="false" outlineLevel="0" max="773" min="771" style="19" width="9.14"/>
    <col collapsed="false" customWidth="true" hidden="false" outlineLevel="0" max="774" min="774" style="19" width="10.71"/>
    <col collapsed="false" customWidth="true" hidden="false" outlineLevel="0" max="775" min="775" style="19" width="9.57"/>
    <col collapsed="false" customWidth="false" hidden="false" outlineLevel="0" max="1024" min="776" style="19" width="9.14"/>
    <col collapsed="false" customWidth="true" hidden="false" outlineLevel="0" max="1025" min="1025" style="19" width="21.71"/>
    <col collapsed="false" customWidth="true" hidden="false" outlineLevel="0" max="1026" min="1026" style="19" width="9.71"/>
    <col collapsed="false" customWidth="false" hidden="false" outlineLevel="0" max="1029" min="1027" style="19" width="9.14"/>
    <col collapsed="false" customWidth="true" hidden="false" outlineLevel="0" max="1030" min="1030" style="19" width="10.71"/>
    <col collapsed="false" customWidth="true" hidden="false" outlineLevel="0" max="1031" min="1031" style="19" width="9.57"/>
    <col collapsed="false" customWidth="false" hidden="false" outlineLevel="0" max="1280" min="1032" style="19" width="9.14"/>
    <col collapsed="false" customWidth="true" hidden="false" outlineLevel="0" max="1281" min="1281" style="19" width="21.71"/>
    <col collapsed="false" customWidth="true" hidden="false" outlineLevel="0" max="1282" min="1282" style="19" width="9.71"/>
    <col collapsed="false" customWidth="false" hidden="false" outlineLevel="0" max="1285" min="1283" style="19" width="9.14"/>
    <col collapsed="false" customWidth="true" hidden="false" outlineLevel="0" max="1286" min="1286" style="19" width="10.71"/>
    <col collapsed="false" customWidth="true" hidden="false" outlineLevel="0" max="1287" min="1287" style="19" width="9.57"/>
    <col collapsed="false" customWidth="false" hidden="false" outlineLevel="0" max="1536" min="1288" style="19" width="9.14"/>
    <col collapsed="false" customWidth="true" hidden="false" outlineLevel="0" max="1537" min="1537" style="19" width="21.71"/>
    <col collapsed="false" customWidth="true" hidden="false" outlineLevel="0" max="1538" min="1538" style="19" width="9.71"/>
    <col collapsed="false" customWidth="false" hidden="false" outlineLevel="0" max="1541" min="1539" style="19" width="9.14"/>
    <col collapsed="false" customWidth="true" hidden="false" outlineLevel="0" max="1542" min="1542" style="19" width="10.71"/>
    <col collapsed="false" customWidth="true" hidden="false" outlineLevel="0" max="1543" min="1543" style="19" width="9.57"/>
    <col collapsed="false" customWidth="false" hidden="false" outlineLevel="0" max="1792" min="1544" style="19" width="9.14"/>
    <col collapsed="false" customWidth="true" hidden="false" outlineLevel="0" max="1793" min="1793" style="19" width="21.71"/>
    <col collapsed="false" customWidth="true" hidden="false" outlineLevel="0" max="1794" min="1794" style="19" width="9.71"/>
    <col collapsed="false" customWidth="false" hidden="false" outlineLevel="0" max="1797" min="1795" style="19" width="9.14"/>
    <col collapsed="false" customWidth="true" hidden="false" outlineLevel="0" max="1798" min="1798" style="19" width="10.71"/>
    <col collapsed="false" customWidth="true" hidden="false" outlineLevel="0" max="1799" min="1799" style="19" width="9.57"/>
    <col collapsed="false" customWidth="false" hidden="false" outlineLevel="0" max="2048" min="1800" style="19" width="9.14"/>
    <col collapsed="false" customWidth="true" hidden="false" outlineLevel="0" max="2049" min="2049" style="19" width="21.71"/>
    <col collapsed="false" customWidth="true" hidden="false" outlineLevel="0" max="2050" min="2050" style="19" width="9.71"/>
    <col collapsed="false" customWidth="false" hidden="false" outlineLevel="0" max="2053" min="2051" style="19" width="9.14"/>
    <col collapsed="false" customWidth="true" hidden="false" outlineLevel="0" max="2054" min="2054" style="19" width="10.71"/>
    <col collapsed="false" customWidth="true" hidden="false" outlineLevel="0" max="2055" min="2055" style="19" width="9.57"/>
    <col collapsed="false" customWidth="false" hidden="false" outlineLevel="0" max="2304" min="2056" style="19" width="9.14"/>
    <col collapsed="false" customWidth="true" hidden="false" outlineLevel="0" max="2305" min="2305" style="19" width="21.71"/>
    <col collapsed="false" customWidth="true" hidden="false" outlineLevel="0" max="2306" min="2306" style="19" width="9.71"/>
    <col collapsed="false" customWidth="false" hidden="false" outlineLevel="0" max="2309" min="2307" style="19" width="9.14"/>
    <col collapsed="false" customWidth="true" hidden="false" outlineLevel="0" max="2310" min="2310" style="19" width="10.71"/>
    <col collapsed="false" customWidth="true" hidden="false" outlineLevel="0" max="2311" min="2311" style="19" width="9.57"/>
    <col collapsed="false" customWidth="false" hidden="false" outlineLevel="0" max="2560" min="2312" style="19" width="9.14"/>
    <col collapsed="false" customWidth="true" hidden="false" outlineLevel="0" max="2561" min="2561" style="19" width="21.71"/>
    <col collapsed="false" customWidth="true" hidden="false" outlineLevel="0" max="2562" min="2562" style="19" width="9.71"/>
    <col collapsed="false" customWidth="false" hidden="false" outlineLevel="0" max="2565" min="2563" style="19" width="9.14"/>
    <col collapsed="false" customWidth="true" hidden="false" outlineLevel="0" max="2566" min="2566" style="19" width="10.71"/>
    <col collapsed="false" customWidth="true" hidden="false" outlineLevel="0" max="2567" min="2567" style="19" width="9.57"/>
    <col collapsed="false" customWidth="false" hidden="false" outlineLevel="0" max="2816" min="2568" style="19" width="9.14"/>
    <col collapsed="false" customWidth="true" hidden="false" outlineLevel="0" max="2817" min="2817" style="19" width="21.71"/>
    <col collapsed="false" customWidth="true" hidden="false" outlineLevel="0" max="2818" min="2818" style="19" width="9.71"/>
    <col collapsed="false" customWidth="false" hidden="false" outlineLevel="0" max="2821" min="2819" style="19" width="9.14"/>
    <col collapsed="false" customWidth="true" hidden="false" outlineLevel="0" max="2822" min="2822" style="19" width="10.71"/>
    <col collapsed="false" customWidth="true" hidden="false" outlineLevel="0" max="2823" min="2823" style="19" width="9.57"/>
    <col collapsed="false" customWidth="false" hidden="false" outlineLevel="0" max="3072" min="2824" style="19" width="9.14"/>
    <col collapsed="false" customWidth="true" hidden="false" outlineLevel="0" max="3073" min="3073" style="19" width="21.71"/>
    <col collapsed="false" customWidth="true" hidden="false" outlineLevel="0" max="3074" min="3074" style="19" width="9.71"/>
    <col collapsed="false" customWidth="false" hidden="false" outlineLevel="0" max="3077" min="3075" style="19" width="9.14"/>
    <col collapsed="false" customWidth="true" hidden="false" outlineLevel="0" max="3078" min="3078" style="19" width="10.71"/>
    <col collapsed="false" customWidth="true" hidden="false" outlineLevel="0" max="3079" min="3079" style="19" width="9.57"/>
    <col collapsed="false" customWidth="false" hidden="false" outlineLevel="0" max="3328" min="3080" style="19" width="9.14"/>
    <col collapsed="false" customWidth="true" hidden="false" outlineLevel="0" max="3329" min="3329" style="19" width="21.71"/>
    <col collapsed="false" customWidth="true" hidden="false" outlineLevel="0" max="3330" min="3330" style="19" width="9.71"/>
    <col collapsed="false" customWidth="false" hidden="false" outlineLevel="0" max="3333" min="3331" style="19" width="9.14"/>
    <col collapsed="false" customWidth="true" hidden="false" outlineLevel="0" max="3334" min="3334" style="19" width="10.71"/>
    <col collapsed="false" customWidth="true" hidden="false" outlineLevel="0" max="3335" min="3335" style="19" width="9.57"/>
    <col collapsed="false" customWidth="false" hidden="false" outlineLevel="0" max="3584" min="3336" style="19" width="9.14"/>
    <col collapsed="false" customWidth="true" hidden="false" outlineLevel="0" max="3585" min="3585" style="19" width="21.71"/>
    <col collapsed="false" customWidth="true" hidden="false" outlineLevel="0" max="3586" min="3586" style="19" width="9.71"/>
    <col collapsed="false" customWidth="false" hidden="false" outlineLevel="0" max="3589" min="3587" style="19" width="9.14"/>
    <col collapsed="false" customWidth="true" hidden="false" outlineLevel="0" max="3590" min="3590" style="19" width="10.71"/>
    <col collapsed="false" customWidth="true" hidden="false" outlineLevel="0" max="3591" min="3591" style="19" width="9.57"/>
    <col collapsed="false" customWidth="false" hidden="false" outlineLevel="0" max="3840" min="3592" style="19" width="9.14"/>
    <col collapsed="false" customWidth="true" hidden="false" outlineLevel="0" max="3841" min="3841" style="19" width="21.71"/>
    <col collapsed="false" customWidth="true" hidden="false" outlineLevel="0" max="3842" min="3842" style="19" width="9.71"/>
    <col collapsed="false" customWidth="false" hidden="false" outlineLevel="0" max="3845" min="3843" style="19" width="9.14"/>
    <col collapsed="false" customWidth="true" hidden="false" outlineLevel="0" max="3846" min="3846" style="19" width="10.71"/>
    <col collapsed="false" customWidth="true" hidden="false" outlineLevel="0" max="3847" min="3847" style="19" width="9.57"/>
    <col collapsed="false" customWidth="false" hidden="false" outlineLevel="0" max="4096" min="3848" style="19" width="9.14"/>
    <col collapsed="false" customWidth="true" hidden="false" outlineLevel="0" max="4097" min="4097" style="19" width="21.71"/>
    <col collapsed="false" customWidth="true" hidden="false" outlineLevel="0" max="4098" min="4098" style="19" width="9.71"/>
    <col collapsed="false" customWidth="false" hidden="false" outlineLevel="0" max="4101" min="4099" style="19" width="9.14"/>
    <col collapsed="false" customWidth="true" hidden="false" outlineLevel="0" max="4102" min="4102" style="19" width="10.71"/>
    <col collapsed="false" customWidth="true" hidden="false" outlineLevel="0" max="4103" min="4103" style="19" width="9.57"/>
    <col collapsed="false" customWidth="false" hidden="false" outlineLevel="0" max="4352" min="4104" style="19" width="9.14"/>
    <col collapsed="false" customWidth="true" hidden="false" outlineLevel="0" max="4353" min="4353" style="19" width="21.71"/>
    <col collapsed="false" customWidth="true" hidden="false" outlineLevel="0" max="4354" min="4354" style="19" width="9.71"/>
    <col collapsed="false" customWidth="false" hidden="false" outlineLevel="0" max="4357" min="4355" style="19" width="9.14"/>
    <col collapsed="false" customWidth="true" hidden="false" outlineLevel="0" max="4358" min="4358" style="19" width="10.71"/>
    <col collapsed="false" customWidth="true" hidden="false" outlineLevel="0" max="4359" min="4359" style="19" width="9.57"/>
    <col collapsed="false" customWidth="false" hidden="false" outlineLevel="0" max="4608" min="4360" style="19" width="9.14"/>
    <col collapsed="false" customWidth="true" hidden="false" outlineLevel="0" max="4609" min="4609" style="19" width="21.71"/>
    <col collapsed="false" customWidth="true" hidden="false" outlineLevel="0" max="4610" min="4610" style="19" width="9.71"/>
    <col collapsed="false" customWidth="false" hidden="false" outlineLevel="0" max="4613" min="4611" style="19" width="9.14"/>
    <col collapsed="false" customWidth="true" hidden="false" outlineLevel="0" max="4614" min="4614" style="19" width="10.71"/>
    <col collapsed="false" customWidth="true" hidden="false" outlineLevel="0" max="4615" min="4615" style="19" width="9.57"/>
    <col collapsed="false" customWidth="false" hidden="false" outlineLevel="0" max="4864" min="4616" style="19" width="9.14"/>
    <col collapsed="false" customWidth="true" hidden="false" outlineLevel="0" max="4865" min="4865" style="19" width="21.71"/>
    <col collapsed="false" customWidth="true" hidden="false" outlineLevel="0" max="4866" min="4866" style="19" width="9.71"/>
    <col collapsed="false" customWidth="false" hidden="false" outlineLevel="0" max="4869" min="4867" style="19" width="9.14"/>
    <col collapsed="false" customWidth="true" hidden="false" outlineLevel="0" max="4870" min="4870" style="19" width="10.71"/>
    <col collapsed="false" customWidth="true" hidden="false" outlineLevel="0" max="4871" min="4871" style="19" width="9.57"/>
    <col collapsed="false" customWidth="false" hidden="false" outlineLevel="0" max="5120" min="4872" style="19" width="9.14"/>
    <col collapsed="false" customWidth="true" hidden="false" outlineLevel="0" max="5121" min="5121" style="19" width="21.71"/>
    <col collapsed="false" customWidth="true" hidden="false" outlineLevel="0" max="5122" min="5122" style="19" width="9.71"/>
    <col collapsed="false" customWidth="false" hidden="false" outlineLevel="0" max="5125" min="5123" style="19" width="9.14"/>
    <col collapsed="false" customWidth="true" hidden="false" outlineLevel="0" max="5126" min="5126" style="19" width="10.71"/>
    <col collapsed="false" customWidth="true" hidden="false" outlineLevel="0" max="5127" min="5127" style="19" width="9.57"/>
    <col collapsed="false" customWidth="false" hidden="false" outlineLevel="0" max="5376" min="5128" style="19" width="9.14"/>
    <col collapsed="false" customWidth="true" hidden="false" outlineLevel="0" max="5377" min="5377" style="19" width="21.71"/>
    <col collapsed="false" customWidth="true" hidden="false" outlineLevel="0" max="5378" min="5378" style="19" width="9.71"/>
    <col collapsed="false" customWidth="false" hidden="false" outlineLevel="0" max="5381" min="5379" style="19" width="9.14"/>
    <col collapsed="false" customWidth="true" hidden="false" outlineLevel="0" max="5382" min="5382" style="19" width="10.71"/>
    <col collapsed="false" customWidth="true" hidden="false" outlineLevel="0" max="5383" min="5383" style="19" width="9.57"/>
    <col collapsed="false" customWidth="false" hidden="false" outlineLevel="0" max="5632" min="5384" style="19" width="9.14"/>
    <col collapsed="false" customWidth="true" hidden="false" outlineLevel="0" max="5633" min="5633" style="19" width="21.71"/>
    <col collapsed="false" customWidth="true" hidden="false" outlineLevel="0" max="5634" min="5634" style="19" width="9.71"/>
    <col collapsed="false" customWidth="false" hidden="false" outlineLevel="0" max="5637" min="5635" style="19" width="9.14"/>
    <col collapsed="false" customWidth="true" hidden="false" outlineLevel="0" max="5638" min="5638" style="19" width="10.71"/>
    <col collapsed="false" customWidth="true" hidden="false" outlineLevel="0" max="5639" min="5639" style="19" width="9.57"/>
    <col collapsed="false" customWidth="false" hidden="false" outlineLevel="0" max="5888" min="5640" style="19" width="9.14"/>
    <col collapsed="false" customWidth="true" hidden="false" outlineLevel="0" max="5889" min="5889" style="19" width="21.71"/>
    <col collapsed="false" customWidth="true" hidden="false" outlineLevel="0" max="5890" min="5890" style="19" width="9.71"/>
    <col collapsed="false" customWidth="false" hidden="false" outlineLevel="0" max="5893" min="5891" style="19" width="9.14"/>
    <col collapsed="false" customWidth="true" hidden="false" outlineLevel="0" max="5894" min="5894" style="19" width="10.71"/>
    <col collapsed="false" customWidth="true" hidden="false" outlineLevel="0" max="5895" min="5895" style="19" width="9.57"/>
    <col collapsed="false" customWidth="false" hidden="false" outlineLevel="0" max="6144" min="5896" style="19" width="9.14"/>
    <col collapsed="false" customWidth="true" hidden="false" outlineLevel="0" max="6145" min="6145" style="19" width="21.71"/>
    <col collapsed="false" customWidth="true" hidden="false" outlineLevel="0" max="6146" min="6146" style="19" width="9.71"/>
    <col collapsed="false" customWidth="false" hidden="false" outlineLevel="0" max="6149" min="6147" style="19" width="9.14"/>
    <col collapsed="false" customWidth="true" hidden="false" outlineLevel="0" max="6150" min="6150" style="19" width="10.71"/>
    <col collapsed="false" customWidth="true" hidden="false" outlineLevel="0" max="6151" min="6151" style="19" width="9.57"/>
    <col collapsed="false" customWidth="false" hidden="false" outlineLevel="0" max="6400" min="6152" style="19" width="9.14"/>
    <col collapsed="false" customWidth="true" hidden="false" outlineLevel="0" max="6401" min="6401" style="19" width="21.71"/>
    <col collapsed="false" customWidth="true" hidden="false" outlineLevel="0" max="6402" min="6402" style="19" width="9.71"/>
    <col collapsed="false" customWidth="false" hidden="false" outlineLevel="0" max="6405" min="6403" style="19" width="9.14"/>
    <col collapsed="false" customWidth="true" hidden="false" outlineLevel="0" max="6406" min="6406" style="19" width="10.71"/>
    <col collapsed="false" customWidth="true" hidden="false" outlineLevel="0" max="6407" min="6407" style="19" width="9.57"/>
    <col collapsed="false" customWidth="false" hidden="false" outlineLevel="0" max="6656" min="6408" style="19" width="9.14"/>
    <col collapsed="false" customWidth="true" hidden="false" outlineLevel="0" max="6657" min="6657" style="19" width="21.71"/>
    <col collapsed="false" customWidth="true" hidden="false" outlineLevel="0" max="6658" min="6658" style="19" width="9.71"/>
    <col collapsed="false" customWidth="false" hidden="false" outlineLevel="0" max="6661" min="6659" style="19" width="9.14"/>
    <col collapsed="false" customWidth="true" hidden="false" outlineLevel="0" max="6662" min="6662" style="19" width="10.71"/>
    <col collapsed="false" customWidth="true" hidden="false" outlineLevel="0" max="6663" min="6663" style="19" width="9.57"/>
    <col collapsed="false" customWidth="false" hidden="false" outlineLevel="0" max="6912" min="6664" style="19" width="9.14"/>
    <col collapsed="false" customWidth="true" hidden="false" outlineLevel="0" max="6913" min="6913" style="19" width="21.71"/>
    <col collapsed="false" customWidth="true" hidden="false" outlineLevel="0" max="6914" min="6914" style="19" width="9.71"/>
    <col collapsed="false" customWidth="false" hidden="false" outlineLevel="0" max="6917" min="6915" style="19" width="9.14"/>
    <col collapsed="false" customWidth="true" hidden="false" outlineLevel="0" max="6918" min="6918" style="19" width="10.71"/>
    <col collapsed="false" customWidth="true" hidden="false" outlineLevel="0" max="6919" min="6919" style="19" width="9.57"/>
    <col collapsed="false" customWidth="false" hidden="false" outlineLevel="0" max="7168" min="6920" style="19" width="9.14"/>
    <col collapsed="false" customWidth="true" hidden="false" outlineLevel="0" max="7169" min="7169" style="19" width="21.71"/>
    <col collapsed="false" customWidth="true" hidden="false" outlineLevel="0" max="7170" min="7170" style="19" width="9.71"/>
    <col collapsed="false" customWidth="false" hidden="false" outlineLevel="0" max="7173" min="7171" style="19" width="9.14"/>
    <col collapsed="false" customWidth="true" hidden="false" outlineLevel="0" max="7174" min="7174" style="19" width="10.71"/>
    <col collapsed="false" customWidth="true" hidden="false" outlineLevel="0" max="7175" min="7175" style="19" width="9.57"/>
    <col collapsed="false" customWidth="false" hidden="false" outlineLevel="0" max="7424" min="7176" style="19" width="9.14"/>
    <col collapsed="false" customWidth="true" hidden="false" outlineLevel="0" max="7425" min="7425" style="19" width="21.71"/>
    <col collapsed="false" customWidth="true" hidden="false" outlineLevel="0" max="7426" min="7426" style="19" width="9.71"/>
    <col collapsed="false" customWidth="false" hidden="false" outlineLevel="0" max="7429" min="7427" style="19" width="9.14"/>
    <col collapsed="false" customWidth="true" hidden="false" outlineLevel="0" max="7430" min="7430" style="19" width="10.71"/>
    <col collapsed="false" customWidth="true" hidden="false" outlineLevel="0" max="7431" min="7431" style="19" width="9.57"/>
    <col collapsed="false" customWidth="false" hidden="false" outlineLevel="0" max="7680" min="7432" style="19" width="9.14"/>
    <col collapsed="false" customWidth="true" hidden="false" outlineLevel="0" max="7681" min="7681" style="19" width="21.71"/>
    <col collapsed="false" customWidth="true" hidden="false" outlineLevel="0" max="7682" min="7682" style="19" width="9.71"/>
    <col collapsed="false" customWidth="false" hidden="false" outlineLevel="0" max="7685" min="7683" style="19" width="9.14"/>
    <col collapsed="false" customWidth="true" hidden="false" outlineLevel="0" max="7686" min="7686" style="19" width="10.71"/>
    <col collapsed="false" customWidth="true" hidden="false" outlineLevel="0" max="7687" min="7687" style="19" width="9.57"/>
    <col collapsed="false" customWidth="false" hidden="false" outlineLevel="0" max="7936" min="7688" style="19" width="9.14"/>
    <col collapsed="false" customWidth="true" hidden="false" outlineLevel="0" max="7937" min="7937" style="19" width="21.71"/>
    <col collapsed="false" customWidth="true" hidden="false" outlineLevel="0" max="7938" min="7938" style="19" width="9.71"/>
    <col collapsed="false" customWidth="false" hidden="false" outlineLevel="0" max="7941" min="7939" style="19" width="9.14"/>
    <col collapsed="false" customWidth="true" hidden="false" outlineLevel="0" max="7942" min="7942" style="19" width="10.71"/>
    <col collapsed="false" customWidth="true" hidden="false" outlineLevel="0" max="7943" min="7943" style="19" width="9.57"/>
    <col collapsed="false" customWidth="false" hidden="false" outlineLevel="0" max="8192" min="7944" style="19" width="9.14"/>
    <col collapsed="false" customWidth="true" hidden="false" outlineLevel="0" max="8193" min="8193" style="19" width="21.71"/>
    <col collapsed="false" customWidth="true" hidden="false" outlineLevel="0" max="8194" min="8194" style="19" width="9.71"/>
    <col collapsed="false" customWidth="false" hidden="false" outlineLevel="0" max="8197" min="8195" style="19" width="9.14"/>
    <col collapsed="false" customWidth="true" hidden="false" outlineLevel="0" max="8198" min="8198" style="19" width="10.71"/>
    <col collapsed="false" customWidth="true" hidden="false" outlineLevel="0" max="8199" min="8199" style="19" width="9.57"/>
    <col collapsed="false" customWidth="false" hidden="false" outlineLevel="0" max="8448" min="8200" style="19" width="9.14"/>
    <col collapsed="false" customWidth="true" hidden="false" outlineLevel="0" max="8449" min="8449" style="19" width="21.71"/>
    <col collapsed="false" customWidth="true" hidden="false" outlineLevel="0" max="8450" min="8450" style="19" width="9.71"/>
    <col collapsed="false" customWidth="false" hidden="false" outlineLevel="0" max="8453" min="8451" style="19" width="9.14"/>
    <col collapsed="false" customWidth="true" hidden="false" outlineLevel="0" max="8454" min="8454" style="19" width="10.71"/>
    <col collapsed="false" customWidth="true" hidden="false" outlineLevel="0" max="8455" min="8455" style="19" width="9.57"/>
    <col collapsed="false" customWidth="false" hidden="false" outlineLevel="0" max="8704" min="8456" style="19" width="9.14"/>
    <col collapsed="false" customWidth="true" hidden="false" outlineLevel="0" max="8705" min="8705" style="19" width="21.71"/>
    <col collapsed="false" customWidth="true" hidden="false" outlineLevel="0" max="8706" min="8706" style="19" width="9.71"/>
    <col collapsed="false" customWidth="false" hidden="false" outlineLevel="0" max="8709" min="8707" style="19" width="9.14"/>
    <col collapsed="false" customWidth="true" hidden="false" outlineLevel="0" max="8710" min="8710" style="19" width="10.71"/>
    <col collapsed="false" customWidth="true" hidden="false" outlineLevel="0" max="8711" min="8711" style="19" width="9.57"/>
    <col collapsed="false" customWidth="false" hidden="false" outlineLevel="0" max="8960" min="8712" style="19" width="9.14"/>
    <col collapsed="false" customWidth="true" hidden="false" outlineLevel="0" max="8961" min="8961" style="19" width="21.71"/>
    <col collapsed="false" customWidth="true" hidden="false" outlineLevel="0" max="8962" min="8962" style="19" width="9.71"/>
    <col collapsed="false" customWidth="false" hidden="false" outlineLevel="0" max="8965" min="8963" style="19" width="9.14"/>
    <col collapsed="false" customWidth="true" hidden="false" outlineLevel="0" max="8966" min="8966" style="19" width="10.71"/>
    <col collapsed="false" customWidth="true" hidden="false" outlineLevel="0" max="8967" min="8967" style="19" width="9.57"/>
    <col collapsed="false" customWidth="false" hidden="false" outlineLevel="0" max="9216" min="8968" style="19" width="9.14"/>
    <col collapsed="false" customWidth="true" hidden="false" outlineLevel="0" max="9217" min="9217" style="19" width="21.71"/>
    <col collapsed="false" customWidth="true" hidden="false" outlineLevel="0" max="9218" min="9218" style="19" width="9.71"/>
    <col collapsed="false" customWidth="false" hidden="false" outlineLevel="0" max="9221" min="9219" style="19" width="9.14"/>
    <col collapsed="false" customWidth="true" hidden="false" outlineLevel="0" max="9222" min="9222" style="19" width="10.71"/>
    <col collapsed="false" customWidth="true" hidden="false" outlineLevel="0" max="9223" min="9223" style="19" width="9.57"/>
    <col collapsed="false" customWidth="false" hidden="false" outlineLevel="0" max="9472" min="9224" style="19" width="9.14"/>
    <col collapsed="false" customWidth="true" hidden="false" outlineLevel="0" max="9473" min="9473" style="19" width="21.71"/>
    <col collapsed="false" customWidth="true" hidden="false" outlineLevel="0" max="9474" min="9474" style="19" width="9.71"/>
    <col collapsed="false" customWidth="false" hidden="false" outlineLevel="0" max="9477" min="9475" style="19" width="9.14"/>
    <col collapsed="false" customWidth="true" hidden="false" outlineLevel="0" max="9478" min="9478" style="19" width="10.71"/>
    <col collapsed="false" customWidth="true" hidden="false" outlineLevel="0" max="9479" min="9479" style="19" width="9.57"/>
    <col collapsed="false" customWidth="false" hidden="false" outlineLevel="0" max="9728" min="9480" style="19" width="9.14"/>
    <col collapsed="false" customWidth="true" hidden="false" outlineLevel="0" max="9729" min="9729" style="19" width="21.71"/>
    <col collapsed="false" customWidth="true" hidden="false" outlineLevel="0" max="9730" min="9730" style="19" width="9.71"/>
    <col collapsed="false" customWidth="false" hidden="false" outlineLevel="0" max="9733" min="9731" style="19" width="9.14"/>
    <col collapsed="false" customWidth="true" hidden="false" outlineLevel="0" max="9734" min="9734" style="19" width="10.71"/>
    <col collapsed="false" customWidth="true" hidden="false" outlineLevel="0" max="9735" min="9735" style="19" width="9.57"/>
    <col collapsed="false" customWidth="false" hidden="false" outlineLevel="0" max="9984" min="9736" style="19" width="9.14"/>
    <col collapsed="false" customWidth="true" hidden="false" outlineLevel="0" max="9985" min="9985" style="19" width="21.71"/>
    <col collapsed="false" customWidth="true" hidden="false" outlineLevel="0" max="9986" min="9986" style="19" width="9.71"/>
    <col collapsed="false" customWidth="false" hidden="false" outlineLevel="0" max="9989" min="9987" style="19" width="9.14"/>
    <col collapsed="false" customWidth="true" hidden="false" outlineLevel="0" max="9990" min="9990" style="19" width="10.71"/>
    <col collapsed="false" customWidth="true" hidden="false" outlineLevel="0" max="9991" min="9991" style="19" width="9.57"/>
    <col collapsed="false" customWidth="false" hidden="false" outlineLevel="0" max="10240" min="9992" style="19" width="9.14"/>
    <col collapsed="false" customWidth="true" hidden="false" outlineLevel="0" max="10241" min="10241" style="19" width="21.71"/>
    <col collapsed="false" customWidth="true" hidden="false" outlineLevel="0" max="10242" min="10242" style="19" width="9.71"/>
    <col collapsed="false" customWidth="false" hidden="false" outlineLevel="0" max="10245" min="10243" style="19" width="9.14"/>
    <col collapsed="false" customWidth="true" hidden="false" outlineLevel="0" max="10246" min="10246" style="19" width="10.71"/>
    <col collapsed="false" customWidth="true" hidden="false" outlineLevel="0" max="10247" min="10247" style="19" width="9.57"/>
    <col collapsed="false" customWidth="false" hidden="false" outlineLevel="0" max="10496" min="10248" style="19" width="9.14"/>
    <col collapsed="false" customWidth="true" hidden="false" outlineLevel="0" max="10497" min="10497" style="19" width="21.71"/>
    <col collapsed="false" customWidth="true" hidden="false" outlineLevel="0" max="10498" min="10498" style="19" width="9.71"/>
    <col collapsed="false" customWidth="false" hidden="false" outlineLevel="0" max="10501" min="10499" style="19" width="9.14"/>
    <col collapsed="false" customWidth="true" hidden="false" outlineLevel="0" max="10502" min="10502" style="19" width="10.71"/>
    <col collapsed="false" customWidth="true" hidden="false" outlineLevel="0" max="10503" min="10503" style="19" width="9.57"/>
    <col collapsed="false" customWidth="false" hidden="false" outlineLevel="0" max="10752" min="10504" style="19" width="9.14"/>
    <col collapsed="false" customWidth="true" hidden="false" outlineLevel="0" max="10753" min="10753" style="19" width="21.71"/>
    <col collapsed="false" customWidth="true" hidden="false" outlineLevel="0" max="10754" min="10754" style="19" width="9.71"/>
    <col collapsed="false" customWidth="false" hidden="false" outlineLevel="0" max="10757" min="10755" style="19" width="9.14"/>
    <col collapsed="false" customWidth="true" hidden="false" outlineLevel="0" max="10758" min="10758" style="19" width="10.71"/>
    <col collapsed="false" customWidth="true" hidden="false" outlineLevel="0" max="10759" min="10759" style="19" width="9.57"/>
    <col collapsed="false" customWidth="false" hidden="false" outlineLevel="0" max="11008" min="10760" style="19" width="9.14"/>
    <col collapsed="false" customWidth="true" hidden="false" outlineLevel="0" max="11009" min="11009" style="19" width="21.71"/>
    <col collapsed="false" customWidth="true" hidden="false" outlineLevel="0" max="11010" min="11010" style="19" width="9.71"/>
    <col collapsed="false" customWidth="false" hidden="false" outlineLevel="0" max="11013" min="11011" style="19" width="9.14"/>
    <col collapsed="false" customWidth="true" hidden="false" outlineLevel="0" max="11014" min="11014" style="19" width="10.71"/>
    <col collapsed="false" customWidth="true" hidden="false" outlineLevel="0" max="11015" min="11015" style="19" width="9.57"/>
    <col collapsed="false" customWidth="false" hidden="false" outlineLevel="0" max="11264" min="11016" style="19" width="9.14"/>
    <col collapsed="false" customWidth="true" hidden="false" outlineLevel="0" max="11265" min="11265" style="19" width="21.71"/>
    <col collapsed="false" customWidth="true" hidden="false" outlineLevel="0" max="11266" min="11266" style="19" width="9.71"/>
    <col collapsed="false" customWidth="false" hidden="false" outlineLevel="0" max="11269" min="11267" style="19" width="9.14"/>
    <col collapsed="false" customWidth="true" hidden="false" outlineLevel="0" max="11270" min="11270" style="19" width="10.71"/>
    <col collapsed="false" customWidth="true" hidden="false" outlineLevel="0" max="11271" min="11271" style="19" width="9.57"/>
    <col collapsed="false" customWidth="false" hidden="false" outlineLevel="0" max="11520" min="11272" style="19" width="9.14"/>
    <col collapsed="false" customWidth="true" hidden="false" outlineLevel="0" max="11521" min="11521" style="19" width="21.71"/>
    <col collapsed="false" customWidth="true" hidden="false" outlineLevel="0" max="11522" min="11522" style="19" width="9.71"/>
    <col collapsed="false" customWidth="false" hidden="false" outlineLevel="0" max="11525" min="11523" style="19" width="9.14"/>
    <col collapsed="false" customWidth="true" hidden="false" outlineLevel="0" max="11526" min="11526" style="19" width="10.71"/>
    <col collapsed="false" customWidth="true" hidden="false" outlineLevel="0" max="11527" min="11527" style="19" width="9.57"/>
    <col collapsed="false" customWidth="false" hidden="false" outlineLevel="0" max="11776" min="11528" style="19" width="9.14"/>
    <col collapsed="false" customWidth="true" hidden="false" outlineLevel="0" max="11777" min="11777" style="19" width="21.71"/>
    <col collapsed="false" customWidth="true" hidden="false" outlineLevel="0" max="11778" min="11778" style="19" width="9.71"/>
    <col collapsed="false" customWidth="false" hidden="false" outlineLevel="0" max="11781" min="11779" style="19" width="9.14"/>
    <col collapsed="false" customWidth="true" hidden="false" outlineLevel="0" max="11782" min="11782" style="19" width="10.71"/>
    <col collapsed="false" customWidth="true" hidden="false" outlineLevel="0" max="11783" min="11783" style="19" width="9.57"/>
    <col collapsed="false" customWidth="false" hidden="false" outlineLevel="0" max="12032" min="11784" style="19" width="9.14"/>
    <col collapsed="false" customWidth="true" hidden="false" outlineLevel="0" max="12033" min="12033" style="19" width="21.71"/>
    <col collapsed="false" customWidth="true" hidden="false" outlineLevel="0" max="12034" min="12034" style="19" width="9.71"/>
    <col collapsed="false" customWidth="false" hidden="false" outlineLevel="0" max="12037" min="12035" style="19" width="9.14"/>
    <col collapsed="false" customWidth="true" hidden="false" outlineLevel="0" max="12038" min="12038" style="19" width="10.71"/>
    <col collapsed="false" customWidth="true" hidden="false" outlineLevel="0" max="12039" min="12039" style="19" width="9.57"/>
    <col collapsed="false" customWidth="false" hidden="false" outlineLevel="0" max="12288" min="12040" style="19" width="9.14"/>
    <col collapsed="false" customWidth="true" hidden="false" outlineLevel="0" max="12289" min="12289" style="19" width="21.71"/>
    <col collapsed="false" customWidth="true" hidden="false" outlineLevel="0" max="12290" min="12290" style="19" width="9.71"/>
    <col collapsed="false" customWidth="false" hidden="false" outlineLevel="0" max="12293" min="12291" style="19" width="9.14"/>
    <col collapsed="false" customWidth="true" hidden="false" outlineLevel="0" max="12294" min="12294" style="19" width="10.71"/>
    <col collapsed="false" customWidth="true" hidden="false" outlineLevel="0" max="12295" min="12295" style="19" width="9.57"/>
    <col collapsed="false" customWidth="false" hidden="false" outlineLevel="0" max="12544" min="12296" style="19" width="9.14"/>
    <col collapsed="false" customWidth="true" hidden="false" outlineLevel="0" max="12545" min="12545" style="19" width="21.71"/>
    <col collapsed="false" customWidth="true" hidden="false" outlineLevel="0" max="12546" min="12546" style="19" width="9.71"/>
    <col collapsed="false" customWidth="false" hidden="false" outlineLevel="0" max="12549" min="12547" style="19" width="9.14"/>
    <col collapsed="false" customWidth="true" hidden="false" outlineLevel="0" max="12550" min="12550" style="19" width="10.71"/>
    <col collapsed="false" customWidth="true" hidden="false" outlineLevel="0" max="12551" min="12551" style="19" width="9.57"/>
    <col collapsed="false" customWidth="false" hidden="false" outlineLevel="0" max="12800" min="12552" style="19" width="9.14"/>
    <col collapsed="false" customWidth="true" hidden="false" outlineLevel="0" max="12801" min="12801" style="19" width="21.71"/>
    <col collapsed="false" customWidth="true" hidden="false" outlineLevel="0" max="12802" min="12802" style="19" width="9.71"/>
    <col collapsed="false" customWidth="false" hidden="false" outlineLevel="0" max="12805" min="12803" style="19" width="9.14"/>
    <col collapsed="false" customWidth="true" hidden="false" outlineLevel="0" max="12806" min="12806" style="19" width="10.71"/>
    <col collapsed="false" customWidth="true" hidden="false" outlineLevel="0" max="12807" min="12807" style="19" width="9.57"/>
    <col collapsed="false" customWidth="false" hidden="false" outlineLevel="0" max="13056" min="12808" style="19" width="9.14"/>
    <col collapsed="false" customWidth="true" hidden="false" outlineLevel="0" max="13057" min="13057" style="19" width="21.71"/>
    <col collapsed="false" customWidth="true" hidden="false" outlineLevel="0" max="13058" min="13058" style="19" width="9.71"/>
    <col collapsed="false" customWidth="false" hidden="false" outlineLevel="0" max="13061" min="13059" style="19" width="9.14"/>
    <col collapsed="false" customWidth="true" hidden="false" outlineLevel="0" max="13062" min="13062" style="19" width="10.71"/>
    <col collapsed="false" customWidth="true" hidden="false" outlineLevel="0" max="13063" min="13063" style="19" width="9.57"/>
    <col collapsed="false" customWidth="false" hidden="false" outlineLevel="0" max="13312" min="13064" style="19" width="9.14"/>
    <col collapsed="false" customWidth="true" hidden="false" outlineLevel="0" max="13313" min="13313" style="19" width="21.71"/>
    <col collapsed="false" customWidth="true" hidden="false" outlineLevel="0" max="13314" min="13314" style="19" width="9.71"/>
    <col collapsed="false" customWidth="false" hidden="false" outlineLevel="0" max="13317" min="13315" style="19" width="9.14"/>
    <col collapsed="false" customWidth="true" hidden="false" outlineLevel="0" max="13318" min="13318" style="19" width="10.71"/>
    <col collapsed="false" customWidth="true" hidden="false" outlineLevel="0" max="13319" min="13319" style="19" width="9.57"/>
    <col collapsed="false" customWidth="false" hidden="false" outlineLevel="0" max="13568" min="13320" style="19" width="9.14"/>
    <col collapsed="false" customWidth="true" hidden="false" outlineLevel="0" max="13569" min="13569" style="19" width="21.71"/>
    <col collapsed="false" customWidth="true" hidden="false" outlineLevel="0" max="13570" min="13570" style="19" width="9.71"/>
    <col collapsed="false" customWidth="false" hidden="false" outlineLevel="0" max="13573" min="13571" style="19" width="9.14"/>
    <col collapsed="false" customWidth="true" hidden="false" outlineLevel="0" max="13574" min="13574" style="19" width="10.71"/>
    <col collapsed="false" customWidth="true" hidden="false" outlineLevel="0" max="13575" min="13575" style="19" width="9.57"/>
    <col collapsed="false" customWidth="false" hidden="false" outlineLevel="0" max="13824" min="13576" style="19" width="9.14"/>
    <col collapsed="false" customWidth="true" hidden="false" outlineLevel="0" max="13825" min="13825" style="19" width="21.71"/>
    <col collapsed="false" customWidth="true" hidden="false" outlineLevel="0" max="13826" min="13826" style="19" width="9.71"/>
    <col collapsed="false" customWidth="false" hidden="false" outlineLevel="0" max="13829" min="13827" style="19" width="9.14"/>
    <col collapsed="false" customWidth="true" hidden="false" outlineLevel="0" max="13830" min="13830" style="19" width="10.71"/>
    <col collapsed="false" customWidth="true" hidden="false" outlineLevel="0" max="13831" min="13831" style="19" width="9.57"/>
    <col collapsed="false" customWidth="false" hidden="false" outlineLevel="0" max="14080" min="13832" style="19" width="9.14"/>
    <col collapsed="false" customWidth="true" hidden="false" outlineLevel="0" max="14081" min="14081" style="19" width="21.71"/>
    <col collapsed="false" customWidth="true" hidden="false" outlineLevel="0" max="14082" min="14082" style="19" width="9.71"/>
    <col collapsed="false" customWidth="false" hidden="false" outlineLevel="0" max="14085" min="14083" style="19" width="9.14"/>
    <col collapsed="false" customWidth="true" hidden="false" outlineLevel="0" max="14086" min="14086" style="19" width="10.71"/>
    <col collapsed="false" customWidth="true" hidden="false" outlineLevel="0" max="14087" min="14087" style="19" width="9.57"/>
    <col collapsed="false" customWidth="false" hidden="false" outlineLevel="0" max="14336" min="14088" style="19" width="9.14"/>
    <col collapsed="false" customWidth="true" hidden="false" outlineLevel="0" max="14337" min="14337" style="19" width="21.71"/>
    <col collapsed="false" customWidth="true" hidden="false" outlineLevel="0" max="14338" min="14338" style="19" width="9.71"/>
    <col collapsed="false" customWidth="false" hidden="false" outlineLevel="0" max="14341" min="14339" style="19" width="9.14"/>
    <col collapsed="false" customWidth="true" hidden="false" outlineLevel="0" max="14342" min="14342" style="19" width="10.71"/>
    <col collapsed="false" customWidth="true" hidden="false" outlineLevel="0" max="14343" min="14343" style="19" width="9.57"/>
    <col collapsed="false" customWidth="false" hidden="false" outlineLevel="0" max="14592" min="14344" style="19" width="9.14"/>
    <col collapsed="false" customWidth="true" hidden="false" outlineLevel="0" max="14593" min="14593" style="19" width="21.71"/>
    <col collapsed="false" customWidth="true" hidden="false" outlineLevel="0" max="14594" min="14594" style="19" width="9.71"/>
    <col collapsed="false" customWidth="false" hidden="false" outlineLevel="0" max="14597" min="14595" style="19" width="9.14"/>
    <col collapsed="false" customWidth="true" hidden="false" outlineLevel="0" max="14598" min="14598" style="19" width="10.71"/>
    <col collapsed="false" customWidth="true" hidden="false" outlineLevel="0" max="14599" min="14599" style="19" width="9.57"/>
    <col collapsed="false" customWidth="false" hidden="false" outlineLevel="0" max="14848" min="14600" style="19" width="9.14"/>
    <col collapsed="false" customWidth="true" hidden="false" outlineLevel="0" max="14849" min="14849" style="19" width="21.71"/>
    <col collapsed="false" customWidth="true" hidden="false" outlineLevel="0" max="14850" min="14850" style="19" width="9.71"/>
    <col collapsed="false" customWidth="false" hidden="false" outlineLevel="0" max="14853" min="14851" style="19" width="9.14"/>
    <col collapsed="false" customWidth="true" hidden="false" outlineLevel="0" max="14854" min="14854" style="19" width="10.71"/>
    <col collapsed="false" customWidth="true" hidden="false" outlineLevel="0" max="14855" min="14855" style="19" width="9.57"/>
    <col collapsed="false" customWidth="false" hidden="false" outlineLevel="0" max="15104" min="14856" style="19" width="9.14"/>
    <col collapsed="false" customWidth="true" hidden="false" outlineLevel="0" max="15105" min="15105" style="19" width="21.71"/>
    <col collapsed="false" customWidth="true" hidden="false" outlineLevel="0" max="15106" min="15106" style="19" width="9.71"/>
    <col collapsed="false" customWidth="false" hidden="false" outlineLevel="0" max="15109" min="15107" style="19" width="9.14"/>
    <col collapsed="false" customWidth="true" hidden="false" outlineLevel="0" max="15110" min="15110" style="19" width="10.71"/>
    <col collapsed="false" customWidth="true" hidden="false" outlineLevel="0" max="15111" min="15111" style="19" width="9.57"/>
    <col collapsed="false" customWidth="false" hidden="false" outlineLevel="0" max="15360" min="15112" style="19" width="9.14"/>
    <col collapsed="false" customWidth="true" hidden="false" outlineLevel="0" max="15361" min="15361" style="19" width="21.71"/>
    <col collapsed="false" customWidth="true" hidden="false" outlineLevel="0" max="15362" min="15362" style="19" width="9.71"/>
    <col collapsed="false" customWidth="false" hidden="false" outlineLevel="0" max="15365" min="15363" style="19" width="9.14"/>
    <col collapsed="false" customWidth="true" hidden="false" outlineLevel="0" max="15366" min="15366" style="19" width="10.71"/>
    <col collapsed="false" customWidth="true" hidden="false" outlineLevel="0" max="15367" min="15367" style="19" width="9.57"/>
    <col collapsed="false" customWidth="false" hidden="false" outlineLevel="0" max="15616" min="15368" style="19" width="9.14"/>
    <col collapsed="false" customWidth="true" hidden="false" outlineLevel="0" max="15617" min="15617" style="19" width="21.71"/>
    <col collapsed="false" customWidth="true" hidden="false" outlineLevel="0" max="15618" min="15618" style="19" width="9.71"/>
    <col collapsed="false" customWidth="false" hidden="false" outlineLevel="0" max="15621" min="15619" style="19" width="9.14"/>
    <col collapsed="false" customWidth="true" hidden="false" outlineLevel="0" max="15622" min="15622" style="19" width="10.71"/>
    <col collapsed="false" customWidth="true" hidden="false" outlineLevel="0" max="15623" min="15623" style="19" width="9.57"/>
    <col collapsed="false" customWidth="false" hidden="false" outlineLevel="0" max="15872" min="15624" style="19" width="9.14"/>
    <col collapsed="false" customWidth="true" hidden="false" outlineLevel="0" max="15873" min="15873" style="19" width="21.71"/>
    <col collapsed="false" customWidth="true" hidden="false" outlineLevel="0" max="15874" min="15874" style="19" width="9.71"/>
    <col collapsed="false" customWidth="false" hidden="false" outlineLevel="0" max="15877" min="15875" style="19" width="9.14"/>
    <col collapsed="false" customWidth="true" hidden="false" outlineLevel="0" max="15878" min="15878" style="19" width="10.71"/>
    <col collapsed="false" customWidth="true" hidden="false" outlineLevel="0" max="15879" min="15879" style="19" width="9.57"/>
    <col collapsed="false" customWidth="false" hidden="false" outlineLevel="0" max="16128" min="15880" style="19" width="9.14"/>
    <col collapsed="false" customWidth="true" hidden="false" outlineLevel="0" max="16129" min="16129" style="19" width="21.71"/>
    <col collapsed="false" customWidth="true" hidden="false" outlineLevel="0" max="16130" min="16130" style="19" width="9.71"/>
    <col collapsed="false" customWidth="false" hidden="false" outlineLevel="0" max="16133" min="16131" style="19" width="9.14"/>
    <col collapsed="false" customWidth="true" hidden="false" outlineLevel="0" max="16134" min="16134" style="19" width="10.71"/>
    <col collapsed="false" customWidth="true" hidden="false" outlineLevel="0" max="16135" min="16135" style="19" width="9.57"/>
    <col collapsed="false" customWidth="false" hidden="false" outlineLevel="0" max="16384" min="16136" style="19" width="9.14"/>
  </cols>
  <sheetData>
    <row r="1" customFormat="false" ht="15.75" hidden="false" customHeight="false" outlineLevel="0" collapsed="false">
      <c r="A1" s="14" t="s">
        <v>125</v>
      </c>
      <c r="F1" s="17"/>
      <c r="G1" s="17"/>
    </row>
    <row r="2" customFormat="false" ht="12" hidden="false" customHeight="false" outlineLevel="0" collapsed="false">
      <c r="F2" s="17"/>
      <c r="G2" s="17"/>
    </row>
    <row r="3" customFormat="false" ht="48" hidden="false" customHeight="false" outlineLevel="0" collapsed="false">
      <c r="A3" s="20" t="n">
        <v>2012</v>
      </c>
      <c r="B3" s="21" t="s">
        <v>17</v>
      </c>
      <c r="C3" s="22" t="s">
        <v>106</v>
      </c>
      <c r="D3" s="22" t="s">
        <v>107</v>
      </c>
      <c r="E3" s="25" t="s">
        <v>108</v>
      </c>
      <c r="F3" s="74" t="s">
        <v>109</v>
      </c>
      <c r="G3" s="24" t="s">
        <v>110</v>
      </c>
      <c r="H3" s="22" t="s">
        <v>106</v>
      </c>
      <c r="I3" s="22" t="s">
        <v>107</v>
      </c>
      <c r="J3" s="178" t="s">
        <v>111</v>
      </c>
    </row>
    <row r="4" customFormat="false" ht="12" hidden="false" customHeight="false" outlineLevel="0" collapsed="false">
      <c r="A4" s="179" t="s">
        <v>95</v>
      </c>
      <c r="B4" s="180" t="n">
        <f aca="false">SUM(B5:B32)</f>
        <v>386.727155578331</v>
      </c>
      <c r="C4" s="181"/>
      <c r="D4" s="182"/>
      <c r="E4" s="183" t="n">
        <v>0.117</v>
      </c>
      <c r="F4" s="180" t="n">
        <f aca="false">SUM(F5:F32)</f>
        <v>111.429150498377</v>
      </c>
      <c r="G4" s="184" t="n">
        <f aca="false">SUM(G5:G32)</f>
        <v>3041.08550618576</v>
      </c>
      <c r="H4" s="185"/>
      <c r="I4" s="185"/>
      <c r="J4" s="186" t="n">
        <f aca="false">SUM(J5:J32)</f>
        <v>284.717877562307</v>
      </c>
    </row>
    <row r="5" customFormat="false" ht="12" hidden="false" customHeight="false" outlineLevel="0" collapsed="false">
      <c r="A5" s="187" t="s">
        <v>96</v>
      </c>
      <c r="B5" s="188" t="n">
        <v>12.8920583612169</v>
      </c>
      <c r="C5" s="189" t="n">
        <v>0.53652760964533</v>
      </c>
      <c r="D5" s="190" t="n">
        <v>0.46347239035467</v>
      </c>
      <c r="E5" s="191" t="n">
        <v>0.155562158954762</v>
      </c>
      <c r="F5" s="188" t="n">
        <v>2.30306604999981</v>
      </c>
      <c r="G5" s="192" t="n">
        <v>88.36</v>
      </c>
      <c r="H5" s="193" t="n">
        <v>0.348</v>
      </c>
      <c r="I5" s="193" t="n">
        <v>0.652</v>
      </c>
      <c r="J5" s="194" t="n">
        <v>5.28861830696</v>
      </c>
    </row>
    <row r="6" customFormat="false" ht="12" hidden="false" customHeight="false" outlineLevel="0" collapsed="false">
      <c r="A6" s="80" t="s">
        <v>27</v>
      </c>
      <c r="B6" s="134" t="n">
        <v>2.774</v>
      </c>
      <c r="C6" s="135" t="n">
        <v>0.931506849315068</v>
      </c>
      <c r="D6" s="195" t="n">
        <v>0.0684931506849315</v>
      </c>
      <c r="E6" s="136" t="n">
        <v>0.0586109995985548</v>
      </c>
      <c r="F6" s="134" t="n">
        <v>1.165</v>
      </c>
      <c r="G6" s="196" t="n">
        <v>41.581</v>
      </c>
      <c r="H6" s="197" t="n">
        <v>0.978812438373296</v>
      </c>
      <c r="I6" s="197" t="n">
        <v>0.0211875616267045</v>
      </c>
      <c r="J6" s="198" t="n">
        <v>4.093</v>
      </c>
    </row>
    <row r="7" customFormat="false" ht="12" hidden="false" customHeight="false" outlineLevel="0" collapsed="false">
      <c r="A7" s="80" t="s">
        <v>28</v>
      </c>
      <c r="B7" s="134" t="n">
        <v>11.515</v>
      </c>
      <c r="C7" s="135" t="n">
        <v>0.753973078593139</v>
      </c>
      <c r="D7" s="195" t="n">
        <v>0.246026921406861</v>
      </c>
      <c r="E7" s="136" t="n">
        <v>0.131490299521542</v>
      </c>
      <c r="F7" s="134" t="n">
        <v>4.637</v>
      </c>
      <c r="G7" s="196" t="n">
        <v>126.643</v>
      </c>
      <c r="H7" s="197" t="n">
        <v>0.66676405328364</v>
      </c>
      <c r="I7" s="197" t="n">
        <v>0.33323594671636</v>
      </c>
      <c r="J7" s="198" t="n">
        <v>20.847</v>
      </c>
    </row>
    <row r="8" customFormat="false" ht="12" hidden="false" customHeight="false" outlineLevel="0" collapsed="false">
      <c r="A8" s="80" t="s">
        <v>29</v>
      </c>
      <c r="B8" s="134" t="n">
        <v>14.999894775353</v>
      </c>
      <c r="C8" s="135" t="n">
        <v>0.872226322234555</v>
      </c>
      <c r="D8" s="195" t="n">
        <v>0.127773677765445</v>
      </c>
      <c r="E8" s="136" t="n">
        <v>0.488166588842159</v>
      </c>
      <c r="F8" s="134" t="n">
        <v>5.69658740449511</v>
      </c>
      <c r="G8" s="196" t="n">
        <v>104.240306328869</v>
      </c>
      <c r="H8" s="197" t="n">
        <v>0.758412512192746</v>
      </c>
      <c r="I8" s="197" t="n">
        <v>0.241587487807255</v>
      </c>
      <c r="J8" s="198" t="n">
        <v>9.71563850498944</v>
      </c>
    </row>
    <row r="9" customFormat="false" ht="12" hidden="false" customHeight="false" outlineLevel="0" collapsed="false">
      <c r="A9" s="80" t="s">
        <v>30</v>
      </c>
      <c r="B9" s="134" t="n">
        <v>79.34</v>
      </c>
      <c r="C9" s="135" t="n">
        <v>0.644</v>
      </c>
      <c r="D9" s="195" t="n">
        <v>0.356</v>
      </c>
      <c r="E9" s="136" t="n">
        <v>0.126</v>
      </c>
      <c r="F9" s="134" t="n">
        <v>26.92</v>
      </c>
      <c r="G9" s="196" t="n">
        <v>648.3</v>
      </c>
      <c r="H9" s="197" t="n">
        <v>0.533</v>
      </c>
      <c r="I9" s="197" t="n">
        <v>0.467</v>
      </c>
      <c r="J9" s="198" t="n">
        <v>66.1</v>
      </c>
    </row>
    <row r="10" customFormat="false" ht="12" hidden="false" customHeight="false" outlineLevel="0" collapsed="false">
      <c r="A10" s="80" t="s">
        <v>31</v>
      </c>
      <c r="B10" s="134" t="n">
        <v>1.165</v>
      </c>
      <c r="C10" s="135" t="n">
        <v>0.930472103004292</v>
      </c>
      <c r="D10" s="195" t="n">
        <v>0.0695278969957082</v>
      </c>
      <c r="E10" s="136" t="n">
        <v>0.0973510487173059</v>
      </c>
      <c r="F10" s="134" t="n">
        <v>0.497</v>
      </c>
      <c r="G10" s="196" t="n">
        <v>11.07</v>
      </c>
      <c r="H10" s="197" t="n">
        <v>0.862691960252936</v>
      </c>
      <c r="I10" s="197" t="n">
        <v>0.137308039747064</v>
      </c>
      <c r="J10" s="198" t="n">
        <v>1.553</v>
      </c>
    </row>
    <row r="11" customFormat="false" ht="12" hidden="false" customHeight="false" outlineLevel="0" collapsed="false">
      <c r="A11" s="80" t="s">
        <v>97</v>
      </c>
      <c r="B11" s="134" t="n">
        <v>2.089</v>
      </c>
      <c r="C11" s="135" t="n">
        <v>0</v>
      </c>
      <c r="D11" s="195" t="n">
        <v>1</v>
      </c>
      <c r="E11" s="136" t="n">
        <v>0.0757103508263265</v>
      </c>
      <c r="F11" s="134" t="n">
        <v>0.305</v>
      </c>
      <c r="G11" s="196" t="n">
        <v>12.546</v>
      </c>
      <c r="H11" s="197" t="n">
        <v>0</v>
      </c>
      <c r="I11" s="197" t="n">
        <v>1</v>
      </c>
      <c r="J11" s="198" t="n">
        <v>0.686</v>
      </c>
    </row>
    <row r="12" customFormat="false" ht="12" hidden="false" customHeight="false" outlineLevel="0" collapsed="false">
      <c r="A12" s="80" t="s">
        <v>33</v>
      </c>
      <c r="B12" s="134" t="n">
        <v>2.397</v>
      </c>
      <c r="C12" s="135" t="n">
        <v>0.0692532332081769</v>
      </c>
      <c r="D12" s="195" t="n">
        <v>0.930746766791823</v>
      </c>
      <c r="E12" s="136" t="n">
        <v>0.0393215111796453</v>
      </c>
      <c r="F12" s="134" t="n">
        <v>0.574</v>
      </c>
      <c r="G12" s="196" t="n">
        <v>13.032</v>
      </c>
      <c r="H12" s="197" t="n">
        <v>0.455263965623082</v>
      </c>
      <c r="I12" s="197" t="n">
        <v>0.544736034376918</v>
      </c>
      <c r="J12" s="198" t="n">
        <v>0.93</v>
      </c>
    </row>
    <row r="13" customFormat="false" ht="12" hidden="false" customHeight="false" outlineLevel="0" collapsed="false">
      <c r="A13" s="80" t="s">
        <v>34</v>
      </c>
      <c r="B13" s="134" t="n">
        <v>26.386553</v>
      </c>
      <c r="C13" s="135" t="n">
        <v>0</v>
      </c>
      <c r="D13" s="195" t="n">
        <v>1</v>
      </c>
      <c r="E13" s="136" t="n">
        <v>0.0886767094929073</v>
      </c>
      <c r="F13" s="134" t="n">
        <v>3.956811</v>
      </c>
      <c r="G13" s="196" t="n">
        <v>219.0595513204</v>
      </c>
      <c r="H13" s="197" t="n">
        <v>0</v>
      </c>
      <c r="I13" s="197" t="n">
        <v>1</v>
      </c>
      <c r="J13" s="198" t="n">
        <v>17.1742098552162</v>
      </c>
    </row>
    <row r="14" customFormat="false" ht="12" hidden="false" customHeight="false" outlineLevel="0" collapsed="false">
      <c r="A14" s="80" t="s">
        <v>35</v>
      </c>
      <c r="B14" s="134" t="n">
        <v>15.15886</v>
      </c>
      <c r="C14" s="135" t="n">
        <v>0.567266931682198</v>
      </c>
      <c r="D14" s="195" t="n">
        <v>0.432733068317802</v>
      </c>
      <c r="E14" s="136" t="n">
        <v>0.0268643126135306</v>
      </c>
      <c r="F14" s="134" t="n">
        <v>5.4575</v>
      </c>
      <c r="G14" s="196" t="n">
        <v>150.93</v>
      </c>
      <c r="H14" s="197" t="n">
        <v>0.324</v>
      </c>
      <c r="I14" s="197" t="n">
        <v>0.676</v>
      </c>
      <c r="J14" s="198" t="n">
        <v>15.29446</v>
      </c>
    </row>
    <row r="15" customFormat="false" ht="12" hidden="false" customHeight="false" outlineLevel="0" collapsed="false">
      <c r="A15" s="80" t="s">
        <v>36</v>
      </c>
      <c r="B15" s="134" t="n">
        <v>2.101</v>
      </c>
      <c r="C15" s="135" t="n">
        <v>0.889576392194193</v>
      </c>
      <c r="D15" s="195" t="n">
        <v>0.110423607805807</v>
      </c>
      <c r="E15" s="136" t="n">
        <v>0.199014871649143</v>
      </c>
      <c r="F15" s="134" t="n">
        <v>0.69</v>
      </c>
      <c r="G15" s="196" t="n">
        <v>14.035</v>
      </c>
      <c r="H15" s="197" t="n">
        <v>0.538012112575704</v>
      </c>
      <c r="I15" s="197" t="n">
        <v>0.461987887424296</v>
      </c>
      <c r="J15" s="198" t="n">
        <v>1.72</v>
      </c>
      <c r="L15" s="227"/>
      <c r="M15" s="228"/>
    </row>
    <row r="16" customFormat="false" ht="12" hidden="false" customHeight="false" outlineLevel="0" collapsed="false">
      <c r="A16" s="80" t="s">
        <v>37</v>
      </c>
      <c r="B16" s="134" t="n">
        <v>35.817</v>
      </c>
      <c r="C16" s="135" t="n">
        <v>0.675963927743809</v>
      </c>
      <c r="D16" s="195" t="n">
        <v>0.324036072256191</v>
      </c>
      <c r="E16" s="136" t="n">
        <v>0.11967842500426</v>
      </c>
      <c r="F16" s="134" t="n">
        <v>7.609</v>
      </c>
      <c r="G16" s="196" t="n">
        <v>203.249</v>
      </c>
      <c r="H16" s="197" t="n">
        <v>0.552337280872231</v>
      </c>
      <c r="I16" s="197" t="n">
        <v>0.447662719127769</v>
      </c>
      <c r="J16" s="198" t="n">
        <v>13.849</v>
      </c>
      <c r="L16" s="227"/>
      <c r="M16" s="229"/>
    </row>
    <row r="17" customFormat="false" ht="12" hidden="false" customHeight="false" outlineLevel="0" collapsed="false">
      <c r="A17" s="80" t="s">
        <v>38</v>
      </c>
      <c r="B17" s="134" t="n">
        <v>0.029506</v>
      </c>
      <c r="C17" s="135" t="n">
        <v>1</v>
      </c>
      <c r="D17" s="195" t="n">
        <v>0</v>
      </c>
      <c r="E17" s="136" t="n">
        <v>0.00625524697901208</v>
      </c>
      <c r="F17" s="134" t="n">
        <v>0.012467</v>
      </c>
      <c r="G17" s="196" t="n">
        <v>0.034107</v>
      </c>
      <c r="H17" s="197" t="n">
        <v>1</v>
      </c>
      <c r="I17" s="197" t="n">
        <v>0</v>
      </c>
      <c r="J17" s="198" t="n">
        <v>0.012148</v>
      </c>
    </row>
    <row r="18" customFormat="false" ht="12" hidden="false" customHeight="false" outlineLevel="0" collapsed="false">
      <c r="A18" s="80" t="s">
        <v>70</v>
      </c>
      <c r="B18" s="134" t="n">
        <v>2.105</v>
      </c>
      <c r="C18" s="135" t="n">
        <v>0.950118764845606</v>
      </c>
      <c r="D18" s="195" t="n">
        <v>0.0498812351543943</v>
      </c>
      <c r="E18" s="136" t="n">
        <v>0.341</v>
      </c>
      <c r="F18" s="134" t="n">
        <v>0.996</v>
      </c>
      <c r="G18" s="196" t="n">
        <v>8.779</v>
      </c>
      <c r="H18" s="197" t="n">
        <v>0.929946463150701</v>
      </c>
      <c r="I18" s="197" t="n">
        <v>0.0700535368492995</v>
      </c>
      <c r="J18" s="198" t="n">
        <v>0.953</v>
      </c>
    </row>
    <row r="19" customFormat="false" ht="12" hidden="false" customHeight="false" outlineLevel="0" collapsed="false">
      <c r="A19" s="80" t="s">
        <v>40</v>
      </c>
      <c r="B19" s="134" t="n">
        <v>1.823</v>
      </c>
      <c r="C19" s="135" t="n">
        <v>0.698299506308283</v>
      </c>
      <c r="D19" s="195" t="n">
        <v>0.301700493691717</v>
      </c>
      <c r="E19" s="136" t="n">
        <v>0.361491175887369</v>
      </c>
      <c r="F19" s="134" t="n">
        <v>1.171</v>
      </c>
      <c r="G19" s="196" t="n">
        <v>15.397</v>
      </c>
      <c r="H19" s="197" t="n">
        <v>0.707345586802624</v>
      </c>
      <c r="I19" s="197" t="n">
        <v>0.292654413197376</v>
      </c>
      <c r="J19" s="198" t="n">
        <v>2.426</v>
      </c>
    </row>
    <row r="20" customFormat="false" ht="12" hidden="false" customHeight="false" outlineLevel="0" collapsed="false">
      <c r="A20" s="80" t="s">
        <v>41</v>
      </c>
      <c r="B20" s="134" t="n">
        <v>0.445</v>
      </c>
      <c r="C20" s="135" t="n">
        <v>0.593258</v>
      </c>
      <c r="D20" s="195" t="n">
        <v>0.406742</v>
      </c>
      <c r="E20" s="136" t="n">
        <v>0.116675</v>
      </c>
      <c r="F20" s="134" t="n">
        <v>0.503</v>
      </c>
      <c r="G20" s="196" t="n">
        <v>3.235</v>
      </c>
      <c r="H20" s="197" t="n">
        <v>0.727048</v>
      </c>
      <c r="I20" s="197" t="n">
        <v>0.272952</v>
      </c>
      <c r="J20" s="198" t="n">
        <v>0.895</v>
      </c>
    </row>
    <row r="21" customFormat="false" ht="12" hidden="false" customHeight="false" outlineLevel="0" collapsed="false">
      <c r="A21" s="80" t="s">
        <v>113</v>
      </c>
      <c r="B21" s="134" t="n">
        <v>4.619</v>
      </c>
      <c r="C21" s="135" t="n">
        <v>0.783069928555965</v>
      </c>
      <c r="D21" s="195" t="n">
        <v>0.216930071444036</v>
      </c>
      <c r="E21" s="136" t="n">
        <v>0.133535703960682</v>
      </c>
      <c r="F21" s="134" t="n">
        <v>1.599</v>
      </c>
      <c r="G21" s="196" t="n">
        <v>26.006</v>
      </c>
      <c r="H21" s="197" t="n">
        <v>0.809313235407214</v>
      </c>
      <c r="I21" s="197" t="n">
        <v>0.190686764592786</v>
      </c>
      <c r="J21" s="198" t="n">
        <v>2.974</v>
      </c>
    </row>
    <row r="22" customFormat="false" ht="12" hidden="false" customHeight="false" outlineLevel="0" collapsed="false">
      <c r="A22" s="80" t="s">
        <v>43</v>
      </c>
      <c r="B22" s="134" t="n">
        <v>0</v>
      </c>
      <c r="C22" s="135" t="n">
        <v>0</v>
      </c>
      <c r="D22" s="195" t="n">
        <v>0</v>
      </c>
      <c r="E22" s="136" t="n">
        <v>0</v>
      </c>
      <c r="F22" s="134" t="n">
        <v>0.000493</v>
      </c>
      <c r="G22" s="196" t="n">
        <v>0</v>
      </c>
      <c r="H22" s="197" t="n">
        <v>0</v>
      </c>
      <c r="I22" s="197" t="n">
        <v>0</v>
      </c>
      <c r="J22" s="198" t="n">
        <v>0.000225</v>
      </c>
    </row>
    <row r="23" customFormat="false" ht="12" hidden="false" customHeight="false" outlineLevel="0" collapsed="false">
      <c r="A23" s="80" t="s">
        <v>72</v>
      </c>
      <c r="B23" s="134" t="n">
        <v>34.5277034166667</v>
      </c>
      <c r="C23" s="135" t="n">
        <v>0.465773851871763</v>
      </c>
      <c r="D23" s="195" t="n">
        <v>0.534226148128237</v>
      </c>
      <c r="E23" s="136" t="n">
        <v>0.336839211908362</v>
      </c>
      <c r="F23" s="134" t="n">
        <v>9.21654476388889</v>
      </c>
      <c r="G23" s="196" t="n">
        <v>224.629427</v>
      </c>
      <c r="H23" s="197" t="n">
        <v>0.439342250559184</v>
      </c>
      <c r="I23" s="197" t="n">
        <v>0.560657749440816</v>
      </c>
      <c r="J23" s="198" t="n">
        <v>18.9312286111111</v>
      </c>
    </row>
    <row r="24" customFormat="false" ht="12" hidden="false" customHeight="false" outlineLevel="0" collapsed="false">
      <c r="A24" s="80" t="s">
        <v>45</v>
      </c>
      <c r="B24" s="134" t="n">
        <v>10.4285888637753</v>
      </c>
      <c r="C24" s="135" t="n">
        <v>0.570899742633067</v>
      </c>
      <c r="D24" s="195" t="n">
        <v>0.429100257366933</v>
      </c>
      <c r="E24" s="136" t="n">
        <v>0.143612824498393</v>
      </c>
      <c r="F24" s="134" t="n">
        <v>4.42745474206028</v>
      </c>
      <c r="G24" s="196" t="n">
        <v>111.775588250041</v>
      </c>
      <c r="H24" s="197" t="n">
        <v>0.360872283272113</v>
      </c>
      <c r="I24" s="197" t="n">
        <v>0.639127716727887</v>
      </c>
      <c r="J24" s="198" t="n">
        <v>11.300415</v>
      </c>
    </row>
    <row r="25" customFormat="false" ht="12" hidden="false" customHeight="false" outlineLevel="0" collapsed="false">
      <c r="A25" s="80" t="s">
        <v>46</v>
      </c>
      <c r="B25" s="134" t="n">
        <v>27.044</v>
      </c>
      <c r="C25" s="135" t="n">
        <v>0.760020706996007</v>
      </c>
      <c r="D25" s="195" t="n">
        <v>0.239979293003993</v>
      </c>
      <c r="E25" s="136" t="n">
        <v>0.166795157241626</v>
      </c>
      <c r="F25" s="134" t="n">
        <v>8.332</v>
      </c>
      <c r="G25" s="196" t="n">
        <v>260.586</v>
      </c>
      <c r="H25" s="197" t="n">
        <v>0.601329311628407</v>
      </c>
      <c r="I25" s="197" t="n">
        <v>0.398670688371593</v>
      </c>
      <c r="J25" s="198" t="n">
        <v>24.642</v>
      </c>
    </row>
    <row r="26" customFormat="false" ht="12" hidden="false" customHeight="false" outlineLevel="0" collapsed="false">
      <c r="A26" s="80" t="s">
        <v>98</v>
      </c>
      <c r="B26" s="134" t="n">
        <v>6.49887164363033</v>
      </c>
      <c r="C26" s="135" t="n">
        <v>0.755367545627469</v>
      </c>
      <c r="D26" s="195" t="n">
        <v>0.244632454372531</v>
      </c>
      <c r="E26" s="136" t="n">
        <v>0.139418879384527</v>
      </c>
      <c r="F26" s="134" t="n">
        <v>1.45292750012124</v>
      </c>
      <c r="G26" s="196" t="n">
        <v>66.8547518125589</v>
      </c>
      <c r="H26" s="197" t="n">
        <v>0.598452726662326</v>
      </c>
      <c r="I26" s="197" t="n">
        <v>0.401547273337675</v>
      </c>
      <c r="J26" s="198" t="n">
        <v>4.911788</v>
      </c>
    </row>
    <row r="27" customFormat="false" ht="12" hidden="false" customHeight="false" outlineLevel="0" collapsed="false">
      <c r="A27" s="80" t="s">
        <v>48</v>
      </c>
      <c r="B27" s="134" t="n">
        <v>6.7215</v>
      </c>
      <c r="C27" s="135" t="n">
        <v>0.839217436584096</v>
      </c>
      <c r="D27" s="195" t="n">
        <v>0.160782563415904</v>
      </c>
      <c r="E27" s="136" t="n">
        <v>0.113836904056228</v>
      </c>
      <c r="F27" s="134" t="n">
        <v>2.184026</v>
      </c>
      <c r="G27" s="196" t="n">
        <v>66.10583</v>
      </c>
      <c r="H27" s="197" t="n">
        <v>0.776340604149437</v>
      </c>
      <c r="I27" s="197" t="n">
        <v>0.223659395850563</v>
      </c>
      <c r="J27" s="198" t="n">
        <v>10.48019276</v>
      </c>
    </row>
    <row r="28" customFormat="false" ht="12" hidden="false" customHeight="false" outlineLevel="0" collapsed="false">
      <c r="A28" s="80" t="s">
        <v>99</v>
      </c>
      <c r="B28" s="134" t="n">
        <v>1.18484402727753</v>
      </c>
      <c r="C28" s="135" t="n">
        <v>0.800661050825376</v>
      </c>
      <c r="D28" s="195" t="n">
        <v>0.199338949174625</v>
      </c>
      <c r="E28" s="136" t="n">
        <v>0.0753286303819399</v>
      </c>
      <c r="F28" s="134" t="n">
        <v>0.3458562</v>
      </c>
      <c r="G28" s="196" t="n">
        <v>10.7473586982963</v>
      </c>
      <c r="H28" s="197" t="n">
        <v>0.647072940917328</v>
      </c>
      <c r="I28" s="197" t="n">
        <v>0.352927059082673</v>
      </c>
      <c r="J28" s="198" t="n">
        <v>0.806814416666667</v>
      </c>
    </row>
    <row r="29" customFormat="false" ht="12" hidden="false" customHeight="false" outlineLevel="0" collapsed="false">
      <c r="A29" s="80" t="s">
        <v>50</v>
      </c>
      <c r="B29" s="104" t="n">
        <v>22.53</v>
      </c>
      <c r="C29" s="166" t="n">
        <v>0.922</v>
      </c>
      <c r="D29" s="105" t="n">
        <v>0.078</v>
      </c>
      <c r="E29" s="167" t="n">
        <v>0.786</v>
      </c>
      <c r="F29" s="104" t="n">
        <v>4.39</v>
      </c>
      <c r="G29" s="107" t="n">
        <v>28.77</v>
      </c>
      <c r="H29" s="224" t="n">
        <v>0.795</v>
      </c>
      <c r="I29" s="224" t="n">
        <v>0.205</v>
      </c>
      <c r="J29" s="106" t="n">
        <v>15.66</v>
      </c>
    </row>
    <row r="30" customFormat="false" ht="12" hidden="false" customHeight="false" outlineLevel="0" collapsed="false">
      <c r="A30" s="80" t="s">
        <v>75</v>
      </c>
      <c r="B30" s="134" t="n">
        <v>24.301</v>
      </c>
      <c r="C30" s="135" t="n">
        <v>0.667791448911568</v>
      </c>
      <c r="D30" s="195" t="n">
        <v>0.332208551088433</v>
      </c>
      <c r="E30" s="136" t="n">
        <v>0.345189562351738</v>
      </c>
      <c r="F30" s="134" t="n">
        <v>6.267</v>
      </c>
      <c r="G30" s="196" t="n">
        <v>256.834</v>
      </c>
      <c r="H30" s="197" t="n">
        <v>0.48681638723845</v>
      </c>
      <c r="I30" s="197" t="n">
        <v>0.51318361276155</v>
      </c>
      <c r="J30" s="198" t="n">
        <v>16.09</v>
      </c>
    </row>
    <row r="31" customFormat="false" ht="12" hidden="false" customHeight="false" outlineLevel="0" collapsed="false">
      <c r="A31" s="108" t="s">
        <v>76</v>
      </c>
      <c r="B31" s="168" t="n">
        <v>15.94</v>
      </c>
      <c r="C31" s="169" t="n">
        <v>0.624</v>
      </c>
      <c r="D31" s="199" t="n">
        <v>0.376</v>
      </c>
      <c r="E31" s="170" t="n">
        <v>0.096</v>
      </c>
      <c r="F31" s="168" t="n">
        <v>4.546</v>
      </c>
      <c r="G31" s="200" t="n">
        <v>173.789</v>
      </c>
      <c r="H31" s="201" t="n">
        <v>0.502960486567044</v>
      </c>
      <c r="I31" s="201" t="n">
        <v>0.497039513432956</v>
      </c>
      <c r="J31" s="202" t="n">
        <v>9.84</v>
      </c>
    </row>
    <row r="32" customFormat="false" ht="12" hidden="false" customHeight="false" outlineLevel="0" collapsed="false">
      <c r="A32" s="87" t="s">
        <v>77</v>
      </c>
      <c r="B32" s="140" t="n">
        <v>21.893775490411</v>
      </c>
      <c r="C32" s="141" t="n">
        <v>0.0135404425657647</v>
      </c>
      <c r="D32" s="203" t="n">
        <v>0.986459557434235</v>
      </c>
      <c r="E32" s="142" t="n">
        <v>0.0601746812182681</v>
      </c>
      <c r="F32" s="140" t="n">
        <v>6.17441683781118</v>
      </c>
      <c r="G32" s="204" t="n">
        <v>154.496585775589</v>
      </c>
      <c r="H32" s="205" t="n">
        <v>0.0146334458659763</v>
      </c>
      <c r="I32" s="205" t="n">
        <v>0.985366554134024</v>
      </c>
      <c r="J32" s="206" t="n">
        <v>7.54413910736348</v>
      </c>
    </row>
    <row r="33" customFormat="false" ht="12" hidden="false" customHeight="false" outlineLevel="0" collapsed="false">
      <c r="A33" s="119" t="s">
        <v>115</v>
      </c>
      <c r="B33" s="143" t="n">
        <v>0.228</v>
      </c>
      <c r="C33" s="144" t="n">
        <v>1</v>
      </c>
      <c r="D33" s="207" t="n">
        <v>0</v>
      </c>
      <c r="E33" s="145" t="n">
        <v>0.0015421556359701</v>
      </c>
      <c r="F33" s="143" t="n">
        <v>0.071</v>
      </c>
      <c r="G33" s="208" t="n">
        <v>8.111</v>
      </c>
      <c r="H33" s="209" t="n">
        <v>1</v>
      </c>
      <c r="I33" s="209" t="n">
        <v>0</v>
      </c>
      <c r="J33" s="210" t="n">
        <v>0.375</v>
      </c>
    </row>
    <row r="35" customFormat="false" ht="36" hidden="false" customHeight="false" outlineLevel="0" collapsed="false">
      <c r="A35" s="20" t="n">
        <v>2012</v>
      </c>
      <c r="B35" s="21" t="s">
        <v>55</v>
      </c>
      <c r="C35" s="25" t="s">
        <v>57</v>
      </c>
      <c r="D35" s="22" t="s">
        <v>58</v>
      </c>
      <c r="E35" s="22" t="s">
        <v>59</v>
      </c>
      <c r="F35" s="211" t="s">
        <v>60</v>
      </c>
      <c r="G35" s="211" t="s">
        <v>61</v>
      </c>
      <c r="H35" s="212"/>
      <c r="I35" s="212"/>
      <c r="J35" s="213"/>
      <c r="K35" s="214"/>
    </row>
    <row r="36" customFormat="false" ht="12" hidden="false" customHeight="false" outlineLevel="0" collapsed="false">
      <c r="A36" s="179" t="s">
        <v>95</v>
      </c>
      <c r="B36" s="180" t="n">
        <f aca="false">SUM(B37:B64)</f>
        <v>6417.10020917331</v>
      </c>
      <c r="C36" s="181" t="n">
        <v>0.197</v>
      </c>
      <c r="D36" s="183" t="n">
        <v>0.052</v>
      </c>
      <c r="E36" s="183" t="n">
        <v>0.473</v>
      </c>
      <c r="F36" s="183" t="n">
        <v>0.159</v>
      </c>
      <c r="G36" s="183" t="n">
        <v>0.12</v>
      </c>
    </row>
    <row r="37" customFormat="false" ht="12" hidden="false" customHeight="false" outlineLevel="0" collapsed="false">
      <c r="A37" s="187" t="s">
        <v>96</v>
      </c>
      <c r="B37" s="188" t="n">
        <v>185.15</v>
      </c>
      <c r="C37" s="215" t="n">
        <v>0.014128192590449</v>
      </c>
      <c r="D37" s="216" t="n">
        <v>0.00151960715252146</v>
      </c>
      <c r="E37" s="216" t="n">
        <v>0.657</v>
      </c>
      <c r="F37" s="216" t="n">
        <v>0.094</v>
      </c>
      <c r="G37" s="216" t="n">
        <v>0.234</v>
      </c>
      <c r="K37" s="217"/>
    </row>
    <row r="38" customFormat="false" ht="12" hidden="false" customHeight="false" outlineLevel="0" collapsed="false">
      <c r="A38" s="80" t="s">
        <v>27</v>
      </c>
      <c r="B38" s="134" t="n">
        <v>66.419</v>
      </c>
      <c r="C38" s="135" t="n">
        <v>0.563076830425029</v>
      </c>
      <c r="D38" s="136" t="n">
        <v>0.0741805808578871</v>
      </c>
      <c r="E38" s="136" t="n">
        <v>0.361462834429907</v>
      </c>
      <c r="F38" s="136" t="n">
        <v>4.51677983709481E-005</v>
      </c>
      <c r="G38" s="136" t="n">
        <v>0.00123458648880591</v>
      </c>
      <c r="K38" s="217"/>
    </row>
    <row r="39" customFormat="false" ht="12" hidden="false" customHeight="false" outlineLevel="0" collapsed="false">
      <c r="A39" s="80" t="s">
        <v>116</v>
      </c>
      <c r="B39" s="134" t="n">
        <v>255.048</v>
      </c>
      <c r="C39" s="135" t="n">
        <v>0.732854207835388</v>
      </c>
      <c r="D39" s="136" t="n">
        <v>0.00645368714908566</v>
      </c>
      <c r="E39" s="136" t="n">
        <v>0.0850310529782629</v>
      </c>
      <c r="F39" s="136" t="n">
        <v>0.0952722624760829</v>
      </c>
      <c r="G39" s="136" t="n">
        <v>0.0803848687305919</v>
      </c>
      <c r="K39" s="217"/>
    </row>
    <row r="40" customFormat="false" ht="12" hidden="false" customHeight="false" outlineLevel="0" collapsed="false">
      <c r="A40" s="80" t="s">
        <v>29</v>
      </c>
      <c r="B40" s="134" t="n">
        <v>228.076125192296</v>
      </c>
      <c r="C40" s="135" t="n">
        <v>0.448175193183494</v>
      </c>
      <c r="D40" s="136" t="n">
        <v>0.0158175886163023</v>
      </c>
      <c r="E40" s="136" t="n">
        <v>0.187660248404111</v>
      </c>
      <c r="F40" s="136" t="n">
        <v>0.28139309661535</v>
      </c>
      <c r="G40" s="136" t="n">
        <v>0.066953873180742</v>
      </c>
      <c r="K40" s="217"/>
    </row>
    <row r="41" customFormat="false" ht="12" hidden="false" customHeight="false" outlineLevel="0" collapsed="false">
      <c r="A41" s="80" t="s">
        <v>30</v>
      </c>
      <c r="B41" s="134" t="n">
        <v>1217.5609</v>
      </c>
      <c r="C41" s="135" t="n">
        <v>0.268037516644958</v>
      </c>
      <c r="D41" s="136" t="n">
        <v>0.0406969376234076</v>
      </c>
      <c r="E41" s="136" t="n">
        <v>0.481023988204615</v>
      </c>
      <c r="F41" s="136" t="n">
        <v>0.112745079116782</v>
      </c>
      <c r="G41" s="136" t="n">
        <v>0.0974964784102381</v>
      </c>
      <c r="K41" s="217"/>
    </row>
    <row r="42" customFormat="false" ht="12" hidden="false" customHeight="false" outlineLevel="0" collapsed="false">
      <c r="A42" s="80" t="s">
        <v>31</v>
      </c>
      <c r="B42" s="134" t="n">
        <v>19.159</v>
      </c>
      <c r="C42" s="135" t="n">
        <v>0.329244741374811</v>
      </c>
      <c r="D42" s="136" t="n">
        <v>0.00360144057623049</v>
      </c>
      <c r="E42" s="136" t="n">
        <v>0.185187118325591</v>
      </c>
      <c r="F42" s="136" t="n">
        <v>0.481966699723368</v>
      </c>
      <c r="G42" s="136" t="n">
        <v>0</v>
      </c>
      <c r="K42" s="217"/>
    </row>
    <row r="43" customFormat="false" ht="12" hidden="false" customHeight="false" outlineLevel="0" collapsed="false">
      <c r="A43" s="80" t="s">
        <v>97</v>
      </c>
      <c r="B43" s="134" t="n">
        <v>23.961</v>
      </c>
      <c r="C43" s="135" t="n">
        <v>0.0339718709569717</v>
      </c>
      <c r="D43" s="136" t="n">
        <v>0.00075122073369225</v>
      </c>
      <c r="E43" s="136" t="n">
        <v>0.915696339885648</v>
      </c>
      <c r="F43" s="136" t="n">
        <v>0.0241225324485623</v>
      </c>
      <c r="G43" s="136" t="n">
        <v>0.0254580359751262</v>
      </c>
      <c r="K43" s="217"/>
    </row>
    <row r="44" customFormat="false" ht="12" hidden="false" customHeight="false" outlineLevel="0" collapsed="false">
      <c r="A44" s="80" t="s">
        <v>33</v>
      </c>
      <c r="B44" s="134" t="n">
        <v>27.076</v>
      </c>
      <c r="C44" s="135" t="n">
        <v>0.077854926872507</v>
      </c>
      <c r="D44" s="136" t="n">
        <v>0.0850938100162506</v>
      </c>
      <c r="E44" s="136" t="n">
        <v>0.340042842369626</v>
      </c>
      <c r="F44" s="136" t="n">
        <v>0.0886763185108583</v>
      </c>
      <c r="G44" s="136" t="n">
        <v>0.408332102230758</v>
      </c>
      <c r="K44" s="217"/>
    </row>
    <row r="45" customFormat="false" ht="12" hidden="false" customHeight="false" outlineLevel="0" collapsed="false">
      <c r="A45" s="80" t="s">
        <v>34</v>
      </c>
      <c r="B45" s="134" t="n">
        <v>483.742</v>
      </c>
      <c r="C45" s="135" t="n">
        <v>0.0151630414559827</v>
      </c>
      <c r="D45" s="136" t="n">
        <v>0.0464627838806637</v>
      </c>
      <c r="E45" s="136" t="n">
        <v>0.797656602073006</v>
      </c>
      <c r="F45" s="136" t="n">
        <v>0</v>
      </c>
      <c r="G45" s="136" t="n">
        <v>0.140717572590348</v>
      </c>
      <c r="K45" s="217"/>
    </row>
    <row r="46" customFormat="false" ht="12" hidden="false" customHeight="false" outlineLevel="0" collapsed="false">
      <c r="A46" s="80" t="s">
        <v>35</v>
      </c>
      <c r="B46" s="134" t="n">
        <v>250.5</v>
      </c>
      <c r="C46" s="135" t="n">
        <v>0.052652756311727</v>
      </c>
      <c r="D46" s="136" t="n">
        <v>0.0552801452607446</v>
      </c>
      <c r="E46" s="136" t="n">
        <v>0.653699340889975</v>
      </c>
      <c r="F46" s="136" t="n">
        <v>0.148269563868094</v>
      </c>
      <c r="G46" s="136" t="n">
        <v>0.0900981936694598</v>
      </c>
      <c r="K46" s="217"/>
    </row>
    <row r="47" customFormat="false" ht="12" hidden="false" customHeight="false" outlineLevel="0" collapsed="false">
      <c r="A47" s="80" t="s">
        <v>36</v>
      </c>
      <c r="B47" s="134" t="n">
        <v>26.964</v>
      </c>
      <c r="C47" s="135" t="n">
        <v>0.0243658210947931</v>
      </c>
      <c r="D47" s="136" t="n">
        <v>0.0689066904020175</v>
      </c>
      <c r="E47" s="136" t="n">
        <v>0.895749888740543</v>
      </c>
      <c r="F47" s="136" t="n">
        <v>0.0109775997626465</v>
      </c>
      <c r="G47" s="136" t="n">
        <v>0</v>
      </c>
      <c r="K47" s="217"/>
    </row>
    <row r="48" customFormat="false" ht="12" hidden="false" customHeight="false" outlineLevel="0" collapsed="false">
      <c r="A48" s="80" t="s">
        <v>37</v>
      </c>
      <c r="B48" s="134" t="n">
        <v>927.238</v>
      </c>
      <c r="C48" s="135" t="n">
        <v>0.00249126977108358</v>
      </c>
      <c r="D48" s="136" t="n">
        <v>0.137605447576566</v>
      </c>
      <c r="E48" s="136" t="n">
        <v>0.692502895696682</v>
      </c>
      <c r="F48" s="136" t="n">
        <v>0.0809576397861175</v>
      </c>
      <c r="G48" s="136" t="n">
        <v>0.0864427471695509</v>
      </c>
      <c r="K48" s="217"/>
    </row>
    <row r="49" customFormat="false" ht="12" hidden="false" customHeight="false" outlineLevel="0" collapsed="false">
      <c r="A49" s="80" t="s">
        <v>38</v>
      </c>
      <c r="B49" s="134" t="n">
        <v>0.587525</v>
      </c>
      <c r="C49" s="135" t="n">
        <v>0</v>
      </c>
      <c r="D49" s="136" t="n">
        <v>0.146187821794817</v>
      </c>
      <c r="E49" s="136" t="n">
        <v>0</v>
      </c>
      <c r="F49" s="136" t="n">
        <v>0.853812178205183</v>
      </c>
      <c r="G49" s="136" t="n">
        <v>0</v>
      </c>
      <c r="K49" s="217"/>
    </row>
    <row r="50" customFormat="false" ht="12" hidden="false" customHeight="false" outlineLevel="0" collapsed="false">
      <c r="A50" s="80" t="s">
        <v>70</v>
      </c>
      <c r="B50" s="134" t="n">
        <v>20.345</v>
      </c>
      <c r="C50" s="135" t="n">
        <v>0.0184320471860408</v>
      </c>
      <c r="D50" s="136" t="n">
        <v>0.00801179651019907</v>
      </c>
      <c r="E50" s="136" t="n">
        <v>0.809535512410912</v>
      </c>
      <c r="F50" s="136" t="n">
        <v>0.163578274760383</v>
      </c>
      <c r="G50" s="136" t="n">
        <v>0.000442369132464979</v>
      </c>
      <c r="K50" s="217"/>
    </row>
    <row r="51" customFormat="false" ht="12" hidden="false" customHeight="false" outlineLevel="0" collapsed="false">
      <c r="A51" s="80" t="s">
        <v>40</v>
      </c>
      <c r="B51" s="134" t="n">
        <v>26.142</v>
      </c>
      <c r="C51" s="135" t="n">
        <v>0.000153010481217963</v>
      </c>
      <c r="D51" s="136" t="n">
        <v>0.147693366995639</v>
      </c>
      <c r="E51" s="136" t="n">
        <v>0.677836431795578</v>
      </c>
      <c r="F51" s="136" t="n">
        <v>0.145818988600719</v>
      </c>
      <c r="G51" s="136" t="n">
        <v>0.0284982021268457</v>
      </c>
      <c r="K51" s="217"/>
    </row>
    <row r="52" customFormat="false" ht="12" hidden="false" customHeight="false" outlineLevel="0" collapsed="false">
      <c r="A52" s="80" t="s">
        <v>41</v>
      </c>
      <c r="B52" s="134" t="n">
        <v>5.7</v>
      </c>
      <c r="C52" s="135" t="n">
        <v>0</v>
      </c>
      <c r="D52" s="136" t="n">
        <v>0</v>
      </c>
      <c r="E52" s="136" t="n">
        <v>0.899965</v>
      </c>
      <c r="F52" s="136" t="n">
        <v>0.099</v>
      </c>
      <c r="G52" s="136" t="n">
        <v>0</v>
      </c>
      <c r="K52" s="217"/>
    </row>
    <row r="53" customFormat="false" ht="12" hidden="false" customHeight="false" outlineLevel="0" collapsed="false">
      <c r="A53" s="80" t="s">
        <v>113</v>
      </c>
      <c r="B53" s="134" t="n">
        <v>67.366</v>
      </c>
      <c r="C53" s="135" t="n">
        <v>0.0408960009500341</v>
      </c>
      <c r="D53" s="136" t="n">
        <v>0.000653148472523231</v>
      </c>
      <c r="E53" s="136" t="n">
        <v>0.790324496036576</v>
      </c>
      <c r="F53" s="136" t="n">
        <v>0.0861710655226672</v>
      </c>
      <c r="G53" s="136" t="n">
        <v>0.0819552890181991</v>
      </c>
      <c r="K53" s="217"/>
    </row>
    <row r="54" customFormat="false" ht="12" hidden="false" customHeight="false" outlineLevel="0" collapsed="false">
      <c r="A54" s="80" t="s">
        <v>43</v>
      </c>
      <c r="B54" s="134" t="n">
        <v>0.0005405</v>
      </c>
      <c r="C54" s="135" t="n">
        <v>0</v>
      </c>
      <c r="D54" s="136" t="n">
        <v>0</v>
      </c>
      <c r="E54" s="136" t="n">
        <v>0</v>
      </c>
      <c r="F54" s="136" t="n">
        <v>0</v>
      </c>
      <c r="G54" s="136" t="n">
        <v>0</v>
      </c>
      <c r="K54" s="217"/>
    </row>
    <row r="55" customFormat="false" ht="12" hidden="false" customHeight="false" outlineLevel="0" collapsed="false">
      <c r="A55" s="80" t="s">
        <v>72</v>
      </c>
      <c r="B55" s="134" t="n">
        <v>435.887850641274</v>
      </c>
      <c r="C55" s="135" t="n">
        <v>0.0137087601423036</v>
      </c>
      <c r="D55" s="136" t="n">
        <v>0.00786109983008964</v>
      </c>
      <c r="E55" s="136" t="n">
        <v>0.802820395977394</v>
      </c>
      <c r="F55" s="136" t="n">
        <v>0.027242920013197</v>
      </c>
      <c r="G55" s="136" t="n">
        <v>0.148366824037016</v>
      </c>
      <c r="K55" s="217"/>
    </row>
    <row r="56" customFormat="false" ht="12" hidden="false" customHeight="false" outlineLevel="0" collapsed="false">
      <c r="A56" s="80" t="s">
        <v>45</v>
      </c>
      <c r="B56" s="134" t="n">
        <v>181.911585601479</v>
      </c>
      <c r="C56" s="135" t="n">
        <v>0.0453815753038019</v>
      </c>
      <c r="D56" s="136" t="n">
        <v>0.0777498743766313</v>
      </c>
      <c r="E56" s="136" t="n">
        <v>0.421184409826834</v>
      </c>
      <c r="F56" s="136" t="n">
        <v>0.364860605705004</v>
      </c>
      <c r="G56" s="136" t="n">
        <v>0.0908235347877281</v>
      </c>
      <c r="K56" s="217"/>
    </row>
    <row r="57" customFormat="false" ht="12" hidden="false" customHeight="false" outlineLevel="0" collapsed="false">
      <c r="A57" s="80" t="s">
        <v>46</v>
      </c>
      <c r="B57" s="134" t="n">
        <v>435.13</v>
      </c>
      <c r="C57" s="135" t="n">
        <v>0.73183646266633</v>
      </c>
      <c r="D57" s="136" t="n">
        <v>0.0857697699538069</v>
      </c>
      <c r="E57" s="136" t="n">
        <v>0.077530852848574</v>
      </c>
      <c r="F57" s="136" t="n">
        <v>0.0780065727483741</v>
      </c>
      <c r="G57" s="136" t="n">
        <v>0.0268563417829155</v>
      </c>
      <c r="K57" s="217"/>
    </row>
    <row r="58" customFormat="false" ht="12" hidden="false" customHeight="false" outlineLevel="0" collapsed="false">
      <c r="A58" s="80" t="s">
        <v>98</v>
      </c>
      <c r="B58" s="134" t="n">
        <v>114.238444070547</v>
      </c>
      <c r="C58" s="135" t="n">
        <v>0</v>
      </c>
      <c r="D58" s="136" t="n">
        <v>0.101534753838167</v>
      </c>
      <c r="E58" s="136" t="n">
        <v>0.470068026336171</v>
      </c>
      <c r="F58" s="136" t="n">
        <v>0.393845947037987</v>
      </c>
      <c r="G58" s="136" t="n">
        <v>0.0345512727876748</v>
      </c>
      <c r="K58" s="217"/>
    </row>
    <row r="59" customFormat="false" ht="12" hidden="false" customHeight="false" outlineLevel="0" collapsed="false">
      <c r="A59" s="80" t="s">
        <v>48</v>
      </c>
      <c r="B59" s="134" t="n">
        <v>114.4851</v>
      </c>
      <c r="C59" s="135" t="n">
        <v>0.383635337698967</v>
      </c>
      <c r="D59" s="136" t="n">
        <v>0.0485119024222366</v>
      </c>
      <c r="E59" s="136" t="n">
        <v>0.537045344765389</v>
      </c>
      <c r="F59" s="136" t="n">
        <v>0.0197284188073383</v>
      </c>
      <c r="G59" s="136" t="n">
        <v>0.0110789963060695</v>
      </c>
      <c r="K59" s="217"/>
    </row>
    <row r="60" customFormat="false" ht="12" hidden="false" customHeight="false" outlineLevel="0" collapsed="false">
      <c r="A60" s="80" t="s">
        <v>99</v>
      </c>
      <c r="B60" s="134" t="n">
        <v>19.6701757273583</v>
      </c>
      <c r="C60" s="135" t="n">
        <v>0.556178474677957</v>
      </c>
      <c r="D60" s="136" t="n">
        <v>0.000872860529462378</v>
      </c>
      <c r="E60" s="136" t="n">
        <v>0.250339969549429</v>
      </c>
      <c r="F60" s="136" t="n">
        <v>0.176557963191944</v>
      </c>
      <c r="G60" s="136" t="n">
        <v>0.0160507320512078</v>
      </c>
      <c r="K60" s="217"/>
    </row>
    <row r="61" customFormat="false" ht="12" hidden="false" customHeight="false" outlineLevel="0" collapsed="false">
      <c r="A61" s="80" t="s">
        <v>50</v>
      </c>
      <c r="B61" s="104" t="n">
        <v>295.24</v>
      </c>
      <c r="C61" s="166" t="n">
        <v>0.189</v>
      </c>
      <c r="D61" s="167" t="n">
        <v>0.0347</v>
      </c>
      <c r="E61" s="167" t="n">
        <v>0.0729</v>
      </c>
      <c r="F61" s="167" t="n">
        <v>0.0878</v>
      </c>
      <c r="G61" s="167" t="n">
        <v>0.6152</v>
      </c>
      <c r="K61" s="217"/>
    </row>
    <row r="62" customFormat="false" ht="12" hidden="false" customHeight="false" outlineLevel="0" collapsed="false">
      <c r="A62" s="80" t="s">
        <v>75</v>
      </c>
      <c r="B62" s="134" t="n">
        <v>417.176</v>
      </c>
      <c r="C62" s="135" t="n">
        <v>0.239565555065488</v>
      </c>
      <c r="D62" s="136" t="n">
        <v>0.0151686578326654</v>
      </c>
      <c r="E62" s="136" t="n">
        <v>0.173265000862945</v>
      </c>
      <c r="F62" s="136" t="n">
        <v>0.535598883924291</v>
      </c>
      <c r="G62" s="136" t="n">
        <v>0.0364019023146106</v>
      </c>
      <c r="K62" s="217"/>
    </row>
    <row r="63" customFormat="false" ht="12" hidden="false" customHeight="false" outlineLevel="0" collapsed="false">
      <c r="A63" s="108" t="s">
        <v>76</v>
      </c>
      <c r="B63" s="168" t="n">
        <v>279.28</v>
      </c>
      <c r="C63" s="169" t="n">
        <v>0.0543215924211889</v>
      </c>
      <c r="D63" s="170" t="n">
        <v>0.0343153474075315</v>
      </c>
      <c r="E63" s="170" t="n">
        <v>0.0548121697555134</v>
      </c>
      <c r="F63" s="170" t="n">
        <v>0.75161818903198</v>
      </c>
      <c r="G63" s="170" t="n">
        <v>0.104932701383786</v>
      </c>
      <c r="K63" s="217"/>
    </row>
    <row r="64" customFormat="false" ht="12" hidden="false" customHeight="false" outlineLevel="0" collapsed="false">
      <c r="A64" s="108" t="s">
        <v>77</v>
      </c>
      <c r="B64" s="168" t="n">
        <v>293.045962440357</v>
      </c>
      <c r="C64" s="169" t="n">
        <v>0.0463009427033938</v>
      </c>
      <c r="D64" s="170" t="n">
        <v>0.0154218020545037</v>
      </c>
      <c r="E64" s="170" t="n">
        <v>0.695638309605801</v>
      </c>
      <c r="F64" s="170" t="n">
        <v>0.0525260191670396</v>
      </c>
      <c r="G64" s="170" t="n">
        <v>0.190112926469262</v>
      </c>
      <c r="K64" s="217"/>
    </row>
    <row r="65" customFormat="false" ht="12" hidden="false" customHeight="false" outlineLevel="0" collapsed="false">
      <c r="A65" s="220" t="s">
        <v>115</v>
      </c>
      <c r="B65" s="174" t="n">
        <v>10.23</v>
      </c>
      <c r="C65" s="175" t="n">
        <v>0.0634155933536525</v>
      </c>
      <c r="D65" s="176" t="n">
        <v>0</v>
      </c>
      <c r="E65" s="176" t="n">
        <v>0</v>
      </c>
      <c r="F65" s="176" t="n">
        <v>0.469570347065185</v>
      </c>
      <c r="G65" s="176" t="n">
        <v>0.467014059581162</v>
      </c>
      <c r="K65" s="217"/>
    </row>
    <row r="67" customFormat="false" ht="12" hidden="false" customHeight="false" outlineLevel="0" collapsed="false">
      <c r="A67" s="22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LibreOffice/7.6.2.1$Windows_X86_64 LibreOffice_project/56f7684011345957bbf33a7ee678afaf4d2ba333</Application>
  <AppVersion>15.0000</AppVersion>
  <Company>European Commission - Eurostat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>CHP</cp:category>
  <cp:contentStatus>Final</cp:contentStatus>
  <dcterms:created xsi:type="dcterms:W3CDTF">2013-03-05T13:42:41Z</dcterms:created>
  <dc:creator>Michael.Goll@ec.europa.eu</dc:creator>
  <dc:description>not in Eurobase, not in COMEXT</dc:description>
  <dc:language>es-ES</dc:language>
  <cp:lastModifiedBy/>
  <cp:lastPrinted>2021-07-29T12:00:46Z</cp:lastPrinted>
  <dcterms:modified xsi:type="dcterms:W3CDTF">2023-12-04T14:58:09Z</dcterms:modified>
  <cp:revision>2</cp:revision>
  <dc:subject/>
  <dc:title>CHP data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