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MonitoringUnit_BMU. " sheetId="1" r:id="rId1"/>
  </sheets>
  <definedNames>
    <definedName name="arrow_part_data">'BatteryMonitoringUnit_BMU. '!$J$5:$N$55</definedName>
    <definedName name="BoardQty">'BatteryMonitoringUnit_BMU. '!$I$1</definedName>
    <definedName name="digikey_part_data">'BatteryMonitoringUnit_BMU. '!$O$5:$S$55</definedName>
    <definedName name="farnell_part_data">'BatteryMonitoringUnit_BMU. '!$T$5:$X$55</definedName>
    <definedName name="global_part_data">'BatteryMonitoringUnit_BMU. '!$A$5:$I$55</definedName>
    <definedName name="lcsc_part_data">'BatteryMonitoringUnit_BMU. '!$Y$5:$AC$55</definedName>
    <definedName name="mouser_part_data">'BatteryMonitoringUnit_BMU. '!$AD$5:$AH$55</definedName>
    <definedName name="newark_part_data">'BatteryMonitoringUnit_BMU. '!$AI$5:$AM$55</definedName>
    <definedName name="PURCHASE_DESCRIPTION">'BatteryMonitoringUnit_BMU. '!$I$58</definedName>
    <definedName name="rs_part_data">'BatteryMonitoringUnit_BMU. '!$AN$5:$AR$55</definedName>
    <definedName name="tme_part_data">'BatteryMonitoringUnit_BMU. '!$AS$5:$AW$55</definedName>
    <definedName name="TotalCost">'BatteryMonitoringUnit_BMU. '!$I$3</definedName>
    <definedName name="USD_EUR">'BatteryMonitoringUnit_BMU. '!$C$59</definedName>
    <definedName name="USD_GBP">'BatteryMonitoringUnit_BMU. '!$C$58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$3.34      $3.34
     5   $3.23     $16.14
    10   $3.12     $31.16
    50   $2.45    $122.43
   100   $2.00    $200.34
   250   $1.95    $486.94
   500   $1.67    $834.75
  1000   $1.56  $1,558.20
  1500   $1.50  $2,253.83
  2500   $1.45  $3,617.25
  3500   $1.39  $4,869.38</t>
        </r>
      </text>
    </comment>
    <comment ref="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£2.97      £2.97
    10   £2.86     £28.60
    25   £2.24     £56.12
    50   £2.04    £102.00
   100   £1.84    £183.50
   250   £1.79    £446.50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$3.04      $3.04
    10   $2.93     $29.30
    25   $2.30     $57.50
   100   $1.88    $188.00
   250   $1.83    $457.50
   500   $1.57    $785.00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$2.03      $2.03
    10   $2.03     $20.30
    25   $1.86     $46.50
    50   $1.72     $86.00
   100   $1.72    $172.00
   250   $1.72    $430.00
   500   $1.52    $760.00
  1000   $1.46  $1,460.00
  2000   $1.41  $2,820.00
  3000   $1.36  $4,080.00
  5000   $1.31  $6,550.00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 5   $0.78      $3.91
    10   $0.76      $7.58
    50   $0.64     $31.88
   100   $0.53     $52.93
   250   $0.48    $120.30
   500   $0.41    $204.51
  1000   $0.36    $360.90
  5000   $0.32  $1,624.05
 10000   $0.31  $3,127.80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£0.92      £0.92
    10   £0.56      £5.58
    25   £0.49     £12.25
    50   £0.45     £22.40
   100   £0.52     £51.80
   150   £0.52     £77.70
   250   £0.37     £92.25
   500   £0.48    £239.50
  1000   £0.44    £438.00
  2500   £0.40    £997.50
  5000   £0.39  £1,955.00
 25000   £0.32  £8,100.00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$1.23
    30   $0.12      $3.47
   100   $0.11     $10.84
   500   $0.11     $52.54
  1000   $0.10    $103.43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$0.82      $0.82
    10   $0.64      $6.36
   100   $0.52     $51.70
   500   $0.44    $218.50
  1000   $0.38    $384.00
  2500   $0.37    $932.50</t>
        </r>
      </text>
    </comment>
    <comment ref="A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$0.82      $0.82
    10   $0.82      $8.20
    25   $0.64     $15.90
    50   $0.58     $28.85
   100   $0.52     $51.70
   250   $0.48    $119.25
   500   $0.44    $218.50
  1000   $0.38    $384.00
  2500   $0.37    $932.50
  5000   $0.33  $1,645.00
 10000   $0.30  $2,960.00
 20000   $0.28  $5,600.00
 30000   $0.27  $8,190.00</t>
        </r>
      </text>
    </comment>
    <comment ref="AP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£0.50      £4.95
   100   £0.39     £39.20
   500   £0.30    £151.00
  1500   £0.27    £400.50
  2500   £0.24    £612.50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100   $0.11     $11.15
   500   $0.09     $47.19
  1000   $0.08     $77.22
  5000   $0.07    $343.20
 10000   $0.06    $622.10</t>
        </r>
      </text>
    </comment>
    <comment ref="V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£0.13      £0.13
     5   £0.12      £0.60
    10   £0.11      £1.07
    50   £0.09      £4.51
   100   £0.07      £7.34
   500   £0.07     £33.40
  1000   £0.06     £60.20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$0.04      $4.27
   300   $0.04     $11.91
  1000   $0.04     $36.75
  5000   $0.04    $177.15
 10000   $0.03    $347.80</t>
        </r>
      </text>
    </comment>
    <comment ref="AF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$1.38
   100   $0.09      $9.40
  1000   $0.08     $77.00
  2500   $0.07    $170.00
 10000   $0.06    $600.00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$1.41
    25   $0.13      $3.15
    50   $0.11      $5.55
   100   $0.10      $9.60
   250   $0.09     $22.50
   500   $0.08     $42.00
  1000   $0.08     $79.00</t>
        </r>
      </text>
    </comment>
    <comment ref="AP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£1.90
   250   £0.08     £19.75
  1000   £0.07     £68.00
  5000   £0.05    £260.00
 10000   £0.05    £470.00</t>
        </r>
      </text>
    </comment>
    <comment ref="AS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€0.11      €1.06
   100   €0.09      €8.94
  1000   €0.06     €64.60
  5000   €0.05    €263.50</t>
        </r>
      </text>
    </comment>
    <comment ref="Q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$1.56      $1.56
    10   $1.38     $13.80
   100   $1.00    $100.17</t>
        </r>
      </text>
    </comment>
    <comment ref="AF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$1.56      $1.56
    10   $1.38     $13.80
    50   $1.34     $67.00
   100   $1.01    $101.00
   200   $0.97    $194.40
   500   $0.94    $471.50</t>
        </r>
      </text>
    </comment>
    <comment ref="Q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$16.04     $16.04
    25  $10.65    $266.26
   100   $8.81    $880.60
   250   $8.37  $2,091.43</t>
        </r>
      </text>
    </comment>
    <comment ref="AF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$16.04     $16.04
    25   $9.15    $228.75
   100   $8.36    $836.00
   250   $8.17  $2,042.50
   500   $8.17  $4,085.00</t>
        </r>
      </text>
    </comment>
    <comment ref="Q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$5.54      $5.54
    10   $4.97     $49.74
    25   $4.70    $117.56
   100   $3.87    $386.65
   250   $3.47    $867.35
   500   $3.34  $1,672.00
  1000   $2.78  $2,779.70</t>
        </r>
      </text>
    </comment>
    <comment ref="T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£4.98      £4.98
    10   £4.02     £40.20
    25   £3.62     £90.50
    50   £3.46    £173.00
   100   £3.25    £325.00
   250   £2.92    £730.00
   500   £2.56  £1,280.00</t>
        </r>
      </text>
    </comment>
    <comment ref="AF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$5.54      $5.54
    10   $4.97     $49.70
    25   $4.70    $117.50
   100   $3.86    $386.00
   250   $3.46    $865.00
   500   $3.34  $1,670.00</t>
        </r>
      </text>
    </comment>
    <comment ref="AI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$5.54      $5.54
    10   $4.97     $49.70
    25   $4.70    $117.50
    50   $4.28    $214.00
   100   $3.86    $386.00
   250   $3.46    $865.00
   500   $3.34  $1,670.00</t>
        </r>
      </text>
    </comment>
    <comment ref="AP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£4.30      £4.30
    10   £3.65     £36.50
    50   £3.10    £155.00
   100   £2.86    £286.00
   250   £2.69    £672.50</t>
        </r>
      </text>
    </comment>
    <comment ref="AU5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€4.19      €4.19
     3   €3.93     €11.79
    10   €3.30     €33.00
    96   €2.87    €275.52</t>
        </r>
      </text>
    </comment>
    <comment ref="Q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$3.23      $3.23
    25   $2.14     $53.57
   100   $1.77    $177.12
   250   $1.68    $420.66
   500   $1.64    $822.26</t>
        </r>
      </text>
    </comment>
    <comment ref="T5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£2.60      £2.60
    10   £2.31     £23.10
    25   £2.07     £51.75
    50   £1.71     £85.50
   100   £1.34    £134.00
   250   £1.32    £330.00
   500   £1.30    £650.00
  1000   £1.28  £1,280.00</t>
        </r>
      </text>
    </comment>
    <comment ref="AF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$3.23      $3.23
    25   $2.14     $53.50
   100   $1.76    $176.00
   250   $1.68    $420.00
   500   $1.53    $765.00
  1500   $1.49  $2,235.00</t>
        </r>
      </text>
    </comment>
    <comment ref="Q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25   $0.73     $18.25
   100   $0.70     $70.00
  3300   $0.70  $2,310.03</t>
        </r>
      </text>
    </comment>
    <comment ref="V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£0.61      £0.61
    10   £0.60      £5.99
    25   £0.60     £14.95
    50   £0.60     £29.85
   100   £0.60     £59.60
  3300   £0.76  £2,514.60</t>
        </r>
      </text>
    </comment>
    <comment ref="AF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10   $0.76      $7.60
    25   $0.73     $18.25
   100   $0.71     $71.30
   250   $0.71    $178.25
   500   $0.71    $356.50</t>
        </r>
      </text>
    </comment>
    <comment ref="AK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</t>
        </r>
      </text>
    </comment>
    <comment ref="AP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£0.58      £5.85
    30   £0.57     £17.10</t>
        </r>
      </text>
    </comment>
    <comment ref="AU5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€0.99      €0.99
     5   €0.96      €4.80
    25   €0.90     €22.50
   100   €0.85     €85.00</t>
        </r>
      </text>
    </comment>
    <comment ref="H5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5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5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Z58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<sst xmlns="http://schemas.openxmlformats.org/spreadsheetml/2006/main" count="469" uniqueCount="208">
  <si>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</si>
  <si>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</si>
  <si>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</si>
  <si>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</si>
  <si>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</si>
  <si>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</si>
  <si>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</si>
  <si>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</si>
  <si>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</si>
  <si>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</si>
  <si>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C101,C1101,C1201</t>
  </si>
  <si>
    <t>100nF</t>
  </si>
  <si>
    <t>C_0805_2012Metric_Pad1.18x1.45mm_HandSolder</t>
  </si>
  <si>
    <t>C102,C1102-C1109</t>
  </si>
  <si>
    <t>10nF*</t>
  </si>
  <si>
    <t>C103</t>
  </si>
  <si>
    <t>100n</t>
  </si>
  <si>
    <t>C1110,C1301-C1304</t>
  </si>
  <si>
    <t>10nF</t>
  </si>
  <si>
    <t>C401,C501,C601,C701,C801,C901,C1001</t>
  </si>
  <si>
    <t>10nF/30V</t>
  </si>
  <si>
    <t>C104-C106</t>
  </si>
  <si>
    <t>1uF</t>
  </si>
  <si>
    <t>D401,D501,D601,D701,D801,D901,D1001</t>
  </si>
  <si>
    <t>LED_Dis</t>
  </si>
  <si>
    <t>LED_D3.0mm</t>
  </si>
  <si>
    <t>F201,F209</t>
  </si>
  <si>
    <t>Fuse_0.5A</t>
  </si>
  <si>
    <t>Fuse_Littelfuse-NANO2-451_453</t>
  </si>
  <si>
    <t>0308.500UR</t>
  </si>
  <si>
    <t>F202-F208</t>
  </si>
  <si>
    <t>Fuse_0.25A</t>
  </si>
  <si>
    <t>0466.250NR</t>
  </si>
  <si>
    <t>H101-H104</t>
  </si>
  <si>
    <t>MountingHole</t>
  </si>
  <si>
    <t>MountingHole_3.2mm_M3_DIN965</t>
  </si>
  <si>
    <t>J101</t>
  </si>
  <si>
    <t>BalancingConnect</t>
  </si>
  <si>
    <t>TerminalBlock_Phoenix_MKDS-1,5-7-5.08_1x07_P5.08mm_Horizontal</t>
  </si>
  <si>
    <t>J102</t>
  </si>
  <si>
    <t>isoSPI/SPI</t>
  </si>
  <si>
    <t>CONN HEADER VERT 3POS 2.54MM</t>
  </si>
  <si>
    <t>PinHeader_1x03_P2.54mm_Vertical</t>
  </si>
  <si>
    <t>TE Connectivity AMP Connectors</t>
  </si>
  <si>
    <t>640456-3</t>
  </si>
  <si>
    <t>J103</t>
  </si>
  <si>
    <t>DischargeTimer</t>
  </si>
  <si>
    <t>J104</t>
  </si>
  <si>
    <t>WatchdogTimer</t>
  </si>
  <si>
    <t>CONN HEADER VERT 2POS 2.54MM</t>
  </si>
  <si>
    <t>PinHeader_1x02_P2.54mm_Vertical</t>
  </si>
  <si>
    <t>Molex</t>
  </si>
  <si>
    <t>22-23-2021</t>
  </si>
  <si>
    <t>J105</t>
  </si>
  <si>
    <t>SerialInterface_1</t>
  </si>
  <si>
    <t>J106</t>
  </si>
  <si>
    <t>SerialInterface_0</t>
  </si>
  <si>
    <t>J107</t>
  </si>
  <si>
    <t>NTC_10k</t>
  </si>
  <si>
    <t>TerminalBlock_Phoenix_PT-1,5-16-3.5-H_1x16_P3.50mm_Horizontal</t>
  </si>
  <si>
    <t>J108</t>
  </si>
  <si>
    <t>V_REG</t>
  </si>
  <si>
    <t>J109</t>
  </si>
  <si>
    <t>I_BIAS</t>
  </si>
  <si>
    <t>J110</t>
  </si>
  <si>
    <t>I_CMP</t>
  </si>
  <si>
    <t>J1101</t>
  </si>
  <si>
    <t>Temp_A0</t>
  </si>
  <si>
    <t>J1102</t>
  </si>
  <si>
    <t>Temp_A1</t>
  </si>
  <si>
    <t>J1103</t>
  </si>
  <si>
    <t>Temp_~RESET</t>
  </si>
  <si>
    <t>J1104</t>
  </si>
  <si>
    <t>Temp_~SHDN</t>
  </si>
  <si>
    <t>J1201</t>
  </si>
  <si>
    <t>EEPROM_A0</t>
  </si>
  <si>
    <t>J1202</t>
  </si>
  <si>
    <t>EEPROM_A1</t>
  </si>
  <si>
    <t>J1203</t>
  </si>
  <si>
    <t>EEPROM_A2</t>
  </si>
  <si>
    <t>J1204</t>
  </si>
  <si>
    <t>EEPROM_~ENABLE</t>
  </si>
  <si>
    <t>J201</t>
  </si>
  <si>
    <t>FusedBATT+</t>
  </si>
  <si>
    <t>J202</t>
  </si>
  <si>
    <t>FusedBATT-</t>
  </si>
  <si>
    <t>JA101</t>
  </si>
  <si>
    <t>isoSPI_IN</t>
  </si>
  <si>
    <t>RJ45_C</t>
  </si>
  <si>
    <t>JB101</t>
  </si>
  <si>
    <t>isoSPI_OUT</t>
  </si>
  <si>
    <t>Q101</t>
  </si>
  <si>
    <t>DXT5551P5-13</t>
  </si>
  <si>
    <t>Bipolar Transistors - BJT BIPOLAR TRANS,NPN 160V, 600mA</t>
  </si>
  <si>
    <t>DXT5551P513</t>
  </si>
  <si>
    <t>https://www.diodes.com/assets/Datasheets/DXT5551P5.pdf</t>
  </si>
  <si>
    <t>Q401,Q501,Q601,Q701,Q801,Q901,Q1001</t>
  </si>
  <si>
    <t>PZT2222A</t>
  </si>
  <si>
    <t>SOT-223-3_TabPin2</t>
  </si>
  <si>
    <t>https://www.onsemi.com/pub/Collateral/PN2222-D.PDF</t>
  </si>
  <si>
    <t>R101</t>
  </si>
  <si>
    <t>10</t>
  </si>
  <si>
    <t>R_0805_2012Metric_Pad1.20x1.40mm_HandSolder</t>
  </si>
  <si>
    <t>R102,R405,R505,R605,R705,R805,R905,R1005,R1109</t>
  </si>
  <si>
    <t>100</t>
  </si>
  <si>
    <t>R103</t>
  </si>
  <si>
    <t>1M</t>
  </si>
  <si>
    <t>R104,R105,R404,R504,R604,R704,R804,R904,R1004</t>
  </si>
  <si>
    <t>1k</t>
  </si>
  <si>
    <t>R106,R107,R1101-R1108,R1111</t>
  </si>
  <si>
    <t>10k</t>
  </si>
  <si>
    <t>R1110</t>
  </si>
  <si>
    <t>0</t>
  </si>
  <si>
    <t>R401,R501,R601,R701,R801,R901,R1001</t>
  </si>
  <si>
    <t>Rv_LED</t>
  </si>
  <si>
    <t>R402,R403,R502,R503,R602,R603,R702,R703,R802,R803,R902,R903,R1002,R1003</t>
  </si>
  <si>
    <t>R_2512_6332Metric_Pad1.40x3.35mm_HandSolder</t>
  </si>
  <si>
    <t>R1301-R1304</t>
  </si>
  <si>
    <t>49.9</t>
  </si>
  <si>
    <t>PHP00805E49R9BST1</t>
  </si>
  <si>
    <t>T1301</t>
  </si>
  <si>
    <t>HM2112ZNL</t>
  </si>
  <si>
    <t>Audio Transformers / Signal Transformers MDL DUAL XFMR-CMC SMT AEC-Q200</t>
  </si>
  <si>
    <t>SOP200P1543X320-12N</t>
  </si>
  <si>
    <t>https://productfinder.pulseeng.com/doc_type/WEB301/doc_num/HM2112ZNL/doc_part/HM2112ZNL.pdf</t>
  </si>
  <si>
    <t>TP101-TP109</t>
  </si>
  <si>
    <t>TestPoint</t>
  </si>
  <si>
    <t>Pin_D1.0mm_L10.0mm</t>
  </si>
  <si>
    <t>U101</t>
  </si>
  <si>
    <t>LTC6810-1_mod</t>
  </si>
  <si>
    <t>SSOP-44_5.3x12.8mm_P0.5mm</t>
  </si>
  <si>
    <t>LTC6810HG-1#3ZZPBF</t>
  </si>
  <si>
    <t>U1101</t>
  </si>
  <si>
    <t>ADG728</t>
  </si>
  <si>
    <t>TSSOP-16_4.4x5mm_P0.65mm</t>
  </si>
  <si>
    <t>ADG728BRUZ</t>
  </si>
  <si>
    <t>U1102</t>
  </si>
  <si>
    <t>LTC6255</t>
  </si>
  <si>
    <t>TSOT-23-6_HandSoldering</t>
  </si>
  <si>
    <t>LTC6255CS6#TRMPBF</t>
  </si>
  <si>
    <t>U1201</t>
  </si>
  <si>
    <t>24LC256</t>
  </si>
  <si>
    <t>DIP-8_W7.62mm_Socket_LongPads</t>
  </si>
  <si>
    <t>24LC256T-I/SN</t>
  </si>
  <si>
    <t>Total Purchase:</t>
  </si>
  <si>
    <t>Purchase description:</t>
  </si>
  <si>
    <t>Used currency rates:</t>
  </si>
  <si>
    <t>USD($)/GBP(£):</t>
  </si>
  <si>
    <t>USD($)/EUR(€):</t>
  </si>
  <si>
    <t>Prj:</t>
  </si>
  <si>
    <t>Battery Monitoring Unit (BMU)</t>
  </si>
  <si>
    <t>Co.:</t>
  </si>
  <si>
    <t>HTWG</t>
  </si>
  <si>
    <t>Prj date:</t>
  </si>
  <si>
    <t>Mi 28 Okt 2020 23:57:13 CET</t>
  </si>
  <si>
    <t>Board Qty:</t>
  </si>
  <si>
    <t>Total Cost:</t>
  </si>
  <si>
    <t>Unit Cost:</t>
  </si>
  <si>
    <t>$ date:</t>
  </si>
  <si>
    <t>2020-10-29 00:09:35</t>
  </si>
  <si>
    <t>Arrow</t>
  </si>
  <si>
    <t>Avail</t>
  </si>
  <si>
    <t>Purch</t>
  </si>
  <si>
    <t>Cat#</t>
  </si>
  <si>
    <t>Digi-Key</t>
  </si>
  <si>
    <t>18-0308.500URCT-ND</t>
  </si>
  <si>
    <t>F1452CT-ND</t>
  </si>
  <si>
    <t>900-0022232021-ND</t>
  </si>
  <si>
    <t>764-1111-1-ND</t>
  </si>
  <si>
    <t>LTC6810HG-1#3ZZPBF-ND</t>
  </si>
  <si>
    <t>ADG728BRUZ-ND</t>
  </si>
  <si>
    <t>LTC6255CS6#TRMPBFCT-ND</t>
  </si>
  <si>
    <t>24LC256T-I/SNCT-ND</t>
  </si>
  <si>
    <t>Farnell</t>
  </si>
  <si>
    <t>3293027</t>
  </si>
  <si>
    <t>2145745</t>
  </si>
  <si>
    <t>1462926</t>
  </si>
  <si>
    <t>9604383</t>
  </si>
  <si>
    <t>NonStk</t>
  </si>
  <si>
    <t>2765270</t>
  </si>
  <si>
    <t>1296581</t>
  </si>
  <si>
    <t>LCSC</t>
  </si>
  <si>
    <t>C206986</t>
  </si>
  <si>
    <t>C234180</t>
  </si>
  <si>
    <t>Mouser</t>
  </si>
  <si>
    <t>5760308.500UR</t>
  </si>
  <si>
    <t>5760466.250NR</t>
  </si>
  <si>
    <t>53822232021</t>
  </si>
  <si>
    <t>71PHP00805E49R9BST1</t>
  </si>
  <si>
    <t>5846810HG13ZZPBF</t>
  </si>
  <si>
    <t>584ADG728BRUZ</t>
  </si>
  <si>
    <t>584LTC6255CS6TRMPBF</t>
  </si>
  <si>
    <t>57924LC256TI/SN</t>
  </si>
  <si>
    <t>Newark</t>
  </si>
  <si>
    <t>42AH1381</t>
  </si>
  <si>
    <t>12J3723</t>
  </si>
  <si>
    <t>26AC6555</t>
  </si>
  <si>
    <t>31M3815</t>
  </si>
  <si>
    <t>27C9147</t>
  </si>
  <si>
    <t>RS Components</t>
  </si>
  <si>
    <t>5413552</t>
  </si>
  <si>
    <t>6795583</t>
  </si>
  <si>
    <t>5388349</t>
  </si>
  <si>
    <t>8234557</t>
  </si>
  <si>
    <t>TME</t>
  </si>
  <si>
    <t>MX22232021</t>
  </si>
  <si>
    <t>24LC256TI/SN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</si>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</sst>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52f4a5&amp;sid=459&amp;ppid=105898632&amp;vpid=594104666&amp;ct=offers" TargetMode="External"/><Relationship Id="rId2" Type="http://schemas.openxmlformats.org/officeDocument/2006/relationships/hyperlink" Target="https://octopart.com/click/track?ai=8078&amp;sig=080651a&amp;sid=819&amp;ppid=105898632&amp;vpid=632131533&amp;ct=offers" TargetMode="External"/><Relationship Id="rId3" Type="http://schemas.openxmlformats.org/officeDocument/2006/relationships/hyperlink" Target="https://octopart.com/click/track?ai=8078&amp;sig=0926f53&amp;sid=2401&amp;ppid=105898632&amp;vpid=590755216&amp;ct=offers" TargetMode="External"/><Relationship Id="rId4" Type="http://schemas.openxmlformats.org/officeDocument/2006/relationships/hyperlink" Target="https://octopart.com/click/track?ai=8078&amp;sig=0bfb1c8&amp;sid=2402&amp;ppid=105898632&amp;vpid=631213847&amp;ct=offers" TargetMode="External"/><Relationship Id="rId5" Type="http://schemas.openxmlformats.org/officeDocument/2006/relationships/hyperlink" Target="https://octopart.com/click/track?ai=8078&amp;sig=0c49acd&amp;sid=459&amp;ppid=566002&amp;vpid=1684610&amp;ct=offers" TargetMode="External"/><Relationship Id="rId6" Type="http://schemas.openxmlformats.org/officeDocument/2006/relationships/hyperlink" Target="https://octopart.com/click/track?ai=8078&amp;sig=0087fdf&amp;sid=11744&amp;ppid=566002&amp;vpid=237138263&amp;ct=offers" TargetMode="External"/><Relationship Id="rId7" Type="http://schemas.openxmlformats.org/officeDocument/2006/relationships/hyperlink" Target="https://octopart.com/click/track?ai=8078&amp;sig=0d40f71&amp;sid=27971&amp;ppid=566002&amp;vpid=486544352&amp;ct=offers" TargetMode="External"/><Relationship Id="rId8" Type="http://schemas.openxmlformats.org/officeDocument/2006/relationships/hyperlink" Target="https://octopart.com/click/track?ai=8078&amp;sig=0f44cb6&amp;sid=2401&amp;ppid=566002&amp;vpid=37756302&amp;ct=offers" TargetMode="External"/><Relationship Id="rId9" Type="http://schemas.openxmlformats.org/officeDocument/2006/relationships/hyperlink" Target="https://octopart.com/click/track?ai=8078&amp;sig=02b5e08&amp;sid=2402&amp;ppid=566002&amp;vpid=13187276&amp;ct=offers" TargetMode="External"/><Relationship Id="rId10" Type="http://schemas.openxmlformats.org/officeDocument/2006/relationships/hyperlink" Target="https://octopart.com/click/track?ai=8078&amp;sig=05eb2bc&amp;sid=10022&amp;ppid=566002&amp;vpid=199050761&amp;ct=offers" TargetMode="External"/><Relationship Id="rId11" Type="http://schemas.openxmlformats.org/officeDocument/2006/relationships/hyperlink" Target="https://media.digikey.com/pdf/Data%20Sheets/Molex%20PDFs/A-6373-N_Series_Dwg_2010-12-03.pdf" TargetMode="External"/><Relationship Id="rId12" Type="http://schemas.openxmlformats.org/officeDocument/2006/relationships/hyperlink" Target="https://octopart.com/click/track?ai=8078&amp;sig=04b7700&amp;sid=459&amp;ppid=650&amp;vpid=587828915&amp;ct=offers" TargetMode="External"/><Relationship Id="rId13" Type="http://schemas.openxmlformats.org/officeDocument/2006/relationships/hyperlink" Target="https://octopart.com/click/track?ai=8078&amp;sig=004b2a4&amp;sid=819&amp;ppid=650&amp;vpid=139014166&amp;ct=offers" TargetMode="External"/><Relationship Id="rId14" Type="http://schemas.openxmlformats.org/officeDocument/2006/relationships/hyperlink" Target="https://octopart.com/click/track?ai=8078&amp;sig=05f9e1e&amp;sid=27971&amp;ppid=650&amp;vpid=626924362&amp;ct=offers" TargetMode="External"/><Relationship Id="rId15" Type="http://schemas.openxmlformats.org/officeDocument/2006/relationships/hyperlink" Target="https://octopart.com/click/track?ai=8078&amp;sig=073a7d2&amp;sid=2401&amp;ppid=650&amp;vpid=37670994&amp;ct=offers" TargetMode="External"/><Relationship Id="rId16" Type="http://schemas.openxmlformats.org/officeDocument/2006/relationships/hyperlink" Target="https://octopart.com/click/track?ai=8078&amp;sig=09323b7&amp;sid=2402&amp;ppid=650&amp;vpid=634315704&amp;ct=offers" TargetMode="External"/><Relationship Id="rId17" Type="http://schemas.openxmlformats.org/officeDocument/2006/relationships/hyperlink" Target="https://octopart.com/click/track?ai=8078&amp;sig=097b989&amp;sid=10022&amp;ppid=650&amp;vpid=199067238&amp;ct=offers" TargetMode="External"/><Relationship Id="rId18" Type="http://schemas.openxmlformats.org/officeDocument/2006/relationships/hyperlink" Target="https://octopart.com/click/track?ai=8078&amp;sig=07dee55&amp;sid=1532&amp;ppid=650&amp;vpid=118564865&amp;ct=offers" TargetMode="External"/><Relationship Id="rId19" Type="http://schemas.openxmlformats.org/officeDocument/2006/relationships/hyperlink" Target="https://media.digikey.com/pdf/Data%20Sheets/Molex%20PDFs/A-6373-N_Series_Dwg_2010-12-03.pdf" TargetMode="External"/><Relationship Id="rId20" Type="http://schemas.openxmlformats.org/officeDocument/2006/relationships/hyperlink" Target="https://octopart.com/click/track?ai=8078&amp;sig=04b7700&amp;sid=459&amp;ppid=650&amp;vpid=587828915&amp;ct=offers" TargetMode="External"/><Relationship Id="rId21" Type="http://schemas.openxmlformats.org/officeDocument/2006/relationships/hyperlink" Target="https://octopart.com/click/track?ai=8078&amp;sig=004b2a4&amp;sid=819&amp;ppid=650&amp;vpid=139014166&amp;ct=offers" TargetMode="External"/><Relationship Id="rId22" Type="http://schemas.openxmlformats.org/officeDocument/2006/relationships/hyperlink" Target="https://octopart.com/click/track?ai=8078&amp;sig=05f9e1e&amp;sid=27971&amp;ppid=650&amp;vpid=626924362&amp;ct=offers" TargetMode="External"/><Relationship Id="rId23" Type="http://schemas.openxmlformats.org/officeDocument/2006/relationships/hyperlink" Target="https://octopart.com/click/track?ai=8078&amp;sig=073a7d2&amp;sid=2401&amp;ppid=650&amp;vpid=37670994&amp;ct=offers" TargetMode="External"/><Relationship Id="rId24" Type="http://schemas.openxmlformats.org/officeDocument/2006/relationships/hyperlink" Target="https://octopart.com/click/track?ai=8078&amp;sig=09323b7&amp;sid=2402&amp;ppid=650&amp;vpid=634315704&amp;ct=offers" TargetMode="External"/><Relationship Id="rId25" Type="http://schemas.openxmlformats.org/officeDocument/2006/relationships/hyperlink" Target="https://octopart.com/click/track?ai=8078&amp;sig=097b989&amp;sid=10022&amp;ppid=650&amp;vpid=199067238&amp;ct=offers" TargetMode="External"/><Relationship Id="rId26" Type="http://schemas.openxmlformats.org/officeDocument/2006/relationships/hyperlink" Target="https://octopart.com/click/track?ai=8078&amp;sig=07dee55&amp;sid=1532&amp;ppid=650&amp;vpid=118564865&amp;ct=offers" TargetMode="External"/><Relationship Id="rId27" Type="http://schemas.openxmlformats.org/officeDocument/2006/relationships/hyperlink" Target="https://media.digikey.com/pdf/Data%20Sheets/Molex%20PDFs/A-6373-N_Series_Dwg_2010-12-03.pdf" TargetMode="External"/><Relationship Id="rId28" Type="http://schemas.openxmlformats.org/officeDocument/2006/relationships/hyperlink" Target="https://octopart.com/click/track?ai=8078&amp;sig=04b7700&amp;sid=459&amp;ppid=650&amp;vpid=587828915&amp;ct=offers" TargetMode="External"/><Relationship Id="rId29" Type="http://schemas.openxmlformats.org/officeDocument/2006/relationships/hyperlink" Target="https://octopart.com/click/track?ai=8078&amp;sig=004b2a4&amp;sid=819&amp;ppid=650&amp;vpid=139014166&amp;ct=offers" TargetMode="External"/><Relationship Id="rId30" Type="http://schemas.openxmlformats.org/officeDocument/2006/relationships/hyperlink" Target="https://octopart.com/click/track?ai=8078&amp;sig=05f9e1e&amp;sid=27971&amp;ppid=650&amp;vpid=626924362&amp;ct=offers" TargetMode="External"/><Relationship Id="rId31" Type="http://schemas.openxmlformats.org/officeDocument/2006/relationships/hyperlink" Target="https://octopart.com/click/track?ai=8078&amp;sig=073a7d2&amp;sid=2401&amp;ppid=650&amp;vpid=37670994&amp;ct=offers" TargetMode="External"/><Relationship Id="rId32" Type="http://schemas.openxmlformats.org/officeDocument/2006/relationships/hyperlink" Target="https://octopart.com/click/track?ai=8078&amp;sig=09323b7&amp;sid=2402&amp;ppid=650&amp;vpid=634315704&amp;ct=offers" TargetMode="External"/><Relationship Id="rId33" Type="http://schemas.openxmlformats.org/officeDocument/2006/relationships/hyperlink" Target="https://octopart.com/click/track?ai=8078&amp;sig=097b989&amp;sid=10022&amp;ppid=650&amp;vpid=199067238&amp;ct=offers" TargetMode="External"/><Relationship Id="rId34" Type="http://schemas.openxmlformats.org/officeDocument/2006/relationships/hyperlink" Target="https://octopart.com/click/track?ai=8078&amp;sig=07dee55&amp;sid=1532&amp;ppid=650&amp;vpid=118564865&amp;ct=offers" TargetMode="External"/><Relationship Id="rId35" Type="http://schemas.openxmlformats.org/officeDocument/2006/relationships/hyperlink" Target="https://media.digikey.com/pdf/Data%20Sheets/Molex%20PDFs/A-6373-N_Series_Dwg_2010-12-03.pdf" TargetMode="External"/><Relationship Id="rId36" Type="http://schemas.openxmlformats.org/officeDocument/2006/relationships/hyperlink" Target="https://octopart.com/click/track?ai=8078&amp;sig=04b7700&amp;sid=459&amp;ppid=650&amp;vpid=587828915&amp;ct=offers" TargetMode="External"/><Relationship Id="rId37" Type="http://schemas.openxmlformats.org/officeDocument/2006/relationships/hyperlink" Target="https://octopart.com/click/track?ai=8078&amp;sig=004b2a4&amp;sid=819&amp;ppid=650&amp;vpid=139014166&amp;ct=offers" TargetMode="External"/><Relationship Id="rId38" Type="http://schemas.openxmlformats.org/officeDocument/2006/relationships/hyperlink" Target="https://octopart.com/click/track?ai=8078&amp;sig=05f9e1e&amp;sid=27971&amp;ppid=650&amp;vpid=626924362&amp;ct=offers" TargetMode="External"/><Relationship Id="rId39" Type="http://schemas.openxmlformats.org/officeDocument/2006/relationships/hyperlink" Target="https://octopart.com/click/track?ai=8078&amp;sig=073a7d2&amp;sid=2401&amp;ppid=650&amp;vpid=37670994&amp;ct=offers" TargetMode="External"/><Relationship Id="rId40" Type="http://schemas.openxmlformats.org/officeDocument/2006/relationships/hyperlink" Target="https://octopart.com/click/track?ai=8078&amp;sig=09323b7&amp;sid=2402&amp;ppid=650&amp;vpid=634315704&amp;ct=offers" TargetMode="External"/><Relationship Id="rId41" Type="http://schemas.openxmlformats.org/officeDocument/2006/relationships/hyperlink" Target="https://octopart.com/click/track?ai=8078&amp;sig=097b989&amp;sid=10022&amp;ppid=650&amp;vpid=199067238&amp;ct=offers" TargetMode="External"/><Relationship Id="rId42" Type="http://schemas.openxmlformats.org/officeDocument/2006/relationships/hyperlink" Target="https://octopart.com/click/track?ai=8078&amp;sig=07dee55&amp;sid=1532&amp;ppid=650&amp;vpid=118564865&amp;ct=offers" TargetMode="External"/><Relationship Id="rId43" Type="http://schemas.openxmlformats.org/officeDocument/2006/relationships/hyperlink" Target="https://media.digikey.com/pdf/Data%20Sheets/Molex%20PDFs/A-6373-N_Series_Dwg_2010-12-03.pdf" TargetMode="External"/><Relationship Id="rId44" Type="http://schemas.openxmlformats.org/officeDocument/2006/relationships/hyperlink" Target="https://octopart.com/click/track?ai=8078&amp;sig=04b7700&amp;sid=459&amp;ppid=650&amp;vpid=587828915&amp;ct=offers" TargetMode="External"/><Relationship Id="rId45" Type="http://schemas.openxmlformats.org/officeDocument/2006/relationships/hyperlink" Target="https://octopart.com/click/track?ai=8078&amp;sig=004b2a4&amp;sid=819&amp;ppid=650&amp;vpid=139014166&amp;ct=offers" TargetMode="External"/><Relationship Id="rId46" Type="http://schemas.openxmlformats.org/officeDocument/2006/relationships/hyperlink" Target="https://octopart.com/click/track?ai=8078&amp;sig=05f9e1e&amp;sid=27971&amp;ppid=650&amp;vpid=626924362&amp;ct=offers" TargetMode="External"/><Relationship Id="rId47" Type="http://schemas.openxmlformats.org/officeDocument/2006/relationships/hyperlink" Target="https://octopart.com/click/track?ai=8078&amp;sig=073a7d2&amp;sid=2401&amp;ppid=650&amp;vpid=37670994&amp;ct=offers" TargetMode="External"/><Relationship Id="rId48" Type="http://schemas.openxmlformats.org/officeDocument/2006/relationships/hyperlink" Target="https://octopart.com/click/track?ai=8078&amp;sig=09323b7&amp;sid=2402&amp;ppid=650&amp;vpid=634315704&amp;ct=offers" TargetMode="External"/><Relationship Id="rId49" Type="http://schemas.openxmlformats.org/officeDocument/2006/relationships/hyperlink" Target="https://octopart.com/click/track?ai=8078&amp;sig=097b989&amp;sid=10022&amp;ppid=650&amp;vpid=199067238&amp;ct=offers" TargetMode="External"/><Relationship Id="rId50" Type="http://schemas.openxmlformats.org/officeDocument/2006/relationships/hyperlink" Target="https://octopart.com/click/track?ai=8078&amp;sig=07dee55&amp;sid=1532&amp;ppid=650&amp;vpid=118564865&amp;ct=offers" TargetMode="External"/><Relationship Id="rId51" Type="http://schemas.openxmlformats.org/officeDocument/2006/relationships/hyperlink" Target="https://media.digikey.com/pdf/Data%20Sheets/Molex%20PDFs/A-6373-N_Series_Dwg_2010-12-03.pdf" TargetMode="External"/><Relationship Id="rId52" Type="http://schemas.openxmlformats.org/officeDocument/2006/relationships/hyperlink" Target="https://octopart.com/click/track?ai=8078&amp;sig=04b7700&amp;sid=459&amp;ppid=650&amp;vpid=587828915&amp;ct=offers" TargetMode="External"/><Relationship Id="rId53" Type="http://schemas.openxmlformats.org/officeDocument/2006/relationships/hyperlink" Target="https://octopart.com/click/track?ai=8078&amp;sig=004b2a4&amp;sid=819&amp;ppid=650&amp;vpid=139014166&amp;ct=offers" TargetMode="External"/><Relationship Id="rId54" Type="http://schemas.openxmlformats.org/officeDocument/2006/relationships/hyperlink" Target="https://octopart.com/click/track?ai=8078&amp;sig=05f9e1e&amp;sid=27971&amp;ppid=650&amp;vpid=626924362&amp;ct=offers" TargetMode="External"/><Relationship Id="rId55" Type="http://schemas.openxmlformats.org/officeDocument/2006/relationships/hyperlink" Target="https://octopart.com/click/track?ai=8078&amp;sig=073a7d2&amp;sid=2401&amp;ppid=650&amp;vpid=37670994&amp;ct=offers" TargetMode="External"/><Relationship Id="rId56" Type="http://schemas.openxmlformats.org/officeDocument/2006/relationships/hyperlink" Target="https://octopart.com/click/track?ai=8078&amp;sig=09323b7&amp;sid=2402&amp;ppid=650&amp;vpid=634315704&amp;ct=offers" TargetMode="External"/><Relationship Id="rId57" Type="http://schemas.openxmlformats.org/officeDocument/2006/relationships/hyperlink" Target="https://octopart.com/click/track?ai=8078&amp;sig=097b989&amp;sid=10022&amp;ppid=650&amp;vpid=199067238&amp;ct=offers" TargetMode="External"/><Relationship Id="rId58" Type="http://schemas.openxmlformats.org/officeDocument/2006/relationships/hyperlink" Target="https://octopart.com/click/track?ai=8078&amp;sig=07dee55&amp;sid=1532&amp;ppid=650&amp;vpid=118564865&amp;ct=offers" TargetMode="External"/><Relationship Id="rId59" Type="http://schemas.openxmlformats.org/officeDocument/2006/relationships/hyperlink" Target="https://media.digikey.com/pdf/Data%20Sheets/Molex%20PDFs/A-6373-N_Series_Dwg_2010-12-03.pdf" TargetMode="External"/><Relationship Id="rId60" Type="http://schemas.openxmlformats.org/officeDocument/2006/relationships/hyperlink" Target="https://octopart.com/click/track?ai=8078&amp;sig=04b7700&amp;sid=459&amp;ppid=650&amp;vpid=587828915&amp;ct=offers" TargetMode="External"/><Relationship Id="rId61" Type="http://schemas.openxmlformats.org/officeDocument/2006/relationships/hyperlink" Target="https://octopart.com/click/track?ai=8078&amp;sig=004b2a4&amp;sid=819&amp;ppid=650&amp;vpid=139014166&amp;ct=offers" TargetMode="External"/><Relationship Id="rId62" Type="http://schemas.openxmlformats.org/officeDocument/2006/relationships/hyperlink" Target="https://octopart.com/click/track?ai=8078&amp;sig=05f9e1e&amp;sid=27971&amp;ppid=650&amp;vpid=626924362&amp;ct=offers" TargetMode="External"/><Relationship Id="rId63" Type="http://schemas.openxmlformats.org/officeDocument/2006/relationships/hyperlink" Target="https://octopart.com/click/track?ai=8078&amp;sig=073a7d2&amp;sid=2401&amp;ppid=650&amp;vpid=37670994&amp;ct=offers" TargetMode="External"/><Relationship Id="rId64" Type="http://schemas.openxmlformats.org/officeDocument/2006/relationships/hyperlink" Target="https://octopart.com/click/track?ai=8078&amp;sig=09323b7&amp;sid=2402&amp;ppid=650&amp;vpid=634315704&amp;ct=offers" TargetMode="External"/><Relationship Id="rId65" Type="http://schemas.openxmlformats.org/officeDocument/2006/relationships/hyperlink" Target="https://octopart.com/click/track?ai=8078&amp;sig=097b989&amp;sid=10022&amp;ppid=650&amp;vpid=199067238&amp;ct=offers" TargetMode="External"/><Relationship Id="rId66" Type="http://schemas.openxmlformats.org/officeDocument/2006/relationships/hyperlink" Target="https://octopart.com/click/track?ai=8078&amp;sig=07dee55&amp;sid=1532&amp;ppid=650&amp;vpid=118564865&amp;ct=offers" TargetMode="External"/><Relationship Id="rId67" Type="http://schemas.openxmlformats.org/officeDocument/2006/relationships/hyperlink" Target="https://media.digikey.com/pdf/Data%20Sheets/Molex%20PDFs/A-6373-N_Series_Dwg_2010-12-03.pdf" TargetMode="External"/><Relationship Id="rId68" Type="http://schemas.openxmlformats.org/officeDocument/2006/relationships/hyperlink" Target="https://octopart.com/click/track?ai=8078&amp;sig=04b7700&amp;sid=459&amp;ppid=650&amp;vpid=587828915&amp;ct=offers" TargetMode="External"/><Relationship Id="rId69" Type="http://schemas.openxmlformats.org/officeDocument/2006/relationships/hyperlink" Target="https://octopart.com/click/track?ai=8078&amp;sig=004b2a4&amp;sid=819&amp;ppid=650&amp;vpid=139014166&amp;ct=offers" TargetMode="External"/><Relationship Id="rId70" Type="http://schemas.openxmlformats.org/officeDocument/2006/relationships/hyperlink" Target="https://octopart.com/click/track?ai=8078&amp;sig=05f9e1e&amp;sid=27971&amp;ppid=650&amp;vpid=626924362&amp;ct=offers" TargetMode="External"/><Relationship Id="rId71" Type="http://schemas.openxmlformats.org/officeDocument/2006/relationships/hyperlink" Target="https://octopart.com/click/track?ai=8078&amp;sig=073a7d2&amp;sid=2401&amp;ppid=650&amp;vpid=37670994&amp;ct=offers" TargetMode="External"/><Relationship Id="rId72" Type="http://schemas.openxmlformats.org/officeDocument/2006/relationships/hyperlink" Target="https://octopart.com/click/track?ai=8078&amp;sig=09323b7&amp;sid=2402&amp;ppid=650&amp;vpid=634315704&amp;ct=offers" TargetMode="External"/><Relationship Id="rId73" Type="http://schemas.openxmlformats.org/officeDocument/2006/relationships/hyperlink" Target="https://octopart.com/click/track?ai=8078&amp;sig=097b989&amp;sid=10022&amp;ppid=650&amp;vpid=199067238&amp;ct=offers" TargetMode="External"/><Relationship Id="rId74" Type="http://schemas.openxmlformats.org/officeDocument/2006/relationships/hyperlink" Target="https://octopart.com/click/track?ai=8078&amp;sig=07dee55&amp;sid=1532&amp;ppid=650&amp;vpid=118564865&amp;ct=offers" TargetMode="External"/><Relationship Id="rId75" Type="http://schemas.openxmlformats.org/officeDocument/2006/relationships/hyperlink" Target="https://www.diodes.com/assets/Datasheets/DXT5551P5.pdf" TargetMode="External"/><Relationship Id="rId76" Type="http://schemas.openxmlformats.org/officeDocument/2006/relationships/hyperlink" Target="https://www.onsemi.com/pub/Collateral/PN2222-D.PDF" TargetMode="External"/><Relationship Id="rId77" Type="http://schemas.openxmlformats.org/officeDocument/2006/relationships/hyperlink" Target="https://octopart.com/click/track?ai=8078&amp;sig=0b2936b&amp;sid=459&amp;ppid=34864044&amp;vpid=113205108&amp;ct=offers" TargetMode="External"/><Relationship Id="rId78" Type="http://schemas.openxmlformats.org/officeDocument/2006/relationships/hyperlink" Target="https://octopart.com/click/track?ai=8078&amp;sig=0a687d8&amp;sid=2401&amp;ppid=34864044&amp;vpid=104882660&amp;ct=offers" TargetMode="External"/><Relationship Id="rId79" Type="http://schemas.openxmlformats.org/officeDocument/2006/relationships/hyperlink" Target="https://productfinder.pulseeng.com/doc_type/WEB301/doc_num/HM2112ZNL/doc_part/HM2112ZNL.pdf" TargetMode="External"/><Relationship Id="rId80" Type="http://schemas.openxmlformats.org/officeDocument/2006/relationships/hyperlink" Target="https://www.analog.com/media/en/technical-documentation/data-sheets/LTC6810-1-6810-2.pdf" TargetMode="External"/><Relationship Id="rId81" Type="http://schemas.openxmlformats.org/officeDocument/2006/relationships/hyperlink" Target="https://octopart.com/click/track?ai=8078&amp;sig=039f192&amp;sid=459&amp;ppid=95933895&amp;vpid=650465790&amp;ct=offers" TargetMode="External"/><Relationship Id="rId82" Type="http://schemas.openxmlformats.org/officeDocument/2006/relationships/hyperlink" Target="https://octopart.com/click/track?ai=8078&amp;sig=014ceef&amp;sid=2401&amp;ppid=95933895&amp;vpid=504514441&amp;ct=offers" TargetMode="External"/><Relationship Id="rId83" Type="http://schemas.openxmlformats.org/officeDocument/2006/relationships/hyperlink" Target="https://www.analog.com/media/en/technical-documentation/data-sheets/ADG728_729.pdf" TargetMode="External"/><Relationship Id="rId84" Type="http://schemas.openxmlformats.org/officeDocument/2006/relationships/hyperlink" Target="https://octopart.com/click/track?ai=8078&amp;sig=002134c&amp;sid=459&amp;ppid=142784&amp;vpid=1428096&amp;ct=offers" TargetMode="External"/><Relationship Id="rId85" Type="http://schemas.openxmlformats.org/officeDocument/2006/relationships/hyperlink" Target="https://octopart.com/click/track?c=1&amp;ai=8078&amp;sig=0980cdb&amp;sid=11744&amp;ppid=142784&amp;vpid=132117306&amp;ct=offers" TargetMode="External"/><Relationship Id="rId86" Type="http://schemas.openxmlformats.org/officeDocument/2006/relationships/hyperlink" Target="https://octopart.com/click/track?ai=8078&amp;sig=0382f1f&amp;sid=2401&amp;ppid=142784&amp;vpid=76857954&amp;ct=offers" TargetMode="External"/><Relationship Id="rId87" Type="http://schemas.openxmlformats.org/officeDocument/2006/relationships/hyperlink" Target="https://octopart.com/click/track?c=1&amp;ai=8078&amp;sig=047fd94&amp;sid=2402&amp;ppid=142784&amp;vpid=95993010&amp;ct=offers" TargetMode="External"/><Relationship Id="rId88" Type="http://schemas.openxmlformats.org/officeDocument/2006/relationships/hyperlink" Target="https://octopart.com/click/track?ai=8078&amp;sig=0e61d5e&amp;sid=10022&amp;ppid=142784&amp;vpid=198982514&amp;ct=offers" TargetMode="External"/><Relationship Id="rId89" Type="http://schemas.openxmlformats.org/officeDocument/2006/relationships/hyperlink" Target="https://octopart.com/click/track?ai=8078&amp;sig=0e425d7&amp;sid=1532&amp;ppid=142784&amp;vpid=511880639&amp;ct=offers" TargetMode="External"/><Relationship Id="rId90" Type="http://schemas.openxmlformats.org/officeDocument/2006/relationships/hyperlink" Target="https://www.analog.com/media/en/technical-documentation/data-sheets/LTC6255-6256-6257.pdf" TargetMode="External"/><Relationship Id="rId91" Type="http://schemas.openxmlformats.org/officeDocument/2006/relationships/hyperlink" Target="https://octopart.com/click/track?c=1&amp;ai=8078&amp;sig=013cf20&amp;sid=459&amp;ppid=18188334&amp;vpid=650465052&amp;ct=offers" TargetMode="External"/><Relationship Id="rId92" Type="http://schemas.openxmlformats.org/officeDocument/2006/relationships/hyperlink" Target="https://octopart.com/click/track?c=1&amp;ai=8078&amp;sig=015bc33&amp;sid=11744&amp;ppid=18188334&amp;vpid=431188050&amp;ct=offers" TargetMode="External"/><Relationship Id="rId93" Type="http://schemas.openxmlformats.org/officeDocument/2006/relationships/hyperlink" Target="https://octopart.com/click/track?ai=8078&amp;sig=0b8ac0f&amp;sid=2401&amp;ppid=18188334&amp;vpid=457798603&amp;ct=offers" TargetMode="External"/><Relationship Id="rId94" Type="http://schemas.openxmlformats.org/officeDocument/2006/relationships/hyperlink" Target="http://ww1.microchip.com/downloads/en/devicedoc/21203m.pdf" TargetMode="External"/><Relationship Id="rId95" Type="http://schemas.openxmlformats.org/officeDocument/2006/relationships/hyperlink" Target="https://octopart.com/click/track?ai=8078&amp;sig=0babc28&amp;sid=459&amp;ppid=451786&amp;vpid=2001189&amp;ct=offers" TargetMode="External"/><Relationship Id="rId96" Type="http://schemas.openxmlformats.org/officeDocument/2006/relationships/hyperlink" Target="https://octopart.com/click/track?ai=8078&amp;sig=0f18faf&amp;sid=819&amp;ppid=451786&amp;vpid=139005361&amp;ct=offers" TargetMode="External"/><Relationship Id="rId97" Type="http://schemas.openxmlformats.org/officeDocument/2006/relationships/hyperlink" Target="https://octopart.com/click/track?ai=8078&amp;sig=0264556&amp;sid=2401&amp;ppid=451786&amp;vpid=37643087&amp;ct=offers" TargetMode="External"/><Relationship Id="rId98" Type="http://schemas.openxmlformats.org/officeDocument/2006/relationships/hyperlink" Target="https://octopart.com/click/track?ai=8078&amp;sig=0808932&amp;sid=2402&amp;ppid=451786&amp;vpid=11377452&amp;ct=offers" TargetMode="External"/><Relationship Id="rId99" Type="http://schemas.openxmlformats.org/officeDocument/2006/relationships/hyperlink" Target="https://octopart.com/click/track?ai=8078&amp;sig=02d3f5d&amp;sid=10022&amp;ppid=451786&amp;vpid=199059643&amp;ct=offers" TargetMode="External"/><Relationship Id="rId100" Type="http://schemas.openxmlformats.org/officeDocument/2006/relationships/hyperlink" Target="https://octopart.com/click/track?ai=8078&amp;sig=012bc75&amp;sid=1532&amp;ppid=451786&amp;vpid=531679998&amp;ct=offers" TargetMode="External"/><Relationship Id="rId101" Type="http://schemas.openxmlformats.org/officeDocument/2006/relationships/vmlDrawing" Target="../drawings/vmlDrawing1.vml"/><Relationship Id="rId10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0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15.7109375" customWidth="1" outlineLevel="2"/>
    <col min="45" max="45" width="9.140625" outlineLevel="1"/>
    <col min="46" max="46" width="9.140625" outlineLevel="2"/>
    <col min="47" max="47" width="9.140625" outlineLevel="2"/>
    <col min="48" max="48" width="15.7109375" customWidth="1"/>
    <col min="49" max="49" width="15.7109375" customWidth="1" outlineLevel="2"/>
  </cols>
  <sheetData>
    <row r="1" spans="1:49">
      <c r="A1" s="1" t="s">
        <v>149</v>
      </c>
      <c r="B1" s="2" t="s">
        <v>150</v>
      </c>
      <c r="H1" s="3" t="s">
        <v>155</v>
      </c>
      <c r="I1" s="3">
        <v>100</v>
      </c>
    </row>
    <row r="2" spans="1:49">
      <c r="A2" s="1" t="s">
        <v>151</v>
      </c>
      <c r="B2" s="2" t="s">
        <v>152</v>
      </c>
      <c r="H2" s="1" t="s">
        <v>157</v>
      </c>
      <c r="I2" s="4">
        <f>TotalCost/BoardQty</f>
        <v>0</v>
      </c>
    </row>
    <row r="3" spans="1:49">
      <c r="A3" s="1" t="s">
        <v>153</v>
      </c>
      <c r="B3" s="2" t="s">
        <v>154</v>
      </c>
      <c r="H3" s="1" t="s">
        <v>156</v>
      </c>
      <c r="I3" s="5">
        <f>SUM(I7:I55)</f>
        <v>0</v>
      </c>
      <c r="M3" s="5">
        <f>SUM(M7:M55)</f>
        <v>0</v>
      </c>
      <c r="N3" s="6">
        <f>(COUNTA(M7:M55)&amp;" of "&amp;ROWS(M7:M55)&amp;" parts found"</f>
        <v>0</v>
      </c>
      <c r="R3" s="5">
        <f>SUM(R7:R55)</f>
        <v>0</v>
      </c>
      <c r="S3" s="6">
        <f>(COUNTA(R7:R55)&amp;" of "&amp;ROWS(R7:R55)&amp;" parts found"</f>
        <v>0</v>
      </c>
      <c r="W3" s="5">
        <f>SUM(W7:W55)</f>
        <v>0</v>
      </c>
      <c r="X3" s="6">
        <f>(COUNTA(W7:W55)&amp;" of "&amp;ROWS(W7:W55)&amp;" parts found"</f>
        <v>0</v>
      </c>
      <c r="AB3" s="5">
        <f>SUM(AB7:AB55)</f>
        <v>0</v>
      </c>
      <c r="AC3" s="6">
        <f>(COUNTA(AB7:AB55)&amp;" of "&amp;ROWS(AB7:AB55)&amp;" parts found"</f>
        <v>0</v>
      </c>
      <c r="AG3" s="5">
        <f>SUM(AG7:AG55)</f>
        <v>0</v>
      </c>
      <c r="AH3" s="6">
        <f>(COUNTA(AG7:AG55)&amp;" of "&amp;ROWS(AG7:AG55)&amp;" parts found"</f>
        <v>0</v>
      </c>
      <c r="AL3" s="5">
        <f>SUM(AL7:AL55)</f>
        <v>0</v>
      </c>
      <c r="AM3" s="6">
        <f>(COUNTA(AL7:AL55)&amp;" of "&amp;ROWS(AL7:AL55)&amp;" parts found"</f>
        <v>0</v>
      </c>
      <c r="AQ3" s="5">
        <f>SUM(AQ7:AQ55)</f>
        <v>0</v>
      </c>
      <c r="AR3" s="6">
        <f>(COUNTA(AQ7:AQ55)&amp;" of "&amp;ROWS(AQ7:AQ55)&amp;" parts found"</f>
        <v>0</v>
      </c>
      <c r="AV3" s="5">
        <f>SUM(AV7:AV55)</f>
        <v>0</v>
      </c>
      <c r="AW3" s="6">
        <f>(COUNTA(AV7:AV55)&amp;" of "&amp;ROWS(AV7:AV55)&amp;" parts found"</f>
        <v>0</v>
      </c>
    </row>
    <row r="4" spans="1:49">
      <c r="A4" s="1" t="s">
        <v>158</v>
      </c>
      <c r="B4" s="2" t="s">
        <v>159</v>
      </c>
    </row>
    <row r="5" spans="1:4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160</v>
      </c>
      <c r="K5" s="8"/>
      <c r="L5" s="8"/>
      <c r="M5" s="8"/>
      <c r="N5" s="8"/>
      <c r="O5" s="9" t="s">
        <v>164</v>
      </c>
      <c r="P5" s="9"/>
      <c r="Q5" s="9"/>
      <c r="R5" s="9"/>
      <c r="S5" s="9"/>
      <c r="T5" s="10" t="s">
        <v>173</v>
      </c>
      <c r="U5" s="10"/>
      <c r="V5" s="10"/>
      <c r="W5" s="10"/>
      <c r="X5" s="10"/>
      <c r="Y5" s="11" t="s">
        <v>181</v>
      </c>
      <c r="Z5" s="11"/>
      <c r="AA5" s="11"/>
      <c r="AB5" s="11"/>
      <c r="AC5" s="11"/>
      <c r="AD5" s="12" t="s">
        <v>184</v>
      </c>
      <c r="AE5" s="12"/>
      <c r="AF5" s="12"/>
      <c r="AG5" s="12"/>
      <c r="AH5" s="12"/>
      <c r="AI5" s="13" t="s">
        <v>193</v>
      </c>
      <c r="AJ5" s="13"/>
      <c r="AK5" s="13"/>
      <c r="AL5" s="13"/>
      <c r="AM5" s="13"/>
      <c r="AN5" s="14" t="s">
        <v>199</v>
      </c>
      <c r="AO5" s="14"/>
      <c r="AP5" s="14"/>
      <c r="AQ5" s="14"/>
      <c r="AR5" s="14"/>
      <c r="AS5" s="15" t="s">
        <v>204</v>
      </c>
      <c r="AT5" s="15"/>
      <c r="AU5" s="15"/>
      <c r="AV5" s="15"/>
      <c r="AW5" s="15"/>
    </row>
    <row r="6" spans="1:49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161</v>
      </c>
      <c r="K6" s="16" t="s">
        <v>162</v>
      </c>
      <c r="L6" s="16" t="s">
        <v>8</v>
      </c>
      <c r="M6" s="16" t="s">
        <v>9</v>
      </c>
      <c r="N6" s="16" t="s">
        <v>163</v>
      </c>
      <c r="O6" s="16" t="s">
        <v>161</v>
      </c>
      <c r="P6" s="16" t="s">
        <v>162</v>
      </c>
      <c r="Q6" s="16" t="s">
        <v>8</v>
      </c>
      <c r="R6" s="16" t="s">
        <v>9</v>
      </c>
      <c r="S6" s="16" t="s">
        <v>163</v>
      </c>
      <c r="T6" s="16" t="s">
        <v>161</v>
      </c>
      <c r="U6" s="16" t="s">
        <v>162</v>
      </c>
      <c r="V6" s="16" t="s">
        <v>8</v>
      </c>
      <c r="W6" s="16" t="s">
        <v>9</v>
      </c>
      <c r="X6" s="16" t="s">
        <v>163</v>
      </c>
      <c r="Y6" s="16" t="s">
        <v>161</v>
      </c>
      <c r="Z6" s="16" t="s">
        <v>162</v>
      </c>
      <c r="AA6" s="16" t="s">
        <v>8</v>
      </c>
      <c r="AB6" s="16" t="s">
        <v>9</v>
      </c>
      <c r="AC6" s="16" t="s">
        <v>163</v>
      </c>
      <c r="AD6" s="16" t="s">
        <v>161</v>
      </c>
      <c r="AE6" s="16" t="s">
        <v>162</v>
      </c>
      <c r="AF6" s="16" t="s">
        <v>8</v>
      </c>
      <c r="AG6" s="16" t="s">
        <v>9</v>
      </c>
      <c r="AH6" s="16" t="s">
        <v>163</v>
      </c>
      <c r="AI6" s="16" t="s">
        <v>161</v>
      </c>
      <c r="AJ6" s="16" t="s">
        <v>162</v>
      </c>
      <c r="AK6" s="16" t="s">
        <v>8</v>
      </c>
      <c r="AL6" s="16" t="s">
        <v>9</v>
      </c>
      <c r="AM6" s="16" t="s">
        <v>163</v>
      </c>
      <c r="AN6" s="16" t="s">
        <v>161</v>
      </c>
      <c r="AO6" s="16" t="s">
        <v>162</v>
      </c>
      <c r="AP6" s="16" t="s">
        <v>8</v>
      </c>
      <c r="AQ6" s="16" t="s">
        <v>9</v>
      </c>
      <c r="AR6" s="16" t="s">
        <v>163</v>
      </c>
      <c r="AS6" s="16" t="s">
        <v>161</v>
      </c>
      <c r="AT6" s="16" t="s">
        <v>162</v>
      </c>
      <c r="AU6" s="16" t="s">
        <v>8</v>
      </c>
      <c r="AV6" s="16" t="s">
        <v>9</v>
      </c>
      <c r="AW6" s="16" t="s">
        <v>163</v>
      </c>
    </row>
    <row r="7" spans="1:49">
      <c r="A7" s="17" t="s">
        <v>10</v>
      </c>
      <c r="B7" s="17" t="s">
        <v>11</v>
      </c>
      <c r="D7" s="17" t="s">
        <v>12</v>
      </c>
      <c r="G7" s="17">
        <f>BoardQty*3</f>
        <v>0</v>
      </c>
      <c r="H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" s="18">
        <f>iferror(G7*H7,"")</f>
        <v>0</v>
      </c>
    </row>
    <row r="8" spans="1:49">
      <c r="A8" s="17" t="s">
        <v>13</v>
      </c>
      <c r="B8" s="17" t="s">
        <v>14</v>
      </c>
      <c r="D8" s="17" t="s">
        <v>12</v>
      </c>
      <c r="G8" s="17">
        <f>BoardQty*9</f>
        <v>0</v>
      </c>
      <c r="H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8" s="18">
        <f>iferror(G8*H8,"")</f>
        <v>0</v>
      </c>
    </row>
    <row r="9" spans="1:49">
      <c r="A9" s="17" t="s">
        <v>15</v>
      </c>
      <c r="B9" s="17" t="s">
        <v>16</v>
      </c>
      <c r="D9" s="17" t="s">
        <v>12</v>
      </c>
      <c r="G9" s="17">
        <f>BoardQty*1</f>
        <v>0</v>
      </c>
      <c r="H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9" s="18">
        <f>iferror(G9*H9,"")</f>
        <v>0</v>
      </c>
    </row>
    <row r="10" spans="1:49">
      <c r="A10" s="17" t="s">
        <v>17</v>
      </c>
      <c r="B10" s="17" t="s">
        <v>18</v>
      </c>
      <c r="D10" s="17" t="s">
        <v>12</v>
      </c>
      <c r="G10" s="17">
        <f>BoardQty*5</f>
        <v>0</v>
      </c>
      <c r="H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0" s="18">
        <f>iferror(G10*H10,"")</f>
        <v>0</v>
      </c>
    </row>
    <row r="11" spans="1:49">
      <c r="A11" s="17" t="s">
        <v>19</v>
      </c>
      <c r="B11" s="17" t="s">
        <v>20</v>
      </c>
      <c r="D11" s="17" t="s">
        <v>12</v>
      </c>
      <c r="G11" s="17">
        <f>BoardQty*7</f>
        <v>0</v>
      </c>
      <c r="H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1" s="18">
        <f>iferror(G11*H11,"")</f>
        <v>0</v>
      </c>
    </row>
    <row r="12" spans="1:49">
      <c r="A12" s="17" t="s">
        <v>21</v>
      </c>
      <c r="B12" s="17" t="s">
        <v>22</v>
      </c>
      <c r="D12" s="17" t="s">
        <v>12</v>
      </c>
      <c r="G12" s="17">
        <f>BoardQty*3</f>
        <v>0</v>
      </c>
      <c r="H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2" s="18">
        <f>iferror(G12*H12,"")</f>
        <v>0</v>
      </c>
    </row>
    <row r="13" spans="1:49">
      <c r="A13" s="17" t="s">
        <v>23</v>
      </c>
      <c r="B13" s="17" t="s">
        <v>24</v>
      </c>
      <c r="D13" s="17" t="s">
        <v>25</v>
      </c>
      <c r="G13" s="17">
        <f>BoardQty*7</f>
        <v>0</v>
      </c>
      <c r="H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3" s="18">
        <f>iferror(G13*H13,"")</f>
        <v>0</v>
      </c>
    </row>
    <row r="14" spans="1:49">
      <c r="A14" s="17" t="s">
        <v>26</v>
      </c>
      <c r="B14" s="17" t="s">
        <v>27</v>
      </c>
      <c r="D14" s="17" t="s">
        <v>28</v>
      </c>
      <c r="F14" s="17" t="s">
        <v>29</v>
      </c>
      <c r="G14" s="17">
        <f>BoardQty*2</f>
        <v>0</v>
      </c>
      <c r="H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4" s="18">
        <f>iferror(G14*H14,"")</f>
        <v>0</v>
      </c>
      <c r="O14" s="17">
        <v>587</v>
      </c>
      <c r="Q14" s="18">
        <f>iferror(lookup(if(P14="",G14,P14),{0,1,5,10,50,100,250,500,1000,1500,2500,3500},{0.0,3.34,3.228,3.116,2.4486,2.0034,1.94776,1.6695,1.5582,1.50255,1.4469,1.39125}),"")</f>
        <v>0</v>
      </c>
      <c r="R14" s="18">
        <f>iferror(if(P14="",G14,P14)*Q14,"")</f>
        <v>0</v>
      </c>
      <c r="S14" s="19" t="s">
        <v>165</v>
      </c>
      <c r="T14" s="17">
        <v>497</v>
      </c>
      <c r="V14" s="18">
        <f>iferror(USD_GBP*lookup(if(U14="",G14,U14),{0,1,10,25,50,100,250},{0.0,2.967,2.86,2.245,2.04,1.835,1.786}),"")</f>
        <v>0</v>
      </c>
      <c r="W14" s="18">
        <f>iferror(if(U14="",G14,U14)*V14,"")</f>
        <v>0</v>
      </c>
      <c r="X14" s="19" t="s">
        <v>174</v>
      </c>
      <c r="AD14" s="17">
        <v>587</v>
      </c>
      <c r="AF14" s="18">
        <f>iferror(lookup(if(AE14="",G14,AE14),{0,1,10,25,100,250,500},{0.0,3.04,2.93,2.3,1.88,1.83,1.57}),"")</f>
        <v>0</v>
      </c>
      <c r="AG14" s="18">
        <f>iferror(if(AE14="",G14,AE14)*AF14,"")</f>
        <v>0</v>
      </c>
      <c r="AH14" s="19" t="s">
        <v>185</v>
      </c>
      <c r="AI14" s="17">
        <v>497</v>
      </c>
      <c r="AK14" s="18">
        <f>iferror(lookup(if(AJ14="",G14,AJ14),{0,1,10,25,50,100,250,500,1000,2000,3000,5000},{0.0,2.03,2.03,1.86,1.72,1.72,1.72,1.52,1.46,1.41,1.36,1.31}),"")</f>
        <v>0</v>
      </c>
      <c r="AL14" s="18">
        <f>iferror(if(AJ14="",G14,AJ14)*AK14,"")</f>
        <v>0</v>
      </c>
      <c r="AM14" s="19" t="s">
        <v>194</v>
      </c>
    </row>
    <row r="15" spans="1:49">
      <c r="A15" s="17" t="s">
        <v>30</v>
      </c>
      <c r="B15" s="17" t="s">
        <v>31</v>
      </c>
      <c r="D15" s="17" t="s">
        <v>28</v>
      </c>
      <c r="F15" s="17" t="s">
        <v>32</v>
      </c>
      <c r="G15" s="17">
        <f>BoardQty*7</f>
        <v>0</v>
      </c>
      <c r="H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5" s="18">
        <f>iferror(G15*H15,"")</f>
        <v>0</v>
      </c>
      <c r="O15" s="17">
        <v>19353</v>
      </c>
      <c r="Q15" s="18">
        <f>iferror(lookup(if(P15="",G15,P15),{0,1,5,10,50,100,250,500,1000,5000,10000},{0.0,0.81,0.782,0.758,0.6376,0.5293,0.4812,0.40902,0.3609,0.32481,0.31278}),"")</f>
        <v>0</v>
      </c>
      <c r="R15" s="18">
        <f>iferror(if(P15="",G15,P15)*Q15,"")</f>
        <v>0</v>
      </c>
      <c r="S15" s="19" t="s">
        <v>166</v>
      </c>
      <c r="T15" s="17">
        <v>5720</v>
      </c>
      <c r="V15" s="18">
        <f>iferror(USD_GBP*lookup(if(U15="",G15,U15),{0,1,10,25,50,100,150,250,500,1000,2500,5000,25000},{0.0,0.92,0.558,0.49,0.448,0.518,0.518,0.369,0.479,0.438,0.399,0.391,0.324}),"")</f>
        <v>0</v>
      </c>
      <c r="W15" s="18">
        <f>iferror(if(U15="",G15,U15)*V15,"")</f>
        <v>0</v>
      </c>
      <c r="X15" s="19" t="s">
        <v>175</v>
      </c>
      <c r="Y15" s="17">
        <v>567</v>
      </c>
      <c r="AA15" s="18">
        <f>iferror(lookup(if(Z15="",G15,Z15),{0,1,10,30,100,500,1000},{0.0,0.16376,0.12325,0.11581,0.10838,0.10507,0.10343}),"")</f>
        <v>0</v>
      </c>
      <c r="AB15" s="18">
        <f>iferror(if(Z15="",G15,Z15)*AA15,"")</f>
        <v>0</v>
      </c>
      <c r="AC15" s="19" t="s">
        <v>182</v>
      </c>
      <c r="AD15" s="17">
        <v>8705</v>
      </c>
      <c r="AF15" s="18">
        <f>iferror(lookup(if(AE15="",G15,AE15),{0,1,10,100,500,1000,2500},{0.0,0.82,0.636,0.517,0.437,0.384,0.373}),"")</f>
        <v>0</v>
      </c>
      <c r="AG15" s="18">
        <f>iferror(if(AE15="",G15,AE15)*AF15,"")</f>
        <v>0</v>
      </c>
      <c r="AH15" s="19" t="s">
        <v>186</v>
      </c>
      <c r="AI15" s="17">
        <v>7148</v>
      </c>
      <c r="AK15" s="18">
        <f>iferror(lookup(if(AJ15="",G15,AJ15),{0,1,10,25,50,100,250,500,1000,2500,5000,10000,20000,30000},{0.0,0.82,0.82,0.636,0.577,0.517,0.477,0.437,0.384,0.373,0.329,0.296,0.28,0.273}),"")</f>
        <v>0</v>
      </c>
      <c r="AL15" s="18">
        <f>iferror(if(AJ15="",G15,AJ15)*AK15,"")</f>
        <v>0</v>
      </c>
      <c r="AM15" s="19" t="s">
        <v>195</v>
      </c>
      <c r="AN15" s="17">
        <v>1930</v>
      </c>
      <c r="AP15" s="18">
        <f>iferror(USD_GBP*lookup(if(AO15="",G15,AO15),{0,1,10,100,500,1500,2500},{0.0,0.495,0.495,0.392,0.302,0.267,0.245}),"")</f>
        <v>0</v>
      </c>
      <c r="AQ15" s="18">
        <f>iferror(if(AO15="",G15,AO15)*AP15,"")</f>
        <v>0</v>
      </c>
      <c r="AR15" s="19" t="s">
        <v>200</v>
      </c>
    </row>
    <row r="16" spans="1:49">
      <c r="A16" s="17" t="s">
        <v>33</v>
      </c>
      <c r="B16" s="17" t="s">
        <v>34</v>
      </c>
      <c r="D16" s="17" t="s">
        <v>35</v>
      </c>
      <c r="G16" s="17">
        <f>BoardQty*4</f>
        <v>0</v>
      </c>
      <c r="H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6" s="18">
        <f>iferror(G16*H16,"")</f>
        <v>0</v>
      </c>
    </row>
    <row r="17" spans="1:49">
      <c r="A17" s="17" t="s">
        <v>36</v>
      </c>
      <c r="B17" s="17" t="s">
        <v>37</v>
      </c>
      <c r="D17" s="17" t="s">
        <v>38</v>
      </c>
      <c r="G17" s="17">
        <f>BoardQty*1</f>
        <v>0</v>
      </c>
      <c r="H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7" s="18">
        <f>iferror(G17*H17,"")</f>
        <v>0</v>
      </c>
    </row>
    <row r="18" spans="1:49">
      <c r="A18" s="17" t="s">
        <v>39</v>
      </c>
      <c r="B18" s="17" t="s">
        <v>40</v>
      </c>
      <c r="C18" s="17" t="s">
        <v>41</v>
      </c>
      <c r="D18" s="17" t="s">
        <v>42</v>
      </c>
      <c r="E18" s="17" t="s">
        <v>43</v>
      </c>
      <c r="F18" s="17" t="s">
        <v>44</v>
      </c>
      <c r="G18" s="17">
        <f>BoardQty*1</f>
        <v>0</v>
      </c>
      <c r="H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8" s="18">
        <f>iferror(G18*H18,"")</f>
        <v>0</v>
      </c>
    </row>
    <row r="19" spans="1:49">
      <c r="A19" s="17" t="s">
        <v>45</v>
      </c>
      <c r="B19" s="17" t="s">
        <v>46</v>
      </c>
      <c r="C19" s="17" t="s">
        <v>41</v>
      </c>
      <c r="D19" s="17" t="s">
        <v>42</v>
      </c>
      <c r="E19" s="17" t="s">
        <v>43</v>
      </c>
      <c r="F19" s="17" t="s">
        <v>44</v>
      </c>
      <c r="G19" s="17">
        <f>BoardQty*1</f>
        <v>0</v>
      </c>
      <c r="H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9" s="18">
        <f>iferror(G19*H19,"")</f>
        <v>0</v>
      </c>
    </row>
    <row r="20" spans="1:49">
      <c r="A20" s="17" t="s">
        <v>47</v>
      </c>
      <c r="B20" s="17" t="s">
        <v>48</v>
      </c>
      <c r="C20" s="17" t="s">
        <v>49</v>
      </c>
      <c r="D20" s="17" t="s">
        <v>50</v>
      </c>
      <c r="E20" s="17" t="s">
        <v>51</v>
      </c>
      <c r="F20" s="17" t="s">
        <v>52</v>
      </c>
      <c r="G20" s="17">
        <f>BoardQty*1</f>
        <v>0</v>
      </c>
      <c r="H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0" s="18">
        <f>iferror(G20*H20,"")</f>
        <v>0</v>
      </c>
      <c r="O20" s="17">
        <v>21730</v>
      </c>
      <c r="Q20" s="18">
        <f>iferror(lookup(if(P20="",G20,P20),{0,1,10,100,500,1000,5000,10000},{0.0,0.17,0.161,0.1115,0.09438,0.07722,0.06864,0.06221}),"")</f>
        <v>0</v>
      </c>
      <c r="R20" s="18">
        <f>iferror(if(P20="",G20,P20)*Q20,"")</f>
        <v>0</v>
      </c>
      <c r="S20" s="19" t="s">
        <v>167</v>
      </c>
      <c r="T20" s="17">
        <v>36798</v>
      </c>
      <c r="V20" s="18">
        <f>iferror(USD_GBP*lookup(if(U20="",G20,U20),{0,1,5,10,50,100,500,1000},{0.0,0.133,0.12,0.107,0.0902,0.0734,0.0668,0.0602}),"")</f>
        <v>0</v>
      </c>
      <c r="W20" s="18">
        <f>iferror(if(U20="",G20,U20)*V20,"")</f>
        <v>0</v>
      </c>
      <c r="X20" s="19" t="s">
        <v>176</v>
      </c>
      <c r="Y20" s="17">
        <v>40</v>
      </c>
      <c r="AA20" s="18">
        <f>iferror(lookup(if(Z20="",G20,Z20),{0,1,10,100,300,1000,5000,10000},{0.0,0.0588,0.0588,0.04267,0.03971,0.03675,0.03543,0.03478}),"")</f>
        <v>0</v>
      </c>
      <c r="AB20" s="18">
        <f>iferror(if(Z20="",G20,Z20)*AA20,"")</f>
        <v>0</v>
      </c>
      <c r="AC20" s="19" t="s">
        <v>183</v>
      </c>
      <c r="AD20" s="17">
        <v>45596</v>
      </c>
      <c r="AF20" s="18">
        <f>iferror(lookup(if(AE20="",G20,AE20),{0,1,10,100,1000,2500,10000},{0.0,0.17,0.138,0.094,0.077,0.068,0.06}),"")</f>
        <v>0</v>
      </c>
      <c r="AG20" s="18">
        <f>iferror(if(AE20="",G20,AE20)*AF20,"")</f>
        <v>0</v>
      </c>
      <c r="AH20" s="19" t="s">
        <v>187</v>
      </c>
      <c r="AI20" s="17">
        <v>23375</v>
      </c>
      <c r="AK20" s="18">
        <f>iferror(lookup(if(AJ20="",G20,AJ20),{0,1,10,25,50,100,250,500,1000},{0.0,0.173,0.141,0.126,0.111,0.096,0.09,0.084,0.079}),"")</f>
        <v>0</v>
      </c>
      <c r="AL20" s="18">
        <f>iferror(if(AJ20="",G20,AJ20)*AK20,"")</f>
        <v>0</v>
      </c>
      <c r="AM20" s="19" t="s">
        <v>196</v>
      </c>
      <c r="AN20" s="17">
        <v>1510</v>
      </c>
      <c r="AP20" s="18">
        <f>iferror(USD_GBP*lookup(if(AO20="",G20,AO20),{0,1,10,250,1000,5000,10000},{0.0,0.19,0.19,0.079,0.068,0.052,0.047}),"")</f>
        <v>0</v>
      </c>
      <c r="AQ20" s="18">
        <f>iferror(if(AO20="",G20,AO20)*AP20,"")</f>
        <v>0</v>
      </c>
      <c r="AR20" s="19" t="s">
        <v>201</v>
      </c>
      <c r="AS20" s="20" t="s">
        <v>178</v>
      </c>
      <c r="AU20" s="18">
        <f>iferror(USD_EUR*lookup(if(AT20="",G20,AT20),{0,1,10,100,1000,5000},{0.0,0.1061,0.1061,0.0894,0.0646,0.0527}),"")</f>
        <v>0</v>
      </c>
      <c r="AV20" s="18">
        <f>iferror(if(AT20="",G20,AT20)*AU20,"")</f>
        <v>0</v>
      </c>
      <c r="AW20" s="19" t="s">
        <v>205</v>
      </c>
    </row>
    <row r="21" spans="1:49">
      <c r="A21" s="17" t="s">
        <v>53</v>
      </c>
      <c r="B21" s="17" t="s">
        <v>54</v>
      </c>
      <c r="C21" s="17" t="s">
        <v>49</v>
      </c>
      <c r="D21" s="17" t="s">
        <v>50</v>
      </c>
      <c r="E21" s="17" t="s">
        <v>51</v>
      </c>
      <c r="F21" s="17" t="s">
        <v>52</v>
      </c>
      <c r="G21" s="17">
        <f>BoardQty*1</f>
        <v>0</v>
      </c>
      <c r="H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1" s="18">
        <f>iferror(G21*H21,"")</f>
        <v>0</v>
      </c>
      <c r="O21" s="17">
        <v>21730</v>
      </c>
      <c r="Q21" s="18">
        <f>iferror(lookup(if(P21="",G21,P21),{0,1,10,100,500,1000,5000,10000},{0.0,0.17,0.161,0.1115,0.09438,0.07722,0.06864,0.06221}),"")</f>
        <v>0</v>
      </c>
      <c r="R21" s="18">
        <f>iferror(if(P21="",G21,P21)*Q21,"")</f>
        <v>0</v>
      </c>
      <c r="S21" s="19" t="s">
        <v>167</v>
      </c>
      <c r="T21" s="17">
        <v>36798</v>
      </c>
      <c r="V21" s="18">
        <f>iferror(USD_GBP*lookup(if(U21="",G21,U21),{0,1,5,10,50,100,500,1000},{0.0,0.133,0.12,0.107,0.0902,0.0734,0.0668,0.0602}),"")</f>
        <v>0</v>
      </c>
      <c r="W21" s="18">
        <f>iferror(if(U21="",G21,U21)*V21,"")</f>
        <v>0</v>
      </c>
      <c r="X21" s="19" t="s">
        <v>176</v>
      </c>
      <c r="Y21" s="17">
        <v>40</v>
      </c>
      <c r="AA21" s="18">
        <f>iferror(lookup(if(Z21="",G21,Z21),{0,1,10,100,300,1000,5000,10000},{0.0,0.0588,0.0588,0.04267,0.03971,0.03675,0.03543,0.03478}),"")</f>
        <v>0</v>
      </c>
      <c r="AB21" s="18">
        <f>iferror(if(Z21="",G21,Z21)*AA21,"")</f>
        <v>0</v>
      </c>
      <c r="AC21" s="19" t="s">
        <v>183</v>
      </c>
      <c r="AD21" s="17">
        <v>45596</v>
      </c>
      <c r="AF21" s="18">
        <f>iferror(lookup(if(AE21="",G21,AE21),{0,1,10,100,1000,2500,10000},{0.0,0.17,0.138,0.094,0.077,0.068,0.06}),"")</f>
        <v>0</v>
      </c>
      <c r="AG21" s="18">
        <f>iferror(if(AE21="",G21,AE21)*AF21,"")</f>
        <v>0</v>
      </c>
      <c r="AH21" s="19" t="s">
        <v>187</v>
      </c>
      <c r="AI21" s="17">
        <v>23375</v>
      </c>
      <c r="AK21" s="18">
        <f>iferror(lookup(if(AJ21="",G21,AJ21),{0,1,10,25,50,100,250,500,1000},{0.0,0.173,0.141,0.126,0.111,0.096,0.09,0.084,0.079}),"")</f>
        <v>0</v>
      </c>
      <c r="AL21" s="18">
        <f>iferror(if(AJ21="",G21,AJ21)*AK21,"")</f>
        <v>0</v>
      </c>
      <c r="AM21" s="19" t="s">
        <v>196</v>
      </c>
      <c r="AN21" s="17">
        <v>1510</v>
      </c>
      <c r="AP21" s="18">
        <f>iferror(USD_GBP*lookup(if(AO21="",G21,AO21),{0,1,10,250,1000,5000,10000},{0.0,0.19,0.19,0.079,0.068,0.052,0.047}),"")</f>
        <v>0</v>
      </c>
      <c r="AQ21" s="18">
        <f>iferror(if(AO21="",G21,AO21)*AP21,"")</f>
        <v>0</v>
      </c>
      <c r="AR21" s="19" t="s">
        <v>201</v>
      </c>
      <c r="AS21" s="20" t="s">
        <v>178</v>
      </c>
      <c r="AU21" s="18">
        <f>iferror(USD_EUR*lookup(if(AT21="",G21,AT21),{0,1,10,100,1000,5000},{0.0,0.1061,0.1061,0.0894,0.0646,0.0527}),"")</f>
        <v>0</v>
      </c>
      <c r="AV21" s="18">
        <f>iferror(if(AT21="",G21,AT21)*AU21,"")</f>
        <v>0</v>
      </c>
      <c r="AW21" s="19" t="s">
        <v>205</v>
      </c>
    </row>
    <row r="22" spans="1:49">
      <c r="A22" s="17" t="s">
        <v>55</v>
      </c>
      <c r="B22" s="17" t="s">
        <v>56</v>
      </c>
      <c r="C22" s="17" t="s">
        <v>49</v>
      </c>
      <c r="D22" s="17" t="s">
        <v>50</v>
      </c>
      <c r="E22" s="17" t="s">
        <v>51</v>
      </c>
      <c r="F22" s="17" t="s">
        <v>52</v>
      </c>
      <c r="G22" s="17">
        <f>BoardQty*1</f>
        <v>0</v>
      </c>
      <c r="H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2" s="18">
        <f>iferror(G22*H22,"")</f>
        <v>0</v>
      </c>
      <c r="O22" s="17">
        <v>21730</v>
      </c>
      <c r="Q22" s="18">
        <f>iferror(lookup(if(P22="",G22,P22),{0,1,10,100,500,1000,5000,10000},{0.0,0.17,0.161,0.1115,0.09438,0.07722,0.06864,0.06221}),"")</f>
        <v>0</v>
      </c>
      <c r="R22" s="18">
        <f>iferror(if(P22="",G22,P22)*Q22,"")</f>
        <v>0</v>
      </c>
      <c r="S22" s="19" t="s">
        <v>167</v>
      </c>
      <c r="T22" s="17">
        <v>36798</v>
      </c>
      <c r="V22" s="18">
        <f>iferror(USD_GBP*lookup(if(U22="",G22,U22),{0,1,5,10,50,100,500,1000},{0.0,0.133,0.12,0.107,0.0902,0.0734,0.0668,0.0602}),"")</f>
        <v>0</v>
      </c>
      <c r="W22" s="18">
        <f>iferror(if(U22="",G22,U22)*V22,"")</f>
        <v>0</v>
      </c>
      <c r="X22" s="19" t="s">
        <v>176</v>
      </c>
      <c r="Y22" s="17">
        <v>40</v>
      </c>
      <c r="AA22" s="18">
        <f>iferror(lookup(if(Z22="",G22,Z22),{0,1,10,100,300,1000,5000,10000},{0.0,0.0588,0.0588,0.04267,0.03971,0.03675,0.03543,0.03478}),"")</f>
        <v>0</v>
      </c>
      <c r="AB22" s="18">
        <f>iferror(if(Z22="",G22,Z22)*AA22,"")</f>
        <v>0</v>
      </c>
      <c r="AC22" s="19" t="s">
        <v>183</v>
      </c>
      <c r="AD22" s="17">
        <v>45596</v>
      </c>
      <c r="AF22" s="18">
        <f>iferror(lookup(if(AE22="",G22,AE22),{0,1,10,100,1000,2500,10000},{0.0,0.17,0.138,0.094,0.077,0.068,0.06}),"")</f>
        <v>0</v>
      </c>
      <c r="AG22" s="18">
        <f>iferror(if(AE22="",G22,AE22)*AF22,"")</f>
        <v>0</v>
      </c>
      <c r="AH22" s="19" t="s">
        <v>187</v>
      </c>
      <c r="AI22" s="17">
        <v>23375</v>
      </c>
      <c r="AK22" s="18">
        <f>iferror(lookup(if(AJ22="",G22,AJ22),{0,1,10,25,50,100,250,500,1000},{0.0,0.173,0.141,0.126,0.111,0.096,0.09,0.084,0.079}),"")</f>
        <v>0</v>
      </c>
      <c r="AL22" s="18">
        <f>iferror(if(AJ22="",G22,AJ22)*AK22,"")</f>
        <v>0</v>
      </c>
      <c r="AM22" s="19" t="s">
        <v>196</v>
      </c>
      <c r="AN22" s="17">
        <v>1510</v>
      </c>
      <c r="AP22" s="18">
        <f>iferror(USD_GBP*lookup(if(AO22="",G22,AO22),{0,1,10,250,1000,5000,10000},{0.0,0.19,0.19,0.079,0.068,0.052,0.047}),"")</f>
        <v>0</v>
      </c>
      <c r="AQ22" s="18">
        <f>iferror(if(AO22="",G22,AO22)*AP22,"")</f>
        <v>0</v>
      </c>
      <c r="AR22" s="19" t="s">
        <v>201</v>
      </c>
      <c r="AS22" s="20" t="s">
        <v>178</v>
      </c>
      <c r="AU22" s="18">
        <f>iferror(USD_EUR*lookup(if(AT22="",G22,AT22),{0,1,10,100,1000,5000},{0.0,0.1061,0.1061,0.0894,0.0646,0.0527}),"")</f>
        <v>0</v>
      </c>
      <c r="AV22" s="18">
        <f>iferror(if(AT22="",G22,AT22)*AU22,"")</f>
        <v>0</v>
      </c>
      <c r="AW22" s="19" t="s">
        <v>205</v>
      </c>
    </row>
    <row r="23" spans="1:49">
      <c r="A23" s="17" t="s">
        <v>57</v>
      </c>
      <c r="B23" s="17" t="s">
        <v>58</v>
      </c>
      <c r="D23" s="17" t="s">
        <v>59</v>
      </c>
      <c r="G23" s="17">
        <f>BoardQty*1</f>
        <v>0</v>
      </c>
      <c r="H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3" s="18">
        <f>iferror(G23*H23,"")</f>
        <v>0</v>
      </c>
    </row>
    <row r="24" spans="1:49">
      <c r="A24" s="17" t="s">
        <v>60</v>
      </c>
      <c r="B24" s="17" t="s">
        <v>61</v>
      </c>
      <c r="C24" s="17" t="s">
        <v>49</v>
      </c>
      <c r="D24" s="17" t="s">
        <v>50</v>
      </c>
      <c r="E24" s="17" t="s">
        <v>51</v>
      </c>
      <c r="F24" s="17" t="s">
        <v>52</v>
      </c>
      <c r="G24" s="17">
        <f>BoardQty*1</f>
        <v>0</v>
      </c>
      <c r="H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4" s="18">
        <f>iferror(G24*H24,"")</f>
        <v>0</v>
      </c>
      <c r="O24" s="17">
        <v>21730</v>
      </c>
      <c r="Q24" s="18">
        <f>iferror(lookup(if(P24="",G24,P24),{0,1,10,100,500,1000,5000,10000},{0.0,0.17,0.161,0.1115,0.09438,0.07722,0.06864,0.06221}),"")</f>
        <v>0</v>
      </c>
      <c r="R24" s="18">
        <f>iferror(if(P24="",G24,P24)*Q24,"")</f>
        <v>0</v>
      </c>
      <c r="S24" s="19" t="s">
        <v>167</v>
      </c>
      <c r="T24" s="17">
        <v>36798</v>
      </c>
      <c r="V24" s="18">
        <f>iferror(USD_GBP*lookup(if(U24="",G24,U24),{0,1,5,10,50,100,500,1000},{0.0,0.133,0.12,0.107,0.0902,0.0734,0.0668,0.0602}),"")</f>
        <v>0</v>
      </c>
      <c r="W24" s="18">
        <f>iferror(if(U24="",G24,U24)*V24,"")</f>
        <v>0</v>
      </c>
      <c r="X24" s="19" t="s">
        <v>176</v>
      </c>
      <c r="Y24" s="17">
        <v>40</v>
      </c>
      <c r="AA24" s="18">
        <f>iferror(lookup(if(Z24="",G24,Z24),{0,1,10,100,300,1000,5000,10000},{0.0,0.0588,0.0588,0.04267,0.03971,0.03675,0.03543,0.03478}),"")</f>
        <v>0</v>
      </c>
      <c r="AB24" s="18">
        <f>iferror(if(Z24="",G24,Z24)*AA24,"")</f>
        <v>0</v>
      </c>
      <c r="AC24" s="19" t="s">
        <v>183</v>
      </c>
      <c r="AD24" s="17">
        <v>45596</v>
      </c>
      <c r="AF24" s="18">
        <f>iferror(lookup(if(AE24="",G24,AE24),{0,1,10,100,1000,2500,10000},{0.0,0.17,0.138,0.094,0.077,0.068,0.06}),"")</f>
        <v>0</v>
      </c>
      <c r="AG24" s="18">
        <f>iferror(if(AE24="",G24,AE24)*AF24,"")</f>
        <v>0</v>
      </c>
      <c r="AH24" s="19" t="s">
        <v>187</v>
      </c>
      <c r="AI24" s="17">
        <v>23375</v>
      </c>
      <c r="AK24" s="18">
        <f>iferror(lookup(if(AJ24="",G24,AJ24),{0,1,10,25,50,100,250,500,1000},{0.0,0.173,0.141,0.126,0.111,0.096,0.09,0.084,0.079}),"")</f>
        <v>0</v>
      </c>
      <c r="AL24" s="18">
        <f>iferror(if(AJ24="",G24,AJ24)*AK24,"")</f>
        <v>0</v>
      </c>
      <c r="AM24" s="19" t="s">
        <v>196</v>
      </c>
      <c r="AN24" s="17">
        <v>1510</v>
      </c>
      <c r="AP24" s="18">
        <f>iferror(USD_GBP*lookup(if(AO24="",G24,AO24),{0,1,10,250,1000,5000,10000},{0.0,0.19,0.19,0.079,0.068,0.052,0.047}),"")</f>
        <v>0</v>
      </c>
      <c r="AQ24" s="18">
        <f>iferror(if(AO24="",G24,AO24)*AP24,"")</f>
        <v>0</v>
      </c>
      <c r="AR24" s="19" t="s">
        <v>201</v>
      </c>
      <c r="AS24" s="20" t="s">
        <v>178</v>
      </c>
      <c r="AU24" s="18">
        <f>iferror(USD_EUR*lookup(if(AT24="",G24,AT24),{0,1,10,100,1000,5000},{0.0,0.1061,0.1061,0.0894,0.0646,0.0527}),"")</f>
        <v>0</v>
      </c>
      <c r="AV24" s="18">
        <f>iferror(if(AT24="",G24,AT24)*AU24,"")</f>
        <v>0</v>
      </c>
      <c r="AW24" s="19" t="s">
        <v>205</v>
      </c>
    </row>
    <row r="25" spans="1:49">
      <c r="A25" s="17" t="s">
        <v>62</v>
      </c>
      <c r="B25" s="17" t="s">
        <v>63</v>
      </c>
      <c r="C25" s="17" t="s">
        <v>49</v>
      </c>
      <c r="D25" s="17" t="s">
        <v>50</v>
      </c>
      <c r="E25" s="17" t="s">
        <v>51</v>
      </c>
      <c r="F25" s="17" t="s">
        <v>52</v>
      </c>
      <c r="G25" s="17">
        <f>BoardQty*1</f>
        <v>0</v>
      </c>
      <c r="H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5" s="18">
        <f>iferror(G25*H25,"")</f>
        <v>0</v>
      </c>
      <c r="O25" s="17">
        <v>21730</v>
      </c>
      <c r="Q25" s="18">
        <f>iferror(lookup(if(P25="",G25,P25),{0,1,10,100,500,1000,5000,10000},{0.0,0.17,0.161,0.1115,0.09438,0.07722,0.06864,0.06221}),"")</f>
        <v>0</v>
      </c>
      <c r="R25" s="18">
        <f>iferror(if(P25="",G25,P25)*Q25,"")</f>
        <v>0</v>
      </c>
      <c r="S25" s="19" t="s">
        <v>167</v>
      </c>
      <c r="T25" s="17">
        <v>36798</v>
      </c>
      <c r="V25" s="18">
        <f>iferror(USD_GBP*lookup(if(U25="",G25,U25),{0,1,5,10,50,100,500,1000},{0.0,0.133,0.12,0.107,0.0902,0.0734,0.0668,0.0602}),"")</f>
        <v>0</v>
      </c>
      <c r="W25" s="18">
        <f>iferror(if(U25="",G25,U25)*V25,"")</f>
        <v>0</v>
      </c>
      <c r="X25" s="19" t="s">
        <v>176</v>
      </c>
      <c r="Y25" s="17">
        <v>40</v>
      </c>
      <c r="AA25" s="18">
        <f>iferror(lookup(if(Z25="",G25,Z25),{0,1,10,100,300,1000,5000,10000},{0.0,0.0588,0.0588,0.04267,0.03971,0.03675,0.03543,0.03478}),"")</f>
        <v>0</v>
      </c>
      <c r="AB25" s="18">
        <f>iferror(if(Z25="",G25,Z25)*AA25,"")</f>
        <v>0</v>
      </c>
      <c r="AC25" s="19" t="s">
        <v>183</v>
      </c>
      <c r="AD25" s="17">
        <v>45596</v>
      </c>
      <c r="AF25" s="18">
        <f>iferror(lookup(if(AE25="",G25,AE25),{0,1,10,100,1000,2500,10000},{0.0,0.17,0.138,0.094,0.077,0.068,0.06}),"")</f>
        <v>0</v>
      </c>
      <c r="AG25" s="18">
        <f>iferror(if(AE25="",G25,AE25)*AF25,"")</f>
        <v>0</v>
      </c>
      <c r="AH25" s="19" t="s">
        <v>187</v>
      </c>
      <c r="AI25" s="17">
        <v>23375</v>
      </c>
      <c r="AK25" s="18">
        <f>iferror(lookup(if(AJ25="",G25,AJ25),{0,1,10,25,50,100,250,500,1000},{0.0,0.173,0.141,0.126,0.111,0.096,0.09,0.084,0.079}),"")</f>
        <v>0</v>
      </c>
      <c r="AL25" s="18">
        <f>iferror(if(AJ25="",G25,AJ25)*AK25,"")</f>
        <v>0</v>
      </c>
      <c r="AM25" s="19" t="s">
        <v>196</v>
      </c>
      <c r="AN25" s="17">
        <v>1510</v>
      </c>
      <c r="AP25" s="18">
        <f>iferror(USD_GBP*lookup(if(AO25="",G25,AO25),{0,1,10,250,1000,5000,10000},{0.0,0.19,0.19,0.079,0.068,0.052,0.047}),"")</f>
        <v>0</v>
      </c>
      <c r="AQ25" s="18">
        <f>iferror(if(AO25="",G25,AO25)*AP25,"")</f>
        <v>0</v>
      </c>
      <c r="AR25" s="19" t="s">
        <v>201</v>
      </c>
      <c r="AS25" s="20" t="s">
        <v>178</v>
      </c>
      <c r="AU25" s="18">
        <f>iferror(USD_EUR*lookup(if(AT25="",G25,AT25),{0,1,10,100,1000,5000},{0.0,0.1061,0.1061,0.0894,0.0646,0.0527}),"")</f>
        <v>0</v>
      </c>
      <c r="AV25" s="18">
        <f>iferror(if(AT25="",G25,AT25)*AU25,"")</f>
        <v>0</v>
      </c>
      <c r="AW25" s="19" t="s">
        <v>205</v>
      </c>
    </row>
    <row r="26" spans="1:49">
      <c r="A26" s="17" t="s">
        <v>64</v>
      </c>
      <c r="B26" s="17" t="s">
        <v>65</v>
      </c>
      <c r="C26" s="17" t="s">
        <v>49</v>
      </c>
      <c r="D26" s="17" t="s">
        <v>50</v>
      </c>
      <c r="E26" s="17" t="s">
        <v>51</v>
      </c>
      <c r="F26" s="17" t="s">
        <v>52</v>
      </c>
      <c r="G26" s="17">
        <f>BoardQty*1</f>
        <v>0</v>
      </c>
      <c r="H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6" s="18">
        <f>iferror(G26*H26,"")</f>
        <v>0</v>
      </c>
      <c r="O26" s="17">
        <v>21730</v>
      </c>
      <c r="Q26" s="18">
        <f>iferror(lookup(if(P26="",G26,P26),{0,1,10,100,500,1000,5000,10000},{0.0,0.17,0.161,0.1115,0.09438,0.07722,0.06864,0.06221}),"")</f>
        <v>0</v>
      </c>
      <c r="R26" s="18">
        <f>iferror(if(P26="",G26,P26)*Q26,"")</f>
        <v>0</v>
      </c>
      <c r="S26" s="19" t="s">
        <v>167</v>
      </c>
      <c r="T26" s="17">
        <v>36798</v>
      </c>
      <c r="V26" s="18">
        <f>iferror(USD_GBP*lookup(if(U26="",G26,U26),{0,1,5,10,50,100,500,1000},{0.0,0.133,0.12,0.107,0.0902,0.0734,0.0668,0.0602}),"")</f>
        <v>0</v>
      </c>
      <c r="W26" s="18">
        <f>iferror(if(U26="",G26,U26)*V26,"")</f>
        <v>0</v>
      </c>
      <c r="X26" s="19" t="s">
        <v>176</v>
      </c>
      <c r="Y26" s="17">
        <v>40</v>
      </c>
      <c r="AA26" s="18">
        <f>iferror(lookup(if(Z26="",G26,Z26),{0,1,10,100,300,1000,5000,10000},{0.0,0.0588,0.0588,0.04267,0.03971,0.03675,0.03543,0.03478}),"")</f>
        <v>0</v>
      </c>
      <c r="AB26" s="18">
        <f>iferror(if(Z26="",G26,Z26)*AA26,"")</f>
        <v>0</v>
      </c>
      <c r="AC26" s="19" t="s">
        <v>183</v>
      </c>
      <c r="AD26" s="17">
        <v>45596</v>
      </c>
      <c r="AF26" s="18">
        <f>iferror(lookup(if(AE26="",G26,AE26),{0,1,10,100,1000,2500,10000},{0.0,0.17,0.138,0.094,0.077,0.068,0.06}),"")</f>
        <v>0</v>
      </c>
      <c r="AG26" s="18">
        <f>iferror(if(AE26="",G26,AE26)*AF26,"")</f>
        <v>0</v>
      </c>
      <c r="AH26" s="19" t="s">
        <v>187</v>
      </c>
      <c r="AI26" s="17">
        <v>23375</v>
      </c>
      <c r="AK26" s="18">
        <f>iferror(lookup(if(AJ26="",G26,AJ26),{0,1,10,25,50,100,250,500,1000},{0.0,0.173,0.141,0.126,0.111,0.096,0.09,0.084,0.079}),"")</f>
        <v>0</v>
      </c>
      <c r="AL26" s="18">
        <f>iferror(if(AJ26="",G26,AJ26)*AK26,"")</f>
        <v>0</v>
      </c>
      <c r="AM26" s="19" t="s">
        <v>196</v>
      </c>
      <c r="AN26" s="17">
        <v>1510</v>
      </c>
      <c r="AP26" s="18">
        <f>iferror(USD_GBP*lookup(if(AO26="",G26,AO26),{0,1,10,250,1000,5000,10000},{0.0,0.19,0.19,0.079,0.068,0.052,0.047}),"")</f>
        <v>0</v>
      </c>
      <c r="AQ26" s="18">
        <f>iferror(if(AO26="",G26,AO26)*AP26,"")</f>
        <v>0</v>
      </c>
      <c r="AR26" s="19" t="s">
        <v>201</v>
      </c>
      <c r="AS26" s="20" t="s">
        <v>178</v>
      </c>
      <c r="AU26" s="18">
        <f>iferror(USD_EUR*lookup(if(AT26="",G26,AT26),{0,1,10,100,1000,5000},{0.0,0.1061,0.1061,0.0894,0.0646,0.0527}),"")</f>
        <v>0</v>
      </c>
      <c r="AV26" s="18">
        <f>iferror(if(AT26="",G26,AT26)*AU26,"")</f>
        <v>0</v>
      </c>
      <c r="AW26" s="19" t="s">
        <v>205</v>
      </c>
    </row>
    <row r="27" spans="1:49">
      <c r="A27" s="17" t="s">
        <v>66</v>
      </c>
      <c r="B27" s="17" t="s">
        <v>67</v>
      </c>
      <c r="C27" s="17" t="s">
        <v>41</v>
      </c>
      <c r="D27" s="17" t="s">
        <v>42</v>
      </c>
      <c r="E27" s="17" t="s">
        <v>43</v>
      </c>
      <c r="F27" s="17" t="s">
        <v>44</v>
      </c>
      <c r="G27" s="17">
        <f>BoardQty*1</f>
        <v>0</v>
      </c>
      <c r="H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7" s="18">
        <f>iferror(G27*H27,"")</f>
        <v>0</v>
      </c>
    </row>
    <row r="28" spans="1:49">
      <c r="A28" s="17" t="s">
        <v>68</v>
      </c>
      <c r="B28" s="17" t="s">
        <v>69</v>
      </c>
      <c r="C28" s="17" t="s">
        <v>41</v>
      </c>
      <c r="D28" s="17" t="s">
        <v>42</v>
      </c>
      <c r="E28" s="17" t="s">
        <v>43</v>
      </c>
      <c r="F28" s="17" t="s">
        <v>44</v>
      </c>
      <c r="G28" s="17">
        <f>BoardQty*1</f>
        <v>0</v>
      </c>
      <c r="H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8" s="18">
        <f>iferror(G28*H28,"")</f>
        <v>0</v>
      </c>
    </row>
    <row r="29" spans="1:49">
      <c r="A29" s="17" t="s">
        <v>70</v>
      </c>
      <c r="B29" s="17" t="s">
        <v>71</v>
      </c>
      <c r="C29" s="17" t="s">
        <v>41</v>
      </c>
      <c r="D29" s="17" t="s">
        <v>42</v>
      </c>
      <c r="E29" s="17" t="s">
        <v>43</v>
      </c>
      <c r="F29" s="17" t="s">
        <v>44</v>
      </c>
      <c r="G29" s="17">
        <f>BoardQty*1</f>
        <v>0</v>
      </c>
      <c r="H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9" s="18">
        <f>iferror(G29*H29,"")</f>
        <v>0</v>
      </c>
    </row>
    <row r="30" spans="1:49">
      <c r="A30" s="17" t="s">
        <v>72</v>
      </c>
      <c r="B30" s="17" t="s">
        <v>73</v>
      </c>
      <c r="C30" s="17" t="s">
        <v>41</v>
      </c>
      <c r="D30" s="17" t="s">
        <v>42</v>
      </c>
      <c r="E30" s="17" t="s">
        <v>43</v>
      </c>
      <c r="F30" s="17" t="s">
        <v>44</v>
      </c>
      <c r="G30" s="17">
        <f>BoardQty*1</f>
        <v>0</v>
      </c>
      <c r="H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0" s="18">
        <f>iferror(G30*H30,"")</f>
        <v>0</v>
      </c>
    </row>
    <row r="31" spans="1:49">
      <c r="A31" s="17" t="s">
        <v>74</v>
      </c>
      <c r="B31" s="17" t="s">
        <v>75</v>
      </c>
      <c r="C31" s="17" t="s">
        <v>41</v>
      </c>
      <c r="D31" s="17" t="s">
        <v>42</v>
      </c>
      <c r="E31" s="17" t="s">
        <v>43</v>
      </c>
      <c r="F31" s="17" t="s">
        <v>44</v>
      </c>
      <c r="G31" s="17">
        <f>BoardQty*1</f>
        <v>0</v>
      </c>
      <c r="H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1" s="18">
        <f>iferror(G31*H31,"")</f>
        <v>0</v>
      </c>
    </row>
    <row r="32" spans="1:49">
      <c r="A32" s="17" t="s">
        <v>76</v>
      </c>
      <c r="B32" s="17" t="s">
        <v>77</v>
      </c>
      <c r="C32" s="17" t="s">
        <v>41</v>
      </c>
      <c r="D32" s="17" t="s">
        <v>42</v>
      </c>
      <c r="E32" s="17" t="s">
        <v>43</v>
      </c>
      <c r="F32" s="17" t="s">
        <v>44</v>
      </c>
      <c r="G32" s="17">
        <f>BoardQty*1</f>
        <v>0</v>
      </c>
      <c r="H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2" s="18">
        <f>iferror(G32*H32,"")</f>
        <v>0</v>
      </c>
    </row>
    <row r="33" spans="1:49">
      <c r="A33" s="17" t="s">
        <v>78</v>
      </c>
      <c r="B33" s="17" t="s">
        <v>79</v>
      </c>
      <c r="C33" s="17" t="s">
        <v>41</v>
      </c>
      <c r="D33" s="17" t="s">
        <v>42</v>
      </c>
      <c r="E33" s="17" t="s">
        <v>43</v>
      </c>
      <c r="F33" s="17" t="s">
        <v>44</v>
      </c>
      <c r="G33" s="17">
        <f>BoardQty*1</f>
        <v>0</v>
      </c>
      <c r="H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3" s="18">
        <f>iferror(G33*H33,"")</f>
        <v>0</v>
      </c>
    </row>
    <row r="34" spans="1:49">
      <c r="A34" s="17" t="s">
        <v>80</v>
      </c>
      <c r="B34" s="17" t="s">
        <v>81</v>
      </c>
      <c r="C34" s="17" t="s">
        <v>41</v>
      </c>
      <c r="D34" s="17" t="s">
        <v>42</v>
      </c>
      <c r="E34" s="17" t="s">
        <v>43</v>
      </c>
      <c r="F34" s="17" t="s">
        <v>44</v>
      </c>
      <c r="G34" s="17">
        <f>BoardQty*1</f>
        <v>0</v>
      </c>
      <c r="H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4" s="18">
        <f>iferror(G34*H34,"")</f>
        <v>0</v>
      </c>
    </row>
    <row r="35" spans="1:49">
      <c r="A35" s="17" t="s">
        <v>82</v>
      </c>
      <c r="B35" s="17" t="s">
        <v>83</v>
      </c>
      <c r="C35" s="17" t="s">
        <v>49</v>
      </c>
      <c r="D35" s="17" t="s">
        <v>50</v>
      </c>
      <c r="E35" s="17" t="s">
        <v>51</v>
      </c>
      <c r="F35" s="17" t="s">
        <v>52</v>
      </c>
      <c r="G35" s="17">
        <f>BoardQty*1</f>
        <v>0</v>
      </c>
      <c r="H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5" s="18">
        <f>iferror(G35*H35,"")</f>
        <v>0</v>
      </c>
      <c r="O35" s="17">
        <v>21730</v>
      </c>
      <c r="Q35" s="18">
        <f>iferror(lookup(if(P35="",G35,P35),{0,1,10,100,500,1000,5000,10000},{0.0,0.17,0.161,0.1115,0.09438,0.07722,0.06864,0.06221}),"")</f>
        <v>0</v>
      </c>
      <c r="R35" s="18">
        <f>iferror(if(P35="",G35,P35)*Q35,"")</f>
        <v>0</v>
      </c>
      <c r="S35" s="19" t="s">
        <v>167</v>
      </c>
      <c r="T35" s="17">
        <v>36798</v>
      </c>
      <c r="V35" s="18">
        <f>iferror(USD_GBP*lookup(if(U35="",G35,U35),{0,1,5,10,50,100,500,1000},{0.0,0.133,0.12,0.107,0.0902,0.0734,0.0668,0.0602}),"")</f>
        <v>0</v>
      </c>
      <c r="W35" s="18">
        <f>iferror(if(U35="",G35,U35)*V35,"")</f>
        <v>0</v>
      </c>
      <c r="X35" s="19" t="s">
        <v>176</v>
      </c>
      <c r="Y35" s="17">
        <v>40</v>
      </c>
      <c r="AA35" s="18">
        <f>iferror(lookup(if(Z35="",G35,Z35),{0,1,10,100,300,1000,5000,10000},{0.0,0.0588,0.0588,0.04267,0.03971,0.03675,0.03543,0.03478}),"")</f>
        <v>0</v>
      </c>
      <c r="AB35" s="18">
        <f>iferror(if(Z35="",G35,Z35)*AA35,"")</f>
        <v>0</v>
      </c>
      <c r="AC35" s="19" t="s">
        <v>183</v>
      </c>
      <c r="AD35" s="17">
        <v>45596</v>
      </c>
      <c r="AF35" s="18">
        <f>iferror(lookup(if(AE35="",G35,AE35),{0,1,10,100,1000,2500,10000},{0.0,0.17,0.138,0.094,0.077,0.068,0.06}),"")</f>
        <v>0</v>
      </c>
      <c r="AG35" s="18">
        <f>iferror(if(AE35="",G35,AE35)*AF35,"")</f>
        <v>0</v>
      </c>
      <c r="AH35" s="19" t="s">
        <v>187</v>
      </c>
      <c r="AI35" s="17">
        <v>23375</v>
      </c>
      <c r="AK35" s="18">
        <f>iferror(lookup(if(AJ35="",G35,AJ35),{0,1,10,25,50,100,250,500,1000},{0.0,0.173,0.141,0.126,0.111,0.096,0.09,0.084,0.079}),"")</f>
        <v>0</v>
      </c>
      <c r="AL35" s="18">
        <f>iferror(if(AJ35="",G35,AJ35)*AK35,"")</f>
        <v>0</v>
      </c>
      <c r="AM35" s="19" t="s">
        <v>196</v>
      </c>
      <c r="AN35" s="17">
        <v>1510</v>
      </c>
      <c r="AP35" s="18">
        <f>iferror(USD_GBP*lookup(if(AO35="",G35,AO35),{0,1,10,250,1000,5000,10000},{0.0,0.19,0.19,0.079,0.068,0.052,0.047}),"")</f>
        <v>0</v>
      </c>
      <c r="AQ35" s="18">
        <f>iferror(if(AO35="",G35,AO35)*AP35,"")</f>
        <v>0</v>
      </c>
      <c r="AR35" s="19" t="s">
        <v>201</v>
      </c>
      <c r="AS35" s="20" t="s">
        <v>178</v>
      </c>
      <c r="AU35" s="18">
        <f>iferror(USD_EUR*lookup(if(AT35="",G35,AT35),{0,1,10,100,1000,5000},{0.0,0.1061,0.1061,0.0894,0.0646,0.0527}),"")</f>
        <v>0</v>
      </c>
      <c r="AV35" s="18">
        <f>iferror(if(AT35="",G35,AT35)*AU35,"")</f>
        <v>0</v>
      </c>
      <c r="AW35" s="19" t="s">
        <v>205</v>
      </c>
    </row>
    <row r="36" spans="1:49">
      <c r="A36" s="17" t="s">
        <v>84</v>
      </c>
      <c r="B36" s="17" t="s">
        <v>85</v>
      </c>
      <c r="C36" s="17" t="s">
        <v>49</v>
      </c>
      <c r="D36" s="17" t="s">
        <v>50</v>
      </c>
      <c r="E36" s="17" t="s">
        <v>51</v>
      </c>
      <c r="F36" s="17" t="s">
        <v>52</v>
      </c>
      <c r="G36" s="17">
        <f>BoardQty*1</f>
        <v>0</v>
      </c>
      <c r="H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6" s="18">
        <f>iferror(G36*H36,"")</f>
        <v>0</v>
      </c>
      <c r="O36" s="17">
        <v>21730</v>
      </c>
      <c r="Q36" s="18">
        <f>iferror(lookup(if(P36="",G36,P36),{0,1,10,100,500,1000,5000,10000},{0.0,0.17,0.161,0.1115,0.09438,0.07722,0.06864,0.06221}),"")</f>
        <v>0</v>
      </c>
      <c r="R36" s="18">
        <f>iferror(if(P36="",G36,P36)*Q36,"")</f>
        <v>0</v>
      </c>
      <c r="S36" s="19" t="s">
        <v>167</v>
      </c>
      <c r="T36" s="17">
        <v>36798</v>
      </c>
      <c r="V36" s="18">
        <f>iferror(USD_GBP*lookup(if(U36="",G36,U36),{0,1,5,10,50,100,500,1000},{0.0,0.133,0.12,0.107,0.0902,0.0734,0.0668,0.0602}),"")</f>
        <v>0</v>
      </c>
      <c r="W36" s="18">
        <f>iferror(if(U36="",G36,U36)*V36,"")</f>
        <v>0</v>
      </c>
      <c r="X36" s="19" t="s">
        <v>176</v>
      </c>
      <c r="Y36" s="17">
        <v>40</v>
      </c>
      <c r="AA36" s="18">
        <f>iferror(lookup(if(Z36="",G36,Z36),{0,1,10,100,300,1000,5000,10000},{0.0,0.0588,0.0588,0.04267,0.03971,0.03675,0.03543,0.03478}),"")</f>
        <v>0</v>
      </c>
      <c r="AB36" s="18">
        <f>iferror(if(Z36="",G36,Z36)*AA36,"")</f>
        <v>0</v>
      </c>
      <c r="AC36" s="19" t="s">
        <v>183</v>
      </c>
      <c r="AD36" s="17">
        <v>45596</v>
      </c>
      <c r="AF36" s="18">
        <f>iferror(lookup(if(AE36="",G36,AE36),{0,1,10,100,1000,2500,10000},{0.0,0.17,0.138,0.094,0.077,0.068,0.06}),"")</f>
        <v>0</v>
      </c>
      <c r="AG36" s="18">
        <f>iferror(if(AE36="",G36,AE36)*AF36,"")</f>
        <v>0</v>
      </c>
      <c r="AH36" s="19" t="s">
        <v>187</v>
      </c>
      <c r="AI36" s="17">
        <v>23375</v>
      </c>
      <c r="AK36" s="18">
        <f>iferror(lookup(if(AJ36="",G36,AJ36),{0,1,10,25,50,100,250,500,1000},{0.0,0.173,0.141,0.126,0.111,0.096,0.09,0.084,0.079}),"")</f>
        <v>0</v>
      </c>
      <c r="AL36" s="18">
        <f>iferror(if(AJ36="",G36,AJ36)*AK36,"")</f>
        <v>0</v>
      </c>
      <c r="AM36" s="19" t="s">
        <v>196</v>
      </c>
      <c r="AN36" s="17">
        <v>1510</v>
      </c>
      <c r="AP36" s="18">
        <f>iferror(USD_GBP*lookup(if(AO36="",G36,AO36),{0,1,10,250,1000,5000,10000},{0.0,0.19,0.19,0.079,0.068,0.052,0.047}),"")</f>
        <v>0</v>
      </c>
      <c r="AQ36" s="18">
        <f>iferror(if(AO36="",G36,AO36)*AP36,"")</f>
        <v>0</v>
      </c>
      <c r="AR36" s="19" t="s">
        <v>201</v>
      </c>
      <c r="AS36" s="20" t="s">
        <v>178</v>
      </c>
      <c r="AU36" s="18">
        <f>iferror(USD_EUR*lookup(if(AT36="",G36,AT36),{0,1,10,100,1000,5000},{0.0,0.1061,0.1061,0.0894,0.0646,0.0527}),"")</f>
        <v>0</v>
      </c>
      <c r="AV36" s="18">
        <f>iferror(if(AT36="",G36,AT36)*AU36,"")</f>
        <v>0</v>
      </c>
      <c r="AW36" s="19" t="s">
        <v>205</v>
      </c>
    </row>
    <row r="37" spans="1:49">
      <c r="A37" s="17" t="s">
        <v>86</v>
      </c>
      <c r="B37" s="17" t="s">
        <v>87</v>
      </c>
      <c r="D37" s="17" t="s">
        <v>88</v>
      </c>
      <c r="G37" s="17">
        <f>BoardQty*1</f>
        <v>0</v>
      </c>
      <c r="H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7" s="18">
        <f>iferror(G37*H37,"")</f>
        <v>0</v>
      </c>
    </row>
    <row r="38" spans="1:49">
      <c r="A38" s="17" t="s">
        <v>89</v>
      </c>
      <c r="B38" s="17" t="s">
        <v>90</v>
      </c>
      <c r="D38" s="17" t="s">
        <v>88</v>
      </c>
      <c r="G38" s="17">
        <f>BoardQty*1</f>
        <v>0</v>
      </c>
      <c r="H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8" s="18">
        <f>iferror(G38*H38,"")</f>
        <v>0</v>
      </c>
    </row>
    <row r="39" spans="1:49">
      <c r="A39" s="17" t="s">
        <v>91</v>
      </c>
      <c r="B39" s="17" t="s">
        <v>92</v>
      </c>
      <c r="C39" s="17" t="s">
        <v>93</v>
      </c>
      <c r="D39" s="17" t="s">
        <v>94</v>
      </c>
      <c r="F39" s="17" t="s">
        <v>95</v>
      </c>
      <c r="G39" s="17">
        <f>BoardQty*1</f>
        <v>0</v>
      </c>
      <c r="H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9" s="18">
        <f>iferror(G39*H39,"")</f>
        <v>0</v>
      </c>
    </row>
    <row r="40" spans="1:49">
      <c r="A40" s="17" t="s">
        <v>96</v>
      </c>
      <c r="B40" s="17" t="s">
        <v>97</v>
      </c>
      <c r="D40" s="17" t="s">
        <v>98</v>
      </c>
      <c r="F40" s="17" t="s">
        <v>99</v>
      </c>
      <c r="G40" s="17">
        <f>BoardQty*7</f>
        <v>0</v>
      </c>
      <c r="H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0" s="18">
        <f>iferror(G40*H40,"")</f>
        <v>0</v>
      </c>
    </row>
    <row r="41" spans="1:49">
      <c r="A41" s="17" t="s">
        <v>100</v>
      </c>
      <c r="B41" s="17" t="s">
        <v>101</v>
      </c>
      <c r="D41" s="17" t="s">
        <v>102</v>
      </c>
      <c r="G41" s="17">
        <f>BoardQty*1</f>
        <v>0</v>
      </c>
      <c r="H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1" s="18">
        <f>iferror(G41*H41,"")</f>
        <v>0</v>
      </c>
    </row>
    <row r="42" spans="1:49">
      <c r="A42" s="17" t="s">
        <v>103</v>
      </c>
      <c r="B42" s="17" t="s">
        <v>104</v>
      </c>
      <c r="D42" s="17" t="s">
        <v>102</v>
      </c>
      <c r="G42" s="17">
        <f>BoardQty*9</f>
        <v>0</v>
      </c>
      <c r="H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2" s="18">
        <f>iferror(G42*H42,"")</f>
        <v>0</v>
      </c>
    </row>
    <row r="43" spans="1:49">
      <c r="A43" s="17" t="s">
        <v>105</v>
      </c>
      <c r="B43" s="17" t="s">
        <v>106</v>
      </c>
      <c r="D43" s="17" t="s">
        <v>102</v>
      </c>
      <c r="G43" s="17">
        <f>BoardQty*1</f>
        <v>0</v>
      </c>
      <c r="H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3" s="18">
        <f>iferror(G43*H43,"")</f>
        <v>0</v>
      </c>
    </row>
    <row r="44" spans="1:49">
      <c r="A44" s="17" t="s">
        <v>107</v>
      </c>
      <c r="B44" s="17" t="s">
        <v>108</v>
      </c>
      <c r="D44" s="17" t="s">
        <v>102</v>
      </c>
      <c r="G44" s="17">
        <f>BoardQty*9</f>
        <v>0</v>
      </c>
      <c r="H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4" s="18">
        <f>iferror(G44*H44,"")</f>
        <v>0</v>
      </c>
    </row>
    <row r="45" spans="1:49">
      <c r="A45" s="17" t="s">
        <v>109</v>
      </c>
      <c r="B45" s="17" t="s">
        <v>110</v>
      </c>
      <c r="D45" s="17" t="s">
        <v>102</v>
      </c>
      <c r="G45" s="17">
        <f>BoardQty*11</f>
        <v>0</v>
      </c>
      <c r="H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5" s="18">
        <f>iferror(G45*H45,"")</f>
        <v>0</v>
      </c>
    </row>
    <row r="46" spans="1:49">
      <c r="A46" s="17" t="s">
        <v>111</v>
      </c>
      <c r="B46" s="17" t="s">
        <v>112</v>
      </c>
      <c r="D46" s="17" t="s">
        <v>102</v>
      </c>
      <c r="G46" s="17">
        <f>BoardQty*1</f>
        <v>0</v>
      </c>
      <c r="H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6" s="18">
        <f>iferror(G46*H46,"")</f>
        <v>0</v>
      </c>
    </row>
    <row r="47" spans="1:49">
      <c r="A47" s="17" t="s">
        <v>113</v>
      </c>
      <c r="B47" s="17" t="s">
        <v>114</v>
      </c>
      <c r="D47" s="17" t="s">
        <v>102</v>
      </c>
      <c r="G47" s="17">
        <f>BoardQty*7</f>
        <v>0</v>
      </c>
      <c r="H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7" s="18">
        <f>iferror(G47*H47,"")</f>
        <v>0</v>
      </c>
    </row>
    <row r="48" spans="1:49">
      <c r="A48" s="17" t="s">
        <v>115</v>
      </c>
      <c r="B48" s="17" t="s">
        <v>104</v>
      </c>
      <c r="D48" s="17" t="s">
        <v>116</v>
      </c>
      <c r="G48" s="17">
        <f>BoardQty*14</f>
        <v>0</v>
      </c>
      <c r="H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8" s="18">
        <f>iferror(G48*H48,"")</f>
        <v>0</v>
      </c>
    </row>
    <row r="49" spans="1:49">
      <c r="A49" s="17" t="s">
        <v>117</v>
      </c>
      <c r="B49" s="17" t="s">
        <v>118</v>
      </c>
      <c r="D49" s="17" t="s">
        <v>102</v>
      </c>
      <c r="F49" s="17" t="s">
        <v>119</v>
      </c>
      <c r="G49" s="17">
        <f>BoardQty*4</f>
        <v>0</v>
      </c>
      <c r="H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9" s="18">
        <f>iferror(G49*H49,"")</f>
        <v>0</v>
      </c>
      <c r="O49" s="17">
        <v>244</v>
      </c>
      <c r="Q49" s="18">
        <f>iferror(lookup(if(P49="",G49,P49),{0,1,10,100},{0.0,1.56,1.38,1.0017}),"")</f>
        <v>0</v>
      </c>
      <c r="R49" s="18">
        <f>iferror(if(P49="",G49,P49)*Q49,"")</f>
        <v>0</v>
      </c>
      <c r="S49" s="19" t="s">
        <v>168</v>
      </c>
      <c r="AD49" s="17">
        <v>3543</v>
      </c>
      <c r="AF49" s="18">
        <f>iferror(lookup(if(AE49="",G49,AE49),{0,1,10,50,100,200,500},{0.0,1.56,1.38,1.34,1.01,0.972,0.943}),"")</f>
        <v>0</v>
      </c>
      <c r="AG49" s="18">
        <f>iferror(if(AE49="",G49,AE49)*AF49,"")</f>
        <v>0</v>
      </c>
      <c r="AH49" s="19" t="s">
        <v>188</v>
      </c>
    </row>
    <row r="50" spans="1:49">
      <c r="A50" s="17" t="s">
        <v>120</v>
      </c>
      <c r="B50" s="17" t="s">
        <v>121</v>
      </c>
      <c r="C50" s="17" t="s">
        <v>122</v>
      </c>
      <c r="D50" s="17" t="s">
        <v>123</v>
      </c>
      <c r="F50" s="17" t="s">
        <v>124</v>
      </c>
      <c r="G50" s="17">
        <f>BoardQty*1</f>
        <v>0</v>
      </c>
      <c r="H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0" s="18">
        <f>iferror(G50*H50,"")</f>
        <v>0</v>
      </c>
    </row>
    <row r="51" spans="1:49">
      <c r="A51" s="17" t="s">
        <v>125</v>
      </c>
      <c r="B51" s="17" t="s">
        <v>126</v>
      </c>
      <c r="D51" s="17" t="s">
        <v>127</v>
      </c>
      <c r="G51" s="17">
        <f>BoardQty*9</f>
        <v>0</v>
      </c>
      <c r="H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1" s="18">
        <f>iferror(G51*H51,"")</f>
        <v>0</v>
      </c>
    </row>
    <row r="52" spans="1:49">
      <c r="A52" s="17" t="s">
        <v>128</v>
      </c>
      <c r="B52" s="17" t="s">
        <v>129</v>
      </c>
      <c r="D52" s="17" t="s">
        <v>130</v>
      </c>
      <c r="F52" s="17" t="s">
        <v>131</v>
      </c>
      <c r="G52" s="17">
        <f>BoardQty*1</f>
        <v>0</v>
      </c>
      <c r="H5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2" s="18">
        <f>iferror(G52*H52,"")</f>
        <v>0</v>
      </c>
      <c r="O52" s="17">
        <v>806</v>
      </c>
      <c r="Q52" s="18">
        <f>iferror(lookup(if(P52="",G52,P52),{0,1,25,100,250},{0.0,16.04,10.6504,8.806,8.36572}),"")</f>
        <v>0</v>
      </c>
      <c r="R52" s="18">
        <f>iferror(if(P52="",G52,P52)*Q52,"")</f>
        <v>0</v>
      </c>
      <c r="S52" s="19" t="s">
        <v>169</v>
      </c>
      <c r="AD52" s="17">
        <v>1749</v>
      </c>
      <c r="AF52" s="18">
        <f>iferror(lookup(if(AE52="",G52,AE52),{0,1,25,100,250,500},{0.0,16.04,9.15,8.36,8.17,8.17}),"")</f>
        <v>0</v>
      </c>
      <c r="AG52" s="18">
        <f>iferror(if(AE52="",G52,AE52)*AF52,"")</f>
        <v>0</v>
      </c>
      <c r="AH52" s="19" t="s">
        <v>189</v>
      </c>
    </row>
    <row r="53" spans="1:49">
      <c r="A53" s="17" t="s">
        <v>132</v>
      </c>
      <c r="B53" s="17" t="s">
        <v>133</v>
      </c>
      <c r="D53" s="17" t="s">
        <v>134</v>
      </c>
      <c r="F53" s="17" t="s">
        <v>135</v>
      </c>
      <c r="G53" s="17">
        <f>BoardQty*1</f>
        <v>0</v>
      </c>
      <c r="H5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3" s="18">
        <f>iferror(G53*H53,"")</f>
        <v>0</v>
      </c>
      <c r="O53" s="17">
        <v>26</v>
      </c>
      <c r="Q53" s="18">
        <f>iferror(lookup(if(P53="",G53,P53),{0,1,10,25,100,250,500,1000},{0.0,5.54,4.974,4.7024,3.8665,3.4694,3.344,2.7797}),"")</f>
        <v>0</v>
      </c>
      <c r="R53" s="18">
        <f>iferror(if(P53="",G53,P53)*Q53,"")</f>
        <v>0</v>
      </c>
      <c r="S53" s="19" t="s">
        <v>170</v>
      </c>
      <c r="T53" s="20" t="s">
        <v>178</v>
      </c>
      <c r="V53" s="18">
        <f>iferror(USD_GBP*lookup(if(U53="",G53,U53),{0,1,10,25,50,100,250,500},{0.0,4.98,4.02,3.62,3.46,3.25,2.92,2.56}),"")</f>
        <v>0</v>
      </c>
      <c r="W53" s="18">
        <f>iferror(if(U53="",G53,U53)*V53,"")</f>
        <v>0</v>
      </c>
      <c r="X53" s="19" t="s">
        <v>177</v>
      </c>
      <c r="AD53" s="17">
        <v>1532</v>
      </c>
      <c r="AF53" s="18">
        <f>iferror(lookup(if(AE53="",G53,AE53),{0,1,10,25,100,250,500},{0.0,5.54,4.97,4.7,3.86,3.46,3.34}),"")</f>
        <v>0</v>
      </c>
      <c r="AG53" s="18">
        <f>iferror(if(AE53="",G53,AE53)*AF53,"")</f>
        <v>0</v>
      </c>
      <c r="AH53" s="19" t="s">
        <v>190</v>
      </c>
      <c r="AI53" s="20" t="s">
        <v>178</v>
      </c>
      <c r="AK53" s="18">
        <f>iferror(lookup(if(AJ53="",G53,AJ53),{0,1,10,25,50,100,250,500},{0.0,5.54,4.97,4.7,4.28,3.86,3.46,3.34}),"")</f>
        <v>0</v>
      </c>
      <c r="AL53" s="18">
        <f>iferror(if(AJ53="",G53,AJ53)*AK53,"")</f>
        <v>0</v>
      </c>
      <c r="AM53" s="19" t="s">
        <v>197</v>
      </c>
      <c r="AN53" s="17">
        <v>240</v>
      </c>
      <c r="AP53" s="18">
        <f>iferror(USD_GBP*lookup(if(AO53="",G53,AO53),{0,1,10,50,100,250},{0.0,4.3,3.65,3.1,2.86,2.69}),"")</f>
        <v>0</v>
      </c>
      <c r="AQ53" s="18">
        <f>iferror(if(AO53="",G53,AO53)*AP53,"")</f>
        <v>0</v>
      </c>
      <c r="AR53" s="19" t="s">
        <v>202</v>
      </c>
      <c r="AS53" s="17">
        <v>19</v>
      </c>
      <c r="AU53" s="18">
        <f>iferror(USD_EUR*lookup(if(AT53="",G53,AT53),{0,1,3,10,96},{0.0,4.19,3.93,3.3,2.87}),"")</f>
        <v>0</v>
      </c>
      <c r="AV53" s="18">
        <f>iferror(if(AT53="",G53,AT53)*AU53,"")</f>
        <v>0</v>
      </c>
      <c r="AW53" s="19" t="s">
        <v>135</v>
      </c>
    </row>
    <row r="54" spans="1:49">
      <c r="A54" s="17" t="s">
        <v>136</v>
      </c>
      <c r="B54" s="17" t="s">
        <v>137</v>
      </c>
      <c r="D54" s="17" t="s">
        <v>138</v>
      </c>
      <c r="F54" s="17" t="s">
        <v>139</v>
      </c>
      <c r="G54" s="17">
        <f>BoardQty*1</f>
        <v>0</v>
      </c>
      <c r="H5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4" s="18">
        <f>iferror(G54*H54,"")</f>
        <v>0</v>
      </c>
      <c r="O54" s="17">
        <v>1285</v>
      </c>
      <c r="Q54" s="18">
        <f>iferror(lookup(if(P54="",G54,P54),{0,1,25,100,250,500},{0.0,3.23,2.1428,1.7712,1.68264,1.64452}),"")</f>
        <v>0</v>
      </c>
      <c r="R54" s="18">
        <f>iferror(if(P54="",G54,P54)*Q54,"")</f>
        <v>0</v>
      </c>
      <c r="S54" s="19" t="s">
        <v>171</v>
      </c>
      <c r="T54" s="20" t="s">
        <v>178</v>
      </c>
      <c r="V54" s="18">
        <f>iferror(USD_GBP*lookup(if(U54="",G54,U54),{0,1,10,25,50,100,250,500,1000},{0.0,2.6,2.31,2.07,1.71,1.34,1.32,1.3,1.28}),"")</f>
        <v>0</v>
      </c>
      <c r="W54" s="18">
        <f>iferror(if(U54="",G54,U54)*V54,"")</f>
        <v>0</v>
      </c>
      <c r="X54" s="19" t="s">
        <v>179</v>
      </c>
      <c r="AD54" s="17">
        <v>78</v>
      </c>
      <c r="AF54" s="18">
        <f>iferror(lookup(if(AE54="",G54,AE54),{0,1,25,100,250,500,1500},{0.0,3.23,2.14,1.76,1.68,1.53,1.49}),"")</f>
        <v>0</v>
      </c>
      <c r="AG54" s="18">
        <f>iferror(if(AE54="",G54,AE54)*AF54,"")</f>
        <v>0</v>
      </c>
      <c r="AH54" s="19" t="s">
        <v>191</v>
      </c>
    </row>
    <row r="55" spans="1:49">
      <c r="A55" s="17" t="s">
        <v>140</v>
      </c>
      <c r="B55" s="17" t="s">
        <v>141</v>
      </c>
      <c r="D55" s="17" t="s">
        <v>142</v>
      </c>
      <c r="F55" s="17" t="s">
        <v>143</v>
      </c>
      <c r="G55" s="17">
        <f>BoardQty*1</f>
        <v>0</v>
      </c>
      <c r="H5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5" s="18">
        <f>iferror(G55*H55,"")</f>
        <v>0</v>
      </c>
      <c r="O55" s="17">
        <v>20980</v>
      </c>
      <c r="Q55" s="18">
        <f>iferror(lookup(if(P55="",G55,P55),{0,1,25,100,3300},{0.0,0.76,0.73,0.7,0.70001}),"")</f>
        <v>0</v>
      </c>
      <c r="R55" s="18">
        <f>iferror(if(P55="",G55,P55)*Q55,"")</f>
        <v>0</v>
      </c>
      <c r="S55" s="19" t="s">
        <v>172</v>
      </c>
      <c r="T55" s="17">
        <v>4203</v>
      </c>
      <c r="V55" s="18">
        <f>iferror(USD_GBP*lookup(if(U55="",G55,U55),{0,1,10,25,50,100,3300},{0.0,0.608,0.599,0.598,0.597,0.596,0.762}),"")</f>
        <v>0</v>
      </c>
      <c r="W55" s="18">
        <f>iferror(if(U55="",G55,U55)*V55,"")</f>
        <v>0</v>
      </c>
      <c r="X55" s="19" t="s">
        <v>180</v>
      </c>
      <c r="AD55" s="17">
        <v>11768</v>
      </c>
      <c r="AF55" s="18">
        <f>iferror(lookup(if(AE55="",G55,AE55),{0,1,10,25,100,250,500},{0.0,0.76,0.76,0.73,0.713,0.713,0.713}),"")</f>
        <v>0</v>
      </c>
      <c r="AG55" s="18">
        <f>iferror(if(AE55="",G55,AE55)*AF55,"")</f>
        <v>0</v>
      </c>
      <c r="AH55" s="19" t="s">
        <v>192</v>
      </c>
      <c r="AI55" s="17">
        <v>6600</v>
      </c>
      <c r="AK55" s="18">
        <f>iferror(lookup(if(AJ55="",G55,AJ55),{0,1},{0.0,0.76}),"")</f>
        <v>0</v>
      </c>
      <c r="AL55" s="18">
        <f>iferror(if(AJ55="",G55,AJ55)*AK55,"")</f>
        <v>0</v>
      </c>
      <c r="AM55" s="19" t="s">
        <v>198</v>
      </c>
      <c r="AN55" s="17">
        <v>3210</v>
      </c>
      <c r="AP55" s="18">
        <f>iferror(USD_GBP*lookup(if(AO55="",G55,AO55),{0,1,10,30},{0.0,0.585,0.585,0.57}),"")</f>
        <v>0</v>
      </c>
      <c r="AQ55" s="18">
        <f>iferror(if(AO55="",G55,AO55)*AP55,"")</f>
        <v>0</v>
      </c>
      <c r="AR55" s="19" t="s">
        <v>203</v>
      </c>
      <c r="AS55" s="17">
        <v>200</v>
      </c>
      <c r="AU55" s="18">
        <f>iferror(USD_EUR*lookup(if(AT55="",G55,AT55),{0,1,5,25,100},{0.0,0.99,0.96,0.9,0.85}),"")</f>
        <v>0</v>
      </c>
      <c r="AV55" s="18">
        <f>iferror(if(AT55="",G55,AT55)*AU55,"")</f>
        <v>0</v>
      </c>
      <c r="AW55" s="19" t="s">
        <v>206</v>
      </c>
    </row>
    <row r="57" spans="1:49">
      <c r="B57" s="21" t="s">
        <v>146</v>
      </c>
      <c r="H57" s="1" t="s">
        <v>144</v>
      </c>
      <c r="I57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57" s="6">
        <f>IFERROR(IF(OR(K7:K55),COUNTIFS(K7:K55,"&gt;0",M7:M55,"&lt;&gt;")&amp;" of "&amp;(ROWS(M7:M55)-COUNTBLANK(M7:M55))&amp;" parts purchased",""),"")</f>
        <v>0</v>
      </c>
      <c r="M57" s="5">
        <f>SUMIF(K7:K55,"&gt;0",M7:M55)</f>
        <v>0</v>
      </c>
      <c r="P57" s="6">
        <f>IFERROR(IF(OR(P7:P55),COUNTIFS(P7:P55,"&gt;0",R7:R55,"&lt;&gt;")&amp;" of "&amp;(ROWS(R7:R55)-COUNTBLANK(R7:R55))&amp;" parts purchased",""),"")</f>
        <v>0</v>
      </c>
      <c r="R57" s="5">
        <f>SUMIF(P7:P55,"&gt;0",R7:R55)</f>
        <v>0</v>
      </c>
      <c r="U57" s="6">
        <f>IFERROR(IF(OR(U7:U55),COUNTIFS(U7:U55,"&gt;0",W7:W55,"&lt;&gt;")&amp;" of "&amp;(ROWS(W7:W55)-COUNTBLANK(W7:W55))&amp;" parts purchased",""),"")</f>
        <v>0</v>
      </c>
      <c r="W57" s="5">
        <f>SUMIF(U7:U55,"&gt;0",W7:W55)</f>
        <v>0</v>
      </c>
      <c r="Z57" s="6">
        <f>IFERROR(IF(OR(Z7:Z55),COUNTIFS(Z7:Z55,"&gt;0",AB7:AB55,"&lt;&gt;")&amp;" of "&amp;(ROWS(AB7:AB55)-COUNTBLANK(AB7:AB55))&amp;" parts purchased",""),"")</f>
        <v>0</v>
      </c>
      <c r="AB57" s="5">
        <f>SUMIF(Z7:Z55,"&gt;0",AB7:AB55)</f>
        <v>0</v>
      </c>
      <c r="AE57" s="6">
        <f>IFERROR(IF(OR(AE7:AE55),COUNTIFS(AE7:AE55,"&gt;0",AG7:AG55,"&lt;&gt;")&amp;" of "&amp;(ROWS(AG7:AG55)-COUNTBLANK(AG7:AG55))&amp;" parts purchased",""),"")</f>
        <v>0</v>
      </c>
      <c r="AG57" s="5">
        <f>SUMIF(AE7:AE55,"&gt;0",AG7:AG55)</f>
        <v>0</v>
      </c>
      <c r="AJ57" s="6">
        <f>IFERROR(IF(OR(AJ7:AJ55),COUNTIFS(AJ7:AJ55,"&gt;0",AL7:AL55,"&lt;&gt;")&amp;" of "&amp;(ROWS(AL7:AL55)-COUNTBLANK(AL7:AL55))&amp;" parts purchased",""),"")</f>
        <v>0</v>
      </c>
      <c r="AL57" s="5">
        <f>SUMIF(AJ7:AJ55,"&gt;0",AL7:AL55)</f>
        <v>0</v>
      </c>
      <c r="AO57" s="6">
        <f>IFERROR(IF(OR(AO7:AO55),COUNTIFS(AO7:AO55,"&gt;0",AQ7:AQ55,"&lt;&gt;")&amp;" of "&amp;(ROWS(AQ7:AQ55)-COUNTBLANK(AQ7:AQ55))&amp;" parts purchased",""),"")</f>
        <v>0</v>
      </c>
      <c r="AQ57" s="5">
        <f>SUMIF(AO7:AO55,"&gt;0",AQ7:AQ55)</f>
        <v>0</v>
      </c>
      <c r="AT57" s="6">
        <f>IFERROR(IF(OR(AT7:AT55),COUNTIFS(AT7:AT55,"&gt;0",AV7:AV55,"&lt;&gt;")&amp;" of "&amp;(ROWS(AV7:AV55)-COUNTBLANK(AV7:AV55))&amp;" parts purchased",""),"")</f>
        <v>0</v>
      </c>
      <c r="AV57" s="5">
        <f>SUMIF(AT7:AT55,"&gt;0",AV7:AV55)</f>
        <v>0</v>
      </c>
    </row>
    <row r="58" spans="1:49">
      <c r="B58" s="21" t="s">
        <v>147</v>
      </c>
      <c r="C58">
        <v>1.276472135747797</v>
      </c>
      <c r="H58" s="21" t="s">
        <v>145</v>
      </c>
      <c r="K58">
        <f t="array" ref="K58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58">
        <f t="array" ref="P58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58">
        <f t="array" ref="U58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58" s="6">
        <f>IFERROR(IF(COUNTIFS(Z7:Z55,"&gt;0",AB7:AB55,"&lt;&gt;")&gt;0,"Quantity,Comment,Designator,Footprint,LCSC Part #(optional)",""),"")</f>
        <v>0</v>
      </c>
      <c r="AE58">
        <f t="array" ref="AE58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58">
        <f t="array" ref="AJ58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58">
        <f t="array" ref="AO58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58">
        <f t="array" ref="AT58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59" spans="1:49">
      <c r="B59" s="21" t="s">
        <v>148</v>
      </c>
      <c r="C59">
        <v>1.1645</v>
      </c>
      <c r="K59">
        <f t="array" ref="K59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59">
        <f t="array" ref="P59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59">
        <f t="array" ref="U59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59">
        <f t="array" ref="Z59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59">
        <f t="array" ref="AE59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59">
        <f t="array" ref="AJ59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59">
        <f t="array" ref="AO59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59">
        <f t="array" ref="AT59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0" spans="1:49">
      <c r="K60">
        <f t="array" ref="K60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0">
        <f t="array" ref="P60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0">
        <f t="array" ref="U60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0">
        <f t="array" ref="Z60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0">
        <f t="array" ref="AE60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0">
        <f t="array" ref="AJ60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0">
        <f t="array" ref="AO60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0">
        <f t="array" ref="AT60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1" spans="1:49">
      <c r="A61" s="2" t="s">
        <v>207</v>
      </c>
      <c r="K61">
        <f t="array" ref="K61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1">
        <f t="array" ref="P61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1">
        <f t="array" ref="U61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1">
        <f t="array" ref="Z61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1">
        <f t="array" ref="AE61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1">
        <f t="array" ref="AJ61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1">
        <f t="array" ref="AO61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1">
        <f t="array" ref="AT61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2" spans="1:49">
      <c r="K62">
        <f t="array" ref="K62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2">
        <f t="array" ref="P62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2">
        <f t="array" ref="U62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2">
        <f t="array" ref="Z62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2">
        <f t="array" ref="AE62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2">
        <f t="array" ref="AJ62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2">
        <f t="array" ref="AO62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2">
        <f t="array" ref="AT62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3" spans="1:49">
      <c r="K63">
        <f t="array" ref="K63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3">
        <f t="array" ref="P63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3">
        <f t="array" ref="U63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3">
        <f t="array" ref="Z63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3">
        <f t="array" ref="AE63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3">
        <f t="array" ref="AJ63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3">
        <f t="array" ref="AO63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3">
        <f t="array" ref="AT63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4" spans="1:49">
      <c r="K64">
        <f t="array" ref="K64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4">
        <f t="array" ref="P64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4">
        <f t="array" ref="U64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4">
        <f t="array" ref="Z64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4">
        <f t="array" ref="AE64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4">
        <f t="array" ref="AJ64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4">
        <f t="array" ref="AO64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4">
        <f t="array" ref="AT64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5" spans="11:46">
      <c r="K65">
        <f t="array" ref="K65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5">
        <f t="array" ref="P65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5">
        <f t="array" ref="U65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5">
        <f t="array" ref="Z65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5">
        <f t="array" ref="AE65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5">
        <f t="array" ref="AJ65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5">
        <f t="array" ref="AO65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5">
        <f t="array" ref="AT65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6" spans="11:46">
      <c r="K66">
        <f t="array" ref="K66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6">
        <f t="array" ref="P66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6">
        <f t="array" ref="U66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6">
        <f t="array" ref="Z66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6">
        <f t="array" ref="AE66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6">
        <f t="array" ref="AJ66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6">
        <f t="array" ref="AO66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6">
        <f t="array" ref="AT66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7" spans="11:46">
      <c r="K67">
        <f t="array" ref="K67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7">
        <f t="array" ref="P67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7">
        <f t="array" ref="U67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7">
        <f t="array" ref="Z67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7">
        <f t="array" ref="AE67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7">
        <f t="array" ref="AJ67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7">
        <f t="array" ref="AO67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7">
        <f t="array" ref="AT67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8" spans="11:46">
      <c r="K68">
        <f t="array" ref="K68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8">
        <f t="array" ref="P68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8">
        <f t="array" ref="U68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8">
        <f t="array" ref="Z68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8">
        <f t="array" ref="AE68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8">
        <f t="array" ref="AJ68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8">
        <f t="array" ref="AO68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8">
        <f t="array" ref="AT68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69" spans="11:46">
      <c r="K69">
        <f t="array" ref="K69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69">
        <f t="array" ref="P69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69">
        <f t="array" ref="U69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69">
        <f t="array" ref="Z69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69">
        <f t="array" ref="AE69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69">
        <f t="array" ref="AJ69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69">
        <f t="array" ref="AO69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69">
        <f t="array" ref="AT69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0" spans="11:46">
      <c r="K70">
        <f t="array" ref="K70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0">
        <f t="array" ref="P70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0">
        <f t="array" ref="U70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0">
        <f t="array" ref="Z70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0">
        <f t="array" ref="AE70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0">
        <f t="array" ref="AJ70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0">
        <f t="array" ref="AO70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0">
        <f t="array" ref="AT70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1" spans="11:46">
      <c r="K71">
        <f t="array" ref="K71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1">
        <f t="array" ref="P71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1">
        <f t="array" ref="U71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1">
        <f t="array" ref="Z71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1">
        <f t="array" ref="AE71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1">
        <f t="array" ref="AJ71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1">
        <f t="array" ref="AO71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1">
        <f t="array" ref="AT71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2" spans="11:46">
      <c r="K72">
        <f t="array" ref="K72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2">
        <f t="array" ref="P72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2">
        <f t="array" ref="U72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2">
        <f t="array" ref="Z72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2">
        <f t="array" ref="AE72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2">
        <f t="array" ref="AJ72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2">
        <f t="array" ref="AO72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2">
        <f t="array" ref="AT72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3" spans="11:46">
      <c r="K73">
        <f t="array" ref="K73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3">
        <f t="array" ref="P73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3">
        <f t="array" ref="U73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3">
        <f t="array" ref="Z73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3">
        <f t="array" ref="AE73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3">
        <f t="array" ref="AJ73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3">
        <f t="array" ref="AO73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3">
        <f t="array" ref="AT73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4" spans="11:46">
      <c r="K74">
        <f t="array" ref="K74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4">
        <f t="array" ref="P74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4">
        <f t="array" ref="U74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4">
        <f t="array" ref="Z74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4">
        <f t="array" ref="AE74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4">
        <f t="array" ref="AJ74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4">
        <f t="array" ref="AO74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4">
        <f t="array" ref="AT74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5" spans="11:46">
      <c r="K75">
        <f t="array" ref="K75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5">
        <f t="array" ref="P75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5">
        <f t="array" ref="U75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5">
        <f t="array" ref="Z75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5">
        <f t="array" ref="AE75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5">
        <f t="array" ref="AJ75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5">
        <f t="array" ref="AO75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5">
        <f t="array" ref="AT75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6" spans="11:46">
      <c r="K76">
        <f t="array" ref="K76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6">
        <f t="array" ref="P76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6">
        <f t="array" ref="U76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6">
        <f t="array" ref="Z76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6">
        <f t="array" ref="AE76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6">
        <f t="array" ref="AJ76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6">
        <f t="array" ref="AO76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6">
        <f t="array" ref="AT76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7" spans="11:46">
      <c r="K77">
        <f t="array" ref="K77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7">
        <f t="array" ref="P77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7">
        <f t="array" ref="U77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7">
        <f t="array" ref="Z77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7">
        <f t="array" ref="AE77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7">
        <f t="array" ref="AJ77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7">
        <f t="array" ref="AO77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7">
        <f t="array" ref="AT77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8" spans="11:46">
      <c r="K78">
        <f t="array" ref="K78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8">
        <f t="array" ref="P78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8">
        <f t="array" ref="U78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8">
        <f t="array" ref="Z78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8">
        <f t="array" ref="AE78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8">
        <f t="array" ref="AJ78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8">
        <f t="array" ref="AO78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8">
        <f t="array" ref="AT78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79" spans="11:46">
      <c r="K79">
        <f t="array" ref="K79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79">
        <f t="array" ref="P79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79">
        <f t="array" ref="U79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79">
        <f t="array" ref="Z79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79">
        <f t="array" ref="AE79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79">
        <f t="array" ref="AJ79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79">
        <f t="array" ref="AO79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79">
        <f t="array" ref="AT79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0" spans="11:46">
      <c r="K80">
        <f t="array" ref="K80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0">
        <f t="array" ref="P80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0">
        <f t="array" ref="U80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0">
        <f t="array" ref="Z80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0">
        <f t="array" ref="AE80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0">
        <f t="array" ref="AJ80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0">
        <f t="array" ref="AO80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0">
        <f t="array" ref="AT80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1" spans="11:46">
      <c r="K81">
        <f t="array" ref="K81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1">
        <f t="array" ref="P81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1">
        <f t="array" ref="U81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1">
        <f t="array" ref="Z81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1">
        <f t="array" ref="AE81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1">
        <f t="array" ref="AJ81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1">
        <f t="array" ref="AO81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1">
        <f t="array" ref="AT81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2" spans="11:46">
      <c r="K82">
        <f t="array" ref="K82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2">
        <f t="array" ref="P82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2">
        <f t="array" ref="U82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2">
        <f t="array" ref="Z82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2">
        <f t="array" ref="AE82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2">
        <f t="array" ref="AJ82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2">
        <f t="array" ref="AO82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2">
        <f t="array" ref="AT82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3" spans="11:46">
      <c r="K83">
        <f t="array" ref="K83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3">
        <f t="array" ref="P83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3">
        <f t="array" ref="U83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3">
        <f t="array" ref="Z83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3">
        <f t="array" ref="AE83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3">
        <f t="array" ref="AJ83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3">
        <f t="array" ref="AO83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3">
        <f t="array" ref="AT83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4" spans="11:46">
      <c r="K84">
        <f t="array" ref="K84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4">
        <f t="array" ref="P84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4">
        <f t="array" ref="U84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4">
        <f t="array" ref="Z84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4">
        <f t="array" ref="AE84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4">
        <f t="array" ref="AJ84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4">
        <f t="array" ref="AO84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4">
        <f t="array" ref="AT84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5" spans="11:46">
      <c r="K85">
        <f t="array" ref="K85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5">
        <f t="array" ref="P85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5">
        <f t="array" ref="U85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5">
        <f t="array" ref="Z85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5">
        <f t="array" ref="AE85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5">
        <f t="array" ref="AJ85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5">
        <f t="array" ref="AO85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5">
        <f t="array" ref="AT85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6" spans="11:46">
      <c r="K86">
        <f t="array" ref="K86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6">
        <f t="array" ref="P86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6">
        <f t="array" ref="U86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6">
        <f t="array" ref="Z86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6">
        <f t="array" ref="AE86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6">
        <f t="array" ref="AJ86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6">
        <f t="array" ref="AO86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6">
        <f t="array" ref="AT86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7" spans="11:46">
      <c r="K87">
        <f t="array" ref="K87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7">
        <f t="array" ref="P87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7">
        <f t="array" ref="U87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7">
        <f t="array" ref="Z87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7">
        <f t="array" ref="AE87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7">
        <f t="array" ref="AJ87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7">
        <f t="array" ref="AO87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7">
        <f t="array" ref="AT87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8" spans="11:46">
      <c r="K88">
        <f t="array" ref="K88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8">
        <f t="array" ref="P88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8">
        <f t="array" ref="U88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8">
        <f t="array" ref="Z88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8">
        <f t="array" ref="AE88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8">
        <f t="array" ref="AJ88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8">
        <f t="array" ref="AO88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8">
        <f t="array" ref="AT88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89" spans="11:46">
      <c r="K89">
        <f t="array" ref="K89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89">
        <f t="array" ref="P89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89">
        <f t="array" ref="U89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89">
        <f t="array" ref="Z89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89">
        <f t="array" ref="AE89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89">
        <f t="array" ref="AJ89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89">
        <f t="array" ref="AO89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89">
        <f t="array" ref="AT89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0" spans="11:46">
      <c r="K90">
        <f t="array" ref="K90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0">
        <f t="array" ref="P90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0">
        <f t="array" ref="U90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0">
        <f t="array" ref="Z90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0">
        <f t="array" ref="AE90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0">
        <f t="array" ref="AJ90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0">
        <f t="array" ref="AO90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0">
        <f t="array" ref="AT90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1" spans="11:46">
      <c r="K91">
        <f t="array" ref="K91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1">
        <f t="array" ref="P91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1">
        <f t="array" ref="U91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1">
        <f t="array" ref="Z91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1">
        <f t="array" ref="AE91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1">
        <f t="array" ref="AJ91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1">
        <f t="array" ref="AO91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1">
        <f t="array" ref="AT91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2" spans="11:46">
      <c r="K92">
        <f t="array" ref="K92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2">
        <f t="array" ref="P92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2">
        <f t="array" ref="U92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2">
        <f t="array" ref="Z92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2">
        <f t="array" ref="AE92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2">
        <f t="array" ref="AJ92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2">
        <f t="array" ref="AO92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2">
        <f t="array" ref="AT92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3" spans="11:46">
      <c r="K93">
        <f t="array" ref="K93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3">
        <f t="array" ref="P93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3">
        <f t="array" ref="U93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3">
        <f t="array" ref="Z93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3">
        <f t="array" ref="AE93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3">
        <f t="array" ref="AJ93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3">
        <f t="array" ref="AO93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3">
        <f t="array" ref="AT93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4" spans="11:46">
      <c r="K94">
        <f t="array" ref="K94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4">
        <f t="array" ref="P94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4">
        <f t="array" ref="U94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4">
        <f t="array" ref="Z94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4">
        <f t="array" ref="AE94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4">
        <f t="array" ref="AJ94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4">
        <f t="array" ref="AO94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4">
        <f t="array" ref="AT94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5" spans="11:46">
      <c r="K95">
        <f t="array" ref="K95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5">
        <f t="array" ref="P95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5">
        <f t="array" ref="U95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5">
        <f t="array" ref="Z95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5">
        <f t="array" ref="AE95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5">
        <f t="array" ref="AJ95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5">
        <f t="array" ref="AO95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5">
        <f t="array" ref="AT95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6" spans="11:46">
      <c r="K96">
        <f t="array" ref="K96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6">
        <f t="array" ref="P96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6">
        <f t="array" ref="U96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6">
        <f t="array" ref="Z96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6">
        <f t="array" ref="AE96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6">
        <f t="array" ref="AJ96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6">
        <f t="array" ref="AO96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6">
        <f t="array" ref="AT96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7" spans="11:46">
      <c r="K97">
        <f t="array" ref="K97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7">
        <f t="array" ref="P97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7">
        <f t="array" ref="U97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7">
        <f t="array" ref="Z97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7">
        <f t="array" ref="AE97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7">
        <f t="array" ref="AJ97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7">
        <f t="array" ref="AO97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7">
        <f t="array" ref="AT97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8" spans="11:46">
      <c r="K98">
        <f t="array" ref="K98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8">
        <f t="array" ref="P98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8">
        <f t="array" ref="U98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8">
        <f t="array" ref="Z98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8">
        <f t="array" ref="AE98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8">
        <f t="array" ref="AJ98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8">
        <f t="array" ref="AO98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8">
        <f t="array" ref="AT98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99" spans="11:46">
      <c r="K99">
        <f t="array" ref="K99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99">
        <f t="array" ref="P99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99">
        <f t="array" ref="U99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99">
        <f t="array" ref="Z99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99">
        <f t="array" ref="AE99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99">
        <f t="array" ref="AJ99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99">
        <f t="array" ref="AO99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99">
        <f t="array" ref="AT99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0" spans="11:46">
      <c r="K100">
        <f t="array" ref="K100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100">
        <f t="array" ref="P100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100">
        <f t="array" ref="U100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100">
        <f t="array" ref="Z100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100">
        <f t="array" ref="AE100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100">
        <f t="array" ref="AJ100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100">
        <f t="array" ref="AO100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100">
        <f t="array" ref="AT100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1" spans="11:46">
      <c r="K101">
        <f t="array" ref="K101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101">
        <f t="array" ref="P101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101">
        <f t="array" ref="U101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101">
        <f t="array" ref="Z101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101">
        <f t="array" ref="AE101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101">
        <f t="array" ref="AJ101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101">
        <f t="array" ref="AO101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101">
        <f t="array" ref="AT101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2" spans="11:46">
      <c r="K102">
        <f t="array" ref="K102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102">
        <f t="array" ref="P102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102">
        <f t="array" ref="U102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102">
        <f t="array" ref="Z102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102">
        <f t="array" ref="AE102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102">
        <f t="array" ref="AJ102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102">
        <f t="array" ref="AO102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102">
        <f t="array" ref="AT102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3" spans="11:46">
      <c r="K103">
        <f t="array" ref="K103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103">
        <f t="array" ref="P103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103">
        <f t="array" ref="U103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103">
        <f t="array" ref="Z103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103">
        <f t="array" ref="AE103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103">
        <f t="array" ref="AJ103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103">
        <f t="array" ref="AO103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103">
        <f t="array" ref="AT103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4" spans="11:46">
      <c r="K104">
        <f t="array" ref="K104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104">
        <f t="array" ref="P104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104">
        <f t="array" ref="U104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104">
        <f t="array" ref="Z104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104">
        <f t="array" ref="AE104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104">
        <f t="array" ref="AJ104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104">
        <f t="array" ref="AO104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104">
        <f t="array" ref="AT104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5" spans="11:46">
      <c r="K105">
        <f t="array" ref="K105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105">
        <f t="array" ref="P105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105">
        <f t="array" ref="U105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105">
        <f t="array" ref="Z105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105">
        <f t="array" ref="AE105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105">
        <f t="array" ref="AJ105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105">
        <f t="array" ref="AO105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105">
        <f t="array" ref="AT105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6" spans="11:46">
      <c r="K106">
        <f t="array" ref="K106">IFERROR(CONCATENATE(INDEX(N7:N55,SMALL(IF(ISNUMBER(K7:K55),IF(K7:K55&gt;0,IF(N7:N55&lt;&gt;"",ROW(K7:K55)-MIN(ROW(K7:K55))+1))),ROW()-ROW(A$58)+1)),",",TEXT(INDEX(K7:K55,SMALL(IF(ISNUMBER(K7:K55),IF(K7:K55&gt;0,IF(N7:N55&lt;&gt;"",ROW(K7:K55)-MIN(ROW(K7:K55))+1))),ROW()-ROW(A$58)+1)),"##0"),",",SUBSTITUTE(INDEX(IF(PURCHASE_DESCRIPTION&lt;&gt;"",PURCHASE_DESCRIPTION&amp;":","")&amp;A7:A55,SMALL(IF(ISNUMBER(K7:K55),IF(K7:K55&gt;0,IF(N7:N55&lt;&gt;"",ROW(K7:K55)-MIN(ROW(K7:K55))+1))),ROW()-ROW(A$58)+1)),",",";")),"")</f>
        <v>0</v>
      </c>
      <c r="P106">
        <f t="array" ref="P106">IFERROR(CONCATENATE(TEXT(INDEX(P7:P55,SMALL(IF(ISNUMBER(P7:P55),IF(P7:P55&gt;0,IF(S7:S55&lt;&gt;"",ROW(P7:P55)-MIN(ROW(P7:P55))+1))),ROW()-ROW(A$58)+1)),"##0"),",",INDEX(S7:S55,SMALL(IF(ISNUMBER(P7:P55),IF(P7:P55&gt;0,IF(S7:S55&lt;&gt;"",ROW(P7:P55)-MIN(ROW(P7:P55))+1))),ROW()-ROW(A$58)+1)),",",SUBSTITUTE(INDEX(IF(PURCHASE_DESCRIPTION&lt;&gt;"",PURCHASE_DESCRIPTION&amp;":","")&amp;A7:A55,SMALL(IF(ISNUMBER(P7:P55),IF(P7:P55&gt;0,IF(S7:S55&lt;&gt;"",ROW(P7:P55)-MIN(ROW(P7:P55))+1))),ROW()-ROW(A$58)+1)),",",";")),"")</f>
        <v>0</v>
      </c>
      <c r="U106">
        <f t="array" ref="U106">IFERROR(CONCATENATE(INDEX(X7:X55,SMALL(IF(ISNUMBER(U7:U55),IF(U7:U55&gt;0,IF(X7:X55&lt;&gt;"",ROW(U7:U55)-MIN(ROW(U7:U55))+1))),ROW()-ROW(A$58)+1))," ",TEXT(INDEX(U7:U55,SMALL(IF(ISNUMBER(U7:U55),IF(U7:U55&gt;0,IF(X7:X55&lt;&gt;"",ROW(U7:U55)-MIN(ROW(U7:U55))+1))),ROW()-ROW(A$58)+1)),"##0")," ",SUBSTITUTE(INDEX(IF(PURCHASE_DESCRIPTION&lt;&gt;"",PURCHASE_DESCRIPTION&amp;":","")&amp;A7:A55,SMALL(IF(ISNUMBER(U7:U55),IF(U7:U55&gt;0,IF(X7:X55&lt;&gt;"",ROW(U7:U55)-MIN(ROW(U7:U55))+1))),ROW()-ROW(A$58)+1))," ",";")),"")</f>
        <v>0</v>
      </c>
      <c r="Z106">
        <f t="array" ref="Z106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  <c r="AE106">
        <f t="array" ref="AE106">IFERROR(CONCATENATE(INDEX(AH7:AH55,SMALL(IF(ISNUMBER(AE7:AE55),IF(AE7:AE55&gt;0,IF(AH7:AH55&lt;&gt;"",ROW(AE7:AE55)-MIN(ROW(AE7:AE55))+1))),ROW()-ROW(A$58)+1)),"|",TEXT(INDEX(AE7:AE55,SMALL(IF(ISNUMBER(AE7:AE55),IF(AE7:AE55&gt;0,IF(AH7:AH55&lt;&gt;"",ROW(AE7:AE55)-MIN(ROW(AE7:AE55))+1))),ROW()-ROW(A$58)+1)),"##0"),"|",SUBSTITUTE(SUBSTITUTE(INDEX(IF(PURCHASE_DESCRIPTION&lt;&gt;"",PURCHASE_DESCRIPTION&amp;":","")&amp;A7:A55,SMALL(IF(ISNUMBER(AE7:AE55),IF(AE7:AE55&gt;0,IF(AH7:AH55&lt;&gt;"",ROW(AE7:AE55)-MIN(ROW(AE7:AE55))+1))),ROW()-ROW(A$58)+1)),"|",";")," ","_")),"")</f>
        <v>0</v>
      </c>
      <c r="AJ106">
        <f t="array" ref="AJ106">IFERROR(CONCATENATE(INDEX(AM7:AM55,SMALL(IF(ISNUMBER(AJ7:AJ55),IF(AJ7:AJ55&gt;0,IF(AM7:AM55&lt;&gt;"",ROW(AJ7:AJ55)-MIN(ROW(AJ7:AJ55))+1))),ROW()-ROW(A$58)+1)),",",TEXT(INDEX(AJ7:AJ55,SMALL(IF(ISNUMBER(AJ7:AJ55),IF(AJ7:AJ55&gt;0,IF(AM7:AM55&lt;&gt;"",ROW(AJ7:AJ55)-MIN(ROW(AJ7:AJ55))+1))),ROW()-ROW(A$58)+1)),"##0"),",",SUBSTITUTE(INDEX(IF(PURCHASE_DESCRIPTION&lt;&gt;"",PURCHASE_DESCRIPTION&amp;":","")&amp;A7:A55,SMALL(IF(ISNUMBER(AJ7:AJ55),IF(AJ7:AJ55&gt;0,IF(AM7:AM55&lt;&gt;"",ROW(AJ7:AJ55)-MIN(ROW(AJ7:AJ55))+1))),ROW()-ROW(A$58)+1)),",",";")),"")</f>
        <v>0</v>
      </c>
      <c r="AO106">
        <f t="array" ref="AO106">IFERROR(CONCATENATE(INDEX(AR7:AR55,SMALL(IF(ISNUMBER(AO7:AO55),IF(AO7:AO55&gt;0,IF(AR7:AR55&lt;&gt;"",ROW(AO7:AO55)-MIN(ROW(AO7:AO55))+1))),ROW()-ROW(A$58)+1))," ",TEXT(INDEX(AO7:AO55,SMALL(IF(ISNUMBER(AO7:AO55),IF(AO7:AO55&gt;0,IF(AR7:AR55&lt;&gt;"",ROW(AO7:AO55)-MIN(ROW(AO7:AO55))+1))),ROW()-ROW(A$58)+1)),"##0")," ",SUBSTITUTE(INDEX(IF(PURCHASE_DESCRIPTION&lt;&gt;"",PURCHASE_DESCRIPTION&amp;":","")&amp;A7:A55,SMALL(IF(ISNUMBER(AO7:AO55),IF(AO7:AO55&gt;0,IF(AR7:AR55&lt;&gt;"",ROW(AO7:AO55)-MIN(ROW(AO7:AO55))+1))),ROW()-ROW(A$58)+1))," ",";")),"")</f>
        <v>0</v>
      </c>
      <c r="AT106">
        <f t="array" ref="AT106">IFERROR(CONCATENATE(INDEX(AW7:AW55,SMALL(IF(ISNUMBER(AT7:AT55),IF(AT7:AT55&gt;0,IF(AW7:AW55&lt;&gt;"",ROW(AT7:AT55)-MIN(ROW(AT7:AT55))+1))),ROW()-ROW(A$58)+1))," ",TEXT(INDEX(AT7:AT55,SMALL(IF(ISNUMBER(AT7:AT55),IF(AT7:AT55&gt;0,IF(AW7:AW55&lt;&gt;"",ROW(AT7:AT55)-MIN(ROW(AT7:AT55))+1))),ROW()-ROW(A$58)+1)),"##0")," ",SUBSTITUTE(INDEX(IF(PURCHASE_DESCRIPTION&lt;&gt;"",PURCHASE_DESCRIPTION&amp;":","")&amp;A7:A55,SMALL(IF(ISNUMBER(AT7:AT55),IF(AT7:AT55&gt;0,IF(AW7:AW55&lt;&gt;"",ROW(AT7:AT55)-MIN(ROW(AT7:AT55))+1))),ROW()-ROW(A$58)+1))," ",";")),"")</f>
        <v>0</v>
      </c>
    </row>
    <row r="107" spans="11:46">
      <c r="Z107">
        <f t="array" ref="Z107">IFERROR(CONCATENATE(TEXT(INDEX(Z7:Z55,SMALL(IF(ISNUMBER(Z7:Z55),IF(Z7:Z55&gt;0,IF(AC7:AC55&lt;&gt;"",ROW(Z7:Z55)-MIN(ROW(Z7:Z55))+1))),ROW()-ROW(A$59)+1)),"##0"),",",SUBSTITUTE(INDEX(IF(PURCHASE_DESCRIPTION&lt;&gt;"",PURCHASE_DESCRIPTION&amp;":","")&amp;A7:A55,SMALL(IF(ISNUMBER(Z7:Z55),IF(Z7:Z55&gt;0,IF(AC7:AC55&lt;&gt;"",ROW(Z7:Z55)-MIN(ROW(Z7:Z55))+1))),ROW()-ROW(A$59)+1)),",",";"),",",SUBSTITUTE(INDEX(IF(PURCHASE_DESCRIPTION&lt;&gt;"",PURCHASE_DESCRIPTION&amp;":","")&amp;D7:D55,SMALL(IF(ISNUMBER(Z7:Z55),IF(Z7:Z55&gt;0,IF(AC7:AC55&lt;&gt;"",ROW(Z7:Z55)-MIN(ROW(Z7:Z55))+1))),ROW()-ROW(A$59)+1)),",",";"),",",INDEX(AC7:AC55,SMALL(IF(ISNUMBER(Z7:Z55),IF(Z7:Z55&gt;0,IF(AC7:AC55&lt;&gt;"",ROW(Z7:Z55)-MIN(ROW(Z7:Z55))+1))),ROW()-ROW(A$59)+1))),"")</f>
        <v>0</v>
      </c>
    </row>
  </sheetData>
  <mergeCells count="9">
    <mergeCell ref="A5:I5"/>
    <mergeCell ref="J5:N5"/>
    <mergeCell ref="O5:S5"/>
    <mergeCell ref="T5:X5"/>
    <mergeCell ref="Y5:AC5"/>
    <mergeCell ref="AD5:AH5"/>
    <mergeCell ref="AI5:AM5"/>
    <mergeCell ref="AN5:AR5"/>
    <mergeCell ref="AS5:AW5"/>
  </mergeCells>
  <conditionalFormatting sqref="AA15">
    <cfRule type="cellIs" dxfId="4" priority="341" operator="lessThanOrEqual">
      <formula>H15</formula>
    </cfRule>
  </conditionalFormatting>
  <conditionalFormatting sqref="AA20">
    <cfRule type="cellIs" dxfId="4" priority="347" operator="lessThanOrEqual">
      <formula>H20</formula>
    </cfRule>
  </conditionalFormatting>
  <conditionalFormatting sqref="AA21">
    <cfRule type="cellIs" dxfId="4" priority="353" operator="lessThanOrEqual">
      <formula>H21</formula>
    </cfRule>
  </conditionalFormatting>
  <conditionalFormatting sqref="AA22">
    <cfRule type="cellIs" dxfId="4" priority="359" operator="lessThanOrEqual">
      <formula>H22</formula>
    </cfRule>
  </conditionalFormatting>
  <conditionalFormatting sqref="AA24">
    <cfRule type="cellIs" dxfId="4" priority="365" operator="lessThanOrEqual">
      <formula>H24</formula>
    </cfRule>
  </conditionalFormatting>
  <conditionalFormatting sqref="AA25">
    <cfRule type="cellIs" dxfId="4" priority="371" operator="lessThanOrEqual">
      <formula>H25</formula>
    </cfRule>
  </conditionalFormatting>
  <conditionalFormatting sqref="AA26">
    <cfRule type="cellIs" dxfId="4" priority="377" operator="lessThanOrEqual">
      <formula>H26</formula>
    </cfRule>
  </conditionalFormatting>
  <conditionalFormatting sqref="AA35">
    <cfRule type="cellIs" dxfId="4" priority="383" operator="lessThanOrEqual">
      <formula>H35</formula>
    </cfRule>
  </conditionalFormatting>
  <conditionalFormatting sqref="AA36">
    <cfRule type="cellIs" dxfId="4" priority="389" operator="lessThanOrEqual">
      <formula>H36</formula>
    </cfRule>
  </conditionalFormatting>
  <conditionalFormatting sqref="AB15">
    <cfRule type="cellIs" dxfId="4" priority="340" operator="lessThanOrEqual">
      <formula>I15</formula>
    </cfRule>
  </conditionalFormatting>
  <conditionalFormatting sqref="AB20">
    <cfRule type="cellIs" dxfId="4" priority="346" operator="lessThanOrEqual">
      <formula>I20</formula>
    </cfRule>
  </conditionalFormatting>
  <conditionalFormatting sqref="AB21">
    <cfRule type="cellIs" dxfId="4" priority="352" operator="lessThanOrEqual">
      <formula>I21</formula>
    </cfRule>
  </conditionalFormatting>
  <conditionalFormatting sqref="AB22">
    <cfRule type="cellIs" dxfId="4" priority="358" operator="lessThanOrEqual">
      <formula>I22</formula>
    </cfRule>
  </conditionalFormatting>
  <conditionalFormatting sqref="AB24">
    <cfRule type="cellIs" dxfId="4" priority="364" operator="lessThanOrEqual">
      <formula>I24</formula>
    </cfRule>
  </conditionalFormatting>
  <conditionalFormatting sqref="AB25">
    <cfRule type="cellIs" dxfId="4" priority="370" operator="lessThanOrEqual">
      <formula>I25</formula>
    </cfRule>
  </conditionalFormatting>
  <conditionalFormatting sqref="AB26">
    <cfRule type="cellIs" dxfId="4" priority="376" operator="lessThanOrEqual">
      <formula>I26</formula>
    </cfRule>
  </conditionalFormatting>
  <conditionalFormatting sqref="AB35">
    <cfRule type="cellIs" dxfId="4" priority="382" operator="lessThanOrEqual">
      <formula>I35</formula>
    </cfRule>
  </conditionalFormatting>
  <conditionalFormatting sqref="AB36">
    <cfRule type="cellIs" dxfId="4" priority="388" operator="lessThanOrEqual">
      <formula>I36</formula>
    </cfRule>
  </conditionalFormatting>
  <conditionalFormatting sqref="AD14">
    <cfRule type="cellIs" dxfId="1" priority="390" operator="equal">
      <formula>0</formula>
    </cfRule>
    <cfRule type="cellIs" dxfId="2" priority="391" operator="lessThan">
      <formula>G14</formula>
    </cfRule>
  </conditionalFormatting>
  <conditionalFormatting sqref="AD15">
    <cfRule type="cellIs" dxfId="1" priority="395" operator="equal">
      <formula>0</formula>
    </cfRule>
    <cfRule type="cellIs" dxfId="2" priority="396" operator="lessThan">
      <formula>G15</formula>
    </cfRule>
  </conditionalFormatting>
  <conditionalFormatting sqref="AD20">
    <cfRule type="cellIs" dxfId="1" priority="400" operator="equal">
      <formula>0</formula>
    </cfRule>
    <cfRule type="cellIs" dxfId="2" priority="401" operator="lessThan">
      <formula>G20</formula>
    </cfRule>
  </conditionalFormatting>
  <conditionalFormatting sqref="AD21">
    <cfRule type="cellIs" dxfId="1" priority="405" operator="equal">
      <formula>0</formula>
    </cfRule>
    <cfRule type="cellIs" dxfId="2" priority="406" operator="lessThan">
      <formula>G21</formula>
    </cfRule>
  </conditionalFormatting>
  <conditionalFormatting sqref="AD22">
    <cfRule type="cellIs" dxfId="1" priority="410" operator="equal">
      <formula>0</formula>
    </cfRule>
    <cfRule type="cellIs" dxfId="2" priority="411" operator="lessThan">
      <formula>G22</formula>
    </cfRule>
  </conditionalFormatting>
  <conditionalFormatting sqref="AD24">
    <cfRule type="cellIs" dxfId="1" priority="415" operator="equal">
      <formula>0</formula>
    </cfRule>
    <cfRule type="cellIs" dxfId="2" priority="416" operator="lessThan">
      <formula>G24</formula>
    </cfRule>
  </conditionalFormatting>
  <conditionalFormatting sqref="AD25">
    <cfRule type="cellIs" dxfId="1" priority="420" operator="equal">
      <formula>0</formula>
    </cfRule>
    <cfRule type="cellIs" dxfId="2" priority="421" operator="lessThan">
      <formula>G25</formula>
    </cfRule>
  </conditionalFormatting>
  <conditionalFormatting sqref="AD26">
    <cfRule type="cellIs" dxfId="1" priority="425" operator="equal">
      <formula>0</formula>
    </cfRule>
    <cfRule type="cellIs" dxfId="2" priority="426" operator="lessThan">
      <formula>G26</formula>
    </cfRule>
  </conditionalFormatting>
  <conditionalFormatting sqref="AD35">
    <cfRule type="cellIs" dxfId="1" priority="430" operator="equal">
      <formula>0</formula>
    </cfRule>
    <cfRule type="cellIs" dxfId="2" priority="431" operator="lessThan">
      <formula>G35</formula>
    </cfRule>
  </conditionalFormatting>
  <conditionalFormatting sqref="AD36">
    <cfRule type="cellIs" dxfId="1" priority="435" operator="equal">
      <formula>0</formula>
    </cfRule>
    <cfRule type="cellIs" dxfId="2" priority="436" operator="lessThan">
      <formula>G36</formula>
    </cfRule>
  </conditionalFormatting>
  <conditionalFormatting sqref="AD49">
    <cfRule type="cellIs" dxfId="1" priority="440" operator="equal">
      <formula>0</formula>
    </cfRule>
    <cfRule type="cellIs" dxfId="2" priority="441" operator="lessThan">
      <formula>G49</formula>
    </cfRule>
  </conditionalFormatting>
  <conditionalFormatting sqref="AD52">
    <cfRule type="cellIs" dxfId="1" priority="445" operator="equal">
      <formula>0</formula>
    </cfRule>
    <cfRule type="cellIs" dxfId="2" priority="446" operator="lessThan">
      <formula>G52</formula>
    </cfRule>
  </conditionalFormatting>
  <conditionalFormatting sqref="AD53">
    <cfRule type="cellIs" dxfId="1" priority="450" operator="equal">
      <formula>0</formula>
    </cfRule>
    <cfRule type="cellIs" dxfId="2" priority="451" operator="lessThan">
      <formula>G53</formula>
    </cfRule>
  </conditionalFormatting>
  <conditionalFormatting sqref="AD54">
    <cfRule type="cellIs" dxfId="1" priority="455" operator="equal">
      <formula>0</formula>
    </cfRule>
    <cfRule type="cellIs" dxfId="2" priority="456" operator="lessThan">
      <formula>G54</formula>
    </cfRule>
  </conditionalFormatting>
  <conditionalFormatting sqref="AD55">
    <cfRule type="cellIs" dxfId="1" priority="460" operator="equal">
      <formula>0</formula>
    </cfRule>
    <cfRule type="cellIs" dxfId="2" priority="461" operator="lessThan">
      <formula>G55</formula>
    </cfRule>
  </conditionalFormatting>
  <conditionalFormatting sqref="AE14">
    <cfRule type="cellIs" dxfId="1" priority="392" operator="greaterThan">
      <formula>AD14</formula>
    </cfRule>
  </conditionalFormatting>
  <conditionalFormatting sqref="AE15">
    <cfRule type="cellIs" dxfId="1" priority="397" operator="greaterThan">
      <formula>AD15</formula>
    </cfRule>
  </conditionalFormatting>
  <conditionalFormatting sqref="AE20">
    <cfRule type="cellIs" dxfId="1" priority="402" operator="greaterThan">
      <formula>AD20</formula>
    </cfRule>
  </conditionalFormatting>
  <conditionalFormatting sqref="AE21">
    <cfRule type="cellIs" dxfId="1" priority="407" operator="greaterThan">
      <formula>AD21</formula>
    </cfRule>
  </conditionalFormatting>
  <conditionalFormatting sqref="AE22">
    <cfRule type="cellIs" dxfId="1" priority="412" operator="greaterThan">
      <formula>AD22</formula>
    </cfRule>
  </conditionalFormatting>
  <conditionalFormatting sqref="AE24">
    <cfRule type="cellIs" dxfId="1" priority="417" operator="greaterThan">
      <formula>AD24</formula>
    </cfRule>
  </conditionalFormatting>
  <conditionalFormatting sqref="AE25">
    <cfRule type="cellIs" dxfId="1" priority="422" operator="greaterThan">
      <formula>AD25</formula>
    </cfRule>
  </conditionalFormatting>
  <conditionalFormatting sqref="AE26">
    <cfRule type="cellIs" dxfId="1" priority="427" operator="greaterThan">
      <formula>AD26</formula>
    </cfRule>
  </conditionalFormatting>
  <conditionalFormatting sqref="AE35">
    <cfRule type="cellIs" dxfId="1" priority="432" operator="greaterThan">
      <formula>AD35</formula>
    </cfRule>
  </conditionalFormatting>
  <conditionalFormatting sqref="AE36">
    <cfRule type="cellIs" dxfId="1" priority="437" operator="greaterThan">
      <formula>AD36</formula>
    </cfRule>
  </conditionalFormatting>
  <conditionalFormatting sqref="AE49">
    <cfRule type="cellIs" dxfId="1" priority="442" operator="greaterThan">
      <formula>AD49</formula>
    </cfRule>
  </conditionalFormatting>
  <conditionalFormatting sqref="AE52">
    <cfRule type="cellIs" dxfId="1" priority="447" operator="greaterThan">
      <formula>AD52</formula>
    </cfRule>
  </conditionalFormatting>
  <conditionalFormatting sqref="AE53">
    <cfRule type="cellIs" dxfId="1" priority="452" operator="greaterThan">
      <formula>AD53</formula>
    </cfRule>
  </conditionalFormatting>
  <conditionalFormatting sqref="AE54">
    <cfRule type="cellIs" dxfId="1" priority="457" operator="greaterThan">
      <formula>AD54</formula>
    </cfRule>
  </conditionalFormatting>
  <conditionalFormatting sqref="AE55">
    <cfRule type="cellIs" dxfId="1" priority="462" operator="greaterThan">
      <formula>AD55</formula>
    </cfRule>
  </conditionalFormatting>
  <conditionalFormatting sqref="AF14">
    <cfRule type="cellIs" dxfId="4" priority="394" operator="lessThanOrEqual">
      <formula>H14</formula>
    </cfRule>
  </conditionalFormatting>
  <conditionalFormatting sqref="AF15">
    <cfRule type="cellIs" dxfId="4" priority="399" operator="lessThanOrEqual">
      <formula>H15</formula>
    </cfRule>
  </conditionalFormatting>
  <conditionalFormatting sqref="AF20">
    <cfRule type="cellIs" dxfId="4" priority="404" operator="lessThanOrEqual">
      <formula>H20</formula>
    </cfRule>
  </conditionalFormatting>
  <conditionalFormatting sqref="AF21">
    <cfRule type="cellIs" dxfId="4" priority="409" operator="lessThanOrEqual">
      <formula>H21</formula>
    </cfRule>
  </conditionalFormatting>
  <conditionalFormatting sqref="AF22">
    <cfRule type="cellIs" dxfId="4" priority="414" operator="lessThanOrEqual">
      <formula>H22</formula>
    </cfRule>
  </conditionalFormatting>
  <conditionalFormatting sqref="AF24">
    <cfRule type="cellIs" dxfId="4" priority="419" operator="lessThanOrEqual">
      <formula>H24</formula>
    </cfRule>
  </conditionalFormatting>
  <conditionalFormatting sqref="AF25">
    <cfRule type="cellIs" dxfId="4" priority="424" operator="lessThanOrEqual">
      <formula>H25</formula>
    </cfRule>
  </conditionalFormatting>
  <conditionalFormatting sqref="AF26">
    <cfRule type="cellIs" dxfId="4" priority="429" operator="lessThanOrEqual">
      <formula>H26</formula>
    </cfRule>
  </conditionalFormatting>
  <conditionalFormatting sqref="AF35">
    <cfRule type="cellIs" dxfId="4" priority="434" operator="lessThanOrEqual">
      <formula>H35</formula>
    </cfRule>
  </conditionalFormatting>
  <conditionalFormatting sqref="AF36">
    <cfRule type="cellIs" dxfId="4" priority="439" operator="lessThanOrEqual">
      <formula>H36</formula>
    </cfRule>
  </conditionalFormatting>
  <conditionalFormatting sqref="AF49">
    <cfRule type="cellIs" dxfId="4" priority="444" operator="lessThanOrEqual">
      <formula>H49</formula>
    </cfRule>
  </conditionalFormatting>
  <conditionalFormatting sqref="AF52">
    <cfRule type="cellIs" dxfId="4" priority="449" operator="lessThanOrEqual">
      <formula>H52</formula>
    </cfRule>
  </conditionalFormatting>
  <conditionalFormatting sqref="AF53">
    <cfRule type="cellIs" dxfId="4" priority="454" operator="lessThanOrEqual">
      <formula>H53</formula>
    </cfRule>
  </conditionalFormatting>
  <conditionalFormatting sqref="AF54">
    <cfRule type="cellIs" dxfId="4" priority="459" operator="lessThanOrEqual">
      <formula>H54</formula>
    </cfRule>
  </conditionalFormatting>
  <conditionalFormatting sqref="AF55">
    <cfRule type="cellIs" dxfId="4" priority="464" operator="lessThanOrEqual">
      <formula>H55</formula>
    </cfRule>
  </conditionalFormatting>
  <conditionalFormatting sqref="AG14">
    <cfRule type="cellIs" dxfId="4" priority="393" operator="lessThanOrEqual">
      <formula>I14</formula>
    </cfRule>
  </conditionalFormatting>
  <conditionalFormatting sqref="AG15">
    <cfRule type="cellIs" dxfId="4" priority="398" operator="lessThanOrEqual">
      <formula>I15</formula>
    </cfRule>
  </conditionalFormatting>
  <conditionalFormatting sqref="AG20">
    <cfRule type="cellIs" dxfId="4" priority="403" operator="lessThanOrEqual">
      <formula>I20</formula>
    </cfRule>
  </conditionalFormatting>
  <conditionalFormatting sqref="AG21">
    <cfRule type="cellIs" dxfId="4" priority="408" operator="lessThanOrEqual">
      <formula>I21</formula>
    </cfRule>
  </conditionalFormatting>
  <conditionalFormatting sqref="AG22">
    <cfRule type="cellIs" dxfId="4" priority="413" operator="lessThanOrEqual">
      <formula>I22</formula>
    </cfRule>
  </conditionalFormatting>
  <conditionalFormatting sqref="AG24">
    <cfRule type="cellIs" dxfId="4" priority="418" operator="lessThanOrEqual">
      <formula>I24</formula>
    </cfRule>
  </conditionalFormatting>
  <conditionalFormatting sqref="AG25">
    <cfRule type="cellIs" dxfId="4" priority="423" operator="lessThanOrEqual">
      <formula>I25</formula>
    </cfRule>
  </conditionalFormatting>
  <conditionalFormatting sqref="AG26">
    <cfRule type="cellIs" dxfId="4" priority="428" operator="lessThanOrEqual">
      <formula>I26</formula>
    </cfRule>
  </conditionalFormatting>
  <conditionalFormatting sqref="AG35">
    <cfRule type="cellIs" dxfId="4" priority="433" operator="lessThanOrEqual">
      <formula>I35</formula>
    </cfRule>
  </conditionalFormatting>
  <conditionalFormatting sqref="AG36">
    <cfRule type="cellIs" dxfId="4" priority="438" operator="lessThanOrEqual">
      <formula>I36</formula>
    </cfRule>
  </conditionalFormatting>
  <conditionalFormatting sqref="AG49">
    <cfRule type="cellIs" dxfId="4" priority="443" operator="lessThanOrEqual">
      <formula>I49</formula>
    </cfRule>
  </conditionalFormatting>
  <conditionalFormatting sqref="AG52">
    <cfRule type="cellIs" dxfId="4" priority="448" operator="lessThanOrEqual">
      <formula>I52</formula>
    </cfRule>
  </conditionalFormatting>
  <conditionalFormatting sqref="AG53">
    <cfRule type="cellIs" dxfId="4" priority="453" operator="lessThanOrEqual">
      <formula>I53</formula>
    </cfRule>
  </conditionalFormatting>
  <conditionalFormatting sqref="AG54">
    <cfRule type="cellIs" dxfId="4" priority="458" operator="lessThanOrEqual">
      <formula>I54</formula>
    </cfRule>
  </conditionalFormatting>
  <conditionalFormatting sqref="AG55">
    <cfRule type="cellIs" dxfId="4" priority="463" operator="lessThanOrEqual">
      <formula>I55</formula>
    </cfRule>
  </conditionalFormatting>
  <conditionalFormatting sqref="AI14">
    <cfRule type="cellIs" dxfId="1" priority="465" operator="equal">
      <formula>0</formula>
    </cfRule>
    <cfRule type="cellIs" dxfId="2" priority="466" operator="lessThan">
      <formula>G14</formula>
    </cfRule>
  </conditionalFormatting>
  <conditionalFormatting sqref="AI15">
    <cfRule type="cellIs" dxfId="1" priority="470" operator="equal">
      <formula>0</formula>
    </cfRule>
    <cfRule type="cellIs" dxfId="2" priority="471" operator="lessThan">
      <formula>G15</formula>
    </cfRule>
  </conditionalFormatting>
  <conditionalFormatting sqref="AI20">
    <cfRule type="cellIs" dxfId="1" priority="475" operator="equal">
      <formula>0</formula>
    </cfRule>
    <cfRule type="cellIs" dxfId="2" priority="476" operator="lessThan">
      <formula>G20</formula>
    </cfRule>
  </conditionalFormatting>
  <conditionalFormatting sqref="AI21">
    <cfRule type="cellIs" dxfId="1" priority="480" operator="equal">
      <formula>0</formula>
    </cfRule>
    <cfRule type="cellIs" dxfId="2" priority="481" operator="lessThan">
      <formula>G21</formula>
    </cfRule>
  </conditionalFormatting>
  <conditionalFormatting sqref="AI22">
    <cfRule type="cellIs" dxfId="1" priority="485" operator="equal">
      <formula>0</formula>
    </cfRule>
    <cfRule type="cellIs" dxfId="2" priority="486" operator="lessThan">
      <formula>G22</formula>
    </cfRule>
  </conditionalFormatting>
  <conditionalFormatting sqref="AI24">
    <cfRule type="cellIs" dxfId="1" priority="490" operator="equal">
      <formula>0</formula>
    </cfRule>
    <cfRule type="cellIs" dxfId="2" priority="491" operator="lessThan">
      <formula>G24</formula>
    </cfRule>
  </conditionalFormatting>
  <conditionalFormatting sqref="AI25">
    <cfRule type="cellIs" dxfId="1" priority="495" operator="equal">
      <formula>0</formula>
    </cfRule>
    <cfRule type="cellIs" dxfId="2" priority="496" operator="lessThan">
      <formula>G25</formula>
    </cfRule>
  </conditionalFormatting>
  <conditionalFormatting sqref="AI26">
    <cfRule type="cellIs" dxfId="1" priority="500" operator="equal">
      <formula>0</formula>
    </cfRule>
    <cfRule type="cellIs" dxfId="2" priority="501" operator="lessThan">
      <formula>G26</formula>
    </cfRule>
  </conditionalFormatting>
  <conditionalFormatting sqref="AI35">
    <cfRule type="cellIs" dxfId="1" priority="505" operator="equal">
      <formula>0</formula>
    </cfRule>
    <cfRule type="cellIs" dxfId="2" priority="506" operator="lessThan">
      <formula>G35</formula>
    </cfRule>
  </conditionalFormatting>
  <conditionalFormatting sqref="AI36">
    <cfRule type="cellIs" dxfId="1" priority="510" operator="equal">
      <formula>0</formula>
    </cfRule>
    <cfRule type="cellIs" dxfId="2" priority="511" operator="lessThan">
      <formula>G36</formula>
    </cfRule>
  </conditionalFormatting>
  <conditionalFormatting sqref="AI53">
    <cfRule type="cellIs" dxfId="1" priority="515" operator="equal">
      <formula>0</formula>
    </cfRule>
    <cfRule type="cellIs" dxfId="2" priority="516" operator="lessThan">
      <formula>G53</formula>
    </cfRule>
  </conditionalFormatting>
  <conditionalFormatting sqref="AI55">
    <cfRule type="cellIs" dxfId="1" priority="520" operator="equal">
      <formula>0</formula>
    </cfRule>
    <cfRule type="cellIs" dxfId="2" priority="521" operator="lessThan">
      <formula>G55</formula>
    </cfRule>
  </conditionalFormatting>
  <conditionalFormatting sqref="AJ14">
    <cfRule type="cellIs" dxfId="1" priority="467" operator="greaterThan">
      <formula>AI14</formula>
    </cfRule>
  </conditionalFormatting>
  <conditionalFormatting sqref="AJ15">
    <cfRule type="cellIs" dxfId="1" priority="472" operator="greaterThan">
      <formula>AI15</formula>
    </cfRule>
  </conditionalFormatting>
  <conditionalFormatting sqref="AJ20">
    <cfRule type="cellIs" dxfId="1" priority="477" operator="greaterThan">
      <formula>AI20</formula>
    </cfRule>
  </conditionalFormatting>
  <conditionalFormatting sqref="AJ21">
    <cfRule type="cellIs" dxfId="1" priority="482" operator="greaterThan">
      <formula>AI21</formula>
    </cfRule>
  </conditionalFormatting>
  <conditionalFormatting sqref="AJ22">
    <cfRule type="cellIs" dxfId="1" priority="487" operator="greaterThan">
      <formula>AI22</formula>
    </cfRule>
  </conditionalFormatting>
  <conditionalFormatting sqref="AJ24">
    <cfRule type="cellIs" dxfId="1" priority="492" operator="greaterThan">
      <formula>AI24</formula>
    </cfRule>
  </conditionalFormatting>
  <conditionalFormatting sqref="AJ25">
    <cfRule type="cellIs" dxfId="1" priority="497" operator="greaterThan">
      <formula>AI25</formula>
    </cfRule>
  </conditionalFormatting>
  <conditionalFormatting sqref="AJ26">
    <cfRule type="cellIs" dxfId="1" priority="502" operator="greaterThan">
      <formula>AI26</formula>
    </cfRule>
  </conditionalFormatting>
  <conditionalFormatting sqref="AJ35">
    <cfRule type="cellIs" dxfId="1" priority="507" operator="greaterThan">
      <formula>AI35</formula>
    </cfRule>
  </conditionalFormatting>
  <conditionalFormatting sqref="AJ36">
    <cfRule type="cellIs" dxfId="1" priority="512" operator="greaterThan">
      <formula>AI36</formula>
    </cfRule>
  </conditionalFormatting>
  <conditionalFormatting sqref="AJ53">
    <cfRule type="cellIs" dxfId="1" priority="517" operator="greaterThan">
      <formula>AI53</formula>
    </cfRule>
  </conditionalFormatting>
  <conditionalFormatting sqref="AJ55">
    <cfRule type="cellIs" dxfId="1" priority="522" operator="greaterThan">
      <formula>AI55</formula>
    </cfRule>
  </conditionalFormatting>
  <conditionalFormatting sqref="AK14">
    <cfRule type="cellIs" dxfId="4" priority="469" operator="lessThanOrEqual">
      <formula>H14</formula>
    </cfRule>
  </conditionalFormatting>
  <conditionalFormatting sqref="AK15">
    <cfRule type="cellIs" dxfId="4" priority="474" operator="lessThanOrEqual">
      <formula>H15</formula>
    </cfRule>
  </conditionalFormatting>
  <conditionalFormatting sqref="AK20">
    <cfRule type="cellIs" dxfId="4" priority="479" operator="lessThanOrEqual">
      <formula>H20</formula>
    </cfRule>
  </conditionalFormatting>
  <conditionalFormatting sqref="AK21">
    <cfRule type="cellIs" dxfId="4" priority="484" operator="lessThanOrEqual">
      <formula>H21</formula>
    </cfRule>
  </conditionalFormatting>
  <conditionalFormatting sqref="AK22">
    <cfRule type="cellIs" dxfId="4" priority="489" operator="lessThanOrEqual">
      <formula>H22</formula>
    </cfRule>
  </conditionalFormatting>
  <conditionalFormatting sqref="AK24">
    <cfRule type="cellIs" dxfId="4" priority="494" operator="lessThanOrEqual">
      <formula>H24</formula>
    </cfRule>
  </conditionalFormatting>
  <conditionalFormatting sqref="AK25">
    <cfRule type="cellIs" dxfId="4" priority="499" operator="lessThanOrEqual">
      <formula>H25</formula>
    </cfRule>
  </conditionalFormatting>
  <conditionalFormatting sqref="AK26">
    <cfRule type="cellIs" dxfId="4" priority="504" operator="lessThanOrEqual">
      <formula>H26</formula>
    </cfRule>
  </conditionalFormatting>
  <conditionalFormatting sqref="AK35">
    <cfRule type="cellIs" dxfId="4" priority="509" operator="lessThanOrEqual">
      <formula>H35</formula>
    </cfRule>
  </conditionalFormatting>
  <conditionalFormatting sqref="AK36">
    <cfRule type="cellIs" dxfId="4" priority="514" operator="lessThanOrEqual">
      <formula>H36</formula>
    </cfRule>
  </conditionalFormatting>
  <conditionalFormatting sqref="AK53">
    <cfRule type="cellIs" dxfId="4" priority="519" operator="lessThanOrEqual">
      <formula>H53</formula>
    </cfRule>
  </conditionalFormatting>
  <conditionalFormatting sqref="AK55">
    <cfRule type="cellIs" dxfId="4" priority="524" operator="lessThanOrEqual">
      <formula>H55</formula>
    </cfRule>
  </conditionalFormatting>
  <conditionalFormatting sqref="AL14">
    <cfRule type="cellIs" dxfId="4" priority="468" operator="lessThanOrEqual">
      <formula>I14</formula>
    </cfRule>
  </conditionalFormatting>
  <conditionalFormatting sqref="AL15">
    <cfRule type="cellIs" dxfId="4" priority="473" operator="lessThanOrEqual">
      <formula>I15</formula>
    </cfRule>
  </conditionalFormatting>
  <conditionalFormatting sqref="AL20">
    <cfRule type="cellIs" dxfId="4" priority="478" operator="lessThanOrEqual">
      <formula>I20</formula>
    </cfRule>
  </conditionalFormatting>
  <conditionalFormatting sqref="AL21">
    <cfRule type="cellIs" dxfId="4" priority="483" operator="lessThanOrEqual">
      <formula>I21</formula>
    </cfRule>
  </conditionalFormatting>
  <conditionalFormatting sqref="AL22">
    <cfRule type="cellIs" dxfId="4" priority="488" operator="lessThanOrEqual">
      <formula>I22</formula>
    </cfRule>
  </conditionalFormatting>
  <conditionalFormatting sqref="AL24">
    <cfRule type="cellIs" dxfId="4" priority="493" operator="lessThanOrEqual">
      <formula>I24</formula>
    </cfRule>
  </conditionalFormatting>
  <conditionalFormatting sqref="AL25">
    <cfRule type="cellIs" dxfId="4" priority="498" operator="lessThanOrEqual">
      <formula>I25</formula>
    </cfRule>
  </conditionalFormatting>
  <conditionalFormatting sqref="AL26">
    <cfRule type="cellIs" dxfId="4" priority="503" operator="lessThanOrEqual">
      <formula>I26</formula>
    </cfRule>
  </conditionalFormatting>
  <conditionalFormatting sqref="AL35">
    <cfRule type="cellIs" dxfId="4" priority="508" operator="lessThanOrEqual">
      <formula>I35</formula>
    </cfRule>
  </conditionalFormatting>
  <conditionalFormatting sqref="AL36">
    <cfRule type="cellIs" dxfId="4" priority="513" operator="lessThanOrEqual">
      <formula>I36</formula>
    </cfRule>
  </conditionalFormatting>
  <conditionalFormatting sqref="AL53">
    <cfRule type="cellIs" dxfId="4" priority="518" operator="lessThanOrEqual">
      <formula>I53</formula>
    </cfRule>
  </conditionalFormatting>
  <conditionalFormatting sqref="AL55">
    <cfRule type="cellIs" dxfId="4" priority="523" operator="lessThanOrEqual">
      <formula>I55</formula>
    </cfRule>
  </conditionalFormatting>
  <conditionalFormatting sqref="AN15">
    <cfRule type="cellIs" dxfId="1" priority="525" operator="equal">
      <formula>0</formula>
    </cfRule>
    <cfRule type="cellIs" dxfId="2" priority="526" operator="lessThan">
      <formula>G15</formula>
    </cfRule>
  </conditionalFormatting>
  <conditionalFormatting sqref="AN20">
    <cfRule type="cellIs" dxfId="1" priority="531" operator="equal">
      <formula>0</formula>
    </cfRule>
    <cfRule type="cellIs" dxfId="2" priority="532" operator="lessThan">
      <formula>G20</formula>
    </cfRule>
  </conditionalFormatting>
  <conditionalFormatting sqref="AN21">
    <cfRule type="cellIs" dxfId="1" priority="537" operator="equal">
      <formula>0</formula>
    </cfRule>
    <cfRule type="cellIs" dxfId="2" priority="538" operator="lessThan">
      <formula>G21</formula>
    </cfRule>
  </conditionalFormatting>
  <conditionalFormatting sqref="AN22">
    <cfRule type="cellIs" dxfId="1" priority="543" operator="equal">
      <formula>0</formula>
    </cfRule>
    <cfRule type="cellIs" dxfId="2" priority="544" operator="lessThan">
      <formula>G22</formula>
    </cfRule>
  </conditionalFormatting>
  <conditionalFormatting sqref="AN24">
    <cfRule type="cellIs" dxfId="1" priority="549" operator="equal">
      <formula>0</formula>
    </cfRule>
    <cfRule type="cellIs" dxfId="2" priority="550" operator="lessThan">
      <formula>G24</formula>
    </cfRule>
  </conditionalFormatting>
  <conditionalFormatting sqref="AN25">
    <cfRule type="cellIs" dxfId="1" priority="555" operator="equal">
      <formula>0</formula>
    </cfRule>
    <cfRule type="cellIs" dxfId="2" priority="556" operator="lessThan">
      <formula>G25</formula>
    </cfRule>
  </conditionalFormatting>
  <conditionalFormatting sqref="AN26">
    <cfRule type="cellIs" dxfId="1" priority="561" operator="equal">
      <formula>0</formula>
    </cfRule>
    <cfRule type="cellIs" dxfId="2" priority="562" operator="lessThan">
      <formula>G26</formula>
    </cfRule>
  </conditionalFormatting>
  <conditionalFormatting sqref="AN35">
    <cfRule type="cellIs" dxfId="1" priority="567" operator="equal">
      <formula>0</formula>
    </cfRule>
    <cfRule type="cellIs" dxfId="2" priority="568" operator="lessThan">
      <formula>G35</formula>
    </cfRule>
  </conditionalFormatting>
  <conditionalFormatting sqref="AN36">
    <cfRule type="cellIs" dxfId="1" priority="573" operator="equal">
      <formula>0</formula>
    </cfRule>
    <cfRule type="cellIs" dxfId="2" priority="574" operator="lessThan">
      <formula>G36</formula>
    </cfRule>
  </conditionalFormatting>
  <conditionalFormatting sqref="AN53">
    <cfRule type="cellIs" dxfId="1" priority="579" operator="equal">
      <formula>0</formula>
    </cfRule>
    <cfRule type="cellIs" dxfId="2" priority="580" operator="lessThan">
      <formula>G53</formula>
    </cfRule>
  </conditionalFormatting>
  <conditionalFormatting sqref="AN55">
    <cfRule type="cellIs" dxfId="1" priority="584" operator="equal">
      <formula>0</formula>
    </cfRule>
    <cfRule type="cellIs" dxfId="2" priority="585" operator="lessThan">
      <formula>G55</formula>
    </cfRule>
  </conditionalFormatting>
  <conditionalFormatting sqref="AO15">
    <cfRule type="expression" dxfId="3" priority="527">
      <formula>AND(AO15&gt;0,AO15&lt;10)</formula>
    </cfRule>
    <cfRule type="cellIs" dxfId="1" priority="528" operator="greaterThan">
      <formula>AN15</formula>
    </cfRule>
  </conditionalFormatting>
  <conditionalFormatting sqref="AO20">
    <cfRule type="expression" dxfId="3" priority="533">
      <formula>AND(AO20&gt;0,AO20&lt;10)</formula>
    </cfRule>
    <cfRule type="cellIs" dxfId="1" priority="534" operator="greaterThan">
      <formula>AN20</formula>
    </cfRule>
  </conditionalFormatting>
  <conditionalFormatting sqref="AO21">
    <cfRule type="expression" dxfId="3" priority="539">
      <formula>AND(AO21&gt;0,AO21&lt;10)</formula>
    </cfRule>
    <cfRule type="cellIs" dxfId="1" priority="540" operator="greaterThan">
      <formula>AN21</formula>
    </cfRule>
  </conditionalFormatting>
  <conditionalFormatting sqref="AO22">
    <cfRule type="expression" dxfId="3" priority="545">
      <formula>AND(AO22&gt;0,AO22&lt;10)</formula>
    </cfRule>
    <cfRule type="cellIs" dxfId="1" priority="546" operator="greaterThan">
      <formula>AN22</formula>
    </cfRule>
  </conditionalFormatting>
  <conditionalFormatting sqref="AO24">
    <cfRule type="expression" dxfId="3" priority="551">
      <formula>AND(AO24&gt;0,AO24&lt;10)</formula>
    </cfRule>
    <cfRule type="cellIs" dxfId="1" priority="552" operator="greaterThan">
      <formula>AN24</formula>
    </cfRule>
  </conditionalFormatting>
  <conditionalFormatting sqref="AO25">
    <cfRule type="expression" dxfId="3" priority="557">
      <formula>AND(AO25&gt;0,AO25&lt;10)</formula>
    </cfRule>
    <cfRule type="cellIs" dxfId="1" priority="558" operator="greaterThan">
      <formula>AN25</formula>
    </cfRule>
  </conditionalFormatting>
  <conditionalFormatting sqref="AO26">
    <cfRule type="expression" dxfId="3" priority="563">
      <formula>AND(AO26&gt;0,AO26&lt;10)</formula>
    </cfRule>
    <cfRule type="cellIs" dxfId="1" priority="564" operator="greaterThan">
      <formula>AN26</formula>
    </cfRule>
  </conditionalFormatting>
  <conditionalFormatting sqref="AO35">
    <cfRule type="expression" dxfId="3" priority="569">
      <formula>AND(AO35&gt;0,AO35&lt;10)</formula>
    </cfRule>
    <cfRule type="cellIs" dxfId="1" priority="570" operator="greaterThan">
      <formula>AN35</formula>
    </cfRule>
  </conditionalFormatting>
  <conditionalFormatting sqref="AO36">
    <cfRule type="expression" dxfId="3" priority="575">
      <formula>AND(AO36&gt;0,AO36&lt;10)</formula>
    </cfRule>
    <cfRule type="cellIs" dxfId="1" priority="576" operator="greaterThan">
      <formula>AN36</formula>
    </cfRule>
  </conditionalFormatting>
  <conditionalFormatting sqref="AO53">
    <cfRule type="cellIs" dxfId="1" priority="581" operator="greaterThan">
      <formula>AN53</formula>
    </cfRule>
  </conditionalFormatting>
  <conditionalFormatting sqref="AO55">
    <cfRule type="expression" dxfId="3" priority="586">
      <formula>AND(AO55&gt;0,AO55&lt;10)</formula>
    </cfRule>
    <cfRule type="cellIs" dxfId="1" priority="587" operator="greaterThan">
      <formula>AN55</formula>
    </cfRule>
  </conditionalFormatting>
  <conditionalFormatting sqref="AP15">
    <cfRule type="cellIs" dxfId="4" priority="530" operator="lessThanOrEqual">
      <formula>H15</formula>
    </cfRule>
  </conditionalFormatting>
  <conditionalFormatting sqref="AP20">
    <cfRule type="cellIs" dxfId="4" priority="536" operator="lessThanOrEqual">
      <formula>H20</formula>
    </cfRule>
  </conditionalFormatting>
  <conditionalFormatting sqref="AP21">
    <cfRule type="cellIs" dxfId="4" priority="542" operator="lessThanOrEqual">
      <formula>H21</formula>
    </cfRule>
  </conditionalFormatting>
  <conditionalFormatting sqref="AP22">
    <cfRule type="cellIs" dxfId="4" priority="548" operator="lessThanOrEqual">
      <formula>H22</formula>
    </cfRule>
  </conditionalFormatting>
  <conditionalFormatting sqref="AP24">
    <cfRule type="cellIs" dxfId="4" priority="554" operator="lessThanOrEqual">
      <formula>H24</formula>
    </cfRule>
  </conditionalFormatting>
  <conditionalFormatting sqref="AP25">
    <cfRule type="cellIs" dxfId="4" priority="560" operator="lessThanOrEqual">
      <formula>H25</formula>
    </cfRule>
  </conditionalFormatting>
  <conditionalFormatting sqref="AP26">
    <cfRule type="cellIs" dxfId="4" priority="566" operator="lessThanOrEqual">
      <formula>H26</formula>
    </cfRule>
  </conditionalFormatting>
  <conditionalFormatting sqref="AP35">
    <cfRule type="cellIs" dxfId="4" priority="572" operator="lessThanOrEqual">
      <formula>H35</formula>
    </cfRule>
  </conditionalFormatting>
  <conditionalFormatting sqref="AP36">
    <cfRule type="cellIs" dxfId="4" priority="578" operator="lessThanOrEqual">
      <formula>H36</formula>
    </cfRule>
  </conditionalFormatting>
  <conditionalFormatting sqref="AP53">
    <cfRule type="cellIs" dxfId="4" priority="583" operator="lessThanOrEqual">
      <formula>H53</formula>
    </cfRule>
  </conditionalFormatting>
  <conditionalFormatting sqref="AP55">
    <cfRule type="cellIs" dxfId="4" priority="589" operator="lessThanOrEqual">
      <formula>H55</formula>
    </cfRule>
  </conditionalFormatting>
  <conditionalFormatting sqref="AQ15">
    <cfRule type="cellIs" dxfId="4" priority="529" operator="lessThanOrEqual">
      <formula>I15</formula>
    </cfRule>
  </conditionalFormatting>
  <conditionalFormatting sqref="AQ20">
    <cfRule type="cellIs" dxfId="4" priority="535" operator="lessThanOrEqual">
      <formula>I20</formula>
    </cfRule>
  </conditionalFormatting>
  <conditionalFormatting sqref="AQ21">
    <cfRule type="cellIs" dxfId="4" priority="541" operator="lessThanOrEqual">
      <formula>I21</formula>
    </cfRule>
  </conditionalFormatting>
  <conditionalFormatting sqref="AQ22">
    <cfRule type="cellIs" dxfId="4" priority="547" operator="lessThanOrEqual">
      <formula>I22</formula>
    </cfRule>
  </conditionalFormatting>
  <conditionalFormatting sqref="AQ24">
    <cfRule type="cellIs" dxfId="4" priority="553" operator="lessThanOrEqual">
      <formula>I24</formula>
    </cfRule>
  </conditionalFormatting>
  <conditionalFormatting sqref="AQ25">
    <cfRule type="cellIs" dxfId="4" priority="559" operator="lessThanOrEqual">
      <formula>I25</formula>
    </cfRule>
  </conditionalFormatting>
  <conditionalFormatting sqref="AQ26">
    <cfRule type="cellIs" dxfId="4" priority="565" operator="lessThanOrEqual">
      <formula>I26</formula>
    </cfRule>
  </conditionalFormatting>
  <conditionalFormatting sqref="AQ35">
    <cfRule type="cellIs" dxfId="4" priority="571" operator="lessThanOrEqual">
      <formula>I35</formula>
    </cfRule>
  </conditionalFormatting>
  <conditionalFormatting sqref="AQ36">
    <cfRule type="cellIs" dxfId="4" priority="577" operator="lessThanOrEqual">
      <formula>I36</formula>
    </cfRule>
  </conditionalFormatting>
  <conditionalFormatting sqref="AQ53">
    <cfRule type="cellIs" dxfId="4" priority="582" operator="lessThanOrEqual">
      <formula>I53</formula>
    </cfRule>
  </conditionalFormatting>
  <conditionalFormatting sqref="AQ55">
    <cfRule type="cellIs" dxfId="4" priority="588" operator="lessThanOrEqual">
      <formula>I55</formula>
    </cfRule>
  </conditionalFormatting>
  <conditionalFormatting sqref="AS20">
    <cfRule type="cellIs" dxfId="1" priority="590" operator="equal">
      <formula>0</formula>
    </cfRule>
    <cfRule type="cellIs" dxfId="2" priority="591" operator="lessThan">
      <formula>G20</formula>
    </cfRule>
  </conditionalFormatting>
  <conditionalFormatting sqref="AS21">
    <cfRule type="cellIs" dxfId="1" priority="596" operator="equal">
      <formula>0</formula>
    </cfRule>
    <cfRule type="cellIs" dxfId="2" priority="597" operator="lessThan">
      <formula>G21</formula>
    </cfRule>
  </conditionalFormatting>
  <conditionalFormatting sqref="AS22">
    <cfRule type="cellIs" dxfId="1" priority="602" operator="equal">
      <formula>0</formula>
    </cfRule>
    <cfRule type="cellIs" dxfId="2" priority="603" operator="lessThan">
      <formula>G22</formula>
    </cfRule>
  </conditionalFormatting>
  <conditionalFormatting sqref="AS24">
    <cfRule type="cellIs" dxfId="1" priority="608" operator="equal">
      <formula>0</formula>
    </cfRule>
    <cfRule type="cellIs" dxfId="2" priority="609" operator="lessThan">
      <formula>G24</formula>
    </cfRule>
  </conditionalFormatting>
  <conditionalFormatting sqref="AS25">
    <cfRule type="cellIs" dxfId="1" priority="614" operator="equal">
      <formula>0</formula>
    </cfRule>
    <cfRule type="cellIs" dxfId="2" priority="615" operator="lessThan">
      <formula>G25</formula>
    </cfRule>
  </conditionalFormatting>
  <conditionalFormatting sqref="AS26">
    <cfRule type="cellIs" dxfId="1" priority="620" operator="equal">
      <formula>0</formula>
    </cfRule>
    <cfRule type="cellIs" dxfId="2" priority="621" operator="lessThan">
      <formula>G26</formula>
    </cfRule>
  </conditionalFormatting>
  <conditionalFormatting sqref="AS35">
    <cfRule type="cellIs" dxfId="1" priority="626" operator="equal">
      <formula>0</formula>
    </cfRule>
    <cfRule type="cellIs" dxfId="2" priority="627" operator="lessThan">
      <formula>G35</formula>
    </cfRule>
  </conditionalFormatting>
  <conditionalFormatting sqref="AS36">
    <cfRule type="cellIs" dxfId="1" priority="632" operator="equal">
      <formula>0</formula>
    </cfRule>
    <cfRule type="cellIs" dxfId="2" priority="633" operator="lessThan">
      <formula>G36</formula>
    </cfRule>
  </conditionalFormatting>
  <conditionalFormatting sqref="AS53">
    <cfRule type="cellIs" dxfId="1" priority="638" operator="equal">
      <formula>0</formula>
    </cfRule>
    <cfRule type="cellIs" dxfId="2" priority="639" operator="lessThan">
      <formula>G53</formula>
    </cfRule>
  </conditionalFormatting>
  <conditionalFormatting sqref="AS55">
    <cfRule type="cellIs" dxfId="1" priority="643" operator="equal">
      <formula>0</formula>
    </cfRule>
    <cfRule type="cellIs" dxfId="2" priority="644" operator="lessThan">
      <formula>G55</formula>
    </cfRule>
  </conditionalFormatting>
  <conditionalFormatting sqref="AT20">
    <cfRule type="expression" dxfId="3" priority="592">
      <formula>AND(AT20&gt;0,AT20&lt;10)</formula>
    </cfRule>
    <cfRule type="cellIs" dxfId="1" priority="593" operator="greaterThan">
      <formula>AS20</formula>
    </cfRule>
  </conditionalFormatting>
  <conditionalFormatting sqref="AT21">
    <cfRule type="expression" dxfId="3" priority="598">
      <formula>AND(AT21&gt;0,AT21&lt;10)</formula>
    </cfRule>
    <cfRule type="cellIs" dxfId="1" priority="599" operator="greaterThan">
      <formula>AS21</formula>
    </cfRule>
  </conditionalFormatting>
  <conditionalFormatting sqref="AT22">
    <cfRule type="expression" dxfId="3" priority="604">
      <formula>AND(AT22&gt;0,AT22&lt;10)</formula>
    </cfRule>
    <cfRule type="cellIs" dxfId="1" priority="605" operator="greaterThan">
      <formula>AS22</formula>
    </cfRule>
  </conditionalFormatting>
  <conditionalFormatting sqref="AT24">
    <cfRule type="expression" dxfId="3" priority="610">
      <formula>AND(AT24&gt;0,AT24&lt;10)</formula>
    </cfRule>
    <cfRule type="cellIs" dxfId="1" priority="611" operator="greaterThan">
      <formula>AS24</formula>
    </cfRule>
  </conditionalFormatting>
  <conditionalFormatting sqref="AT25">
    <cfRule type="expression" dxfId="3" priority="616">
      <formula>AND(AT25&gt;0,AT25&lt;10)</formula>
    </cfRule>
    <cfRule type="cellIs" dxfId="1" priority="617" operator="greaterThan">
      <formula>AS25</formula>
    </cfRule>
  </conditionalFormatting>
  <conditionalFormatting sqref="AT26">
    <cfRule type="expression" dxfId="3" priority="622">
      <formula>AND(AT26&gt;0,AT26&lt;10)</formula>
    </cfRule>
    <cfRule type="cellIs" dxfId="1" priority="623" operator="greaterThan">
      <formula>AS26</formula>
    </cfRule>
  </conditionalFormatting>
  <conditionalFormatting sqref="AT35">
    <cfRule type="expression" dxfId="3" priority="628">
      <formula>AND(AT35&gt;0,AT35&lt;10)</formula>
    </cfRule>
    <cfRule type="cellIs" dxfId="1" priority="629" operator="greaterThan">
      <formula>AS35</formula>
    </cfRule>
  </conditionalFormatting>
  <conditionalFormatting sqref="AT36">
    <cfRule type="expression" dxfId="3" priority="634">
      <formula>AND(AT36&gt;0,AT36&lt;10)</formula>
    </cfRule>
    <cfRule type="cellIs" dxfId="1" priority="635" operator="greaterThan">
      <formula>AS36</formula>
    </cfRule>
  </conditionalFormatting>
  <conditionalFormatting sqref="AT53">
    <cfRule type="cellIs" dxfId="1" priority="640" operator="greaterThan">
      <formula>AS53</formula>
    </cfRule>
  </conditionalFormatting>
  <conditionalFormatting sqref="AT55">
    <cfRule type="cellIs" dxfId="1" priority="645" operator="greaterThan">
      <formula>AS55</formula>
    </cfRule>
  </conditionalFormatting>
  <conditionalFormatting sqref="AU20">
    <cfRule type="cellIs" dxfId="4" priority="595" operator="lessThanOrEqual">
      <formula>H20</formula>
    </cfRule>
  </conditionalFormatting>
  <conditionalFormatting sqref="AU21">
    <cfRule type="cellIs" dxfId="4" priority="601" operator="lessThanOrEqual">
      <formula>H21</formula>
    </cfRule>
  </conditionalFormatting>
  <conditionalFormatting sqref="AU22">
    <cfRule type="cellIs" dxfId="4" priority="607" operator="lessThanOrEqual">
      <formula>H22</formula>
    </cfRule>
  </conditionalFormatting>
  <conditionalFormatting sqref="AU24">
    <cfRule type="cellIs" dxfId="4" priority="613" operator="lessThanOrEqual">
      <formula>H24</formula>
    </cfRule>
  </conditionalFormatting>
  <conditionalFormatting sqref="AU25">
    <cfRule type="cellIs" dxfId="4" priority="619" operator="lessThanOrEqual">
      <formula>H25</formula>
    </cfRule>
  </conditionalFormatting>
  <conditionalFormatting sqref="AU26">
    <cfRule type="cellIs" dxfId="4" priority="625" operator="lessThanOrEqual">
      <formula>H26</formula>
    </cfRule>
  </conditionalFormatting>
  <conditionalFormatting sqref="AU35">
    <cfRule type="cellIs" dxfId="4" priority="631" operator="lessThanOrEqual">
      <formula>H35</formula>
    </cfRule>
  </conditionalFormatting>
  <conditionalFormatting sqref="AU36">
    <cfRule type="cellIs" dxfId="4" priority="637" operator="lessThanOrEqual">
      <formula>H36</formula>
    </cfRule>
  </conditionalFormatting>
  <conditionalFormatting sqref="AU53">
    <cfRule type="cellIs" dxfId="4" priority="642" operator="lessThanOrEqual">
      <formula>H53</formula>
    </cfRule>
  </conditionalFormatting>
  <conditionalFormatting sqref="AU55">
    <cfRule type="cellIs" dxfId="4" priority="647" operator="lessThanOrEqual">
      <formula>H55</formula>
    </cfRule>
  </conditionalFormatting>
  <conditionalFormatting sqref="AV20">
    <cfRule type="cellIs" dxfId="4" priority="594" operator="lessThanOrEqual">
      <formula>I20</formula>
    </cfRule>
  </conditionalFormatting>
  <conditionalFormatting sqref="AV21">
    <cfRule type="cellIs" dxfId="4" priority="600" operator="lessThanOrEqual">
      <formula>I21</formula>
    </cfRule>
  </conditionalFormatting>
  <conditionalFormatting sqref="AV22">
    <cfRule type="cellIs" dxfId="4" priority="606" operator="lessThanOrEqual">
      <formula>I22</formula>
    </cfRule>
  </conditionalFormatting>
  <conditionalFormatting sqref="AV24">
    <cfRule type="cellIs" dxfId="4" priority="612" operator="lessThanOrEqual">
      <formula>I24</formula>
    </cfRule>
  </conditionalFormatting>
  <conditionalFormatting sqref="AV25">
    <cfRule type="cellIs" dxfId="4" priority="618" operator="lessThanOrEqual">
      <formula>I25</formula>
    </cfRule>
  </conditionalFormatting>
  <conditionalFormatting sqref="AV26">
    <cfRule type="cellIs" dxfId="4" priority="624" operator="lessThanOrEqual">
      <formula>I26</formula>
    </cfRule>
  </conditionalFormatting>
  <conditionalFormatting sqref="AV35">
    <cfRule type="cellIs" dxfId="4" priority="630" operator="lessThanOrEqual">
      <formula>I35</formula>
    </cfRule>
  </conditionalFormatting>
  <conditionalFormatting sqref="AV36">
    <cfRule type="cellIs" dxfId="4" priority="636" operator="lessThanOrEqual">
      <formula>I36</formula>
    </cfRule>
  </conditionalFormatting>
  <conditionalFormatting sqref="AV53">
    <cfRule type="cellIs" dxfId="4" priority="641" operator="lessThanOrEqual">
      <formula>I53</formula>
    </cfRule>
  </conditionalFormatting>
  <conditionalFormatting sqref="AV55">
    <cfRule type="cellIs" dxfId="4" priority="646" operator="lessThanOrEqual">
      <formula>I55</formula>
    </cfRule>
  </conditionalFormatting>
  <conditionalFormatting sqref="G10">
    <cfRule type="expression" dxfId="0" priority="13">
      <formula>AND(ISBLANK(F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1">
    <cfRule type="expression" dxfId="0" priority="17">
      <formula>AND(ISBLANK(F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2">
    <cfRule type="expression" dxfId="0" priority="21">
      <formula>AND(ISBLANK(F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3">
    <cfRule type="expression" dxfId="0" priority="25">
      <formula>AND(ISBLANK(F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4">
    <cfRule type="expression" dxfId="0" priority="29">
      <formula>AND(ISBLANK(F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5">
    <cfRule type="expression" dxfId="0" priority="33">
      <formula>AND(ISBLANK(F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6">
    <cfRule type="expression" dxfId="0" priority="37">
      <formula>AND(ISBLANK(F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7">
    <cfRule type="expression" dxfId="0" priority="41">
      <formula>AND(ISBLANK(F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8">
    <cfRule type="expression" dxfId="0" priority="45">
      <formula>AND(ISBLANK(F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9">
    <cfRule type="expression" dxfId="0" priority="49">
      <formula>AND(ISBLANK(F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0">
    <cfRule type="expression" dxfId="0" priority="53">
      <formula>AND(ISBLANK(F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1">
    <cfRule type="expression" dxfId="0" priority="57">
      <formula>AND(ISBLANK(F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2">
    <cfRule type="expression" dxfId="0" priority="61">
      <formula>AND(ISBLANK(F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3">
    <cfRule type="expression" dxfId="0" priority="65">
      <formula>AND(ISBLANK(F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4">
    <cfRule type="expression" dxfId="0" priority="69">
      <formula>AND(ISBLANK(F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5">
    <cfRule type="expression" dxfId="0" priority="73">
      <formula>AND(ISBLANK(F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6">
    <cfRule type="expression" dxfId="0" priority="77">
      <formula>AND(ISBLANK(F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7">
    <cfRule type="expression" dxfId="0" priority="81">
      <formula>AND(ISBLANK(F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8">
    <cfRule type="expression" dxfId="0" priority="85">
      <formula>AND(ISBLANK(F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9">
    <cfRule type="expression" dxfId="0" priority="89">
      <formula>AND(ISBLANK(F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0">
    <cfRule type="expression" dxfId="0" priority="93">
      <formula>AND(ISBLANK(F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1">
    <cfRule type="expression" dxfId="0" priority="97">
      <formula>AND(ISBLANK(F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2">
    <cfRule type="expression" dxfId="0" priority="101">
      <formula>AND(ISBLANK(F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3">
    <cfRule type="expression" dxfId="0" priority="105">
      <formula>AND(ISBLANK(F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4">
    <cfRule type="expression" dxfId="0" priority="109">
      <formula>AND(ISBLANK(F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5">
    <cfRule type="expression" dxfId="0" priority="113">
      <formula>AND(ISBLANK(F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6">
    <cfRule type="expression" dxfId="0" priority="117">
      <formula>AND(ISBLANK(F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7">
    <cfRule type="expression" dxfId="0" priority="121">
      <formula>AND(ISBLANK(F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8">
    <cfRule type="expression" dxfId="0" priority="125">
      <formula>AND(ISBLANK(F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9">
    <cfRule type="expression" dxfId="0" priority="129">
      <formula>AND(ISBLANK(F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0">
    <cfRule type="expression" dxfId="0" priority="133">
      <formula>AND(ISBLANK(F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1">
    <cfRule type="expression" dxfId="0" priority="137">
      <formula>AND(ISBLANK(F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2">
    <cfRule type="expression" dxfId="0" priority="141">
      <formula>AND(ISBLANK(F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3">
    <cfRule type="expression" dxfId="0" priority="145">
      <formula>AND(ISBLANK(F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4">
    <cfRule type="expression" dxfId="0" priority="149">
      <formula>AND(ISBLANK(F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5">
    <cfRule type="expression" dxfId="0" priority="153">
      <formula>AND(ISBLANK(F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6">
    <cfRule type="expression" dxfId="0" priority="157">
      <formula>AND(ISBLANK(F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7">
    <cfRule type="expression" dxfId="0" priority="161">
      <formula>AND(ISBLANK(F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8">
    <cfRule type="expression" dxfId="0" priority="165">
      <formula>AND(ISBLANK(F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9">
    <cfRule type="expression" dxfId="0" priority="169">
      <formula>AND(ISBLANK(F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0">
    <cfRule type="expression" dxfId="0" priority="173">
      <formula>AND(ISBLANK(F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1">
    <cfRule type="expression" dxfId="0" priority="177">
      <formula>AND(ISBLANK(F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2">
    <cfRule type="expression" dxfId="0" priority="181">
      <formula>AND(ISBLANK(F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3">
    <cfRule type="expression" dxfId="0" priority="185">
      <formula>AND(ISBLANK(F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4">
    <cfRule type="expression" dxfId="0" priority="189">
      <formula>AND(ISBLANK(F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5">
    <cfRule type="expression" dxfId="0" priority="193">
      <formula>AND(ISBLANK(F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">
    <cfRule type="expression" dxfId="0" priority="1">
      <formula>AND(ISBLANK(F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8">
    <cfRule type="expression" dxfId="0" priority="5">
      <formula>AND(ISBLANK(F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9">
    <cfRule type="expression" dxfId="0" priority="9">
      <formula>AND(ISBLANK(F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O14">
    <cfRule type="cellIs" dxfId="1" priority="197" operator="equal">
      <formula>0</formula>
    </cfRule>
    <cfRule type="cellIs" dxfId="2" priority="198" operator="lessThan">
      <formula>G14</formula>
    </cfRule>
  </conditionalFormatting>
  <conditionalFormatting sqref="O15">
    <cfRule type="cellIs" dxfId="1" priority="202" operator="equal">
      <formula>0</formula>
    </cfRule>
    <cfRule type="cellIs" dxfId="2" priority="203" operator="lessThan">
      <formula>G15</formula>
    </cfRule>
  </conditionalFormatting>
  <conditionalFormatting sqref="O20">
    <cfRule type="cellIs" dxfId="1" priority="207" operator="equal">
      <formula>0</formula>
    </cfRule>
    <cfRule type="cellIs" dxfId="2" priority="208" operator="lessThan">
      <formula>G20</formula>
    </cfRule>
  </conditionalFormatting>
  <conditionalFormatting sqref="O21">
    <cfRule type="cellIs" dxfId="1" priority="212" operator="equal">
      <formula>0</formula>
    </cfRule>
    <cfRule type="cellIs" dxfId="2" priority="213" operator="lessThan">
      <formula>G21</formula>
    </cfRule>
  </conditionalFormatting>
  <conditionalFormatting sqref="O22">
    <cfRule type="cellIs" dxfId="1" priority="217" operator="equal">
      <formula>0</formula>
    </cfRule>
    <cfRule type="cellIs" dxfId="2" priority="218" operator="lessThan">
      <formula>G22</formula>
    </cfRule>
  </conditionalFormatting>
  <conditionalFormatting sqref="O24">
    <cfRule type="cellIs" dxfId="1" priority="222" operator="equal">
      <formula>0</formula>
    </cfRule>
    <cfRule type="cellIs" dxfId="2" priority="223" operator="lessThan">
      <formula>G24</formula>
    </cfRule>
  </conditionalFormatting>
  <conditionalFormatting sqref="O25">
    <cfRule type="cellIs" dxfId="1" priority="227" operator="equal">
      <formula>0</formula>
    </cfRule>
    <cfRule type="cellIs" dxfId="2" priority="228" operator="lessThan">
      <formula>G25</formula>
    </cfRule>
  </conditionalFormatting>
  <conditionalFormatting sqref="O26">
    <cfRule type="cellIs" dxfId="1" priority="232" operator="equal">
      <formula>0</formula>
    </cfRule>
    <cfRule type="cellIs" dxfId="2" priority="233" operator="lessThan">
      <formula>G26</formula>
    </cfRule>
  </conditionalFormatting>
  <conditionalFormatting sqref="O35">
    <cfRule type="cellIs" dxfId="1" priority="237" operator="equal">
      <formula>0</formula>
    </cfRule>
    <cfRule type="cellIs" dxfId="2" priority="238" operator="lessThan">
      <formula>G35</formula>
    </cfRule>
  </conditionalFormatting>
  <conditionalFormatting sqref="O36">
    <cfRule type="cellIs" dxfId="1" priority="242" operator="equal">
      <formula>0</formula>
    </cfRule>
    <cfRule type="cellIs" dxfId="2" priority="243" operator="lessThan">
      <formula>G36</formula>
    </cfRule>
  </conditionalFormatting>
  <conditionalFormatting sqref="O49">
    <cfRule type="cellIs" dxfId="1" priority="247" operator="equal">
      <formula>0</formula>
    </cfRule>
    <cfRule type="cellIs" dxfId="2" priority="248" operator="lessThan">
      <formula>G49</formula>
    </cfRule>
  </conditionalFormatting>
  <conditionalFormatting sqref="O52">
    <cfRule type="cellIs" dxfId="1" priority="252" operator="equal">
      <formula>0</formula>
    </cfRule>
    <cfRule type="cellIs" dxfId="2" priority="253" operator="lessThan">
      <formula>G52</formula>
    </cfRule>
  </conditionalFormatting>
  <conditionalFormatting sqref="O53">
    <cfRule type="cellIs" dxfId="1" priority="257" operator="equal">
      <formula>0</formula>
    </cfRule>
    <cfRule type="cellIs" dxfId="2" priority="258" operator="lessThan">
      <formula>G53</formula>
    </cfRule>
  </conditionalFormatting>
  <conditionalFormatting sqref="O54">
    <cfRule type="cellIs" dxfId="1" priority="262" operator="equal">
      <formula>0</formula>
    </cfRule>
    <cfRule type="cellIs" dxfId="2" priority="263" operator="lessThan">
      <formula>G54</formula>
    </cfRule>
  </conditionalFormatting>
  <conditionalFormatting sqref="O55">
    <cfRule type="cellIs" dxfId="1" priority="267" operator="equal">
      <formula>0</formula>
    </cfRule>
    <cfRule type="cellIs" dxfId="2" priority="268" operator="lessThan">
      <formula>G55</formula>
    </cfRule>
  </conditionalFormatting>
  <conditionalFormatting sqref="P14">
    <cfRule type="cellIs" dxfId="1" priority="199" operator="greaterThan">
      <formula>O14</formula>
    </cfRule>
  </conditionalFormatting>
  <conditionalFormatting sqref="P15">
    <cfRule type="cellIs" dxfId="1" priority="204" operator="greaterThan">
      <formula>O15</formula>
    </cfRule>
  </conditionalFormatting>
  <conditionalFormatting sqref="P20">
    <cfRule type="cellIs" dxfId="1" priority="209" operator="greaterThan">
      <formula>O20</formula>
    </cfRule>
  </conditionalFormatting>
  <conditionalFormatting sqref="P21">
    <cfRule type="cellIs" dxfId="1" priority="214" operator="greaterThan">
      <formula>O21</formula>
    </cfRule>
  </conditionalFormatting>
  <conditionalFormatting sqref="P22">
    <cfRule type="cellIs" dxfId="1" priority="219" operator="greaterThan">
      <formula>O22</formula>
    </cfRule>
  </conditionalFormatting>
  <conditionalFormatting sqref="P24">
    <cfRule type="cellIs" dxfId="1" priority="224" operator="greaterThan">
      <formula>O24</formula>
    </cfRule>
  </conditionalFormatting>
  <conditionalFormatting sqref="P25">
    <cfRule type="cellIs" dxfId="1" priority="229" operator="greaterThan">
      <formula>O25</formula>
    </cfRule>
  </conditionalFormatting>
  <conditionalFormatting sqref="P26">
    <cfRule type="cellIs" dxfId="1" priority="234" operator="greaterThan">
      <formula>O26</formula>
    </cfRule>
  </conditionalFormatting>
  <conditionalFormatting sqref="P35">
    <cfRule type="cellIs" dxfId="1" priority="239" operator="greaterThan">
      <formula>O35</formula>
    </cfRule>
  </conditionalFormatting>
  <conditionalFormatting sqref="P36">
    <cfRule type="cellIs" dxfId="1" priority="244" operator="greaterThan">
      <formula>O36</formula>
    </cfRule>
  </conditionalFormatting>
  <conditionalFormatting sqref="P49">
    <cfRule type="cellIs" dxfId="1" priority="249" operator="greaterThan">
      <formula>O49</formula>
    </cfRule>
  </conditionalFormatting>
  <conditionalFormatting sqref="P52">
    <cfRule type="cellIs" dxfId="1" priority="254" operator="greaterThan">
      <formula>O52</formula>
    </cfRule>
  </conditionalFormatting>
  <conditionalFormatting sqref="P53">
    <cfRule type="cellIs" dxfId="1" priority="259" operator="greaterThan">
      <formula>O53</formula>
    </cfRule>
  </conditionalFormatting>
  <conditionalFormatting sqref="P54">
    <cfRule type="cellIs" dxfId="1" priority="264" operator="greaterThan">
      <formula>O54</formula>
    </cfRule>
  </conditionalFormatting>
  <conditionalFormatting sqref="P55">
    <cfRule type="cellIs" dxfId="1" priority="269" operator="greaterThan">
      <formula>O55</formula>
    </cfRule>
  </conditionalFormatting>
  <conditionalFormatting sqref="Q14">
    <cfRule type="cellIs" dxfId="4" priority="201" operator="lessThanOrEqual">
      <formula>H14</formula>
    </cfRule>
  </conditionalFormatting>
  <conditionalFormatting sqref="Q15">
    <cfRule type="cellIs" dxfId="4" priority="206" operator="lessThanOrEqual">
      <formula>H15</formula>
    </cfRule>
  </conditionalFormatting>
  <conditionalFormatting sqref="Q20">
    <cfRule type="cellIs" dxfId="4" priority="211" operator="lessThanOrEqual">
      <formula>H20</formula>
    </cfRule>
  </conditionalFormatting>
  <conditionalFormatting sqref="Q21">
    <cfRule type="cellIs" dxfId="4" priority="216" operator="lessThanOrEqual">
      <formula>H21</formula>
    </cfRule>
  </conditionalFormatting>
  <conditionalFormatting sqref="Q22">
    <cfRule type="cellIs" dxfId="4" priority="221" operator="lessThanOrEqual">
      <formula>H22</formula>
    </cfRule>
  </conditionalFormatting>
  <conditionalFormatting sqref="Q24">
    <cfRule type="cellIs" dxfId="4" priority="226" operator="lessThanOrEqual">
      <formula>H24</formula>
    </cfRule>
  </conditionalFormatting>
  <conditionalFormatting sqref="Q25">
    <cfRule type="cellIs" dxfId="4" priority="231" operator="lessThanOrEqual">
      <formula>H25</formula>
    </cfRule>
  </conditionalFormatting>
  <conditionalFormatting sqref="Q26">
    <cfRule type="cellIs" dxfId="4" priority="236" operator="lessThanOrEqual">
      <formula>H26</formula>
    </cfRule>
  </conditionalFormatting>
  <conditionalFormatting sqref="Q35">
    <cfRule type="cellIs" dxfId="4" priority="241" operator="lessThanOrEqual">
      <formula>H35</formula>
    </cfRule>
  </conditionalFormatting>
  <conditionalFormatting sqref="Q36">
    <cfRule type="cellIs" dxfId="4" priority="246" operator="lessThanOrEqual">
      <formula>H36</formula>
    </cfRule>
  </conditionalFormatting>
  <conditionalFormatting sqref="Q49">
    <cfRule type="cellIs" dxfId="4" priority="251" operator="lessThanOrEqual">
      <formula>H49</formula>
    </cfRule>
  </conditionalFormatting>
  <conditionalFormatting sqref="Q52">
    <cfRule type="cellIs" dxfId="4" priority="256" operator="lessThanOrEqual">
      <formula>H52</formula>
    </cfRule>
  </conditionalFormatting>
  <conditionalFormatting sqref="Q53">
    <cfRule type="cellIs" dxfId="4" priority="261" operator="lessThanOrEqual">
      <formula>H53</formula>
    </cfRule>
  </conditionalFormatting>
  <conditionalFormatting sqref="Q54">
    <cfRule type="cellIs" dxfId="4" priority="266" operator="lessThanOrEqual">
      <formula>H54</formula>
    </cfRule>
  </conditionalFormatting>
  <conditionalFormatting sqref="Q55">
    <cfRule type="cellIs" dxfId="4" priority="271" operator="lessThanOrEqual">
      <formula>H55</formula>
    </cfRule>
  </conditionalFormatting>
  <conditionalFormatting sqref="R14">
    <cfRule type="cellIs" dxfId="4" priority="200" operator="lessThanOrEqual">
      <formula>I14</formula>
    </cfRule>
  </conditionalFormatting>
  <conditionalFormatting sqref="R15">
    <cfRule type="cellIs" dxfId="4" priority="205" operator="lessThanOrEqual">
      <formula>I15</formula>
    </cfRule>
  </conditionalFormatting>
  <conditionalFormatting sqref="R20">
    <cfRule type="cellIs" dxfId="4" priority="210" operator="lessThanOrEqual">
      <formula>I20</formula>
    </cfRule>
  </conditionalFormatting>
  <conditionalFormatting sqref="R21">
    <cfRule type="cellIs" dxfId="4" priority="215" operator="lessThanOrEqual">
      <formula>I21</formula>
    </cfRule>
  </conditionalFormatting>
  <conditionalFormatting sqref="R22">
    <cfRule type="cellIs" dxfId="4" priority="220" operator="lessThanOrEqual">
      <formula>I22</formula>
    </cfRule>
  </conditionalFormatting>
  <conditionalFormatting sqref="R24">
    <cfRule type="cellIs" dxfId="4" priority="225" operator="lessThanOrEqual">
      <formula>I24</formula>
    </cfRule>
  </conditionalFormatting>
  <conditionalFormatting sqref="R25">
    <cfRule type="cellIs" dxfId="4" priority="230" operator="lessThanOrEqual">
      <formula>I25</formula>
    </cfRule>
  </conditionalFormatting>
  <conditionalFormatting sqref="R26">
    <cfRule type="cellIs" dxfId="4" priority="235" operator="lessThanOrEqual">
      <formula>I26</formula>
    </cfRule>
  </conditionalFormatting>
  <conditionalFormatting sqref="R35">
    <cfRule type="cellIs" dxfId="4" priority="240" operator="lessThanOrEqual">
      <formula>I35</formula>
    </cfRule>
  </conditionalFormatting>
  <conditionalFormatting sqref="R36">
    <cfRule type="cellIs" dxfId="4" priority="245" operator="lessThanOrEqual">
      <formula>I36</formula>
    </cfRule>
  </conditionalFormatting>
  <conditionalFormatting sqref="R49">
    <cfRule type="cellIs" dxfId="4" priority="250" operator="lessThanOrEqual">
      <formula>I49</formula>
    </cfRule>
  </conditionalFormatting>
  <conditionalFormatting sqref="R52">
    <cfRule type="cellIs" dxfId="4" priority="255" operator="lessThanOrEqual">
      <formula>I52</formula>
    </cfRule>
  </conditionalFormatting>
  <conditionalFormatting sqref="R53">
    <cfRule type="cellIs" dxfId="4" priority="260" operator="lessThanOrEqual">
      <formula>I53</formula>
    </cfRule>
  </conditionalFormatting>
  <conditionalFormatting sqref="R54">
    <cfRule type="cellIs" dxfId="4" priority="265" operator="lessThanOrEqual">
      <formula>I54</formula>
    </cfRule>
  </conditionalFormatting>
  <conditionalFormatting sqref="R55">
    <cfRule type="cellIs" dxfId="4" priority="270" operator="lessThanOrEqual">
      <formula>I55</formula>
    </cfRule>
  </conditionalFormatting>
  <conditionalFormatting sqref="T14">
    <cfRule type="cellIs" dxfId="1" priority="272" operator="equal">
      <formula>0</formula>
    </cfRule>
    <cfRule type="cellIs" dxfId="2" priority="273" operator="lessThan">
      <formula>G14</formula>
    </cfRule>
  </conditionalFormatting>
  <conditionalFormatting sqref="T15">
    <cfRule type="cellIs" dxfId="1" priority="277" operator="equal">
      <formula>0</formula>
    </cfRule>
    <cfRule type="cellIs" dxfId="2" priority="278" operator="lessThan">
      <formula>G15</formula>
    </cfRule>
  </conditionalFormatting>
  <conditionalFormatting sqref="T20">
    <cfRule type="cellIs" dxfId="1" priority="282" operator="equal">
      <formula>0</formula>
    </cfRule>
    <cfRule type="cellIs" dxfId="2" priority="283" operator="lessThan">
      <formula>G20</formula>
    </cfRule>
  </conditionalFormatting>
  <conditionalFormatting sqref="T21">
    <cfRule type="cellIs" dxfId="1" priority="287" operator="equal">
      <formula>0</formula>
    </cfRule>
    <cfRule type="cellIs" dxfId="2" priority="288" operator="lessThan">
      <formula>G21</formula>
    </cfRule>
  </conditionalFormatting>
  <conditionalFormatting sqref="T22">
    <cfRule type="cellIs" dxfId="1" priority="292" operator="equal">
      <formula>0</formula>
    </cfRule>
    <cfRule type="cellIs" dxfId="2" priority="293" operator="lessThan">
      <formula>G22</formula>
    </cfRule>
  </conditionalFormatting>
  <conditionalFormatting sqref="T24">
    <cfRule type="cellIs" dxfId="1" priority="297" operator="equal">
      <formula>0</formula>
    </cfRule>
    <cfRule type="cellIs" dxfId="2" priority="298" operator="lessThan">
      <formula>G24</formula>
    </cfRule>
  </conditionalFormatting>
  <conditionalFormatting sqref="T25">
    <cfRule type="cellIs" dxfId="1" priority="302" operator="equal">
      <formula>0</formula>
    </cfRule>
    <cfRule type="cellIs" dxfId="2" priority="303" operator="lessThan">
      <formula>G25</formula>
    </cfRule>
  </conditionalFormatting>
  <conditionalFormatting sqref="T26">
    <cfRule type="cellIs" dxfId="1" priority="307" operator="equal">
      <formula>0</formula>
    </cfRule>
    <cfRule type="cellIs" dxfId="2" priority="308" operator="lessThan">
      <formula>G26</formula>
    </cfRule>
  </conditionalFormatting>
  <conditionalFormatting sqref="T35">
    <cfRule type="cellIs" dxfId="1" priority="312" operator="equal">
      <formula>0</formula>
    </cfRule>
    <cfRule type="cellIs" dxfId="2" priority="313" operator="lessThan">
      <formula>G35</formula>
    </cfRule>
  </conditionalFormatting>
  <conditionalFormatting sqref="T36">
    <cfRule type="cellIs" dxfId="1" priority="317" operator="equal">
      <formula>0</formula>
    </cfRule>
    <cfRule type="cellIs" dxfId="2" priority="318" operator="lessThan">
      <formula>G36</formula>
    </cfRule>
  </conditionalFormatting>
  <conditionalFormatting sqref="T53">
    <cfRule type="cellIs" dxfId="1" priority="322" operator="equal">
      <formula>0</formula>
    </cfRule>
    <cfRule type="cellIs" dxfId="2" priority="323" operator="lessThan">
      <formula>G53</formula>
    </cfRule>
  </conditionalFormatting>
  <conditionalFormatting sqref="T54">
    <cfRule type="cellIs" dxfId="1" priority="327" operator="equal">
      <formula>0</formula>
    </cfRule>
    <cfRule type="cellIs" dxfId="2" priority="328" operator="lessThan">
      <formula>G54</formula>
    </cfRule>
  </conditionalFormatting>
  <conditionalFormatting sqref="T55">
    <cfRule type="cellIs" dxfId="1" priority="332" operator="equal">
      <formula>0</formula>
    </cfRule>
    <cfRule type="cellIs" dxfId="2" priority="333" operator="lessThan">
      <formula>G55</formula>
    </cfRule>
  </conditionalFormatting>
  <conditionalFormatting sqref="U14">
    <cfRule type="cellIs" dxfId="1" priority="274" operator="greaterThan">
      <formula>T14</formula>
    </cfRule>
  </conditionalFormatting>
  <conditionalFormatting sqref="U15">
    <cfRule type="cellIs" dxfId="1" priority="279" operator="greaterThan">
      <formula>T15</formula>
    </cfRule>
  </conditionalFormatting>
  <conditionalFormatting sqref="U20">
    <cfRule type="cellIs" dxfId="1" priority="284" operator="greaterThan">
      <formula>T20</formula>
    </cfRule>
  </conditionalFormatting>
  <conditionalFormatting sqref="U21">
    <cfRule type="cellIs" dxfId="1" priority="289" operator="greaterThan">
      <formula>T21</formula>
    </cfRule>
  </conditionalFormatting>
  <conditionalFormatting sqref="U22">
    <cfRule type="cellIs" dxfId="1" priority="294" operator="greaterThan">
      <formula>T22</formula>
    </cfRule>
  </conditionalFormatting>
  <conditionalFormatting sqref="U24">
    <cfRule type="cellIs" dxfId="1" priority="299" operator="greaterThan">
      <formula>T24</formula>
    </cfRule>
  </conditionalFormatting>
  <conditionalFormatting sqref="U25">
    <cfRule type="cellIs" dxfId="1" priority="304" operator="greaterThan">
      <formula>T25</formula>
    </cfRule>
  </conditionalFormatting>
  <conditionalFormatting sqref="U26">
    <cfRule type="cellIs" dxfId="1" priority="309" operator="greaterThan">
      <formula>T26</formula>
    </cfRule>
  </conditionalFormatting>
  <conditionalFormatting sqref="U35">
    <cfRule type="cellIs" dxfId="1" priority="314" operator="greaterThan">
      <formula>T35</formula>
    </cfRule>
  </conditionalFormatting>
  <conditionalFormatting sqref="U36">
    <cfRule type="cellIs" dxfId="1" priority="319" operator="greaterThan">
      <formula>T36</formula>
    </cfRule>
  </conditionalFormatting>
  <conditionalFormatting sqref="U53">
    <cfRule type="cellIs" dxfId="1" priority="324" operator="greaterThan">
      <formula>T53</formula>
    </cfRule>
  </conditionalFormatting>
  <conditionalFormatting sqref="U54">
    <cfRule type="cellIs" dxfId="1" priority="329" operator="greaterThan">
      <formula>T54</formula>
    </cfRule>
  </conditionalFormatting>
  <conditionalFormatting sqref="U55">
    <cfRule type="cellIs" dxfId="1" priority="334" operator="greaterThan">
      <formula>T55</formula>
    </cfRule>
  </conditionalFormatting>
  <conditionalFormatting sqref="V14">
    <cfRule type="cellIs" dxfId="4" priority="276" operator="lessThanOrEqual">
      <formula>H14</formula>
    </cfRule>
  </conditionalFormatting>
  <conditionalFormatting sqref="V15">
    <cfRule type="cellIs" dxfId="4" priority="281" operator="lessThanOrEqual">
      <formula>H15</formula>
    </cfRule>
  </conditionalFormatting>
  <conditionalFormatting sqref="V20">
    <cfRule type="cellIs" dxfId="4" priority="286" operator="lessThanOrEqual">
      <formula>H20</formula>
    </cfRule>
  </conditionalFormatting>
  <conditionalFormatting sqref="V21">
    <cfRule type="cellIs" dxfId="4" priority="291" operator="lessThanOrEqual">
      <formula>H21</formula>
    </cfRule>
  </conditionalFormatting>
  <conditionalFormatting sqref="V22">
    <cfRule type="cellIs" dxfId="4" priority="296" operator="lessThanOrEqual">
      <formula>H22</formula>
    </cfRule>
  </conditionalFormatting>
  <conditionalFormatting sqref="V24">
    <cfRule type="cellIs" dxfId="4" priority="301" operator="lessThanOrEqual">
      <formula>H24</formula>
    </cfRule>
  </conditionalFormatting>
  <conditionalFormatting sqref="V25">
    <cfRule type="cellIs" dxfId="4" priority="306" operator="lessThanOrEqual">
      <formula>H25</formula>
    </cfRule>
  </conditionalFormatting>
  <conditionalFormatting sqref="V26">
    <cfRule type="cellIs" dxfId="4" priority="311" operator="lessThanOrEqual">
      <formula>H26</formula>
    </cfRule>
  </conditionalFormatting>
  <conditionalFormatting sqref="V35">
    <cfRule type="cellIs" dxfId="4" priority="316" operator="lessThanOrEqual">
      <formula>H35</formula>
    </cfRule>
  </conditionalFormatting>
  <conditionalFormatting sqref="V36">
    <cfRule type="cellIs" dxfId="4" priority="321" operator="lessThanOrEqual">
      <formula>H36</formula>
    </cfRule>
  </conditionalFormatting>
  <conditionalFormatting sqref="V53">
    <cfRule type="cellIs" dxfId="4" priority="326" operator="lessThanOrEqual">
      <formula>H53</formula>
    </cfRule>
  </conditionalFormatting>
  <conditionalFormatting sqref="V54">
    <cfRule type="cellIs" dxfId="4" priority="331" operator="lessThanOrEqual">
      <formula>H54</formula>
    </cfRule>
  </conditionalFormatting>
  <conditionalFormatting sqref="V55">
    <cfRule type="cellIs" dxfId="4" priority="336" operator="lessThanOrEqual">
      <formula>H55</formula>
    </cfRule>
  </conditionalFormatting>
  <conditionalFormatting sqref="W14">
    <cfRule type="cellIs" dxfId="4" priority="275" operator="lessThanOrEqual">
      <formula>I14</formula>
    </cfRule>
  </conditionalFormatting>
  <conditionalFormatting sqref="W15">
    <cfRule type="cellIs" dxfId="4" priority="280" operator="lessThanOrEqual">
      <formula>I15</formula>
    </cfRule>
  </conditionalFormatting>
  <conditionalFormatting sqref="W20">
    <cfRule type="cellIs" dxfId="4" priority="285" operator="lessThanOrEqual">
      <formula>I20</formula>
    </cfRule>
  </conditionalFormatting>
  <conditionalFormatting sqref="W21">
    <cfRule type="cellIs" dxfId="4" priority="290" operator="lessThanOrEqual">
      <formula>I21</formula>
    </cfRule>
  </conditionalFormatting>
  <conditionalFormatting sqref="W22">
    <cfRule type="cellIs" dxfId="4" priority="295" operator="lessThanOrEqual">
      <formula>I22</formula>
    </cfRule>
  </conditionalFormatting>
  <conditionalFormatting sqref="W24">
    <cfRule type="cellIs" dxfId="4" priority="300" operator="lessThanOrEqual">
      <formula>I24</formula>
    </cfRule>
  </conditionalFormatting>
  <conditionalFormatting sqref="W25">
    <cfRule type="cellIs" dxfId="4" priority="305" operator="lessThanOrEqual">
      <formula>I25</formula>
    </cfRule>
  </conditionalFormatting>
  <conditionalFormatting sqref="W26">
    <cfRule type="cellIs" dxfId="4" priority="310" operator="lessThanOrEqual">
      <formula>I26</formula>
    </cfRule>
  </conditionalFormatting>
  <conditionalFormatting sqref="W35">
    <cfRule type="cellIs" dxfId="4" priority="315" operator="lessThanOrEqual">
      <formula>I35</formula>
    </cfRule>
  </conditionalFormatting>
  <conditionalFormatting sqref="W36">
    <cfRule type="cellIs" dxfId="4" priority="320" operator="lessThanOrEqual">
      <formula>I36</formula>
    </cfRule>
  </conditionalFormatting>
  <conditionalFormatting sqref="W53">
    <cfRule type="cellIs" dxfId="4" priority="325" operator="lessThanOrEqual">
      <formula>I53</formula>
    </cfRule>
  </conditionalFormatting>
  <conditionalFormatting sqref="W54">
    <cfRule type="cellIs" dxfId="4" priority="330" operator="lessThanOrEqual">
      <formula>I54</formula>
    </cfRule>
  </conditionalFormatting>
  <conditionalFormatting sqref="W55">
    <cfRule type="cellIs" dxfId="4" priority="335" operator="lessThanOrEqual">
      <formula>I55</formula>
    </cfRule>
  </conditionalFormatting>
  <conditionalFormatting sqref="Y15">
    <cfRule type="cellIs" dxfId="1" priority="337" operator="equal">
      <formula>0</formula>
    </cfRule>
    <cfRule type="cellIs" dxfId="2" priority="338" operator="lessThan">
      <formula>G15</formula>
    </cfRule>
  </conditionalFormatting>
  <conditionalFormatting sqref="Y20">
    <cfRule type="cellIs" dxfId="1" priority="342" operator="equal">
      <formula>0</formula>
    </cfRule>
    <cfRule type="cellIs" dxfId="2" priority="343" operator="lessThan">
      <formula>G20</formula>
    </cfRule>
  </conditionalFormatting>
  <conditionalFormatting sqref="Y21">
    <cfRule type="cellIs" dxfId="1" priority="348" operator="equal">
      <formula>0</formula>
    </cfRule>
    <cfRule type="cellIs" dxfId="2" priority="349" operator="lessThan">
      <formula>G21</formula>
    </cfRule>
  </conditionalFormatting>
  <conditionalFormatting sqref="Y22">
    <cfRule type="cellIs" dxfId="1" priority="354" operator="equal">
      <formula>0</formula>
    </cfRule>
    <cfRule type="cellIs" dxfId="2" priority="355" operator="lessThan">
      <formula>G22</formula>
    </cfRule>
  </conditionalFormatting>
  <conditionalFormatting sqref="Y24">
    <cfRule type="cellIs" dxfId="1" priority="360" operator="equal">
      <formula>0</formula>
    </cfRule>
    <cfRule type="cellIs" dxfId="2" priority="361" operator="lessThan">
      <formula>G24</formula>
    </cfRule>
  </conditionalFormatting>
  <conditionalFormatting sqref="Y25">
    <cfRule type="cellIs" dxfId="1" priority="366" operator="equal">
      <formula>0</formula>
    </cfRule>
    <cfRule type="cellIs" dxfId="2" priority="367" operator="lessThan">
      <formula>G25</formula>
    </cfRule>
  </conditionalFormatting>
  <conditionalFormatting sqref="Y26">
    <cfRule type="cellIs" dxfId="1" priority="372" operator="equal">
      <formula>0</formula>
    </cfRule>
    <cfRule type="cellIs" dxfId="2" priority="373" operator="lessThan">
      <formula>G26</formula>
    </cfRule>
  </conditionalFormatting>
  <conditionalFormatting sqref="Y35">
    <cfRule type="cellIs" dxfId="1" priority="378" operator="equal">
      <formula>0</formula>
    </cfRule>
    <cfRule type="cellIs" dxfId="2" priority="379" operator="lessThan">
      <formula>G35</formula>
    </cfRule>
  </conditionalFormatting>
  <conditionalFormatting sqref="Y36">
    <cfRule type="cellIs" dxfId="1" priority="384" operator="equal">
      <formula>0</formula>
    </cfRule>
    <cfRule type="cellIs" dxfId="2" priority="385" operator="lessThan">
      <formula>G36</formula>
    </cfRule>
  </conditionalFormatting>
  <conditionalFormatting sqref="Z15">
    <cfRule type="cellIs" dxfId="1" priority="339" operator="greaterThan">
      <formula>Y15</formula>
    </cfRule>
  </conditionalFormatting>
  <conditionalFormatting sqref="Z20">
    <cfRule type="expression" dxfId="3" priority="344">
      <formula>AND(Z20&gt;0,Z20&lt;10)</formula>
    </cfRule>
    <cfRule type="cellIs" dxfId="1" priority="345" operator="greaterThan">
      <formula>Y20</formula>
    </cfRule>
  </conditionalFormatting>
  <conditionalFormatting sqref="Z21">
    <cfRule type="expression" dxfId="3" priority="350">
      <formula>AND(Z21&gt;0,Z21&lt;10)</formula>
    </cfRule>
    <cfRule type="cellIs" dxfId="1" priority="351" operator="greaterThan">
      <formula>Y21</formula>
    </cfRule>
  </conditionalFormatting>
  <conditionalFormatting sqref="Z22">
    <cfRule type="expression" dxfId="3" priority="356">
      <formula>AND(Z22&gt;0,Z22&lt;10)</formula>
    </cfRule>
    <cfRule type="cellIs" dxfId="1" priority="357" operator="greaterThan">
      <formula>Y22</formula>
    </cfRule>
  </conditionalFormatting>
  <conditionalFormatting sqref="Z24">
    <cfRule type="expression" dxfId="3" priority="362">
      <formula>AND(Z24&gt;0,Z24&lt;10)</formula>
    </cfRule>
    <cfRule type="cellIs" dxfId="1" priority="363" operator="greaterThan">
      <formula>Y24</formula>
    </cfRule>
  </conditionalFormatting>
  <conditionalFormatting sqref="Z25">
    <cfRule type="expression" dxfId="3" priority="368">
      <formula>AND(Z25&gt;0,Z25&lt;10)</formula>
    </cfRule>
    <cfRule type="cellIs" dxfId="1" priority="369" operator="greaterThan">
      <formula>Y25</formula>
    </cfRule>
  </conditionalFormatting>
  <conditionalFormatting sqref="Z26">
    <cfRule type="expression" dxfId="3" priority="374">
      <formula>AND(Z26&gt;0,Z26&lt;10)</formula>
    </cfRule>
    <cfRule type="cellIs" dxfId="1" priority="375" operator="greaterThan">
      <formula>Y26</formula>
    </cfRule>
  </conditionalFormatting>
  <conditionalFormatting sqref="Z35">
    <cfRule type="expression" dxfId="3" priority="380">
      <formula>AND(Z35&gt;0,Z35&lt;10)</formula>
    </cfRule>
    <cfRule type="cellIs" dxfId="1" priority="381" operator="greaterThan">
      <formula>Y35</formula>
    </cfRule>
  </conditionalFormatting>
  <conditionalFormatting sqref="Z36">
    <cfRule type="expression" dxfId="3" priority="386">
      <formula>AND(Z36&gt;0,Z36&lt;10)</formula>
    </cfRule>
    <cfRule type="cellIs" dxfId="1" priority="387" operator="greaterThan">
      <formula>Y36</formula>
    </cfRule>
  </conditionalFormatting>
  <hyperlinks>
    <hyperlink ref="S14" r:id="rId1"/>
    <hyperlink ref="X14" r:id="rId2"/>
    <hyperlink ref="AH14" r:id="rId3"/>
    <hyperlink ref="AM14" r:id="rId4"/>
    <hyperlink ref="S15" r:id="rId5"/>
    <hyperlink ref="X15" r:id="rId6"/>
    <hyperlink ref="AC15" r:id="rId7"/>
    <hyperlink ref="AH15" r:id="rId8"/>
    <hyperlink ref="AM15" r:id="rId9"/>
    <hyperlink ref="AR15" r:id="rId10"/>
    <hyperlink ref="F20" r:id="rId11"/>
    <hyperlink ref="S20" r:id="rId12"/>
    <hyperlink ref="X20" r:id="rId13"/>
    <hyperlink ref="AC20" r:id="rId14"/>
    <hyperlink ref="AH20" r:id="rId15"/>
    <hyperlink ref="AM20" r:id="rId16"/>
    <hyperlink ref="AR20" r:id="rId17"/>
    <hyperlink ref="AW20" r:id="rId18"/>
    <hyperlink ref="F21" r:id="rId19"/>
    <hyperlink ref="S21" r:id="rId20"/>
    <hyperlink ref="X21" r:id="rId21"/>
    <hyperlink ref="AC21" r:id="rId22"/>
    <hyperlink ref="AH21" r:id="rId23"/>
    <hyperlink ref="AM21" r:id="rId24"/>
    <hyperlink ref="AR21" r:id="rId25"/>
    <hyperlink ref="AW21" r:id="rId26"/>
    <hyperlink ref="F22" r:id="rId27"/>
    <hyperlink ref="S22" r:id="rId28"/>
    <hyperlink ref="X22" r:id="rId29"/>
    <hyperlink ref="AC22" r:id="rId30"/>
    <hyperlink ref="AH22" r:id="rId31"/>
    <hyperlink ref="AM22" r:id="rId32"/>
    <hyperlink ref="AR22" r:id="rId33"/>
    <hyperlink ref="AW22" r:id="rId34"/>
    <hyperlink ref="F24" r:id="rId35"/>
    <hyperlink ref="S24" r:id="rId36"/>
    <hyperlink ref="X24" r:id="rId37"/>
    <hyperlink ref="AC24" r:id="rId38"/>
    <hyperlink ref="AH24" r:id="rId39"/>
    <hyperlink ref="AM24" r:id="rId40"/>
    <hyperlink ref="AR24" r:id="rId41"/>
    <hyperlink ref="AW24" r:id="rId42"/>
    <hyperlink ref="F25" r:id="rId43"/>
    <hyperlink ref="S25" r:id="rId44"/>
    <hyperlink ref="X25" r:id="rId45"/>
    <hyperlink ref="AC25" r:id="rId46"/>
    <hyperlink ref="AH25" r:id="rId47"/>
    <hyperlink ref="AM25" r:id="rId48"/>
    <hyperlink ref="AR25" r:id="rId49"/>
    <hyperlink ref="AW25" r:id="rId50"/>
    <hyperlink ref="F26" r:id="rId51"/>
    <hyperlink ref="S26" r:id="rId52"/>
    <hyperlink ref="X26" r:id="rId53"/>
    <hyperlink ref="AC26" r:id="rId54"/>
    <hyperlink ref="AH26" r:id="rId55"/>
    <hyperlink ref="AM26" r:id="rId56"/>
    <hyperlink ref="AR26" r:id="rId57"/>
    <hyperlink ref="AW26" r:id="rId58"/>
    <hyperlink ref="F35" r:id="rId59"/>
    <hyperlink ref="S35" r:id="rId60"/>
    <hyperlink ref="X35" r:id="rId61"/>
    <hyperlink ref="AC35" r:id="rId62"/>
    <hyperlink ref="AH35" r:id="rId63"/>
    <hyperlink ref="AM35" r:id="rId64"/>
    <hyperlink ref="AR35" r:id="rId65"/>
    <hyperlink ref="AW35" r:id="rId66"/>
    <hyperlink ref="F36" r:id="rId67"/>
    <hyperlink ref="S36" r:id="rId68"/>
    <hyperlink ref="X36" r:id="rId69"/>
    <hyperlink ref="AC36" r:id="rId70"/>
    <hyperlink ref="AH36" r:id="rId71"/>
    <hyperlink ref="AM36" r:id="rId72"/>
    <hyperlink ref="AR36" r:id="rId73"/>
    <hyperlink ref="AW36" r:id="rId74"/>
    <hyperlink ref="F39" r:id="rId75"/>
    <hyperlink ref="F40" r:id="rId76"/>
    <hyperlink ref="S49" r:id="rId77"/>
    <hyperlink ref="AH49" r:id="rId78"/>
    <hyperlink ref="F50" r:id="rId79"/>
    <hyperlink ref="F52" r:id="rId80"/>
    <hyperlink ref="S52" r:id="rId81"/>
    <hyperlink ref="AH52" r:id="rId82"/>
    <hyperlink ref="F53" r:id="rId83"/>
    <hyperlink ref="S53" r:id="rId84"/>
    <hyperlink ref="X53" r:id="rId85"/>
    <hyperlink ref="AH53" r:id="rId86"/>
    <hyperlink ref="AM53" r:id="rId87"/>
    <hyperlink ref="AR53" r:id="rId88"/>
    <hyperlink ref="AW53" r:id="rId89"/>
    <hyperlink ref="F54" r:id="rId90"/>
    <hyperlink ref="S54" r:id="rId91"/>
    <hyperlink ref="X54" r:id="rId92"/>
    <hyperlink ref="AH54" r:id="rId93"/>
    <hyperlink ref="F55" r:id="rId94"/>
    <hyperlink ref="S55" r:id="rId95"/>
    <hyperlink ref="X55" r:id="rId96"/>
    <hyperlink ref="AH55" r:id="rId97"/>
    <hyperlink ref="AM55" r:id="rId98"/>
    <hyperlink ref="AR55" r:id="rId99"/>
    <hyperlink ref="AW55" r:id="rId100"/>
  </hyperlinks>
  <pageMargins left="0.7" right="0.7" top="0.75" bottom="0.75" header="0.3" footer="0.3"/>
  <legacy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BatteryMonitoringUnit_BMU.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USD_EUR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2020-10-28T23:09:35Z</dcterms:created>
  <dcterms:modified xsi:type="dcterms:W3CDTF">2020-10-28T23:09:35Z</dcterms:modified>
</cp:coreProperties>
</file>