
<file path=[Content_Types].xml><?xml version="1.0" encoding="utf-8"?>
<Types xmlns="http://schemas.openxmlformats.org/package/2006/content-types">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25944" windowHeight="13176" tabRatio="891" firstSheet="1" activeTab="2"/>
  </bookViews>
  <sheets>
    <sheet name="Read Me" sheetId="1" r:id="rId1"/>
    <sheet name="Star Passes" sheetId="35" r:id="rId2"/>
    <sheet name="IGRF" sheetId="2" r:id="rId3"/>
    <sheet name="Score" sheetId="20" r:id="rId4"/>
    <sheet name="Penalties" sheetId="32" r:id="rId5"/>
    <sheet name="Lineups" sheetId="31" r:id="rId6"/>
    <sheet name="Expulsion-Suspension Form" sheetId="6" r:id="rId7"/>
    <sheet name="Game Summary" sheetId="7" r:id="rId8"/>
    <sheet name="Penalty Summary" sheetId="33" r:id="rId9"/>
    <sheet name="Official Reviews" sheetId="26" r:id="rId10"/>
    <sheet name="Actions" sheetId="24" r:id="rId11"/>
    <sheet name="Errors" sheetId="25" r:id="rId12"/>
    <sheet name="Game Clock" sheetId="11" r:id="rId13"/>
    <sheet name="Penalty Box" sheetId="13" r:id="rId14"/>
    <sheet name="Whiteboards" sheetId="14" r:id="rId15"/>
    <sheet name="Dual Trackers" sheetId="21" r:id="rId16"/>
    <sheet name="NOTT Score" sheetId="23" r:id="rId17"/>
    <sheet name="LU" sheetId="17" r:id="rId18"/>
    <sheet name="PT" sheetId="34" r:id="rId19"/>
    <sheet name="SK" sheetId="15" r:id="rId20"/>
    <sheet name="Credits" sheetId="27" r:id="rId21"/>
    <sheet name="Colophon" sheetId="28" r:id="rId22"/>
  </sheets>
  <definedNames>
    <definedName name="____W.O.R.K.B.O.O.K..C.O.N.T.E.N.T.S____" localSheetId="5">#REF!</definedName>
    <definedName name="____W.O.R.K.B.O.O.K..C.O.N.T.E.N.T.S____" localSheetId="4">#REF!</definedName>
    <definedName name="____W.O.R.K.B.O.O.K..C.O.N.T.E.N.T.S____" localSheetId="8">#REF!</definedName>
    <definedName name="____W.O.R.K.B.O.O.K..C.O.N.T.E.N.T.S____" localSheetId="18">#REF!</definedName>
    <definedName name="____W.O.R.K.B.O.O.K..C.O.N.T.E.N.T.S____">#REF!</definedName>
    <definedName name="_ao">#REF!</definedName>
    <definedName name="a0" localSheetId="10">#REF!</definedName>
    <definedName name="a0" localSheetId="15">#REF!</definedName>
    <definedName name="a0" localSheetId="11">#REF!</definedName>
    <definedName name="a0" localSheetId="5">#REF!</definedName>
    <definedName name="a0" localSheetId="3">Score!#REF!</definedName>
    <definedName name="a0">#REF!</definedName>
    <definedName name="ao" localSheetId="10">#REF!</definedName>
    <definedName name="ao" localSheetId="15">#REF!</definedName>
    <definedName name="ao" localSheetId="11">#REF!</definedName>
    <definedName name="ao" localSheetId="5">#REF!</definedName>
    <definedName name="ao" localSheetId="4">#REF!</definedName>
    <definedName name="ao" localSheetId="8">#REF!</definedName>
    <definedName name="ao" localSheetId="18">#REF!</definedName>
    <definedName name="ao" localSheetId="3">Score!$H$4</definedName>
    <definedName name="ao">#REF!</definedName>
    <definedName name="Flooring">#N/A</definedName>
    <definedName name="Flooring_1">#N/A</definedName>
    <definedName name="Flooring_2">#N/A</definedName>
    <definedName name="Flooring_3">#N/A</definedName>
    <definedName name="Flooring_4">#N/A</definedName>
    <definedName name="Flooring_5">#N/A</definedName>
    <definedName name="Flooring_6">#N/A</definedName>
    <definedName name="_xlnm.Print_Area" localSheetId="10">Actions!$A$1:$N$98</definedName>
    <definedName name="_xlnm.Print_Area" localSheetId="15">'Dual Trackers'!$A$1:$AX$48</definedName>
    <definedName name="_xlnm.Print_Area" localSheetId="11">Errors!$A$1:$N$98</definedName>
    <definedName name="_xlnm.Print_Area" localSheetId="6">'Expulsion-Suspension Form'!$A$1:$E$36</definedName>
    <definedName name="_xlnm.Print_Area" localSheetId="12">'Game Clock'!$A$1:$J$102</definedName>
    <definedName name="_xlnm.Print_Area" localSheetId="7">'Game Summary'!$A$1:$BT$48</definedName>
    <definedName name="_xlnm.Print_Area" localSheetId="2">IGRF!$A$1:$L$78</definedName>
    <definedName name="_xlnm.Print_Area" localSheetId="5">Lineups!$A$1:$AZ$92</definedName>
    <definedName name="_xlnm.Print_Area" localSheetId="9">'Official Reviews'!$A$1:$I$32</definedName>
    <definedName name="_xlnm.Print_Area" localSheetId="4">Penalties!$A$1:$BD$49</definedName>
    <definedName name="_xlnm.Print_Area" localSheetId="13">'Penalty Box'!$A$1:$AH$88</definedName>
    <definedName name="_xlnm.Print_Area" localSheetId="8">'Penalty Summary'!$A$1:$X$58</definedName>
    <definedName name="_xlnm.Print_Area" localSheetId="0">'Read Me'!$A$1:$K$82</definedName>
    <definedName name="_xlnm.Print_Area" localSheetId="3">Score!$A$1:$AK$94</definedName>
  </definedNames>
  <calcPr calcId="145621"/>
  <extLst>
    <ext xmlns:mx="http://schemas.microsoft.com/office/mac/excel/2008/main" uri="{7523E5D3-25F3-A5E0-1632-64F254C22452}">
      <mx:CRTarget Flags="32"/>
      <mx:ArchID Flags="2"/>
    </ext>
  </extLst>
</workbook>
</file>

<file path=xl/calcChain.xml><?xml version="1.0" encoding="utf-8"?>
<calcChain xmlns="http://schemas.openxmlformats.org/spreadsheetml/2006/main">
  <c r="AZ5" i="31" l="1"/>
  <c r="AZ51" i="31" s="1"/>
  <c r="AZ6" i="31"/>
  <c r="AZ7" i="31"/>
  <c r="AZ53" i="31" s="1"/>
  <c r="AZ8" i="31"/>
  <c r="AZ9" i="31"/>
  <c r="AZ10" i="31"/>
  <c r="AZ11" i="31"/>
  <c r="AZ12" i="31"/>
  <c r="AZ58" i="31" s="1"/>
  <c r="AZ13" i="31"/>
  <c r="AZ59" i="31" s="1"/>
  <c r="AZ14" i="31"/>
  <c r="AZ15" i="31"/>
  <c r="AZ16" i="31"/>
  <c r="AZ17" i="31"/>
  <c r="AZ18" i="31"/>
  <c r="AZ19" i="31"/>
  <c r="AZ20" i="31"/>
  <c r="AZ66" i="31" s="1"/>
  <c r="AZ21" i="31"/>
  <c r="AZ67" i="31" s="1"/>
  <c r="AZ22" i="31"/>
  <c r="AZ23" i="31"/>
  <c r="AZ69" i="31" s="1"/>
  <c r="AZ4" i="31"/>
  <c r="Z5" i="31"/>
  <c r="Z51" i="31" s="1"/>
  <c r="Z6" i="31"/>
  <c r="Z7" i="31"/>
  <c r="Z8" i="31"/>
  <c r="Z9" i="31"/>
  <c r="Z55" i="31" s="1"/>
  <c r="Z10" i="31"/>
  <c r="Z11" i="31"/>
  <c r="Z57" i="31" s="1"/>
  <c r="Z12" i="31"/>
  <c r="Z13" i="31"/>
  <c r="Z59" i="31" s="1"/>
  <c r="Z14" i="31"/>
  <c r="Z15" i="31"/>
  <c r="Z16" i="31"/>
  <c r="Z62" i="31" s="1"/>
  <c r="Z17" i="31"/>
  <c r="Z63" i="31" s="1"/>
  <c r="Z18" i="31"/>
  <c r="Z19" i="31"/>
  <c r="Z20" i="31"/>
  <c r="Z21" i="31"/>
  <c r="Z67" i="31" s="1"/>
  <c r="Z22" i="31"/>
  <c r="Z23" i="31"/>
  <c r="Z4" i="31"/>
  <c r="C4" i="31"/>
  <c r="K29" i="14"/>
  <c r="L29" i="14"/>
  <c r="K30" i="14"/>
  <c r="L30" i="14"/>
  <c r="K31" i="14"/>
  <c r="L31" i="14"/>
  <c r="K32" i="14"/>
  <c r="L32" i="14"/>
  <c r="K33" i="14"/>
  <c r="L33" i="14"/>
  <c r="K34" i="14"/>
  <c r="L34" i="14"/>
  <c r="K35" i="14"/>
  <c r="L35" i="14"/>
  <c r="K36" i="14"/>
  <c r="L36" i="14"/>
  <c r="K37" i="14"/>
  <c r="L37" i="14"/>
  <c r="K38" i="14"/>
  <c r="L38" i="14"/>
  <c r="K39" i="14"/>
  <c r="L39" i="14"/>
  <c r="K40" i="14"/>
  <c r="L40" i="14"/>
  <c r="K41" i="14"/>
  <c r="L41" i="14"/>
  <c r="K42" i="14"/>
  <c r="L42" i="14"/>
  <c r="K43" i="14"/>
  <c r="L43" i="14"/>
  <c r="L28" i="14"/>
  <c r="K28" i="14"/>
  <c r="A19" i="26"/>
  <c r="A3" i="26"/>
  <c r="AC49" i="32"/>
  <c r="AC48" i="32"/>
  <c r="AC47" i="32"/>
  <c r="AC46" i="32"/>
  <c r="A90" i="15"/>
  <c r="A92" i="15"/>
  <c r="A94" i="15"/>
  <c r="A96" i="15"/>
  <c r="A98" i="15"/>
  <c r="A100" i="15"/>
  <c r="A102" i="15"/>
  <c r="A104" i="15"/>
  <c r="A106" i="15"/>
  <c r="A108" i="15"/>
  <c r="A110" i="15"/>
  <c r="A112" i="15"/>
  <c r="A114" i="15"/>
  <c r="A116" i="15"/>
  <c r="A118" i="15"/>
  <c r="A120" i="15"/>
  <c r="A122" i="15"/>
  <c r="A124" i="15"/>
  <c r="A126" i="15"/>
  <c r="A128" i="15"/>
  <c r="A130" i="15"/>
  <c r="A132" i="15"/>
  <c r="A134" i="15"/>
  <c r="A136" i="15"/>
  <c r="A138" i="15"/>
  <c r="A140" i="15"/>
  <c r="A142" i="15"/>
  <c r="A144" i="15"/>
  <c r="A146" i="15"/>
  <c r="A148" i="15"/>
  <c r="A150" i="15"/>
  <c r="A152" i="15"/>
  <c r="A154" i="15"/>
  <c r="A156" i="15"/>
  <c r="A158" i="15"/>
  <c r="A160" i="15"/>
  <c r="A162" i="15"/>
  <c r="B88" i="15"/>
  <c r="A62" i="11"/>
  <c r="B90" i="15"/>
  <c r="A63" i="11"/>
  <c r="B92" i="15"/>
  <c r="A64" i="11"/>
  <c r="B94" i="15"/>
  <c r="A65" i="11"/>
  <c r="B96" i="15"/>
  <c r="A66" i="11"/>
  <c r="B98" i="15"/>
  <c r="A67" i="11"/>
  <c r="B100" i="15"/>
  <c r="A68" i="11"/>
  <c r="B102" i="15"/>
  <c r="A69" i="11"/>
  <c r="B104" i="15"/>
  <c r="A70" i="11"/>
  <c r="B106" i="15"/>
  <c r="A71" i="11"/>
  <c r="B108" i="15"/>
  <c r="A72" i="11"/>
  <c r="B110" i="15"/>
  <c r="A73" i="11"/>
  <c r="B112" i="15"/>
  <c r="A74" i="11"/>
  <c r="B114" i="15"/>
  <c r="A75" i="11"/>
  <c r="B116" i="15"/>
  <c r="A76" i="11"/>
  <c r="B118" i="15"/>
  <c r="A77" i="11"/>
  <c r="B120" i="15"/>
  <c r="A78" i="11"/>
  <c r="B122" i="15"/>
  <c r="A79" i="11"/>
  <c r="B124" i="15"/>
  <c r="A80" i="11"/>
  <c r="B126" i="15"/>
  <c r="A81" i="11"/>
  <c r="B128" i="15"/>
  <c r="A82" i="11"/>
  <c r="B130" i="15"/>
  <c r="A83" i="11"/>
  <c r="B132" i="15"/>
  <c r="A84" i="11"/>
  <c r="B134" i="15"/>
  <c r="A85" i="11"/>
  <c r="B136" i="15"/>
  <c r="A86" i="11"/>
  <c r="B138" i="15"/>
  <c r="A87" i="11"/>
  <c r="B140" i="15"/>
  <c r="A88" i="11"/>
  <c r="B142" i="15"/>
  <c r="A89" i="11"/>
  <c r="B144" i="15"/>
  <c r="A90" i="11"/>
  <c r="B146" i="15"/>
  <c r="A91" i="11"/>
  <c r="N162" i="15"/>
  <c r="AD162" i="15" s="1"/>
  <c r="AE162" i="15" s="1"/>
  <c r="N160" i="15"/>
  <c r="AD160" i="15" s="1"/>
  <c r="AE160" i="15" s="1"/>
  <c r="N158" i="15"/>
  <c r="AD158" i="15" s="1"/>
  <c r="AE158" i="15" s="1"/>
  <c r="N156" i="15"/>
  <c r="AD156" i="15" s="1"/>
  <c r="AE156" i="15" s="1"/>
  <c r="N154" i="15"/>
  <c r="O154" i="15" s="1"/>
  <c r="N152" i="15"/>
  <c r="N150" i="15"/>
  <c r="AD150" i="15" s="1"/>
  <c r="AE150" i="15" s="1"/>
  <c r="N148" i="15"/>
  <c r="N146" i="15"/>
  <c r="AD146" i="15" s="1"/>
  <c r="AE146" i="15" s="1"/>
  <c r="N144" i="15"/>
  <c r="O144" i="15" s="1"/>
  <c r="N142" i="15"/>
  <c r="N140" i="15"/>
  <c r="O140" i="15" s="1"/>
  <c r="N138" i="15"/>
  <c r="O138" i="15" s="1"/>
  <c r="N136" i="15"/>
  <c r="AD136" i="15" s="1"/>
  <c r="AE136" i="15" s="1"/>
  <c r="N1" i="15"/>
  <c r="A5" i="15"/>
  <c r="A7" i="15"/>
  <c r="A9" i="15"/>
  <c r="A11" i="15"/>
  <c r="A13" i="15"/>
  <c r="A15" i="15"/>
  <c r="A17" i="15"/>
  <c r="A19" i="15"/>
  <c r="A21" i="15"/>
  <c r="A23" i="15"/>
  <c r="A25" i="15"/>
  <c r="A27" i="15"/>
  <c r="A29" i="15"/>
  <c r="A31" i="15"/>
  <c r="A33" i="15"/>
  <c r="A35" i="15"/>
  <c r="A37" i="15"/>
  <c r="A39" i="15"/>
  <c r="A41" i="15"/>
  <c r="A43" i="15"/>
  <c r="A45" i="15"/>
  <c r="A47" i="15"/>
  <c r="A49" i="15"/>
  <c r="A51" i="15"/>
  <c r="A53" i="15"/>
  <c r="A55" i="15"/>
  <c r="A57" i="15"/>
  <c r="A59" i="15"/>
  <c r="A61" i="15"/>
  <c r="A63" i="15"/>
  <c r="A65" i="15"/>
  <c r="A67" i="15"/>
  <c r="A69" i="15"/>
  <c r="A71" i="15"/>
  <c r="A73" i="15"/>
  <c r="A75" i="15"/>
  <c r="A77" i="15"/>
  <c r="B3" i="15"/>
  <c r="A11" i="11"/>
  <c r="B5" i="15"/>
  <c r="A12" i="11"/>
  <c r="B7" i="15"/>
  <c r="Q6" i="20"/>
  <c r="D1" i="15"/>
  <c r="B9" i="15"/>
  <c r="A14" i="11"/>
  <c r="J14" i="11"/>
  <c r="B11" i="15"/>
  <c r="A15" i="11"/>
  <c r="B13" i="15"/>
  <c r="A16" i="11"/>
  <c r="J16" i="11"/>
  <c r="B15" i="15"/>
  <c r="S10" i="20"/>
  <c r="M1" i="15"/>
  <c r="B17" i="15"/>
  <c r="A18" i="11"/>
  <c r="I18" i="11"/>
  <c r="B19" i="15"/>
  <c r="L1" i="15"/>
  <c r="B21" i="15"/>
  <c r="A20" i="11"/>
  <c r="B23" i="15"/>
  <c r="B25" i="15"/>
  <c r="A22" i="11"/>
  <c r="J22" i="11"/>
  <c r="B27" i="15"/>
  <c r="Q16" i="20"/>
  <c r="C1" i="15"/>
  <c r="Q5" i="15"/>
  <c r="Q7" i="15"/>
  <c r="Q9" i="15"/>
  <c r="Q11" i="15"/>
  <c r="Q13" i="15"/>
  <c r="Q15" i="15"/>
  <c r="Q17" i="15"/>
  <c r="Q19" i="15"/>
  <c r="Q21" i="15"/>
  <c r="Q23" i="15"/>
  <c r="Q25" i="15"/>
  <c r="Q27" i="15"/>
  <c r="R27" i="15"/>
  <c r="AJ16" i="20"/>
  <c r="T1" i="15"/>
  <c r="S1" i="15"/>
  <c r="A23" i="11"/>
  <c r="I23" i="11"/>
  <c r="B29" i="15"/>
  <c r="A24" i="11"/>
  <c r="B31" i="15"/>
  <c r="G1" i="15"/>
  <c r="B33" i="15"/>
  <c r="A26" i="11"/>
  <c r="J26" i="11"/>
  <c r="B35" i="15"/>
  <c r="J1" i="15"/>
  <c r="B37" i="15"/>
  <c r="B39" i="15"/>
  <c r="B41" i="15"/>
  <c r="A30" i="11"/>
  <c r="J30" i="11"/>
  <c r="B43" i="15"/>
  <c r="A31" i="11"/>
  <c r="B45" i="15"/>
  <c r="A32" i="11"/>
  <c r="B47" i="15"/>
  <c r="B49" i="15"/>
  <c r="A34" i="11"/>
  <c r="I34" i="11"/>
  <c r="B51" i="15"/>
  <c r="B53" i="15"/>
  <c r="A36" i="11"/>
  <c r="J36" i="11"/>
  <c r="B55" i="15"/>
  <c r="L55" i="15"/>
  <c r="B57" i="15"/>
  <c r="A38" i="11"/>
  <c r="J38" i="11"/>
  <c r="B59" i="15"/>
  <c r="A39" i="11"/>
  <c r="J39" i="11"/>
  <c r="B61" i="15"/>
  <c r="D61" i="15"/>
  <c r="R44" i="13"/>
  <c r="R88" i="13"/>
  <c r="A88" i="13"/>
  <c r="AH3" i="13"/>
  <c r="AH47" i="13"/>
  <c r="Q47" i="13"/>
  <c r="W31" i="33"/>
  <c r="D31" i="33"/>
  <c r="A33" i="33"/>
  <c r="A34" i="33"/>
  <c r="A35" i="33"/>
  <c r="A36" i="33"/>
  <c r="A37" i="33"/>
  <c r="A38" i="33"/>
  <c r="A39" i="33"/>
  <c r="A40" i="33"/>
  <c r="A41" i="33"/>
  <c r="A42" i="33"/>
  <c r="A43" i="33"/>
  <c r="A44" i="33"/>
  <c r="A45" i="33"/>
  <c r="A46" i="33"/>
  <c r="A47" i="33"/>
  <c r="A48" i="33"/>
  <c r="A49" i="33"/>
  <c r="A50" i="33"/>
  <c r="A51" i="33"/>
  <c r="U51" i="33"/>
  <c r="A52" i="33"/>
  <c r="U52" i="33"/>
  <c r="AH96" i="34"/>
  <c r="AI96" i="34"/>
  <c r="AH97" i="34"/>
  <c r="AI97" i="34"/>
  <c r="AJ97" i="34"/>
  <c r="C53" i="33"/>
  <c r="AH98" i="34"/>
  <c r="AI98" i="34"/>
  <c r="AH99" i="34"/>
  <c r="AI99" i="34"/>
  <c r="AJ99" i="34"/>
  <c r="C54" i="33"/>
  <c r="B56" i="34"/>
  <c r="Y56" i="34"/>
  <c r="B58" i="34"/>
  <c r="X58" i="34"/>
  <c r="B60" i="34"/>
  <c r="X60" i="34"/>
  <c r="B62" i="34"/>
  <c r="Y62" i="34"/>
  <c r="X62" i="34"/>
  <c r="B64" i="34"/>
  <c r="AF64" i="34"/>
  <c r="B66" i="34"/>
  <c r="K67" i="34"/>
  <c r="B68" i="34"/>
  <c r="W68" i="34"/>
  <c r="B70" i="34"/>
  <c r="AE70" i="34"/>
  <c r="B72" i="34"/>
  <c r="AB73" i="34"/>
  <c r="B74" i="34"/>
  <c r="R75" i="34"/>
  <c r="B76" i="34"/>
  <c r="AI76" i="34"/>
  <c r="B78" i="34"/>
  <c r="AB78" i="34"/>
  <c r="B80" i="34"/>
  <c r="R80" i="34"/>
  <c r="B82" i="34"/>
  <c r="X82" i="34"/>
  <c r="B84" i="34"/>
  <c r="X84" i="34"/>
  <c r="B86" i="34"/>
  <c r="X87" i="34"/>
  <c r="B88" i="34"/>
  <c r="Z89" i="34"/>
  <c r="B90" i="34"/>
  <c r="B92" i="34"/>
  <c r="X92" i="34"/>
  <c r="B94" i="34"/>
  <c r="X94" i="34"/>
  <c r="X63" i="34"/>
  <c r="X69" i="34"/>
  <c r="X81" i="34"/>
  <c r="X83" i="34"/>
  <c r="X91" i="34"/>
  <c r="X93" i="34"/>
  <c r="X95" i="34"/>
  <c r="Y60" i="34"/>
  <c r="Y84" i="34"/>
  <c r="Y90" i="34"/>
  <c r="Y92" i="34"/>
  <c r="Y94" i="34"/>
  <c r="Y63" i="34"/>
  <c r="Y85" i="34"/>
  <c r="Y91" i="34"/>
  <c r="Y93" i="34"/>
  <c r="Y95" i="34"/>
  <c r="Z86" i="34"/>
  <c r="Z92" i="34"/>
  <c r="Z94" i="34"/>
  <c r="Z59" i="34"/>
  <c r="Z69" i="34"/>
  <c r="Z85" i="34"/>
  <c r="Z87" i="34"/>
  <c r="Z93" i="34"/>
  <c r="Z95" i="34"/>
  <c r="AA60" i="34"/>
  <c r="AA84" i="34"/>
  <c r="AA92" i="34"/>
  <c r="AA94" i="34"/>
  <c r="AA63" i="34"/>
  <c r="AA85" i="34"/>
  <c r="AA93" i="34"/>
  <c r="AA95" i="34"/>
  <c r="AB60" i="34"/>
  <c r="AB62" i="34"/>
  <c r="AB84" i="34"/>
  <c r="AB92" i="34"/>
  <c r="AB94" i="34"/>
  <c r="AB63" i="34"/>
  <c r="AB85" i="34"/>
  <c r="AB93" i="34"/>
  <c r="AB95" i="34"/>
  <c r="AC60" i="34"/>
  <c r="AC68" i="34"/>
  <c r="AC84" i="34"/>
  <c r="AC92" i="34"/>
  <c r="AC94" i="34"/>
  <c r="AC69" i="34"/>
  <c r="AC93" i="34"/>
  <c r="AC95" i="34"/>
  <c r="AD60" i="34"/>
  <c r="AD84" i="34"/>
  <c r="AD92" i="34"/>
  <c r="AD94" i="34"/>
  <c r="AD93" i="34"/>
  <c r="AD95" i="34"/>
  <c r="AE62" i="34"/>
  <c r="AE84" i="34"/>
  <c r="AE92" i="34"/>
  <c r="AE94" i="34"/>
  <c r="AE61" i="34"/>
  <c r="AE77" i="34"/>
  <c r="AE85" i="34"/>
  <c r="AE87" i="34"/>
  <c r="AE93" i="34"/>
  <c r="AE95" i="34"/>
  <c r="AF60" i="34"/>
  <c r="AF66" i="34"/>
  <c r="AF92" i="34"/>
  <c r="AF94" i="34"/>
  <c r="AF63" i="34"/>
  <c r="AF69" i="34"/>
  <c r="AF85" i="34"/>
  <c r="AF93" i="34"/>
  <c r="AF95" i="34"/>
  <c r="AG62" i="34"/>
  <c r="AG92" i="34"/>
  <c r="AG94" i="34"/>
  <c r="AG79" i="34"/>
  <c r="AG83" i="34"/>
  <c r="AG85" i="34"/>
  <c r="AG93" i="34"/>
  <c r="AG95" i="34"/>
  <c r="AH58" i="34"/>
  <c r="AH60" i="34"/>
  <c r="AH84" i="34"/>
  <c r="AH92" i="34"/>
  <c r="AH94" i="34"/>
  <c r="AH63" i="34"/>
  <c r="AH73" i="34"/>
  <c r="AH85" i="34"/>
  <c r="AH91" i="34"/>
  <c r="AH93" i="34"/>
  <c r="AH95" i="34"/>
  <c r="AI62" i="34"/>
  <c r="AI84" i="34"/>
  <c r="AI92" i="34"/>
  <c r="AI94" i="34"/>
  <c r="AI63" i="34"/>
  <c r="AI79" i="34"/>
  <c r="AI91" i="34"/>
  <c r="AI93" i="34"/>
  <c r="AI95" i="34"/>
  <c r="B3" i="34"/>
  <c r="K4" i="34"/>
  <c r="B5" i="34"/>
  <c r="B7" i="34"/>
  <c r="AC8" i="34"/>
  <c r="B9" i="34"/>
  <c r="X9" i="34"/>
  <c r="B11" i="34"/>
  <c r="B13" i="34"/>
  <c r="X13" i="34"/>
  <c r="B15" i="34"/>
  <c r="E16" i="34"/>
  <c r="B17" i="34"/>
  <c r="B19" i="34"/>
  <c r="Z20" i="34"/>
  <c r="B21" i="34"/>
  <c r="AC21" i="34"/>
  <c r="B23" i="34"/>
  <c r="AA24" i="34"/>
  <c r="B25" i="34"/>
  <c r="B27" i="34"/>
  <c r="Z28" i="34"/>
  <c r="B29" i="34"/>
  <c r="AD29" i="34"/>
  <c r="B31" i="34"/>
  <c r="X31" i="34"/>
  <c r="B33" i="34"/>
  <c r="AF34" i="34"/>
  <c r="B35" i="34"/>
  <c r="X35" i="34"/>
  <c r="B37" i="34"/>
  <c r="X37" i="34"/>
  <c r="B39" i="34"/>
  <c r="X39" i="34"/>
  <c r="B41" i="34"/>
  <c r="X41" i="34"/>
  <c r="X36" i="34"/>
  <c r="X38" i="34"/>
  <c r="X40" i="34"/>
  <c r="X42" i="34"/>
  <c r="Y13" i="34"/>
  <c r="Y23" i="34"/>
  <c r="Y25" i="34"/>
  <c r="Y35" i="34"/>
  <c r="Y37" i="34"/>
  <c r="Y39" i="34"/>
  <c r="Y41" i="34"/>
  <c r="Y14" i="34"/>
  <c r="Y24" i="34"/>
  <c r="Y36" i="34"/>
  <c r="Y38" i="34"/>
  <c r="Y40" i="34"/>
  <c r="Y42" i="34"/>
  <c r="Z25" i="34"/>
  <c r="Z35" i="34"/>
  <c r="Z37" i="34"/>
  <c r="Z39" i="34"/>
  <c r="Z41" i="34"/>
  <c r="Z36" i="34"/>
  <c r="Z38" i="34"/>
  <c r="Z40" i="34"/>
  <c r="Z42" i="34"/>
  <c r="AA35" i="34"/>
  <c r="AA37" i="34"/>
  <c r="AA39" i="34"/>
  <c r="AA41" i="34"/>
  <c r="AA32" i="34"/>
  <c r="AA36" i="34"/>
  <c r="AA38" i="34"/>
  <c r="AA40" i="34"/>
  <c r="AA42" i="34"/>
  <c r="AB35" i="34"/>
  <c r="AB37" i="34"/>
  <c r="AB39" i="34"/>
  <c r="AB41" i="34"/>
  <c r="AB36" i="34"/>
  <c r="AB38" i="34"/>
  <c r="AB40" i="34"/>
  <c r="AB42" i="34"/>
  <c r="AC31" i="34"/>
  <c r="AC35" i="34"/>
  <c r="AC37" i="34"/>
  <c r="AC39" i="34"/>
  <c r="AC41" i="34"/>
  <c r="AC26" i="34"/>
  <c r="AC30" i="34"/>
  <c r="AC36" i="34"/>
  <c r="AC38" i="34"/>
  <c r="AC40" i="34"/>
  <c r="AC42" i="34"/>
  <c r="AD35" i="34"/>
  <c r="AD37" i="34"/>
  <c r="AD39" i="34"/>
  <c r="AD41" i="34"/>
  <c r="AD30" i="34"/>
  <c r="AD32" i="34"/>
  <c r="AD36" i="34"/>
  <c r="AD38" i="34"/>
  <c r="AD40" i="34"/>
  <c r="AD42" i="34"/>
  <c r="AE31" i="34"/>
  <c r="AE35" i="34"/>
  <c r="AE37" i="34"/>
  <c r="AE39" i="34"/>
  <c r="AE41" i="34"/>
  <c r="AE36" i="34"/>
  <c r="AE38" i="34"/>
  <c r="AE40" i="34"/>
  <c r="AE42" i="34"/>
  <c r="AF29" i="34"/>
  <c r="AF35" i="34"/>
  <c r="AF37" i="34"/>
  <c r="AF39" i="34"/>
  <c r="AF41" i="34"/>
  <c r="AF32" i="34"/>
  <c r="AF36" i="34"/>
  <c r="AF38" i="34"/>
  <c r="AF40" i="34"/>
  <c r="AF42" i="34"/>
  <c r="AG35" i="34"/>
  <c r="AG37" i="34"/>
  <c r="AG39" i="34"/>
  <c r="AG41" i="34"/>
  <c r="AG14" i="34"/>
  <c r="AG26" i="34"/>
  <c r="AG36" i="34"/>
  <c r="AG38" i="34"/>
  <c r="AG40" i="34"/>
  <c r="AG42" i="34"/>
  <c r="AH17" i="34"/>
  <c r="AH31" i="34"/>
  <c r="AH35" i="34"/>
  <c r="AH37" i="34"/>
  <c r="AH39" i="34"/>
  <c r="AH41" i="34"/>
  <c r="AH43" i="34"/>
  <c r="AH45" i="34"/>
  <c r="AH14" i="34"/>
  <c r="AH24" i="34"/>
  <c r="AH34" i="34"/>
  <c r="AH36" i="34"/>
  <c r="AH38" i="34"/>
  <c r="AH40" i="34"/>
  <c r="AH42" i="34"/>
  <c r="AH44" i="34"/>
  <c r="AH46" i="34"/>
  <c r="AI35" i="34"/>
  <c r="AI37" i="34"/>
  <c r="AI39" i="34"/>
  <c r="AI41" i="34"/>
  <c r="AI43" i="34"/>
  <c r="AI45" i="34"/>
  <c r="AI18" i="34"/>
  <c r="AI26" i="34"/>
  <c r="AI32" i="34"/>
  <c r="AI36" i="34"/>
  <c r="AI38" i="34"/>
  <c r="AI40" i="34"/>
  <c r="AI42" i="34"/>
  <c r="AI44" i="34"/>
  <c r="AI46" i="34"/>
  <c r="AJ44" i="34"/>
  <c r="C24" i="33"/>
  <c r="AJ46" i="34"/>
  <c r="C25" i="33"/>
  <c r="A4" i="33"/>
  <c r="A5" i="33"/>
  <c r="A6" i="33"/>
  <c r="A7" i="33"/>
  <c r="A8" i="33"/>
  <c r="A9" i="33"/>
  <c r="A10" i="33"/>
  <c r="A11" i="33"/>
  <c r="A12" i="33"/>
  <c r="A13" i="33"/>
  <c r="A14" i="33"/>
  <c r="A15" i="33"/>
  <c r="A16" i="33"/>
  <c r="A17" i="33"/>
  <c r="A18" i="33"/>
  <c r="A19" i="33"/>
  <c r="A20" i="33"/>
  <c r="U20" i="33"/>
  <c r="A21" i="33"/>
  <c r="U21" i="33"/>
  <c r="A22" i="33"/>
  <c r="U22" i="33"/>
  <c r="A23" i="33"/>
  <c r="U23" i="33"/>
  <c r="A47" i="7"/>
  <c r="F47" i="7"/>
  <c r="BG47" i="7"/>
  <c r="A46" i="7"/>
  <c r="F46" i="7"/>
  <c r="BP46" i="7"/>
  <c r="A45" i="7"/>
  <c r="AJ45" i="7"/>
  <c r="A44" i="7"/>
  <c r="A43" i="7"/>
  <c r="A42" i="7"/>
  <c r="A41" i="7"/>
  <c r="AJ41" i="7"/>
  <c r="A40" i="7"/>
  <c r="AJ40" i="7"/>
  <c r="A39" i="7"/>
  <c r="A38" i="7"/>
  <c r="A37" i="7"/>
  <c r="AJ37" i="7"/>
  <c r="A36" i="7"/>
  <c r="AJ36" i="7"/>
  <c r="A35" i="7"/>
  <c r="A34" i="7"/>
  <c r="AJ34" i="7"/>
  <c r="A33" i="7"/>
  <c r="AJ33" i="7"/>
  <c r="A32" i="7"/>
  <c r="AJ32" i="7"/>
  <c r="A31" i="7"/>
  <c r="A30" i="7"/>
  <c r="AJ30" i="7"/>
  <c r="A29" i="7"/>
  <c r="AJ29" i="7"/>
  <c r="A28" i="7"/>
  <c r="AJ28" i="7"/>
  <c r="T42" i="20"/>
  <c r="V42" i="20"/>
  <c r="Y42" i="20"/>
  <c r="T89" i="20"/>
  <c r="Y89" i="20"/>
  <c r="X89" i="20"/>
  <c r="W89" i="20"/>
  <c r="V89" i="20"/>
  <c r="Z89" i="20"/>
  <c r="A89" i="20"/>
  <c r="F89" i="20"/>
  <c r="E89" i="20"/>
  <c r="D89" i="20"/>
  <c r="C89" i="20"/>
  <c r="G89" i="20"/>
  <c r="A42" i="20"/>
  <c r="F42" i="20"/>
  <c r="A25" i="7"/>
  <c r="F25" i="7"/>
  <c r="AH25" i="7"/>
  <c r="A24" i="7"/>
  <c r="F24" i="7"/>
  <c r="BI24" i="7"/>
  <c r="A23" i="7"/>
  <c r="F23" i="7"/>
  <c r="AR23" i="7"/>
  <c r="A22" i="7"/>
  <c r="F22" i="7"/>
  <c r="AV22" i="7"/>
  <c r="A21" i="7"/>
  <c r="A20" i="7"/>
  <c r="A19" i="7"/>
  <c r="A18" i="7"/>
  <c r="AJ18" i="7"/>
  <c r="A17" i="7"/>
  <c r="AJ17" i="7"/>
  <c r="A16" i="7"/>
  <c r="AJ16" i="7"/>
  <c r="A15" i="7"/>
  <c r="AJ15" i="7"/>
  <c r="A14" i="7"/>
  <c r="AJ14" i="7"/>
  <c r="A13" i="7"/>
  <c r="A12" i="7"/>
  <c r="A11" i="7"/>
  <c r="AJ11" i="7"/>
  <c r="A10" i="7"/>
  <c r="AJ10" i="7"/>
  <c r="A9" i="7"/>
  <c r="AJ9" i="7"/>
  <c r="A8" i="7"/>
  <c r="A7" i="7"/>
  <c r="AJ7" i="7"/>
  <c r="A6" i="7"/>
  <c r="AJ6" i="7"/>
  <c r="B9" i="17"/>
  <c r="B78" i="17"/>
  <c r="AA87" i="31"/>
  <c r="AW87" i="31"/>
  <c r="A87" i="31"/>
  <c r="W87" i="31"/>
  <c r="AA86" i="31"/>
  <c r="AW86" i="31"/>
  <c r="A86" i="31"/>
  <c r="W86" i="31"/>
  <c r="AA85" i="31"/>
  <c r="AW85" i="31"/>
  <c r="A85" i="31"/>
  <c r="W85" i="31"/>
  <c r="AA84" i="31"/>
  <c r="AW84" i="31"/>
  <c r="A84" i="31"/>
  <c r="W84" i="31"/>
  <c r="AA83" i="31"/>
  <c r="AW83" i="31"/>
  <c r="A83" i="31"/>
  <c r="W83" i="31"/>
  <c r="AA82" i="31"/>
  <c r="AW82" i="31"/>
  <c r="A82" i="31"/>
  <c r="W82" i="31"/>
  <c r="AA81" i="31"/>
  <c r="AW81" i="31"/>
  <c r="A81" i="31"/>
  <c r="W81" i="31"/>
  <c r="AA80" i="31"/>
  <c r="AW80" i="31"/>
  <c r="A80" i="31"/>
  <c r="W80" i="31"/>
  <c r="AA79" i="31"/>
  <c r="AW79" i="31"/>
  <c r="A79" i="31"/>
  <c r="W79" i="31"/>
  <c r="AA78" i="31"/>
  <c r="AW78" i="31"/>
  <c r="A78" i="31"/>
  <c r="W78" i="31"/>
  <c r="AA77" i="31"/>
  <c r="AW77" i="31"/>
  <c r="A77" i="31"/>
  <c r="W77" i="31"/>
  <c r="AA76" i="31"/>
  <c r="AW76" i="31"/>
  <c r="A76" i="31"/>
  <c r="W76" i="31"/>
  <c r="AA75" i="31"/>
  <c r="AW75" i="31"/>
  <c r="A75" i="31"/>
  <c r="W75" i="31"/>
  <c r="AA74" i="31"/>
  <c r="R88" i="15"/>
  <c r="Q90" i="15"/>
  <c r="R90" i="15"/>
  <c r="Q92" i="15"/>
  <c r="R92" i="15"/>
  <c r="Q94" i="15"/>
  <c r="R94" i="15"/>
  <c r="Q96" i="15"/>
  <c r="R96" i="15"/>
  <c r="Q98" i="15"/>
  <c r="R98" i="15"/>
  <c r="Q100" i="15"/>
  <c r="R100" i="15"/>
  <c r="Q102" i="15"/>
  <c r="R102" i="15"/>
  <c r="Q104" i="15"/>
  <c r="R104" i="15"/>
  <c r="Q106" i="15"/>
  <c r="R106" i="15"/>
  <c r="Q108" i="15"/>
  <c r="R108" i="15"/>
  <c r="Q110" i="15"/>
  <c r="R110" i="15"/>
  <c r="Q112" i="15"/>
  <c r="R112" i="15"/>
  <c r="Q114" i="15"/>
  <c r="R114" i="15"/>
  <c r="Q116" i="15"/>
  <c r="R116" i="15"/>
  <c r="Q118" i="15"/>
  <c r="R118" i="15"/>
  <c r="Q120" i="15"/>
  <c r="R120" i="15"/>
  <c r="Q122" i="15"/>
  <c r="R122" i="15"/>
  <c r="Q124" i="15"/>
  <c r="R124" i="15"/>
  <c r="Q126" i="15"/>
  <c r="R126" i="15"/>
  <c r="Q128" i="15"/>
  <c r="R128" i="15"/>
  <c r="Q130" i="15"/>
  <c r="R130" i="15"/>
  <c r="Q132" i="15"/>
  <c r="R132" i="15"/>
  <c r="Q134" i="15"/>
  <c r="R134" i="15"/>
  <c r="Q136" i="15"/>
  <c r="R136" i="15"/>
  <c r="R137" i="15"/>
  <c r="AC137" i="15" s="1"/>
  <c r="Q138" i="15"/>
  <c r="R138" i="15"/>
  <c r="R139" i="15"/>
  <c r="Q140" i="15"/>
  <c r="R140" i="15"/>
  <c r="R141" i="15"/>
  <c r="Z141" i="15" s="1"/>
  <c r="Q142" i="15"/>
  <c r="R142" i="15"/>
  <c r="R143" i="15"/>
  <c r="AB143" i="15" s="1"/>
  <c r="Q144" i="15"/>
  <c r="R144" i="15"/>
  <c r="R145" i="15"/>
  <c r="AC145" i="15" s="1"/>
  <c r="Q146" i="15"/>
  <c r="R146" i="15"/>
  <c r="R147" i="15"/>
  <c r="AC147" i="15" s="1"/>
  <c r="Q148" i="15"/>
  <c r="R148" i="15"/>
  <c r="R149" i="15"/>
  <c r="T149" i="15" s="1"/>
  <c r="Q150" i="15"/>
  <c r="R150" i="15"/>
  <c r="R151" i="15"/>
  <c r="S151" i="15" s="1"/>
  <c r="Q152" i="15"/>
  <c r="R152" i="15"/>
  <c r="R153" i="15"/>
  <c r="AB153" i="15" s="1"/>
  <c r="Q154" i="15"/>
  <c r="R154" i="15"/>
  <c r="R155" i="15"/>
  <c r="T155" i="15" s="1"/>
  <c r="Q156" i="15"/>
  <c r="R156" i="15"/>
  <c r="R157" i="15"/>
  <c r="T157" i="15" s="1"/>
  <c r="Q158" i="15"/>
  <c r="R158" i="15"/>
  <c r="R159" i="15"/>
  <c r="T159" i="15" s="1"/>
  <c r="Q160" i="15"/>
  <c r="R160" i="15"/>
  <c r="R161" i="15"/>
  <c r="T161" i="15" s="1"/>
  <c r="Q162" i="15"/>
  <c r="R162" i="15"/>
  <c r="R163" i="15"/>
  <c r="T163" i="15" s="1"/>
  <c r="AJ51" i="20"/>
  <c r="AJ52" i="20"/>
  <c r="AJ53" i="20"/>
  <c r="AJ54" i="20"/>
  <c r="AJ55" i="20"/>
  <c r="AJ56" i="20"/>
  <c r="AJ57" i="20"/>
  <c r="AJ58" i="20"/>
  <c r="AJ59" i="20"/>
  <c r="AJ60" i="20"/>
  <c r="AJ61" i="20"/>
  <c r="AJ62" i="20"/>
  <c r="AJ63" i="20"/>
  <c r="AJ64" i="20"/>
  <c r="AJ65" i="20"/>
  <c r="AJ66" i="20"/>
  <c r="AJ67" i="20"/>
  <c r="AJ68" i="20"/>
  <c r="AJ69" i="20"/>
  <c r="AJ70" i="20"/>
  <c r="AJ71" i="20"/>
  <c r="AJ72" i="20"/>
  <c r="AJ73" i="20"/>
  <c r="AJ74" i="20"/>
  <c r="T136" i="15"/>
  <c r="T137" i="15"/>
  <c r="T138" i="15"/>
  <c r="T139" i="15"/>
  <c r="T140" i="15"/>
  <c r="T142" i="15"/>
  <c r="T144" i="15"/>
  <c r="T146" i="15"/>
  <c r="T148" i="15"/>
  <c r="T150" i="15"/>
  <c r="T152" i="15"/>
  <c r="T154" i="15"/>
  <c r="T156" i="15"/>
  <c r="T158" i="15"/>
  <c r="T160" i="15"/>
  <c r="T162" i="15"/>
  <c r="A74" i="31"/>
  <c r="B137" i="15"/>
  <c r="J137" i="15" s="1"/>
  <c r="B139" i="15"/>
  <c r="K139" i="15" s="1"/>
  <c r="B141" i="15"/>
  <c r="C141" i="15" s="1"/>
  <c r="B143" i="15"/>
  <c r="M143" i="15" s="1"/>
  <c r="B145" i="15"/>
  <c r="C145" i="15" s="1"/>
  <c r="B147" i="15"/>
  <c r="D147" i="15" s="1"/>
  <c r="B148" i="15"/>
  <c r="B149" i="15"/>
  <c r="J149" i="15" s="1"/>
  <c r="B150" i="15"/>
  <c r="B151" i="15"/>
  <c r="C151" i="15" s="1"/>
  <c r="B152" i="15"/>
  <c r="B153" i="15"/>
  <c r="C153" i="15" s="1"/>
  <c r="B154" i="15"/>
  <c r="B155" i="15"/>
  <c r="D155" i="15" s="1"/>
  <c r="B156" i="15"/>
  <c r="B157" i="15"/>
  <c r="C157" i="15" s="1"/>
  <c r="B158" i="15"/>
  <c r="B159" i="15"/>
  <c r="K159" i="15" s="1"/>
  <c r="B160" i="15"/>
  <c r="B161" i="15"/>
  <c r="C161" i="15" s="1"/>
  <c r="B162" i="15"/>
  <c r="B163" i="15"/>
  <c r="D163" i="15" s="1"/>
  <c r="Q51" i="20"/>
  <c r="Q52" i="20"/>
  <c r="Q53" i="20"/>
  <c r="Q54" i="20"/>
  <c r="Q55" i="20"/>
  <c r="Q56" i="20"/>
  <c r="Q57" i="20"/>
  <c r="Q58" i="20"/>
  <c r="Q59" i="20"/>
  <c r="Q60" i="20"/>
  <c r="Q61" i="20"/>
  <c r="Q62" i="20"/>
  <c r="Q63" i="20"/>
  <c r="Q64" i="20"/>
  <c r="Q65" i="20"/>
  <c r="Q66" i="20"/>
  <c r="Q67" i="20"/>
  <c r="Q68" i="20"/>
  <c r="Q69" i="20"/>
  <c r="Q70" i="20"/>
  <c r="Q71" i="20"/>
  <c r="Q72" i="20"/>
  <c r="Q73" i="20"/>
  <c r="Q74" i="20"/>
  <c r="Q75" i="20"/>
  <c r="D136" i="15"/>
  <c r="D138" i="15"/>
  <c r="D140" i="15"/>
  <c r="D142" i="15"/>
  <c r="D143" i="15"/>
  <c r="D144" i="15"/>
  <c r="D146" i="15"/>
  <c r="D148" i="15"/>
  <c r="D150" i="15"/>
  <c r="D152" i="15"/>
  <c r="D154" i="15"/>
  <c r="D156" i="15"/>
  <c r="D158" i="15"/>
  <c r="D160" i="15"/>
  <c r="D162" i="15"/>
  <c r="AA73" i="31"/>
  <c r="A73" i="31"/>
  <c r="AA72" i="31"/>
  <c r="A72" i="31"/>
  <c r="AA71" i="31"/>
  <c r="A71" i="31"/>
  <c r="AA70" i="31"/>
  <c r="A70" i="31"/>
  <c r="AA69" i="31"/>
  <c r="A69" i="31"/>
  <c r="AA68" i="31"/>
  <c r="A68" i="31"/>
  <c r="AA67" i="31"/>
  <c r="A67" i="31"/>
  <c r="AA66" i="31"/>
  <c r="A66" i="31"/>
  <c r="AA65" i="31"/>
  <c r="A65" i="31"/>
  <c r="AA64" i="31"/>
  <c r="A64" i="31"/>
  <c r="AA63" i="31"/>
  <c r="A63" i="31"/>
  <c r="AA62" i="31"/>
  <c r="A62" i="31"/>
  <c r="AA61" i="31"/>
  <c r="A61" i="31"/>
  <c r="AA60" i="31"/>
  <c r="A60" i="31"/>
  <c r="AA59" i="31"/>
  <c r="A59" i="31"/>
  <c r="AA58" i="31"/>
  <c r="A58" i="31"/>
  <c r="AA57" i="31"/>
  <c r="A57" i="31"/>
  <c r="AA56" i="31"/>
  <c r="A56" i="31"/>
  <c r="AA55" i="31"/>
  <c r="A55" i="31"/>
  <c r="AA54" i="31"/>
  <c r="A54" i="31"/>
  <c r="AA53" i="31"/>
  <c r="A53" i="31"/>
  <c r="AA52" i="31"/>
  <c r="A52" i="31"/>
  <c r="AA51" i="31"/>
  <c r="A51" i="31"/>
  <c r="AA50" i="31"/>
  <c r="A50" i="31"/>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AA28" i="31"/>
  <c r="AW28" i="31"/>
  <c r="A28" i="31"/>
  <c r="W28" i="31"/>
  <c r="AA27" i="31"/>
  <c r="AW27" i="31"/>
  <c r="A27" i="31"/>
  <c r="W27" i="31"/>
  <c r="AA26" i="31"/>
  <c r="R3" i="15"/>
  <c r="R5" i="15"/>
  <c r="R7" i="15"/>
  <c r="R9" i="15"/>
  <c r="R11" i="15"/>
  <c r="R13" i="15"/>
  <c r="R15" i="15"/>
  <c r="R17" i="15"/>
  <c r="R19" i="15"/>
  <c r="R21" i="15"/>
  <c r="R23" i="15"/>
  <c r="R25" i="15"/>
  <c r="Q29" i="15"/>
  <c r="R29" i="15"/>
  <c r="Q31" i="15"/>
  <c r="R31" i="15"/>
  <c r="Q33" i="15"/>
  <c r="R33" i="15"/>
  <c r="Q35" i="15"/>
  <c r="R35" i="15"/>
  <c r="Q37" i="15"/>
  <c r="R37" i="15"/>
  <c r="Q39" i="15"/>
  <c r="R39" i="15"/>
  <c r="Q41" i="15"/>
  <c r="R41" i="15"/>
  <c r="Q43" i="15"/>
  <c r="R43" i="15"/>
  <c r="Q45" i="15"/>
  <c r="R45" i="15"/>
  <c r="Q47" i="15"/>
  <c r="R47" i="15"/>
  <c r="Q49" i="15"/>
  <c r="R49" i="15"/>
  <c r="R50" i="15"/>
  <c r="Z50" i="15" s="1"/>
  <c r="Q51" i="15"/>
  <c r="R51" i="15"/>
  <c r="R52" i="15"/>
  <c r="AC52" i="15" s="1"/>
  <c r="Q53" i="15"/>
  <c r="R53" i="15"/>
  <c r="R54" i="15"/>
  <c r="T54" i="15" s="1"/>
  <c r="Q55" i="15"/>
  <c r="R55" i="15"/>
  <c r="R56" i="15"/>
  <c r="S56" i="15" s="1"/>
  <c r="Q57" i="15"/>
  <c r="R57" i="15"/>
  <c r="R58" i="15"/>
  <c r="T58" i="15" s="1"/>
  <c r="Q59" i="15"/>
  <c r="R59" i="15"/>
  <c r="R60" i="15"/>
  <c r="Z60" i="15" s="1"/>
  <c r="Q61" i="15"/>
  <c r="R61" i="15"/>
  <c r="R62" i="15"/>
  <c r="AB62" i="15" s="1"/>
  <c r="Q63" i="15"/>
  <c r="R63" i="15"/>
  <c r="R64" i="15"/>
  <c r="Q65" i="15"/>
  <c r="R65" i="15"/>
  <c r="R66" i="15"/>
  <c r="T66" i="15" s="1"/>
  <c r="Q67" i="15"/>
  <c r="R67" i="15"/>
  <c r="R68" i="15"/>
  <c r="T68" i="15" s="1"/>
  <c r="Q69" i="15"/>
  <c r="R69" i="15"/>
  <c r="R70" i="15"/>
  <c r="Z70" i="15" s="1"/>
  <c r="Q71" i="15"/>
  <c r="R71" i="15"/>
  <c r="R72" i="15"/>
  <c r="Z72" i="15" s="1"/>
  <c r="Q73" i="15"/>
  <c r="R73" i="15"/>
  <c r="R74" i="15"/>
  <c r="T74" i="15" s="1"/>
  <c r="Q75" i="15"/>
  <c r="R75" i="15"/>
  <c r="R76" i="15"/>
  <c r="AC76" i="15" s="1"/>
  <c r="Q77" i="15"/>
  <c r="R77" i="15"/>
  <c r="R78" i="15"/>
  <c r="T78" i="15" s="1"/>
  <c r="AJ4" i="20"/>
  <c r="AJ5" i="20"/>
  <c r="AJ6" i="20"/>
  <c r="AJ7" i="20"/>
  <c r="AJ8" i="20"/>
  <c r="AJ9" i="20"/>
  <c r="AJ10" i="20"/>
  <c r="AJ11" i="20"/>
  <c r="AJ12" i="20"/>
  <c r="AJ13" i="20"/>
  <c r="AJ14" i="20"/>
  <c r="AJ15" i="20"/>
  <c r="AJ17" i="20"/>
  <c r="AJ18" i="20"/>
  <c r="AJ19" i="20"/>
  <c r="AJ20" i="20"/>
  <c r="AJ21" i="20"/>
  <c r="AJ22" i="20"/>
  <c r="AJ23" i="20"/>
  <c r="AJ24" i="20"/>
  <c r="AJ25" i="20"/>
  <c r="AJ26" i="20"/>
  <c r="T49" i="15"/>
  <c r="T51" i="15"/>
  <c r="T52" i="15"/>
  <c r="T53" i="15"/>
  <c r="T55" i="15"/>
  <c r="T57" i="15"/>
  <c r="T59" i="15"/>
  <c r="T61" i="15"/>
  <c r="T63" i="15"/>
  <c r="T65" i="15"/>
  <c r="T67" i="15"/>
  <c r="T69" i="15"/>
  <c r="T71" i="15"/>
  <c r="T73" i="15"/>
  <c r="T75" i="15"/>
  <c r="T77" i="15"/>
  <c r="A26" i="31"/>
  <c r="B50" i="15"/>
  <c r="L50" i="15" s="1"/>
  <c r="B52" i="15"/>
  <c r="B54" i="15"/>
  <c r="D54" i="15" s="1"/>
  <c r="B56" i="15"/>
  <c r="D56" i="15" s="1"/>
  <c r="B58" i="15"/>
  <c r="D58" i="15" s="1"/>
  <c r="B60" i="15"/>
  <c r="D60" i="15" s="1"/>
  <c r="B62" i="15"/>
  <c r="D62" i="15" s="1"/>
  <c r="B63" i="15"/>
  <c r="B64" i="15"/>
  <c r="D64" i="15" s="1"/>
  <c r="B65" i="15"/>
  <c r="B66" i="15"/>
  <c r="D66" i="15" s="1"/>
  <c r="B67" i="15"/>
  <c r="B68" i="15"/>
  <c r="D68" i="15" s="1"/>
  <c r="B69" i="15"/>
  <c r="B70" i="15"/>
  <c r="D70" i="15" s="1"/>
  <c r="B71" i="15"/>
  <c r="B72" i="15"/>
  <c r="C72" i="15" s="1"/>
  <c r="B73" i="15"/>
  <c r="B74" i="15"/>
  <c r="D74" i="15" s="1"/>
  <c r="B75" i="15"/>
  <c r="B76" i="15"/>
  <c r="D76" i="15" s="1"/>
  <c r="B77" i="15"/>
  <c r="B78" i="15"/>
  <c r="Q4" i="20"/>
  <c r="Q5" i="20"/>
  <c r="Q7" i="20"/>
  <c r="Q8" i="20"/>
  <c r="Q9" i="20"/>
  <c r="Q10" i="20"/>
  <c r="Q11" i="20"/>
  <c r="Q12" i="20"/>
  <c r="Q13" i="20"/>
  <c r="Q14" i="20"/>
  <c r="Q15" i="20"/>
  <c r="Q17" i="20"/>
  <c r="Q18" i="20"/>
  <c r="Q19" i="20"/>
  <c r="Q20" i="20"/>
  <c r="Q21" i="20"/>
  <c r="Q22" i="20"/>
  <c r="Q23" i="20"/>
  <c r="Q24" i="20"/>
  <c r="Q25" i="20"/>
  <c r="Q26" i="20"/>
  <c r="D49" i="15"/>
  <c r="D51" i="15"/>
  <c r="D53" i="15"/>
  <c r="D55" i="15"/>
  <c r="D57" i="15"/>
  <c r="D59" i="15"/>
  <c r="D63" i="15"/>
  <c r="D65" i="15"/>
  <c r="D67" i="15"/>
  <c r="D69" i="15"/>
  <c r="D71" i="15"/>
  <c r="D73" i="15"/>
  <c r="D75" i="15"/>
  <c r="D77" i="15"/>
  <c r="AA25" i="31"/>
  <c r="A25" i="31"/>
  <c r="AA24" i="31"/>
  <c r="A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7" i="31"/>
  <c r="AA6" i="31"/>
  <c r="A6" i="31"/>
  <c r="AA5" i="31"/>
  <c r="A5" i="31"/>
  <c r="AA4" i="31"/>
  <c r="A4" i="31"/>
  <c r="X1" i="15"/>
  <c r="X136" i="15"/>
  <c r="Y136" i="15" s="1"/>
  <c r="X138" i="15"/>
  <c r="Y138" i="15" s="1"/>
  <c r="X140" i="15"/>
  <c r="Y140" i="15" s="1"/>
  <c r="X142" i="15"/>
  <c r="Y142" i="15" s="1"/>
  <c r="X144" i="15"/>
  <c r="Y144" i="15" s="1"/>
  <c r="X146" i="15"/>
  <c r="Y146" i="15" s="1"/>
  <c r="X148" i="15"/>
  <c r="Y148" i="15" s="1"/>
  <c r="X150" i="15"/>
  <c r="Y150" i="15" s="1"/>
  <c r="X152" i="15"/>
  <c r="Y152" i="15" s="1"/>
  <c r="X154" i="15"/>
  <c r="Y154" i="15" s="1"/>
  <c r="X156" i="15"/>
  <c r="Y156" i="15" s="1"/>
  <c r="X158" i="15"/>
  <c r="Y158" i="15" s="1"/>
  <c r="X160" i="15"/>
  <c r="Y160" i="15" s="1"/>
  <c r="X162" i="15"/>
  <c r="Y162" i="15" s="1"/>
  <c r="H1" i="15"/>
  <c r="H136" i="15"/>
  <c r="I136" i="15" s="1"/>
  <c r="H138" i="15"/>
  <c r="I138" i="15" s="1"/>
  <c r="H140" i="15"/>
  <c r="I140" i="15" s="1"/>
  <c r="H142" i="15"/>
  <c r="I142" i="15" s="1"/>
  <c r="H144" i="15"/>
  <c r="I144" i="15" s="1"/>
  <c r="H146" i="15"/>
  <c r="I146" i="15" s="1"/>
  <c r="H148" i="15"/>
  <c r="I148" i="15" s="1"/>
  <c r="H150" i="15"/>
  <c r="I150" i="15" s="1"/>
  <c r="H152" i="15"/>
  <c r="I152" i="15" s="1"/>
  <c r="H154" i="15"/>
  <c r="I154" i="15" s="1"/>
  <c r="H156" i="15"/>
  <c r="I156" i="15" s="1"/>
  <c r="H158" i="15"/>
  <c r="I158" i="15" s="1"/>
  <c r="H160" i="15"/>
  <c r="I160" i="15" s="1"/>
  <c r="H162" i="15"/>
  <c r="I162" i="15" s="1"/>
  <c r="AL9" i="20"/>
  <c r="AC1" i="15"/>
  <c r="AL11" i="20"/>
  <c r="AA1" i="15"/>
  <c r="Z1" i="15"/>
  <c r="W1" i="15"/>
  <c r="AL23" i="20"/>
  <c r="AB1" i="15"/>
  <c r="AL25" i="20"/>
  <c r="X49" i="15"/>
  <c r="Y49" i="15" s="1"/>
  <c r="AC51" i="15"/>
  <c r="X51" i="15"/>
  <c r="Y51" i="15" s="1"/>
  <c r="W55" i="15"/>
  <c r="U57" i="15"/>
  <c r="X59" i="15"/>
  <c r="Y59" i="15" s="1"/>
  <c r="U61" i="15"/>
  <c r="X63" i="15"/>
  <c r="Y63" i="15" s="1"/>
  <c r="X65" i="15"/>
  <c r="Y65" i="15" s="1"/>
  <c r="X69" i="15"/>
  <c r="Y69" i="15" s="1"/>
  <c r="AA71" i="15"/>
  <c r="S73" i="15"/>
  <c r="AC75" i="15"/>
  <c r="X75" i="15"/>
  <c r="Y75" i="15" s="1"/>
  <c r="X77" i="15"/>
  <c r="Y77" i="15" s="1"/>
  <c r="H53" i="15"/>
  <c r="I53" i="15" s="1"/>
  <c r="H55" i="15"/>
  <c r="I55" i="15" s="1"/>
  <c r="H57" i="15"/>
  <c r="I57" i="15" s="1"/>
  <c r="H63" i="15"/>
  <c r="I63" i="15" s="1"/>
  <c r="K65" i="15"/>
  <c r="F67" i="15"/>
  <c r="H69" i="15"/>
  <c r="I69" i="15" s="1"/>
  <c r="E71" i="15"/>
  <c r="H71" i="15"/>
  <c r="I71" i="15" s="1"/>
  <c r="F75" i="15"/>
  <c r="H77" i="15"/>
  <c r="I77" i="15" s="1"/>
  <c r="U28" i="17"/>
  <c r="U97" i="17"/>
  <c r="AH97" i="17"/>
  <c r="U27" i="17"/>
  <c r="U96" i="17"/>
  <c r="AH96" i="17"/>
  <c r="U26" i="17"/>
  <c r="U25" i="17"/>
  <c r="Y25" i="17"/>
  <c r="U24" i="17"/>
  <c r="U70" i="17"/>
  <c r="AH70" i="17"/>
  <c r="U23" i="17"/>
  <c r="U46" i="17"/>
  <c r="U22" i="17"/>
  <c r="AB22" i="17"/>
  <c r="U21" i="17"/>
  <c r="U20" i="17"/>
  <c r="U119" i="17"/>
  <c r="U19" i="17"/>
  <c r="AB19" i="17"/>
  <c r="U18" i="17"/>
  <c r="W18" i="17"/>
  <c r="U17" i="17"/>
  <c r="U16" i="17"/>
  <c r="U15" i="17"/>
  <c r="U84" i="17"/>
  <c r="U14" i="17"/>
  <c r="U13" i="17"/>
  <c r="U82" i="17"/>
  <c r="U12" i="17"/>
  <c r="Y12" i="17"/>
  <c r="U11" i="17"/>
  <c r="Y11" i="17"/>
  <c r="U10" i="17"/>
  <c r="U56" i="17"/>
  <c r="U9" i="17"/>
  <c r="U55" i="17"/>
  <c r="U74" i="17"/>
  <c r="AH74" i="17"/>
  <c r="U73" i="17"/>
  <c r="AH73" i="17"/>
  <c r="U72" i="17"/>
  <c r="W72" i="17"/>
  <c r="AE72" i="17"/>
  <c r="AJ72" i="17"/>
  <c r="AH72" i="17"/>
  <c r="U127" i="17"/>
  <c r="U173" i="17"/>
  <c r="AH173" i="17"/>
  <c r="U126" i="17"/>
  <c r="U172" i="17"/>
  <c r="AH172" i="17"/>
  <c r="U123" i="17"/>
  <c r="U169" i="17"/>
  <c r="U112" i="17"/>
  <c r="U158" i="17"/>
  <c r="B28" i="17"/>
  <c r="B127" i="17"/>
  <c r="B196" i="17"/>
  <c r="O196" i="17"/>
  <c r="B27" i="17"/>
  <c r="B126" i="17"/>
  <c r="B195" i="17"/>
  <c r="O195" i="17"/>
  <c r="B26" i="17"/>
  <c r="B125" i="17"/>
  <c r="B194" i="17"/>
  <c r="O194" i="17"/>
  <c r="B25" i="17"/>
  <c r="B124" i="17"/>
  <c r="B193" i="17"/>
  <c r="O193" i="17"/>
  <c r="B24" i="17"/>
  <c r="B123" i="17"/>
  <c r="B23" i="17"/>
  <c r="B69" i="17"/>
  <c r="B22" i="17"/>
  <c r="B68" i="17"/>
  <c r="B21" i="17"/>
  <c r="B20" i="17"/>
  <c r="B43" i="17"/>
  <c r="B19" i="17"/>
  <c r="B118" i="17"/>
  <c r="G118" i="17"/>
  <c r="B18" i="17"/>
  <c r="B64" i="17"/>
  <c r="B17" i="17"/>
  <c r="B86" i="17"/>
  <c r="B16" i="17"/>
  <c r="D16" i="17"/>
  <c r="B15" i="17"/>
  <c r="F15" i="17"/>
  <c r="B14" i="17"/>
  <c r="B113" i="17"/>
  <c r="B13" i="17"/>
  <c r="B112" i="17"/>
  <c r="B12" i="17"/>
  <c r="B111" i="17"/>
  <c r="B11" i="17"/>
  <c r="I11" i="17"/>
  <c r="B10" i="17"/>
  <c r="F10" i="17"/>
  <c r="U196" i="17"/>
  <c r="AH196" i="17"/>
  <c r="U195" i="17"/>
  <c r="AH195" i="17"/>
  <c r="U181" i="17"/>
  <c r="B173" i="17"/>
  <c r="O173" i="17"/>
  <c r="B172" i="17"/>
  <c r="O172" i="17"/>
  <c r="B171" i="17"/>
  <c r="O171" i="17"/>
  <c r="B170" i="17"/>
  <c r="O170" i="17"/>
  <c r="B164" i="17"/>
  <c r="BC4" i="32"/>
  <c r="BC6" i="32"/>
  <c r="BC8" i="32"/>
  <c r="BC10" i="32"/>
  <c r="BC12" i="32"/>
  <c r="BC14" i="32"/>
  <c r="BC16" i="32"/>
  <c r="BC18" i="32"/>
  <c r="BC20" i="32"/>
  <c r="BC22" i="32"/>
  <c r="BC24" i="32"/>
  <c r="BC26" i="32"/>
  <c r="BC28" i="32"/>
  <c r="BC30" i="32"/>
  <c r="BC32" i="32"/>
  <c r="BC34" i="32"/>
  <c r="BC36" i="32"/>
  <c r="BC38" i="32"/>
  <c r="BC40" i="32"/>
  <c r="BC42" i="32"/>
  <c r="AV44" i="32"/>
  <c r="BC44" i="32"/>
  <c r="AN4" i="32"/>
  <c r="AN6" i="32"/>
  <c r="AN8" i="32"/>
  <c r="AN10" i="32"/>
  <c r="AN12" i="32"/>
  <c r="AN14" i="32"/>
  <c r="AN16" i="32"/>
  <c r="AN18" i="32"/>
  <c r="AN20" i="32"/>
  <c r="AN22" i="32"/>
  <c r="AN24" i="32"/>
  <c r="AN26" i="32"/>
  <c r="AN28" i="32"/>
  <c r="AN30" i="32"/>
  <c r="AN32" i="32"/>
  <c r="AN34" i="32"/>
  <c r="AN36" i="32"/>
  <c r="AN38" i="32"/>
  <c r="AN40" i="32"/>
  <c r="AN42" i="32"/>
  <c r="AG44" i="32"/>
  <c r="AN44" i="32"/>
  <c r="AA4" i="32"/>
  <c r="AA6" i="32"/>
  <c r="AA8" i="32"/>
  <c r="AA10" i="32"/>
  <c r="AA12" i="32"/>
  <c r="AA14" i="32"/>
  <c r="AA16" i="32"/>
  <c r="AA18" i="32"/>
  <c r="AA20" i="32"/>
  <c r="AA22" i="32"/>
  <c r="AA24" i="32"/>
  <c r="AA26" i="32"/>
  <c r="AA28" i="32"/>
  <c r="AA30" i="32"/>
  <c r="AA32" i="32"/>
  <c r="AA34" i="32"/>
  <c r="AA36" i="32"/>
  <c r="AA38" i="32"/>
  <c r="AA40" i="32"/>
  <c r="AA42" i="32"/>
  <c r="T44" i="32"/>
  <c r="AA44" i="32"/>
  <c r="E44" i="32"/>
  <c r="L42" i="32"/>
  <c r="L4" i="32"/>
  <c r="L6" i="32"/>
  <c r="L8" i="32"/>
  <c r="L10" i="32"/>
  <c r="L12" i="32"/>
  <c r="L14" i="32"/>
  <c r="L16" i="32"/>
  <c r="L18" i="32"/>
  <c r="L20" i="32"/>
  <c r="L22" i="32"/>
  <c r="L24" i="32"/>
  <c r="L26" i="32"/>
  <c r="L28" i="32"/>
  <c r="L30" i="32"/>
  <c r="L32" i="32"/>
  <c r="L34" i="32"/>
  <c r="L36" i="32"/>
  <c r="L38" i="32"/>
  <c r="L40" i="32"/>
  <c r="L44" i="32"/>
  <c r="AH46" i="7"/>
  <c r="A2" i="7"/>
  <c r="AJ2" i="7"/>
  <c r="A3" i="7"/>
  <c r="AF89" i="20"/>
  <c r="AG89" i="20"/>
  <c r="A1" i="20"/>
  <c r="I1" i="21"/>
  <c r="AY87" i="31"/>
  <c r="AY86" i="31"/>
  <c r="AY83" i="31"/>
  <c r="AY84" i="31"/>
  <c r="AY85" i="31"/>
  <c r="Y87" i="31"/>
  <c r="Y86" i="31"/>
  <c r="Y85" i="31"/>
  <c r="Y84" i="31"/>
  <c r="Y83" i="31"/>
  <c r="AY41" i="31"/>
  <c r="AY40" i="31"/>
  <c r="AY39" i="31"/>
  <c r="AY38" i="31"/>
  <c r="AY37" i="31"/>
  <c r="AA92" i="31"/>
  <c r="AA91" i="31"/>
  <c r="AA90" i="31"/>
  <c r="AA89" i="31"/>
  <c r="AA88" i="31"/>
  <c r="A92" i="31"/>
  <c r="A91" i="31"/>
  <c r="A90" i="31"/>
  <c r="A89" i="31"/>
  <c r="A88" i="31"/>
  <c r="AA46" i="31"/>
  <c r="AA45" i="31"/>
  <c r="AA44" i="31"/>
  <c r="AA43" i="31"/>
  <c r="AA42" i="31"/>
  <c r="AJ2" i="23"/>
  <c r="CA2" i="23"/>
  <c r="G2" i="21"/>
  <c r="AF2" i="21"/>
  <c r="AQ2" i="21"/>
  <c r="Q2" i="13"/>
  <c r="Q46" i="13"/>
  <c r="J3" i="11"/>
  <c r="J54" i="11"/>
  <c r="G3" i="25"/>
  <c r="N52" i="25"/>
  <c r="G52" i="25"/>
  <c r="N3" i="25"/>
  <c r="R2" i="20"/>
  <c r="R49" i="20"/>
  <c r="G3" i="24"/>
  <c r="N52" i="24"/>
  <c r="T2" i="31"/>
  <c r="AT48" i="31"/>
  <c r="AB2" i="32"/>
  <c r="BD2" i="32"/>
  <c r="AK2" i="20"/>
  <c r="AK49" i="20"/>
  <c r="K39" i="2"/>
  <c r="E39" i="2"/>
  <c r="K38" i="2"/>
  <c r="K40" i="2"/>
  <c r="E38" i="2"/>
  <c r="Q86" i="13"/>
  <c r="AH86" i="13"/>
  <c r="Q84" i="13"/>
  <c r="AH84" i="13"/>
  <c r="Q82" i="13"/>
  <c r="AH82" i="13"/>
  <c r="Q80" i="13"/>
  <c r="AH80" i="13"/>
  <c r="Q78" i="13"/>
  <c r="AH78" i="13"/>
  <c r="Q76" i="13"/>
  <c r="AH76" i="13"/>
  <c r="Q74" i="13"/>
  <c r="AH74" i="13"/>
  <c r="Q72" i="13"/>
  <c r="AH72" i="13"/>
  <c r="Q70" i="13"/>
  <c r="AH70" i="13"/>
  <c r="Q68" i="13"/>
  <c r="AH68" i="13"/>
  <c r="Q66" i="13"/>
  <c r="AH66" i="13"/>
  <c r="Q64" i="13"/>
  <c r="AH64" i="13"/>
  <c r="Q62" i="13"/>
  <c r="AH62" i="13"/>
  <c r="Q60" i="13"/>
  <c r="AH60" i="13"/>
  <c r="Q58" i="13"/>
  <c r="AH58" i="13"/>
  <c r="Q56" i="13"/>
  <c r="AH56" i="13"/>
  <c r="Q54" i="13"/>
  <c r="AH54" i="13"/>
  <c r="Q52" i="13"/>
  <c r="AH52" i="13"/>
  <c r="Q50" i="13"/>
  <c r="AH50" i="13"/>
  <c r="Q48" i="13"/>
  <c r="AH48" i="13"/>
  <c r="Q42" i="13"/>
  <c r="AH42" i="13"/>
  <c r="Q40" i="13"/>
  <c r="AH40" i="13"/>
  <c r="Q38" i="13"/>
  <c r="AH38" i="13"/>
  <c r="Q36" i="13"/>
  <c r="AH36" i="13"/>
  <c r="Q34" i="13"/>
  <c r="AH34" i="13"/>
  <c r="Q32" i="13"/>
  <c r="AH32" i="13"/>
  <c r="Q30" i="13"/>
  <c r="AH30" i="13"/>
  <c r="Q28" i="13"/>
  <c r="AH28" i="13"/>
  <c r="Q26" i="13"/>
  <c r="AH26" i="13"/>
  <c r="Q24" i="13"/>
  <c r="AH24" i="13"/>
  <c r="Q22" i="13"/>
  <c r="AH22" i="13"/>
  <c r="Q20" i="13"/>
  <c r="AH20" i="13"/>
  <c r="Q18" i="13"/>
  <c r="AH18" i="13"/>
  <c r="Q16" i="13"/>
  <c r="AH16" i="13"/>
  <c r="Q14" i="13"/>
  <c r="AH14" i="13"/>
  <c r="Q12" i="13"/>
  <c r="AH12" i="13"/>
  <c r="Q10" i="13"/>
  <c r="AH10" i="13"/>
  <c r="Q8" i="13"/>
  <c r="AH8" i="13"/>
  <c r="Q6" i="13"/>
  <c r="AH6" i="13"/>
  <c r="Q4" i="13"/>
  <c r="AH4" i="13"/>
  <c r="AC87" i="31"/>
  <c r="AC86" i="31"/>
  <c r="AC85" i="31"/>
  <c r="AC84" i="31"/>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 i="31"/>
  <c r="BS46" i="7"/>
  <c r="BR46" i="7"/>
  <c r="BJ46" i="7"/>
  <c r="BH46" i="7"/>
  <c r="BG46" i="7"/>
  <c r="BF46" i="7"/>
  <c r="AS46" i="7"/>
  <c r="AP46" i="7"/>
  <c r="AO46" i="7"/>
  <c r="AN46" i="7"/>
  <c r="BJ23" i="7"/>
  <c r="AP22" i="7"/>
  <c r="AX46" i="7"/>
  <c r="AW46" i="7"/>
  <c r="AQ46" i="7"/>
  <c r="BL46" i="7"/>
  <c r="BK46" i="7"/>
  <c r="BD46" i="7"/>
  <c r="BM22" i="7"/>
  <c r="Z46" i="7"/>
  <c r="R46" i="7"/>
  <c r="Q46" i="7"/>
  <c r="E47" i="7"/>
  <c r="X47" i="7"/>
  <c r="D47" i="7"/>
  <c r="V47" i="7"/>
  <c r="C47" i="7"/>
  <c r="L47" i="7"/>
  <c r="R229" i="15"/>
  <c r="U231" i="15"/>
  <c r="I47" i="7"/>
  <c r="D102" i="17"/>
  <c r="E46" i="7"/>
  <c r="X46" i="7"/>
  <c r="D46" i="7"/>
  <c r="V46" i="7"/>
  <c r="C46" i="7"/>
  <c r="L46" i="7"/>
  <c r="R226" i="15"/>
  <c r="U228" i="15"/>
  <c r="I46" i="7"/>
  <c r="R223" i="15"/>
  <c r="R220" i="15"/>
  <c r="R217" i="15"/>
  <c r="R214" i="15"/>
  <c r="R211" i="15"/>
  <c r="R208" i="15"/>
  <c r="R205" i="15"/>
  <c r="R202" i="15"/>
  <c r="R199" i="15"/>
  <c r="R196" i="15"/>
  <c r="R193" i="15"/>
  <c r="R190" i="15"/>
  <c r="R187" i="15"/>
  <c r="R184" i="15"/>
  <c r="R181" i="15"/>
  <c r="R178" i="15"/>
  <c r="R175" i="15"/>
  <c r="R172" i="15"/>
  <c r="AF47" i="7"/>
  <c r="AE47" i="7"/>
  <c r="Y47" i="7"/>
  <c r="W47" i="7"/>
  <c r="AE46" i="7"/>
  <c r="W46" i="7"/>
  <c r="Z24" i="7"/>
  <c r="R23" i="7"/>
  <c r="E25" i="7"/>
  <c r="Y25" i="7"/>
  <c r="D25" i="7"/>
  <c r="V25" i="7"/>
  <c r="C25" i="7"/>
  <c r="L25" i="7"/>
  <c r="B229" i="15"/>
  <c r="E231" i="15"/>
  <c r="I25" i="7"/>
  <c r="E24" i="7"/>
  <c r="AF24" i="7"/>
  <c r="D24" i="7"/>
  <c r="V24" i="7"/>
  <c r="C24" i="7"/>
  <c r="M24" i="7"/>
  <c r="B226" i="15"/>
  <c r="E228" i="15"/>
  <c r="I24" i="7"/>
  <c r="E23" i="7"/>
  <c r="Y23" i="7"/>
  <c r="D23" i="7"/>
  <c r="V23" i="7"/>
  <c r="C23" i="7"/>
  <c r="O23" i="7"/>
  <c r="B223" i="15"/>
  <c r="E225" i="15"/>
  <c r="I23" i="7"/>
  <c r="E22" i="7"/>
  <c r="AF22" i="7"/>
  <c r="D22" i="7"/>
  <c r="V22" i="7"/>
  <c r="C22" i="7"/>
  <c r="U22" i="7"/>
  <c r="B220" i="15"/>
  <c r="E222" i="15"/>
  <c r="I22" i="7"/>
  <c r="B217" i="15"/>
  <c r="B214" i="15"/>
  <c r="B211" i="15"/>
  <c r="B208" i="15"/>
  <c r="B205" i="15"/>
  <c r="B202" i="15"/>
  <c r="B199" i="15"/>
  <c r="B196" i="15"/>
  <c r="B193" i="15"/>
  <c r="B190" i="15"/>
  <c r="B187" i="15"/>
  <c r="B184" i="15"/>
  <c r="B181" i="15"/>
  <c r="B178" i="15"/>
  <c r="B175" i="15"/>
  <c r="B172" i="15"/>
  <c r="AE25" i="7"/>
  <c r="W25" i="7"/>
  <c r="AE24" i="7"/>
  <c r="W24" i="7"/>
  <c r="AF23" i="7"/>
  <c r="AE23" i="7"/>
  <c r="W23" i="7"/>
  <c r="AE22" i="7"/>
  <c r="W22" i="7"/>
  <c r="V52" i="33"/>
  <c r="S52" i="33"/>
  <c r="R52" i="33"/>
  <c r="Q52" i="33"/>
  <c r="P52" i="33"/>
  <c r="O52" i="33"/>
  <c r="N52" i="33"/>
  <c r="M52" i="33"/>
  <c r="L52" i="33"/>
  <c r="K52" i="33"/>
  <c r="J52" i="33"/>
  <c r="I52" i="33"/>
  <c r="H52" i="33"/>
  <c r="G52" i="33"/>
  <c r="F52" i="33"/>
  <c r="E52" i="33"/>
  <c r="D52" i="33"/>
  <c r="V51" i="33"/>
  <c r="S51" i="33"/>
  <c r="R51" i="33"/>
  <c r="Q51" i="33"/>
  <c r="P51" i="33"/>
  <c r="O51" i="33"/>
  <c r="N51" i="33"/>
  <c r="M51" i="33"/>
  <c r="L51" i="33"/>
  <c r="K51" i="33"/>
  <c r="J51" i="33"/>
  <c r="I51" i="33"/>
  <c r="H51" i="33"/>
  <c r="G51" i="33"/>
  <c r="F51" i="33"/>
  <c r="E51" i="33"/>
  <c r="D51" i="33"/>
  <c r="N50" i="33"/>
  <c r="V23" i="33"/>
  <c r="S23" i="33"/>
  <c r="R23" i="33"/>
  <c r="Q23" i="33"/>
  <c r="P23" i="33"/>
  <c r="O23" i="33"/>
  <c r="N23" i="33"/>
  <c r="M23" i="33"/>
  <c r="L23" i="33"/>
  <c r="K23" i="33"/>
  <c r="J23" i="33"/>
  <c r="I23" i="33"/>
  <c r="H23" i="33"/>
  <c r="G23" i="33"/>
  <c r="F23" i="33"/>
  <c r="E23" i="33"/>
  <c r="D23" i="33"/>
  <c r="V22" i="33"/>
  <c r="S22" i="33"/>
  <c r="R22" i="33"/>
  <c r="Q22" i="33"/>
  <c r="P22" i="33"/>
  <c r="O22" i="33"/>
  <c r="N22" i="33"/>
  <c r="M22" i="33"/>
  <c r="L22" i="33"/>
  <c r="K22" i="33"/>
  <c r="J22" i="33"/>
  <c r="I22" i="33"/>
  <c r="H22" i="33"/>
  <c r="G22" i="33"/>
  <c r="F22" i="33"/>
  <c r="E22" i="33"/>
  <c r="D22" i="33"/>
  <c r="V21" i="33"/>
  <c r="S21" i="33"/>
  <c r="R21" i="33"/>
  <c r="Q21" i="33"/>
  <c r="P21" i="33"/>
  <c r="O21" i="33"/>
  <c r="N21" i="33"/>
  <c r="M21" i="33"/>
  <c r="L21" i="33"/>
  <c r="K21" i="33"/>
  <c r="J21" i="33"/>
  <c r="I21" i="33"/>
  <c r="H21" i="33"/>
  <c r="G21" i="33"/>
  <c r="F21" i="33"/>
  <c r="E21" i="33"/>
  <c r="D21" i="33"/>
  <c r="V20" i="33"/>
  <c r="S20" i="33"/>
  <c r="R20" i="33"/>
  <c r="Q20" i="33"/>
  <c r="P20" i="33"/>
  <c r="O20" i="33"/>
  <c r="N20" i="33"/>
  <c r="M20" i="33"/>
  <c r="L20" i="33"/>
  <c r="K20" i="33"/>
  <c r="J20" i="33"/>
  <c r="I20" i="33"/>
  <c r="H20" i="33"/>
  <c r="G20" i="33"/>
  <c r="F20" i="33"/>
  <c r="E20" i="33"/>
  <c r="D20" i="33"/>
  <c r="W95" i="34"/>
  <c r="T95" i="34"/>
  <c r="S95" i="34"/>
  <c r="R95" i="34"/>
  <c r="Q95" i="34"/>
  <c r="P95" i="34"/>
  <c r="O95" i="34"/>
  <c r="N95" i="34"/>
  <c r="M95" i="34"/>
  <c r="L95" i="34"/>
  <c r="K95" i="34"/>
  <c r="J95" i="34"/>
  <c r="I95" i="34"/>
  <c r="H95" i="34"/>
  <c r="G95" i="34"/>
  <c r="F95" i="34"/>
  <c r="E95" i="34"/>
  <c r="W94" i="34"/>
  <c r="T94" i="34"/>
  <c r="S94" i="34"/>
  <c r="R94" i="34"/>
  <c r="Q94" i="34"/>
  <c r="P94" i="34"/>
  <c r="O94" i="34"/>
  <c r="N94" i="34"/>
  <c r="M94" i="34"/>
  <c r="L94" i="34"/>
  <c r="K94" i="34"/>
  <c r="J94" i="34"/>
  <c r="I94" i="34"/>
  <c r="H94" i="34"/>
  <c r="G94" i="34"/>
  <c r="F94" i="34"/>
  <c r="E94" i="34"/>
  <c r="C94" i="34"/>
  <c r="W93" i="34"/>
  <c r="T93" i="34"/>
  <c r="S93" i="34"/>
  <c r="R93" i="34"/>
  <c r="Q93" i="34"/>
  <c r="P93" i="34"/>
  <c r="O93" i="34"/>
  <c r="N93" i="34"/>
  <c r="M93" i="34"/>
  <c r="L93" i="34"/>
  <c r="K93" i="34"/>
  <c r="J93" i="34"/>
  <c r="I93" i="34"/>
  <c r="H93" i="34"/>
  <c r="G93" i="34"/>
  <c r="F93" i="34"/>
  <c r="E93" i="34"/>
  <c r="W92" i="34"/>
  <c r="T92" i="34"/>
  <c r="S92" i="34"/>
  <c r="R92" i="34"/>
  <c r="Q92" i="34"/>
  <c r="P92" i="34"/>
  <c r="O92" i="34"/>
  <c r="N92" i="34"/>
  <c r="M92" i="34"/>
  <c r="L92" i="34"/>
  <c r="K92" i="34"/>
  <c r="J92" i="34"/>
  <c r="I92" i="34"/>
  <c r="H92" i="34"/>
  <c r="G92" i="34"/>
  <c r="F92" i="34"/>
  <c r="E92" i="34"/>
  <c r="C92" i="34"/>
  <c r="Q91" i="34"/>
  <c r="P91" i="34"/>
  <c r="N91" i="34"/>
  <c r="J91" i="34"/>
  <c r="F91" i="34"/>
  <c r="S90" i="34"/>
  <c r="Q90" i="34"/>
  <c r="P90" i="34"/>
  <c r="I90" i="34"/>
  <c r="H90" i="34"/>
  <c r="C90" i="34"/>
  <c r="G89" i="34"/>
  <c r="C88" i="34"/>
  <c r="S87" i="34"/>
  <c r="P87" i="34"/>
  <c r="L87" i="34"/>
  <c r="I87" i="34"/>
  <c r="T86" i="34"/>
  <c r="Q86" i="34"/>
  <c r="M86" i="34"/>
  <c r="J86" i="34"/>
  <c r="C86" i="34"/>
  <c r="W85" i="34"/>
  <c r="T85" i="34"/>
  <c r="S85" i="34"/>
  <c r="R85" i="34"/>
  <c r="Q85" i="34"/>
  <c r="P85" i="34"/>
  <c r="O85" i="34"/>
  <c r="N85" i="34"/>
  <c r="M85" i="34"/>
  <c r="L85" i="34"/>
  <c r="K85" i="34"/>
  <c r="J85" i="34"/>
  <c r="I85" i="34"/>
  <c r="H85" i="34"/>
  <c r="G85" i="34"/>
  <c r="F85" i="34"/>
  <c r="E85" i="34"/>
  <c r="W84" i="34"/>
  <c r="T84" i="34"/>
  <c r="S84" i="34"/>
  <c r="R84" i="34"/>
  <c r="Q84" i="34"/>
  <c r="P84" i="34"/>
  <c r="O84" i="34"/>
  <c r="N84" i="34"/>
  <c r="M84" i="34"/>
  <c r="L84" i="34"/>
  <c r="K84" i="34"/>
  <c r="J84" i="34"/>
  <c r="I84" i="34"/>
  <c r="H84" i="34"/>
  <c r="G84" i="34"/>
  <c r="F84" i="34"/>
  <c r="E84" i="34"/>
  <c r="V84" i="34"/>
  <c r="C84" i="34"/>
  <c r="T83" i="34"/>
  <c r="N83" i="34"/>
  <c r="F83" i="34"/>
  <c r="T82" i="34"/>
  <c r="S46" i="33"/>
  <c r="L82" i="34"/>
  <c r="F82" i="34"/>
  <c r="C82" i="34"/>
  <c r="C80" i="34"/>
  <c r="N78" i="34"/>
  <c r="C78" i="34"/>
  <c r="O77" i="34"/>
  <c r="N77" i="34"/>
  <c r="J77" i="34"/>
  <c r="G77" i="34"/>
  <c r="P76" i="34"/>
  <c r="O76" i="34"/>
  <c r="K76" i="34"/>
  <c r="H76" i="34"/>
  <c r="C76" i="34"/>
  <c r="M75" i="34"/>
  <c r="I74" i="34"/>
  <c r="C74" i="34"/>
  <c r="M73" i="34"/>
  <c r="I73" i="34"/>
  <c r="M72" i="34"/>
  <c r="L41" i="33"/>
  <c r="I72" i="34"/>
  <c r="H41" i="33"/>
  <c r="C72" i="34"/>
  <c r="W71" i="34"/>
  <c r="M71" i="34"/>
  <c r="E71" i="34"/>
  <c r="N70" i="34"/>
  <c r="F70" i="34"/>
  <c r="C70" i="34"/>
  <c r="T69" i="34"/>
  <c r="L69" i="34"/>
  <c r="G69" i="34"/>
  <c r="I68" i="34"/>
  <c r="E68" i="34"/>
  <c r="C68" i="34"/>
  <c r="S67" i="34"/>
  <c r="O67" i="34"/>
  <c r="F67" i="34"/>
  <c r="T66" i="34"/>
  <c r="I66" i="34"/>
  <c r="G66" i="34"/>
  <c r="C66" i="34"/>
  <c r="C64" i="34"/>
  <c r="W63" i="34"/>
  <c r="T63" i="34"/>
  <c r="S63" i="34"/>
  <c r="R63" i="34"/>
  <c r="Q63" i="34"/>
  <c r="Q62" i="34"/>
  <c r="P36" i="33"/>
  <c r="P63" i="34"/>
  <c r="O63" i="34"/>
  <c r="N63" i="34"/>
  <c r="M63" i="34"/>
  <c r="L63" i="34"/>
  <c r="K63" i="34"/>
  <c r="J63" i="34"/>
  <c r="I63" i="34"/>
  <c r="H63" i="34"/>
  <c r="G63" i="34"/>
  <c r="F63" i="34"/>
  <c r="E63" i="34"/>
  <c r="W62" i="34"/>
  <c r="T62" i="34"/>
  <c r="S62" i="34"/>
  <c r="R62" i="34"/>
  <c r="P62" i="34"/>
  <c r="O62" i="34"/>
  <c r="N62" i="34"/>
  <c r="M62" i="34"/>
  <c r="L62" i="34"/>
  <c r="K62" i="34"/>
  <c r="J62" i="34"/>
  <c r="I62" i="34"/>
  <c r="H62" i="34"/>
  <c r="G62" i="34"/>
  <c r="F62" i="34"/>
  <c r="E62" i="34"/>
  <c r="C62" i="34"/>
  <c r="Q61" i="34"/>
  <c r="O61" i="34"/>
  <c r="I61" i="34"/>
  <c r="G61" i="34"/>
  <c r="R60" i="34"/>
  <c r="P60" i="34"/>
  <c r="J60" i="34"/>
  <c r="H60" i="34"/>
  <c r="C60" i="34"/>
  <c r="R59" i="34"/>
  <c r="F59" i="34"/>
  <c r="S58" i="34"/>
  <c r="G58" i="34"/>
  <c r="C58" i="34"/>
  <c r="C56" i="34"/>
  <c r="W42" i="34"/>
  <c r="T42" i="34"/>
  <c r="S42" i="34"/>
  <c r="R42" i="34"/>
  <c r="Q42" i="34"/>
  <c r="P42" i="34"/>
  <c r="O42" i="34"/>
  <c r="N42" i="34"/>
  <c r="M42" i="34"/>
  <c r="L42" i="34"/>
  <c r="K42" i="34"/>
  <c r="J42" i="34"/>
  <c r="I42" i="34"/>
  <c r="H42" i="34"/>
  <c r="G42" i="34"/>
  <c r="F42" i="34"/>
  <c r="E42" i="34"/>
  <c r="W41" i="34"/>
  <c r="T41" i="34"/>
  <c r="S41" i="34"/>
  <c r="R41" i="34"/>
  <c r="Q41" i="34"/>
  <c r="P41" i="34"/>
  <c r="O41" i="34"/>
  <c r="N41" i="34"/>
  <c r="M41" i="34"/>
  <c r="L41" i="34"/>
  <c r="K41" i="34"/>
  <c r="J41" i="34"/>
  <c r="I41" i="34"/>
  <c r="H41" i="34"/>
  <c r="G41" i="34"/>
  <c r="F41" i="34"/>
  <c r="E41" i="34"/>
  <c r="C41" i="34"/>
  <c r="W40" i="34"/>
  <c r="T40" i="34"/>
  <c r="S40" i="34"/>
  <c r="R40" i="34"/>
  <c r="Q40" i="34"/>
  <c r="P40" i="34"/>
  <c r="O40" i="34"/>
  <c r="N40" i="34"/>
  <c r="M40" i="34"/>
  <c r="L40" i="34"/>
  <c r="K40" i="34"/>
  <c r="J40" i="34"/>
  <c r="I40" i="34"/>
  <c r="H40" i="34"/>
  <c r="G40" i="34"/>
  <c r="F40" i="34"/>
  <c r="E40" i="34"/>
  <c r="W39" i="34"/>
  <c r="T39" i="34"/>
  <c r="S39" i="34"/>
  <c r="R39" i="34"/>
  <c r="Q39" i="34"/>
  <c r="P39" i="34"/>
  <c r="O39" i="34"/>
  <c r="N39" i="34"/>
  <c r="M39" i="34"/>
  <c r="L39" i="34"/>
  <c r="K39" i="34"/>
  <c r="J39" i="34"/>
  <c r="I39" i="34"/>
  <c r="H39" i="34"/>
  <c r="G39" i="34"/>
  <c r="F39" i="34"/>
  <c r="E39" i="34"/>
  <c r="C39" i="34"/>
  <c r="W38" i="34"/>
  <c r="T38" i="34"/>
  <c r="S38" i="34"/>
  <c r="R38" i="34"/>
  <c r="Q38" i="34"/>
  <c r="P38" i="34"/>
  <c r="O38" i="34"/>
  <c r="N38" i="34"/>
  <c r="M38" i="34"/>
  <c r="L38" i="34"/>
  <c r="K38" i="34"/>
  <c r="J38" i="34"/>
  <c r="I38" i="34"/>
  <c r="H38" i="34"/>
  <c r="G38" i="34"/>
  <c r="F38" i="34"/>
  <c r="E38" i="34"/>
  <c r="W37" i="34"/>
  <c r="T37" i="34"/>
  <c r="S37" i="34"/>
  <c r="R37" i="34"/>
  <c r="Q37" i="34"/>
  <c r="P37" i="34"/>
  <c r="O37" i="34"/>
  <c r="N37" i="34"/>
  <c r="M37" i="34"/>
  <c r="L37" i="34"/>
  <c r="K37" i="34"/>
  <c r="J37" i="34"/>
  <c r="I37" i="34"/>
  <c r="H37" i="34"/>
  <c r="G37" i="34"/>
  <c r="F37" i="34"/>
  <c r="E37" i="34"/>
  <c r="C37" i="34"/>
  <c r="W36" i="34"/>
  <c r="T36" i="34"/>
  <c r="S36" i="34"/>
  <c r="R36" i="34"/>
  <c r="Q36" i="34"/>
  <c r="P36" i="34"/>
  <c r="O36" i="34"/>
  <c r="N36" i="34"/>
  <c r="M36" i="34"/>
  <c r="L36" i="34"/>
  <c r="K36" i="34"/>
  <c r="J36" i="34"/>
  <c r="I36" i="34"/>
  <c r="H36" i="34"/>
  <c r="G36" i="34"/>
  <c r="F36" i="34"/>
  <c r="E36" i="34"/>
  <c r="W35" i="34"/>
  <c r="T35" i="34"/>
  <c r="S35" i="34"/>
  <c r="R35" i="34"/>
  <c r="Q35" i="34"/>
  <c r="P35" i="34"/>
  <c r="O35" i="34"/>
  <c r="N35" i="34"/>
  <c r="M35" i="34"/>
  <c r="L35" i="34"/>
  <c r="K35" i="34"/>
  <c r="J35" i="34"/>
  <c r="I35" i="34"/>
  <c r="H35" i="34"/>
  <c r="G35" i="34"/>
  <c r="F35" i="34"/>
  <c r="E35" i="34"/>
  <c r="C35" i="34"/>
  <c r="M34" i="34"/>
  <c r="C33" i="34"/>
  <c r="R32" i="34"/>
  <c r="P32" i="34"/>
  <c r="J32" i="34"/>
  <c r="H32" i="34"/>
  <c r="S31" i="34"/>
  <c r="Q31" i="34"/>
  <c r="K31" i="34"/>
  <c r="I31" i="34"/>
  <c r="C31" i="34"/>
  <c r="S30" i="34"/>
  <c r="K30" i="34"/>
  <c r="T29" i="34"/>
  <c r="L29" i="34"/>
  <c r="C29" i="34"/>
  <c r="E28" i="34"/>
  <c r="C27" i="34"/>
  <c r="R26" i="34"/>
  <c r="Q26" i="34"/>
  <c r="P26" i="34"/>
  <c r="N26" i="34"/>
  <c r="J26" i="34"/>
  <c r="I26" i="34"/>
  <c r="H26" i="34"/>
  <c r="F26" i="34"/>
  <c r="S25" i="34"/>
  <c r="R25" i="34"/>
  <c r="Q25" i="34"/>
  <c r="O25" i="34"/>
  <c r="K25" i="34"/>
  <c r="J25" i="34"/>
  <c r="I25" i="34"/>
  <c r="G25" i="34"/>
  <c r="C25" i="34"/>
  <c r="S24" i="34"/>
  <c r="P24" i="34"/>
  <c r="H24" i="34"/>
  <c r="G24" i="34"/>
  <c r="P23" i="34"/>
  <c r="L23" i="34"/>
  <c r="C23" i="34"/>
  <c r="C21" i="34"/>
  <c r="C19" i="34"/>
  <c r="Q18" i="34"/>
  <c r="I18" i="34"/>
  <c r="C17" i="34"/>
  <c r="C15" i="34"/>
  <c r="W14" i="34"/>
  <c r="M14" i="34"/>
  <c r="E14" i="34"/>
  <c r="N13" i="34"/>
  <c r="F13" i="34"/>
  <c r="C13" i="34"/>
  <c r="C11" i="34"/>
  <c r="T9" i="34"/>
  <c r="C9" i="34"/>
  <c r="C7" i="34"/>
  <c r="C5" i="34"/>
  <c r="W4" i="34"/>
  <c r="C3" i="34"/>
  <c r="V92" i="34"/>
  <c r="V94" i="34"/>
  <c r="V93" i="34"/>
  <c r="V95" i="34"/>
  <c r="U92" i="34"/>
  <c r="U94" i="34"/>
  <c r="U93" i="34"/>
  <c r="U95" i="34"/>
  <c r="AJ95" i="34"/>
  <c r="A58" i="34"/>
  <c r="A60" i="34"/>
  <c r="A62" i="34"/>
  <c r="A64" i="34"/>
  <c r="A66" i="34"/>
  <c r="A68" i="34"/>
  <c r="A70" i="34"/>
  <c r="A72" i="34"/>
  <c r="A74" i="34"/>
  <c r="A76" i="34"/>
  <c r="A78" i="34"/>
  <c r="A80" i="34"/>
  <c r="A82" i="34"/>
  <c r="A84" i="34"/>
  <c r="A86" i="34"/>
  <c r="A88" i="34"/>
  <c r="A90" i="34"/>
  <c r="A92" i="34"/>
  <c r="A94" i="34"/>
  <c r="AJ93" i="34"/>
  <c r="V35" i="34"/>
  <c r="V37" i="34"/>
  <c r="V39" i="34"/>
  <c r="V41" i="34"/>
  <c r="V36" i="34"/>
  <c r="V38" i="34"/>
  <c r="V40" i="34"/>
  <c r="V42" i="34"/>
  <c r="U35" i="34"/>
  <c r="U37" i="34"/>
  <c r="U39" i="34"/>
  <c r="U41" i="34"/>
  <c r="U36" i="34"/>
  <c r="U38" i="34"/>
  <c r="U40" i="34"/>
  <c r="U42" i="34"/>
  <c r="AJ42" i="34"/>
  <c r="A5" i="34"/>
  <c r="A7" i="34"/>
  <c r="A9" i="34"/>
  <c r="A11" i="34"/>
  <c r="A13" i="34"/>
  <c r="A15" i="34"/>
  <c r="A17" i="34"/>
  <c r="A19" i="34"/>
  <c r="A21" i="34"/>
  <c r="A23" i="34"/>
  <c r="A25" i="34"/>
  <c r="A27" i="34"/>
  <c r="A29" i="34"/>
  <c r="A31" i="34"/>
  <c r="A33" i="34"/>
  <c r="A35" i="34"/>
  <c r="A37" i="34"/>
  <c r="A39" i="34"/>
  <c r="A41" i="34"/>
  <c r="AJ40" i="34"/>
  <c r="AJ38" i="34"/>
  <c r="AJ36"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Z1" i="32"/>
  <c r="BB1" i="32"/>
  <c r="I1" i="32"/>
  <c r="AK1" i="32"/>
  <c r="L1" i="32"/>
  <c r="AN1" i="32"/>
  <c r="T1" i="20"/>
  <c r="A53" i="25"/>
  <c r="H53" i="25"/>
  <c r="W102" i="17"/>
  <c r="B52" i="33"/>
  <c r="W51" i="33"/>
  <c r="X51"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T20" i="33"/>
  <c r="T21" i="33"/>
  <c r="T22" i="33"/>
  <c r="T23" i="33"/>
  <c r="T51" i="33"/>
  <c r="T52" i="33"/>
  <c r="S32" i="33"/>
  <c r="R32" i="33"/>
  <c r="P32" i="33"/>
  <c r="O32" i="33"/>
  <c r="N32" i="33"/>
  <c r="M32" i="33"/>
  <c r="L32" i="33"/>
  <c r="K32" i="33"/>
  <c r="J32" i="33"/>
  <c r="I32" i="33"/>
  <c r="H32" i="33"/>
  <c r="G32" i="33"/>
  <c r="F32" i="33"/>
  <c r="E32" i="33"/>
  <c r="D32" i="33"/>
  <c r="A17" i="26"/>
  <c r="AE49" i="13"/>
  <c r="AE50" i="13"/>
  <c r="AE51" i="13"/>
  <c r="AE52" i="13"/>
  <c r="AE53" i="13"/>
  <c r="AE54" i="13"/>
  <c r="AE55" i="13"/>
  <c r="AE56" i="13"/>
  <c r="AE57" i="13"/>
  <c r="AE58" i="13"/>
  <c r="AE59" i="13"/>
  <c r="AE60" i="13"/>
  <c r="AE61" i="13"/>
  <c r="AE62" i="13"/>
  <c r="AE63" i="13"/>
  <c r="AE64" i="13"/>
  <c r="AE65" i="13"/>
  <c r="AE66" i="13"/>
  <c r="AE67" i="13"/>
  <c r="AE68" i="13"/>
  <c r="AE69" i="13"/>
  <c r="AE70" i="13"/>
  <c r="AE71" i="13"/>
  <c r="AE72" i="13"/>
  <c r="AF72" i="13"/>
  <c r="AF71" i="13"/>
  <c r="AF70" i="13"/>
  <c r="AF69" i="13"/>
  <c r="AF68" i="13"/>
  <c r="AF67" i="13"/>
  <c r="AF66" i="13"/>
  <c r="AF65" i="13"/>
  <c r="AF64" i="13"/>
  <c r="AF63" i="13"/>
  <c r="AF62" i="13"/>
  <c r="AF61" i="13"/>
  <c r="AF60" i="13"/>
  <c r="AF59" i="13"/>
  <c r="AF58" i="13"/>
  <c r="AF57" i="13"/>
  <c r="AF56" i="13"/>
  <c r="AF55" i="13"/>
  <c r="AF54" i="13"/>
  <c r="AF53" i="13"/>
  <c r="AF52" i="13"/>
  <c r="AF51" i="13"/>
  <c r="AF50" i="13"/>
  <c r="AF49" i="13"/>
  <c r="AF48" i="13"/>
  <c r="AA45" i="13"/>
  <c r="Y45" i="13"/>
  <c r="AE5" i="13"/>
  <c r="AE6" i="13"/>
  <c r="AE7" i="13"/>
  <c r="AE8" i="13"/>
  <c r="AE9" i="13"/>
  <c r="AE10" i="13"/>
  <c r="AE11" i="13"/>
  <c r="AE12" i="13"/>
  <c r="AE13" i="13"/>
  <c r="AE14" i="13"/>
  <c r="AE15" i="13"/>
  <c r="AE16" i="13"/>
  <c r="AE17" i="13"/>
  <c r="AE18" i="13"/>
  <c r="AE19" i="13"/>
  <c r="AE20" i="13"/>
  <c r="AE21" i="13"/>
  <c r="AE22" i="13"/>
  <c r="AE23" i="13"/>
  <c r="AE24" i="13"/>
  <c r="AE25" i="13"/>
  <c r="AE26" i="13"/>
  <c r="AE27" i="13"/>
  <c r="AE28" i="13"/>
  <c r="AF28" i="13"/>
  <c r="AF27" i="13"/>
  <c r="AF26" i="13"/>
  <c r="AF25" i="13"/>
  <c r="AF24" i="13"/>
  <c r="AF23" i="13"/>
  <c r="AF22" i="13"/>
  <c r="AF21" i="13"/>
  <c r="AF20" i="13"/>
  <c r="AF19" i="13"/>
  <c r="AF18" i="13"/>
  <c r="AF17" i="13"/>
  <c r="AF16" i="13"/>
  <c r="AF15" i="13"/>
  <c r="AF14" i="13"/>
  <c r="AF13" i="13"/>
  <c r="AF12" i="13"/>
  <c r="AF11" i="13"/>
  <c r="AF10" i="13"/>
  <c r="AF9" i="13"/>
  <c r="AF8" i="13"/>
  <c r="AF7" i="13"/>
  <c r="AF6" i="13"/>
  <c r="AF5" i="13"/>
  <c r="AF4" i="13"/>
  <c r="AA1" i="13"/>
  <c r="Y1" i="13"/>
  <c r="E53" i="15"/>
  <c r="Q33" i="20"/>
  <c r="E63" i="15"/>
  <c r="Q36" i="20"/>
  <c r="E67" i="15"/>
  <c r="Q38" i="20"/>
  <c r="E73" i="15"/>
  <c r="C53" i="15"/>
  <c r="C63" i="15"/>
  <c r="C67" i="15"/>
  <c r="AJ33" i="20"/>
  <c r="K153" i="15"/>
  <c r="B74" i="17"/>
  <c r="I74" i="17"/>
  <c r="H74" i="17"/>
  <c r="G74" i="17"/>
  <c r="F74" i="17"/>
  <c r="D74" i="17"/>
  <c r="B73" i="17"/>
  <c r="I73" i="17"/>
  <c r="H73" i="17"/>
  <c r="G73" i="17"/>
  <c r="F73" i="17"/>
  <c r="D73" i="17"/>
  <c r="B72" i="17"/>
  <c r="I72" i="17"/>
  <c r="H72" i="17"/>
  <c r="G72" i="17"/>
  <c r="F72" i="17"/>
  <c r="D72" i="17"/>
  <c r="B71" i="17"/>
  <c r="I71" i="17"/>
  <c r="H71" i="17"/>
  <c r="G71" i="17"/>
  <c r="F71" i="17"/>
  <c r="D71" i="17"/>
  <c r="B70" i="17"/>
  <c r="B58" i="17"/>
  <c r="B55" i="17"/>
  <c r="U49" i="15"/>
  <c r="U51" i="15"/>
  <c r="U55" i="15"/>
  <c r="U59" i="15"/>
  <c r="U75" i="15"/>
  <c r="S57" i="15"/>
  <c r="S59" i="15"/>
  <c r="AB136" i="15"/>
  <c r="AB138" i="15"/>
  <c r="AB140" i="15"/>
  <c r="AB142" i="15"/>
  <c r="AB144" i="15"/>
  <c r="AB146" i="15"/>
  <c r="AB148" i="15"/>
  <c r="AB150" i="15"/>
  <c r="AB152" i="15"/>
  <c r="AB154" i="15"/>
  <c r="AB156" i="15"/>
  <c r="AB158" i="15"/>
  <c r="AB160" i="15"/>
  <c r="AB162" i="15"/>
  <c r="AB59" i="15"/>
  <c r="AB61" i="15"/>
  <c r="AB63" i="15"/>
  <c r="AB75" i="15"/>
  <c r="F53" i="15"/>
  <c r="F59" i="15"/>
  <c r="F63" i="15"/>
  <c r="F69" i="15"/>
  <c r="F71" i="15"/>
  <c r="B25" i="6"/>
  <c r="B21" i="6"/>
  <c r="D5" i="6"/>
  <c r="B5" i="6"/>
  <c r="AY4" i="31"/>
  <c r="AY50" i="31"/>
  <c r="AY5" i="31"/>
  <c r="AY51" i="31"/>
  <c r="AY6" i="31"/>
  <c r="AY52" i="31"/>
  <c r="AY7" i="31"/>
  <c r="AY53" i="31"/>
  <c r="AY8" i="31"/>
  <c r="AY54" i="31"/>
  <c r="AY9" i="31"/>
  <c r="AY55" i="31"/>
  <c r="AY10" i="31"/>
  <c r="AY56" i="31"/>
  <c r="AY11" i="31"/>
  <c r="AY57" i="31"/>
  <c r="AY12" i="31"/>
  <c r="AY58" i="31"/>
  <c r="AY13" i="31"/>
  <c r="AY59" i="31"/>
  <c r="AY14" i="31"/>
  <c r="AY60" i="31"/>
  <c r="AY15" i="31"/>
  <c r="AY61" i="31"/>
  <c r="AY16" i="31"/>
  <c r="AY62" i="31"/>
  <c r="AY17" i="31"/>
  <c r="AY63" i="31"/>
  <c r="AY18" i="31"/>
  <c r="AY64" i="31"/>
  <c r="AY19" i="31"/>
  <c r="AY65" i="31"/>
  <c r="AY20" i="31"/>
  <c r="AY66" i="31"/>
  <c r="AY21" i="31"/>
  <c r="AY67" i="31"/>
  <c r="AY22" i="31"/>
  <c r="AY68" i="31"/>
  <c r="AY23" i="31"/>
  <c r="AY69" i="31"/>
  <c r="Y127" i="17"/>
  <c r="W127" i="17"/>
  <c r="F127" i="17"/>
  <c r="D127" i="17"/>
  <c r="Y126" i="17"/>
  <c r="W126" i="17"/>
  <c r="F126" i="17"/>
  <c r="D126" i="17"/>
  <c r="F125" i="17"/>
  <c r="D125" i="17"/>
  <c r="F124" i="17"/>
  <c r="D124" i="17"/>
  <c r="F118" i="17"/>
  <c r="Y28" i="17"/>
  <c r="W28" i="17"/>
  <c r="F28" i="17"/>
  <c r="D28" i="17"/>
  <c r="Y27" i="17"/>
  <c r="W27" i="17"/>
  <c r="F27" i="17"/>
  <c r="D27" i="17"/>
  <c r="F26" i="17"/>
  <c r="D26" i="17"/>
  <c r="F25" i="17"/>
  <c r="D25" i="17"/>
  <c r="Y24" i="17"/>
  <c r="W24" i="17"/>
  <c r="F24" i="17"/>
  <c r="Y23" i="17"/>
  <c r="Y21" i="17"/>
  <c r="W21" i="17"/>
  <c r="F19" i="17"/>
  <c r="D19" i="17"/>
  <c r="Y18" i="17"/>
  <c r="Y13" i="17"/>
  <c r="W9" i="17"/>
  <c r="AX1" i="31"/>
  <c r="AX47" i="31"/>
  <c r="Z50" i="31"/>
  <c r="Z52" i="31"/>
  <c r="Z53" i="31"/>
  <c r="Z54" i="31"/>
  <c r="Z56" i="31"/>
  <c r="Z58" i="31"/>
  <c r="Y14" i="31"/>
  <c r="Y60" i="31"/>
  <c r="Z60" i="31"/>
  <c r="Y15" i="31"/>
  <c r="Y61" i="31"/>
  <c r="Z61" i="31"/>
  <c r="Y16" i="31"/>
  <c r="Y62" i="31"/>
  <c r="Y17" i="31"/>
  <c r="Y63" i="31"/>
  <c r="Y18" i="31"/>
  <c r="Y64" i="31"/>
  <c r="Z64" i="31"/>
  <c r="Y19" i="31"/>
  <c r="Y65" i="31"/>
  <c r="Z65" i="31"/>
  <c r="Y20" i="31"/>
  <c r="Y66" i="31"/>
  <c r="Z66" i="31"/>
  <c r="Y21" i="31"/>
  <c r="Y67" i="31"/>
  <c r="Y22" i="31"/>
  <c r="Y68" i="31"/>
  <c r="Z68" i="31"/>
  <c r="Y23" i="31"/>
  <c r="Y69" i="31"/>
  <c r="Z69" i="31"/>
  <c r="AZ54" i="31"/>
  <c r="AZ56" i="31"/>
  <c r="AZ60" i="31"/>
  <c r="AZ64" i="31"/>
  <c r="AZ68" i="31"/>
  <c r="AZ50" i="31"/>
  <c r="AZ52" i="31"/>
  <c r="AZ57" i="31"/>
  <c r="AZ62" i="31"/>
  <c r="AZ65" i="31"/>
  <c r="C87" i="31"/>
  <c r="C86" i="31"/>
  <c r="C85" i="31"/>
  <c r="C84"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C23" i="31"/>
  <c r="C23" i="31"/>
  <c r="AC22" i="31"/>
  <c r="C22" i="31"/>
  <c r="AC21" i="31"/>
  <c r="C21" i="31"/>
  <c r="AC20" i="31"/>
  <c r="C20" i="31"/>
  <c r="AC19" i="31"/>
  <c r="C19" i="31"/>
  <c r="AC18" i="31"/>
  <c r="C18" i="31"/>
  <c r="AZ63" i="31"/>
  <c r="AC17" i="31"/>
  <c r="C17" i="31"/>
  <c r="AC16" i="31"/>
  <c r="C16" i="31"/>
  <c r="AZ61" i="31"/>
  <c r="AC15" i="31"/>
  <c r="C15" i="31"/>
  <c r="AC14" i="31"/>
  <c r="C14" i="31"/>
  <c r="AC13" i="31"/>
  <c r="Y13" i="31"/>
  <c r="Y59" i="31"/>
  <c r="C13" i="31"/>
  <c r="AC12" i="31"/>
  <c r="Y12" i="31"/>
  <c r="Y58" i="31"/>
  <c r="C12" i="31"/>
  <c r="AC11" i="31"/>
  <c r="Y11" i="31"/>
  <c r="Y57" i="31"/>
  <c r="C11" i="31"/>
  <c r="AC10" i="31"/>
  <c r="Y10" i="31"/>
  <c r="Y56" i="31"/>
  <c r="C10" i="31"/>
  <c r="AZ55" i="31"/>
  <c r="AC9" i="31"/>
  <c r="Y9" i="31"/>
  <c r="Y55" i="31"/>
  <c r="C9" i="31"/>
  <c r="AC8" i="31"/>
  <c r="Y8" i="31"/>
  <c r="Y54" i="31"/>
  <c r="C8" i="31"/>
  <c r="AC7" i="31"/>
  <c r="Y7" i="31"/>
  <c r="Y53" i="31"/>
  <c r="C7" i="31"/>
  <c r="AC6" i="31"/>
  <c r="Y6" i="31"/>
  <c r="Y52" i="31"/>
  <c r="C6" i="31"/>
  <c r="AC5" i="31"/>
  <c r="Y5" i="31"/>
  <c r="Y51" i="31"/>
  <c r="C5" i="31"/>
  <c r="Y4" i="31"/>
  <c r="Y50" i="31"/>
  <c r="X1" i="31"/>
  <c r="X47" i="31"/>
  <c r="P1" i="31"/>
  <c r="AP1" i="31"/>
  <c r="AM1" i="21"/>
  <c r="N1" i="21"/>
  <c r="H45" i="13"/>
  <c r="H1" i="13"/>
  <c r="AB48" i="20"/>
  <c r="I48" i="20"/>
  <c r="H71" i="23"/>
  <c r="AY71" i="23"/>
  <c r="AY1" i="23"/>
  <c r="AD1" i="21"/>
  <c r="J45" i="13"/>
  <c r="I52" i="11"/>
  <c r="F50" i="25"/>
  <c r="M50" i="25"/>
  <c r="M1" i="25"/>
  <c r="F50" i="24"/>
  <c r="M50" i="24"/>
  <c r="M1" i="24"/>
  <c r="K48" i="20"/>
  <c r="AD48" i="20"/>
  <c r="AD1" i="20"/>
  <c r="AJ8" i="7"/>
  <c r="AJ19" i="7"/>
  <c r="AJ20" i="7"/>
  <c r="A72" i="23"/>
  <c r="Z2" i="21"/>
  <c r="A9" i="17"/>
  <c r="A10" i="17"/>
  <c r="A11" i="17"/>
  <c r="A12" i="17"/>
  <c r="A13" i="17"/>
  <c r="A14" i="17"/>
  <c r="A15" i="17"/>
  <c r="A16" i="17"/>
  <c r="A17" i="17"/>
  <c r="A18" i="17"/>
  <c r="A19" i="17"/>
  <c r="A20" i="17"/>
  <c r="A21" i="17"/>
  <c r="A22" i="17"/>
  <c r="A23" i="17"/>
  <c r="A24" i="17"/>
  <c r="A25" i="17"/>
  <c r="A26" i="17"/>
  <c r="A27" i="17"/>
  <c r="A28" i="17"/>
  <c r="B80" i="17"/>
  <c r="C11" i="17"/>
  <c r="C110" i="17"/>
  <c r="C12" i="17"/>
  <c r="C81" i="17"/>
  <c r="C13" i="17"/>
  <c r="C82" i="17"/>
  <c r="C14" i="17"/>
  <c r="C113" i="17"/>
  <c r="C15" i="17"/>
  <c r="C61" i="17"/>
  <c r="C16" i="17"/>
  <c r="C115" i="17"/>
  <c r="C17" i="17"/>
  <c r="C116" i="17"/>
  <c r="C18" i="17"/>
  <c r="C117" i="17"/>
  <c r="C19" i="17"/>
  <c r="C20" i="17"/>
  <c r="C89" i="17"/>
  <c r="C21" i="17"/>
  <c r="C44" i="17"/>
  <c r="C22" i="17"/>
  <c r="C23" i="17"/>
  <c r="C122" i="17"/>
  <c r="C168" i="17"/>
  <c r="C24" i="17"/>
  <c r="C93" i="17"/>
  <c r="C25" i="17"/>
  <c r="B95" i="17"/>
  <c r="C26" i="17"/>
  <c r="C27" i="17"/>
  <c r="C28" i="17"/>
  <c r="C127" i="17"/>
  <c r="AN4" i="21"/>
  <c r="AW4" i="21"/>
  <c r="AN6" i="21"/>
  <c r="AW6" i="21"/>
  <c r="AN8" i="21"/>
  <c r="AW8" i="21"/>
  <c r="AN10" i="21"/>
  <c r="AW10" i="21"/>
  <c r="AN12" i="21"/>
  <c r="AW12" i="21"/>
  <c r="AN14" i="21"/>
  <c r="AW14" i="21"/>
  <c r="AN16" i="21"/>
  <c r="AW16" i="21"/>
  <c r="AN18" i="21"/>
  <c r="AW18" i="21"/>
  <c r="AN20" i="21"/>
  <c r="AW20" i="21"/>
  <c r="AN22" i="21"/>
  <c r="AW22" i="21"/>
  <c r="AN24" i="21"/>
  <c r="AW24" i="21"/>
  <c r="AN26" i="21"/>
  <c r="AW26" i="21"/>
  <c r="AN28" i="21"/>
  <c r="AW28" i="21"/>
  <c r="AN30" i="21"/>
  <c r="AW30" i="21"/>
  <c r="AN32" i="21"/>
  <c r="AW32" i="21"/>
  <c r="AN34" i="21"/>
  <c r="AW34" i="21"/>
  <c r="AN36" i="21"/>
  <c r="AW36" i="21"/>
  <c r="AN38" i="21"/>
  <c r="AW38" i="21"/>
  <c r="AN40" i="21"/>
  <c r="AW40" i="21"/>
  <c r="AN42" i="21"/>
  <c r="AW42" i="21"/>
  <c r="O4" i="21"/>
  <c r="X4" i="21"/>
  <c r="O6" i="21"/>
  <c r="X6" i="21"/>
  <c r="O8" i="21"/>
  <c r="X8" i="21"/>
  <c r="O10" i="21"/>
  <c r="X10" i="21"/>
  <c r="O12" i="21"/>
  <c r="X12" i="21"/>
  <c r="O14" i="21"/>
  <c r="X14" i="21"/>
  <c r="O16" i="21"/>
  <c r="X16" i="21"/>
  <c r="O18" i="21"/>
  <c r="X18" i="21"/>
  <c r="O20" i="21"/>
  <c r="X20" i="21"/>
  <c r="O22" i="21"/>
  <c r="X22" i="21"/>
  <c r="O24" i="21"/>
  <c r="X24" i="21"/>
  <c r="O26" i="21"/>
  <c r="X26" i="21"/>
  <c r="O28" i="21"/>
  <c r="X28" i="21"/>
  <c r="O30" i="21"/>
  <c r="X30" i="21"/>
  <c r="O32" i="21"/>
  <c r="X32" i="21"/>
  <c r="O34" i="21"/>
  <c r="X34" i="21"/>
  <c r="O36" i="21"/>
  <c r="X36" i="21"/>
  <c r="O38" i="21"/>
  <c r="X38" i="21"/>
  <c r="O40" i="21"/>
  <c r="X40" i="21"/>
  <c r="O42" i="21"/>
  <c r="X42" i="21"/>
  <c r="A1" i="26"/>
  <c r="R2" i="21"/>
  <c r="AR72" i="23"/>
  <c r="AR2" i="23"/>
  <c r="H1" i="23"/>
  <c r="E1" i="21"/>
  <c r="J1" i="13"/>
  <c r="I1" i="11"/>
  <c r="F1" i="25"/>
  <c r="F1" i="24"/>
  <c r="K1" i="20"/>
  <c r="N49" i="13"/>
  <c r="N50" i="13"/>
  <c r="N51" i="13"/>
  <c r="O49" i="13"/>
  <c r="O48" i="13"/>
  <c r="B94" i="25"/>
  <c r="I94" i="25"/>
  <c r="A94" i="25"/>
  <c r="H94" i="25"/>
  <c r="B93" i="25"/>
  <c r="I93" i="25"/>
  <c r="A93" i="25"/>
  <c r="H93" i="25"/>
  <c r="B92" i="25"/>
  <c r="I92" i="25"/>
  <c r="A92" i="25"/>
  <c r="H92" i="25"/>
  <c r="B91" i="25"/>
  <c r="I91" i="25"/>
  <c r="A91" i="25"/>
  <c r="H91" i="25"/>
  <c r="B90" i="25"/>
  <c r="I90" i="25"/>
  <c r="A90" i="25"/>
  <c r="H90" i="25"/>
  <c r="B89" i="25"/>
  <c r="I89" i="25"/>
  <c r="A89" i="25"/>
  <c r="H89" i="25"/>
  <c r="B88" i="25"/>
  <c r="I88" i="25"/>
  <c r="A88" i="25"/>
  <c r="H88" i="25"/>
  <c r="B87" i="25"/>
  <c r="I87" i="25"/>
  <c r="A87" i="25"/>
  <c r="H87" i="25"/>
  <c r="B86" i="25"/>
  <c r="I86" i="25"/>
  <c r="A86" i="25"/>
  <c r="H86" i="25"/>
  <c r="B85" i="25"/>
  <c r="I85" i="25"/>
  <c r="A85" i="25"/>
  <c r="H85" i="25"/>
  <c r="B84" i="25"/>
  <c r="I84" i="25"/>
  <c r="A84" i="25"/>
  <c r="H84" i="25"/>
  <c r="B83" i="25"/>
  <c r="I83" i="25"/>
  <c r="A83" i="25"/>
  <c r="H83" i="25"/>
  <c r="B82" i="25"/>
  <c r="I82" i="25"/>
  <c r="A82" i="25"/>
  <c r="H82" i="25"/>
  <c r="B81" i="25"/>
  <c r="I81" i="25"/>
  <c r="A81" i="25"/>
  <c r="H81" i="25"/>
  <c r="B80" i="25"/>
  <c r="I80" i="25"/>
  <c r="A80" i="25"/>
  <c r="H80" i="25"/>
  <c r="B79" i="25"/>
  <c r="I79" i="25"/>
  <c r="A79" i="25"/>
  <c r="H79" i="25"/>
  <c r="B78" i="25"/>
  <c r="I78" i="25"/>
  <c r="A78" i="25"/>
  <c r="H78" i="25"/>
  <c r="B77" i="25"/>
  <c r="I77" i="25"/>
  <c r="A77" i="25"/>
  <c r="H77" i="25"/>
  <c r="B76" i="25"/>
  <c r="I76" i="25"/>
  <c r="A76" i="25"/>
  <c r="H76" i="25"/>
  <c r="B75" i="25"/>
  <c r="I75" i="25"/>
  <c r="A75" i="25"/>
  <c r="H75" i="25"/>
  <c r="B73" i="25"/>
  <c r="I73" i="25"/>
  <c r="A73" i="25"/>
  <c r="H73" i="25"/>
  <c r="B72" i="25"/>
  <c r="I72" i="25"/>
  <c r="A72" i="25"/>
  <c r="H72" i="25"/>
  <c r="B71" i="25"/>
  <c r="I71" i="25"/>
  <c r="A71" i="25"/>
  <c r="H71" i="25"/>
  <c r="B70" i="25"/>
  <c r="I70" i="25"/>
  <c r="A70" i="25"/>
  <c r="H70" i="25"/>
  <c r="B69" i="25"/>
  <c r="I69" i="25"/>
  <c r="A69" i="25"/>
  <c r="H69" i="25"/>
  <c r="B68" i="25"/>
  <c r="I68" i="25"/>
  <c r="A68" i="25"/>
  <c r="H68" i="25"/>
  <c r="B67" i="25"/>
  <c r="I67" i="25"/>
  <c r="A67" i="25"/>
  <c r="H67" i="25"/>
  <c r="B66" i="25"/>
  <c r="I66" i="25"/>
  <c r="A66" i="25"/>
  <c r="H66" i="25"/>
  <c r="B65" i="25"/>
  <c r="I65" i="25"/>
  <c r="A65" i="25"/>
  <c r="H65" i="25"/>
  <c r="B64" i="25"/>
  <c r="I64" i="25"/>
  <c r="A64" i="25"/>
  <c r="H64" i="25"/>
  <c r="B63" i="25"/>
  <c r="I63" i="25"/>
  <c r="A63" i="25"/>
  <c r="H63" i="25"/>
  <c r="B62" i="25"/>
  <c r="I62" i="25"/>
  <c r="A62" i="25"/>
  <c r="H62" i="25"/>
  <c r="B61" i="25"/>
  <c r="I61" i="25"/>
  <c r="A61" i="25"/>
  <c r="H61" i="25"/>
  <c r="B60" i="25"/>
  <c r="I60" i="25"/>
  <c r="A60" i="25"/>
  <c r="H60" i="25"/>
  <c r="B59" i="25"/>
  <c r="I59" i="25"/>
  <c r="A59" i="25"/>
  <c r="H59" i="25"/>
  <c r="B58" i="25"/>
  <c r="I58" i="25"/>
  <c r="A58" i="25"/>
  <c r="H58" i="25"/>
  <c r="B57" i="25"/>
  <c r="I57" i="25"/>
  <c r="A57" i="25"/>
  <c r="H57" i="25"/>
  <c r="B56" i="25"/>
  <c r="I56" i="25"/>
  <c r="A56" i="25"/>
  <c r="H56" i="25"/>
  <c r="B55" i="25"/>
  <c r="I55" i="25"/>
  <c r="A55" i="25"/>
  <c r="H55" i="25"/>
  <c r="B54" i="25"/>
  <c r="I54" i="25"/>
  <c r="A54" i="25"/>
  <c r="H54" i="25"/>
  <c r="B45" i="25"/>
  <c r="I45" i="25"/>
  <c r="A45" i="25"/>
  <c r="H45" i="25"/>
  <c r="B44" i="25"/>
  <c r="I44" i="25"/>
  <c r="A44" i="25"/>
  <c r="H44" i="25"/>
  <c r="B43" i="25"/>
  <c r="I43" i="25"/>
  <c r="A43" i="25"/>
  <c r="H43" i="25"/>
  <c r="B42" i="25"/>
  <c r="I42" i="25"/>
  <c r="A42" i="25"/>
  <c r="H42" i="25"/>
  <c r="B41" i="25"/>
  <c r="I41" i="25"/>
  <c r="A41" i="25"/>
  <c r="H41" i="25"/>
  <c r="B40" i="25"/>
  <c r="I40" i="25"/>
  <c r="A40" i="25"/>
  <c r="H40" i="25"/>
  <c r="B39" i="25"/>
  <c r="I39" i="25"/>
  <c r="A39" i="25"/>
  <c r="H39" i="25"/>
  <c r="B38" i="25"/>
  <c r="I38" i="25"/>
  <c r="A38" i="25"/>
  <c r="H38" i="25"/>
  <c r="B37" i="25"/>
  <c r="I37" i="25"/>
  <c r="A37" i="25"/>
  <c r="H37" i="25"/>
  <c r="B36" i="25"/>
  <c r="I36" i="25"/>
  <c r="A36" i="25"/>
  <c r="H36" i="25"/>
  <c r="B35" i="25"/>
  <c r="I35" i="25"/>
  <c r="A35" i="25"/>
  <c r="H35" i="25"/>
  <c r="B34" i="25"/>
  <c r="I34" i="25"/>
  <c r="A34" i="25"/>
  <c r="H34" i="25"/>
  <c r="B33" i="25"/>
  <c r="I33" i="25"/>
  <c r="A33" i="25"/>
  <c r="H33" i="25"/>
  <c r="B32" i="25"/>
  <c r="I32" i="25"/>
  <c r="A32" i="25"/>
  <c r="H32" i="25"/>
  <c r="B31" i="25"/>
  <c r="I31" i="25"/>
  <c r="A31" i="25"/>
  <c r="H31" i="25"/>
  <c r="B30" i="25"/>
  <c r="I30" i="25"/>
  <c r="A30" i="25"/>
  <c r="H30" i="25"/>
  <c r="B29" i="25"/>
  <c r="I29" i="25"/>
  <c r="A29" i="25"/>
  <c r="H29" i="25"/>
  <c r="B28" i="25"/>
  <c r="I28" i="25"/>
  <c r="A28" i="25"/>
  <c r="H28" i="25"/>
  <c r="B27" i="25"/>
  <c r="I27" i="25"/>
  <c r="A27" i="25"/>
  <c r="H27" i="25"/>
  <c r="B26" i="25"/>
  <c r="I26" i="25"/>
  <c r="A26" i="25"/>
  <c r="H26" i="25"/>
  <c r="B25" i="25"/>
  <c r="I25" i="25"/>
  <c r="B24" i="25"/>
  <c r="I24" i="25"/>
  <c r="A24" i="25"/>
  <c r="H24" i="25"/>
  <c r="B23" i="25"/>
  <c r="I23" i="25"/>
  <c r="A23" i="25"/>
  <c r="H23" i="25"/>
  <c r="B22" i="25"/>
  <c r="I22" i="25"/>
  <c r="A22" i="25"/>
  <c r="H22" i="25"/>
  <c r="B21" i="25"/>
  <c r="I21" i="25"/>
  <c r="A21" i="25"/>
  <c r="H21" i="25"/>
  <c r="B20" i="25"/>
  <c r="I20" i="25"/>
  <c r="A20" i="25"/>
  <c r="H20" i="25"/>
  <c r="B19" i="25"/>
  <c r="I19" i="25"/>
  <c r="A19" i="25"/>
  <c r="H19" i="25"/>
  <c r="B18" i="25"/>
  <c r="I18" i="25"/>
  <c r="A18" i="25"/>
  <c r="H18" i="25"/>
  <c r="B17" i="25"/>
  <c r="I17" i="25"/>
  <c r="A17" i="25"/>
  <c r="H17" i="25"/>
  <c r="B16" i="25"/>
  <c r="I16" i="25"/>
  <c r="A16" i="25"/>
  <c r="H16" i="25"/>
  <c r="B15" i="25"/>
  <c r="I15" i="25"/>
  <c r="A15" i="25"/>
  <c r="H15" i="25"/>
  <c r="B14" i="25"/>
  <c r="I14" i="25"/>
  <c r="A14" i="25"/>
  <c r="H14" i="25"/>
  <c r="B13" i="25"/>
  <c r="I13" i="25"/>
  <c r="A13" i="25"/>
  <c r="H13" i="25"/>
  <c r="B12" i="25"/>
  <c r="I12" i="25"/>
  <c r="A12" i="25"/>
  <c r="H12" i="25"/>
  <c r="B11" i="25"/>
  <c r="I11" i="25"/>
  <c r="A11" i="25"/>
  <c r="H11" i="25"/>
  <c r="B10" i="25"/>
  <c r="I10" i="25"/>
  <c r="A10" i="25"/>
  <c r="H10" i="25"/>
  <c r="B9" i="25"/>
  <c r="I9" i="25"/>
  <c r="A9" i="25"/>
  <c r="H9" i="25"/>
  <c r="B8" i="25"/>
  <c r="I8" i="25"/>
  <c r="A8" i="25"/>
  <c r="H8" i="25"/>
  <c r="B7" i="25"/>
  <c r="I7" i="25"/>
  <c r="A7" i="25"/>
  <c r="H7" i="25"/>
  <c r="B6" i="25"/>
  <c r="I6" i="25"/>
  <c r="A6" i="25"/>
  <c r="H6" i="25"/>
  <c r="B5" i="25"/>
  <c r="I5" i="25"/>
  <c r="A5" i="25"/>
  <c r="H5" i="25"/>
  <c r="A4" i="25"/>
  <c r="H4" i="25"/>
  <c r="B94" i="24"/>
  <c r="I94" i="24"/>
  <c r="A94" i="24"/>
  <c r="H94" i="24"/>
  <c r="B93" i="24"/>
  <c r="I93" i="24"/>
  <c r="A93" i="24"/>
  <c r="H93" i="24"/>
  <c r="B92" i="24"/>
  <c r="I92" i="24"/>
  <c r="A92" i="24"/>
  <c r="H92" i="24"/>
  <c r="B91" i="24"/>
  <c r="I91" i="24"/>
  <c r="A91" i="24"/>
  <c r="H91" i="24"/>
  <c r="B90" i="24"/>
  <c r="I90" i="24"/>
  <c r="A90" i="24"/>
  <c r="H90" i="24"/>
  <c r="B89" i="24"/>
  <c r="I89" i="24"/>
  <c r="A89" i="24"/>
  <c r="H89" i="24"/>
  <c r="B88" i="24"/>
  <c r="I88" i="24"/>
  <c r="A88" i="24"/>
  <c r="H88" i="24"/>
  <c r="B87" i="24"/>
  <c r="I87" i="24"/>
  <c r="A87" i="24"/>
  <c r="H87" i="24"/>
  <c r="B86" i="24"/>
  <c r="I86" i="24"/>
  <c r="A86" i="24"/>
  <c r="H86" i="24"/>
  <c r="B85" i="24"/>
  <c r="I85" i="24"/>
  <c r="A85" i="24"/>
  <c r="H85" i="24"/>
  <c r="B84" i="24"/>
  <c r="I84" i="24"/>
  <c r="A84" i="24"/>
  <c r="H84" i="24"/>
  <c r="B83" i="24"/>
  <c r="I83" i="24"/>
  <c r="A83" i="24"/>
  <c r="H83" i="24"/>
  <c r="B82" i="24"/>
  <c r="I82" i="24"/>
  <c r="A82" i="24"/>
  <c r="H82" i="24"/>
  <c r="B81" i="24"/>
  <c r="I81" i="24"/>
  <c r="A81" i="24"/>
  <c r="H81" i="24"/>
  <c r="B80" i="24"/>
  <c r="I80" i="24"/>
  <c r="A80" i="24"/>
  <c r="H80" i="24"/>
  <c r="B79" i="24"/>
  <c r="I79" i="24"/>
  <c r="A79" i="24"/>
  <c r="H79" i="24"/>
  <c r="B78" i="24"/>
  <c r="I78" i="24"/>
  <c r="A78" i="24"/>
  <c r="H78" i="24"/>
  <c r="B77" i="24"/>
  <c r="I77" i="24"/>
  <c r="A77" i="24"/>
  <c r="H77" i="24"/>
  <c r="B76" i="24"/>
  <c r="I76" i="24"/>
  <c r="A76" i="24"/>
  <c r="H76" i="24"/>
  <c r="B75" i="24"/>
  <c r="I75" i="24"/>
  <c r="A75" i="24"/>
  <c r="H75" i="24"/>
  <c r="B73" i="24"/>
  <c r="I73" i="24"/>
  <c r="A73" i="24"/>
  <c r="H73" i="24"/>
  <c r="B72" i="24"/>
  <c r="I72" i="24"/>
  <c r="A72" i="24"/>
  <c r="H72" i="24"/>
  <c r="B71" i="24"/>
  <c r="I71" i="24"/>
  <c r="A71" i="24"/>
  <c r="H71" i="24"/>
  <c r="B70" i="24"/>
  <c r="I70" i="24"/>
  <c r="A70" i="24"/>
  <c r="H70" i="24"/>
  <c r="B69" i="24"/>
  <c r="I69" i="24"/>
  <c r="A69" i="24"/>
  <c r="H69" i="24"/>
  <c r="B68" i="24"/>
  <c r="I68" i="24"/>
  <c r="A68" i="24"/>
  <c r="H68" i="24"/>
  <c r="B67" i="24"/>
  <c r="I67" i="24"/>
  <c r="A67" i="24"/>
  <c r="H67" i="24"/>
  <c r="B66" i="24"/>
  <c r="I66" i="24"/>
  <c r="A66" i="24"/>
  <c r="H66" i="24"/>
  <c r="B65" i="24"/>
  <c r="I65" i="24"/>
  <c r="A65" i="24"/>
  <c r="H65" i="24"/>
  <c r="B64" i="24"/>
  <c r="I64" i="24"/>
  <c r="A64" i="24"/>
  <c r="H64" i="24"/>
  <c r="B63" i="24"/>
  <c r="I63" i="24"/>
  <c r="A63" i="24"/>
  <c r="H63" i="24"/>
  <c r="B62" i="24"/>
  <c r="I62" i="24"/>
  <c r="A62" i="24"/>
  <c r="H62" i="24"/>
  <c r="B61" i="24"/>
  <c r="I61" i="24"/>
  <c r="A61" i="24"/>
  <c r="H61" i="24"/>
  <c r="B60" i="24"/>
  <c r="I60" i="24"/>
  <c r="A60" i="24"/>
  <c r="H60" i="24"/>
  <c r="B59" i="24"/>
  <c r="I59" i="24"/>
  <c r="A59" i="24"/>
  <c r="H59" i="24"/>
  <c r="B58" i="24"/>
  <c r="I58" i="24"/>
  <c r="A58" i="24"/>
  <c r="H58" i="24"/>
  <c r="B57" i="24"/>
  <c r="I57" i="24"/>
  <c r="A57" i="24"/>
  <c r="H57" i="24"/>
  <c r="B56" i="24"/>
  <c r="I56" i="24"/>
  <c r="A56" i="24"/>
  <c r="H56" i="24"/>
  <c r="B55" i="24"/>
  <c r="I55" i="24"/>
  <c r="A55" i="24"/>
  <c r="H55" i="24"/>
  <c r="B54" i="24"/>
  <c r="I54" i="24"/>
  <c r="A54" i="24"/>
  <c r="H54" i="24"/>
  <c r="B45" i="24"/>
  <c r="I45" i="24"/>
  <c r="A45" i="24"/>
  <c r="H45" i="24"/>
  <c r="B44" i="24"/>
  <c r="I44" i="24"/>
  <c r="A44" i="24"/>
  <c r="H44" i="24"/>
  <c r="B43" i="24"/>
  <c r="I43" i="24"/>
  <c r="A43" i="24"/>
  <c r="H43" i="24"/>
  <c r="B42" i="24"/>
  <c r="I42" i="24"/>
  <c r="A42" i="24"/>
  <c r="H42" i="24"/>
  <c r="B41" i="24"/>
  <c r="I41" i="24"/>
  <c r="A41" i="24"/>
  <c r="H41" i="24"/>
  <c r="B40" i="24"/>
  <c r="I40" i="24"/>
  <c r="A40" i="24"/>
  <c r="H40" i="24"/>
  <c r="B39" i="24"/>
  <c r="I39" i="24"/>
  <c r="A39" i="24"/>
  <c r="H39" i="24"/>
  <c r="B38" i="24"/>
  <c r="I38" i="24"/>
  <c r="A38" i="24"/>
  <c r="H38" i="24"/>
  <c r="B37" i="24"/>
  <c r="I37" i="24"/>
  <c r="A37" i="24"/>
  <c r="H37" i="24"/>
  <c r="B36" i="24"/>
  <c r="I36" i="24"/>
  <c r="A36" i="24"/>
  <c r="H36" i="24"/>
  <c r="B35" i="24"/>
  <c r="I35" i="24"/>
  <c r="A35" i="24"/>
  <c r="H35" i="24"/>
  <c r="B34" i="24"/>
  <c r="I34" i="24"/>
  <c r="A34" i="24"/>
  <c r="H34" i="24"/>
  <c r="B33" i="24"/>
  <c r="I33" i="24"/>
  <c r="A33" i="24"/>
  <c r="H33" i="24"/>
  <c r="B32" i="24"/>
  <c r="I32" i="24"/>
  <c r="A32" i="24"/>
  <c r="H32" i="24"/>
  <c r="B31" i="24"/>
  <c r="I31" i="24"/>
  <c r="A31" i="24"/>
  <c r="H31" i="24"/>
  <c r="B30" i="24"/>
  <c r="I30" i="24"/>
  <c r="A30" i="24"/>
  <c r="H30" i="24"/>
  <c r="B29" i="24"/>
  <c r="I29" i="24"/>
  <c r="A29" i="24"/>
  <c r="H29" i="24"/>
  <c r="B28" i="24"/>
  <c r="I28" i="24"/>
  <c r="A28" i="24"/>
  <c r="H28" i="24"/>
  <c r="B27" i="24"/>
  <c r="I27" i="24"/>
  <c r="A27" i="24"/>
  <c r="H27" i="24"/>
  <c r="B26" i="24"/>
  <c r="I26" i="24"/>
  <c r="A26" i="24"/>
  <c r="H26" i="24"/>
  <c r="B24" i="24"/>
  <c r="I24" i="24"/>
  <c r="A24" i="24"/>
  <c r="H24" i="24"/>
  <c r="B23" i="24"/>
  <c r="I23" i="24"/>
  <c r="A23" i="24"/>
  <c r="H23" i="24"/>
  <c r="B22" i="24"/>
  <c r="I22" i="24"/>
  <c r="A22" i="24"/>
  <c r="H22" i="24"/>
  <c r="B21" i="24"/>
  <c r="I21" i="24"/>
  <c r="A21" i="24"/>
  <c r="H21" i="24"/>
  <c r="B20" i="24"/>
  <c r="I20" i="24"/>
  <c r="A20" i="24"/>
  <c r="H20" i="24"/>
  <c r="B19" i="24"/>
  <c r="I19" i="24"/>
  <c r="A19" i="24"/>
  <c r="H19" i="24"/>
  <c r="B18" i="24"/>
  <c r="I18" i="24"/>
  <c r="A18" i="24"/>
  <c r="H18" i="24"/>
  <c r="B17" i="24"/>
  <c r="I17" i="24"/>
  <c r="A17" i="24"/>
  <c r="H17" i="24"/>
  <c r="B16" i="24"/>
  <c r="I16" i="24"/>
  <c r="A16" i="24"/>
  <c r="H16" i="24"/>
  <c r="B15" i="24"/>
  <c r="I15" i="24"/>
  <c r="A15" i="24"/>
  <c r="H15" i="24"/>
  <c r="B14" i="24"/>
  <c r="I14" i="24"/>
  <c r="A14" i="24"/>
  <c r="H14" i="24"/>
  <c r="B13" i="24"/>
  <c r="I13" i="24"/>
  <c r="A13" i="24"/>
  <c r="H13" i="24"/>
  <c r="B12" i="24"/>
  <c r="I12" i="24"/>
  <c r="A12" i="24"/>
  <c r="H12" i="24"/>
  <c r="B11" i="24"/>
  <c r="I11" i="24"/>
  <c r="A11" i="24"/>
  <c r="H11" i="24"/>
  <c r="B10" i="24"/>
  <c r="I10" i="24"/>
  <c r="A10" i="24"/>
  <c r="H10" i="24"/>
  <c r="B9" i="24"/>
  <c r="I9" i="24"/>
  <c r="A9" i="24"/>
  <c r="H9" i="24"/>
  <c r="B8" i="24"/>
  <c r="I8" i="24"/>
  <c r="A8" i="24"/>
  <c r="H8" i="24"/>
  <c r="B7" i="24"/>
  <c r="I7" i="24"/>
  <c r="A7" i="24"/>
  <c r="H7" i="24"/>
  <c r="B6" i="24"/>
  <c r="I6" i="24"/>
  <c r="A6" i="24"/>
  <c r="H6" i="24"/>
  <c r="B5" i="24"/>
  <c r="I5" i="24"/>
  <c r="A5" i="24"/>
  <c r="H5" i="24"/>
  <c r="AJ41" i="20"/>
  <c r="AJ40" i="20"/>
  <c r="AJ39" i="20"/>
  <c r="AJ38" i="20"/>
  <c r="AJ37" i="20"/>
  <c r="AJ36" i="20"/>
  <c r="AJ35" i="20"/>
  <c r="AJ34" i="20"/>
  <c r="AJ32" i="20"/>
  <c r="AJ31" i="20"/>
  <c r="AJ30" i="20"/>
  <c r="AJ29" i="20"/>
  <c r="AJ28" i="20"/>
  <c r="AJ27" i="20"/>
  <c r="A78" i="2"/>
  <c r="Z42" i="21"/>
  <c r="Z40" i="21"/>
  <c r="Z38" i="21"/>
  <c r="Z36" i="21"/>
  <c r="Z34" i="21"/>
  <c r="Z32" i="21"/>
  <c r="Z30" i="21"/>
  <c r="Z28" i="21"/>
  <c r="Z26" i="21"/>
  <c r="Z24" i="21"/>
  <c r="Z22" i="21"/>
  <c r="Z20" i="21"/>
  <c r="Z18" i="21"/>
  <c r="Z16" i="21"/>
  <c r="Z14" i="21"/>
  <c r="Z12" i="21"/>
  <c r="Z10" i="21"/>
  <c r="Z8" i="21"/>
  <c r="Z6" i="21"/>
  <c r="Z4" i="21"/>
  <c r="AI42" i="21"/>
  <c r="AI40" i="21"/>
  <c r="AI38" i="21"/>
  <c r="AI36" i="21"/>
  <c r="AI34" i="21"/>
  <c r="AI32" i="21"/>
  <c r="AI30" i="21"/>
  <c r="AI28" i="21"/>
  <c r="AI26" i="21"/>
  <c r="AI24" i="21"/>
  <c r="AI22" i="21"/>
  <c r="AI20" i="21"/>
  <c r="AI18" i="21"/>
  <c r="AI16" i="21"/>
  <c r="AI14" i="21"/>
  <c r="AI12" i="21"/>
  <c r="AI10" i="21"/>
  <c r="AI8" i="21"/>
  <c r="AI6" i="21"/>
  <c r="AI4" i="21"/>
  <c r="AI44" i="21"/>
  <c r="J42" i="21"/>
  <c r="J40" i="21"/>
  <c r="J38" i="21"/>
  <c r="J36" i="21"/>
  <c r="J34" i="21"/>
  <c r="J32" i="21"/>
  <c r="J30" i="21"/>
  <c r="J28" i="21"/>
  <c r="J26" i="21"/>
  <c r="J24" i="21"/>
  <c r="J22" i="21"/>
  <c r="J20" i="21"/>
  <c r="J18" i="21"/>
  <c r="J16" i="21"/>
  <c r="J14" i="21"/>
  <c r="J12" i="21"/>
  <c r="J10" i="21"/>
  <c r="J8" i="21"/>
  <c r="J6" i="21"/>
  <c r="J4" i="21"/>
  <c r="AW44" i="21"/>
  <c r="X44" i="21"/>
  <c r="A8" i="21"/>
  <c r="A6" i="21"/>
  <c r="A4" i="21"/>
  <c r="A42" i="21"/>
  <c r="A40" i="21"/>
  <c r="A38" i="21"/>
  <c r="A36" i="21"/>
  <c r="A34" i="21"/>
  <c r="A32" i="21"/>
  <c r="A30" i="21"/>
  <c r="A28" i="21"/>
  <c r="A26" i="21"/>
  <c r="A24" i="21"/>
  <c r="A22" i="21"/>
  <c r="A20" i="21"/>
  <c r="A18" i="21"/>
  <c r="A16" i="21"/>
  <c r="A14" i="21"/>
  <c r="A12" i="21"/>
  <c r="A10" i="21"/>
  <c r="AJ79" i="20"/>
  <c r="AL79" i="20"/>
  <c r="AJ80" i="20"/>
  <c r="AL80" i="20"/>
  <c r="AJ81" i="20"/>
  <c r="AL81" i="20"/>
  <c r="AJ82" i="20"/>
  <c r="AL82" i="20"/>
  <c r="AJ83" i="20"/>
  <c r="AL83" i="20"/>
  <c r="AJ84" i="20"/>
  <c r="AL84" i="20"/>
  <c r="AJ85" i="20"/>
  <c r="AL85" i="20"/>
  <c r="AJ86" i="20"/>
  <c r="AL86" i="20"/>
  <c r="Q79" i="20"/>
  <c r="S79" i="20"/>
  <c r="Q80" i="20"/>
  <c r="S80" i="20"/>
  <c r="Q81" i="20"/>
  <c r="S81" i="20"/>
  <c r="Q82" i="20"/>
  <c r="S82" i="20"/>
  <c r="Q83" i="20"/>
  <c r="S83" i="20"/>
  <c r="Q84" i="20"/>
  <c r="S84" i="20"/>
  <c r="Q85" i="20"/>
  <c r="S85" i="20"/>
  <c r="Q86" i="20"/>
  <c r="S86" i="20"/>
  <c r="S32" i="20"/>
  <c r="S33" i="20"/>
  <c r="S34" i="20"/>
  <c r="S35" i="20"/>
  <c r="S36" i="20"/>
  <c r="S37" i="20"/>
  <c r="S38" i="20"/>
  <c r="S39" i="20"/>
  <c r="AL32" i="20"/>
  <c r="AL33" i="20"/>
  <c r="AL34" i="20"/>
  <c r="AL35" i="20"/>
  <c r="AL36" i="20"/>
  <c r="AL37" i="20"/>
  <c r="AL38" i="20"/>
  <c r="AL39" i="20"/>
  <c r="Q32" i="20"/>
  <c r="Q34" i="20"/>
  <c r="Q35" i="20"/>
  <c r="Q37" i="20"/>
  <c r="Q39" i="20"/>
  <c r="I62" i="11"/>
  <c r="K1" i="15"/>
  <c r="AL52" i="20"/>
  <c r="AL53" i="20"/>
  <c r="AL54" i="20"/>
  <c r="AL55" i="20"/>
  <c r="AL56" i="20"/>
  <c r="AL57" i="20"/>
  <c r="AL58" i="20"/>
  <c r="AL59" i="20"/>
  <c r="AL60" i="20"/>
  <c r="AL61" i="20"/>
  <c r="AL62" i="20"/>
  <c r="AL63" i="20"/>
  <c r="AL64" i="20"/>
  <c r="AL65" i="20"/>
  <c r="AL66" i="20"/>
  <c r="AL67" i="20"/>
  <c r="AL68" i="20"/>
  <c r="AL69" i="20"/>
  <c r="AL70" i="20"/>
  <c r="AL71" i="20"/>
  <c r="AL72" i="20"/>
  <c r="AL73" i="20"/>
  <c r="AL74" i="20"/>
  <c r="AL75" i="20"/>
  <c r="AL76" i="20"/>
  <c r="AL77" i="20"/>
  <c r="AL78" i="20"/>
  <c r="AL87" i="20"/>
  <c r="AL88" i="20"/>
  <c r="AL51" i="20"/>
  <c r="AJ88" i="20"/>
  <c r="AJ87" i="20"/>
  <c r="AJ78" i="20"/>
  <c r="AJ77" i="20"/>
  <c r="AJ76" i="20"/>
  <c r="AJ75" i="20"/>
  <c r="AK4" i="20"/>
  <c r="AK5" i="20"/>
  <c r="AK6" i="20"/>
  <c r="AK7" i="20"/>
  <c r="AK8" i="20"/>
  <c r="AK9" i="20"/>
  <c r="AK10" i="20"/>
  <c r="AK11" i="20"/>
  <c r="AK12" i="20"/>
  <c r="AK13" i="20"/>
  <c r="AK14" i="20"/>
  <c r="AK15" i="20"/>
  <c r="AK16" i="20"/>
  <c r="AK17" i="20"/>
  <c r="AK18" i="20"/>
  <c r="AK19" i="20"/>
  <c r="AK20" i="20"/>
  <c r="AK21" i="20"/>
  <c r="AK22" i="20"/>
  <c r="AK23" i="20"/>
  <c r="AK24" i="20"/>
  <c r="AK25" i="20"/>
  <c r="AK26" i="20"/>
  <c r="AK27" i="20"/>
  <c r="AK28" i="20"/>
  <c r="AK29" i="20"/>
  <c r="AK30" i="20"/>
  <c r="AK31" i="20"/>
  <c r="AK32" i="20"/>
  <c r="AK33" i="20"/>
  <c r="AK34" i="20"/>
  <c r="AK35" i="20"/>
  <c r="AK36" i="20"/>
  <c r="AK37" i="20"/>
  <c r="AK38" i="20"/>
  <c r="AK39" i="20"/>
  <c r="AK40" i="20"/>
  <c r="AK41" i="20"/>
  <c r="AK42" i="20"/>
  <c r="AK50" i="20"/>
  <c r="AK51" i="20"/>
  <c r="AL5" i="20"/>
  <c r="AL6" i="20"/>
  <c r="AL7" i="20"/>
  <c r="AL8" i="20"/>
  <c r="AL10" i="20"/>
  <c r="AL12" i="20"/>
  <c r="AL13" i="20"/>
  <c r="AL14" i="20"/>
  <c r="AL15" i="20"/>
  <c r="AL16" i="20"/>
  <c r="AL17" i="20"/>
  <c r="AL18" i="20"/>
  <c r="AL19" i="20"/>
  <c r="AL20" i="20"/>
  <c r="AL21" i="20"/>
  <c r="AL22" i="20"/>
  <c r="AL24" i="20"/>
  <c r="AL26" i="20"/>
  <c r="AL27" i="20"/>
  <c r="AL28" i="20"/>
  <c r="AL29" i="20"/>
  <c r="AL30" i="20"/>
  <c r="AL31" i="20"/>
  <c r="AL40" i="20"/>
  <c r="AL41" i="20"/>
  <c r="AL4"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87" i="20"/>
  <c r="S88" i="20"/>
  <c r="S51" i="20"/>
  <c r="Q88" i="20"/>
  <c r="Q87" i="20"/>
  <c r="Q78" i="20"/>
  <c r="Q77" i="20"/>
  <c r="Q76" i="20"/>
  <c r="S5" i="20"/>
  <c r="S6" i="20"/>
  <c r="S7" i="20"/>
  <c r="S8" i="20"/>
  <c r="S9"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Q40" i="20"/>
  <c r="Q31" i="20"/>
  <c r="Q30" i="20"/>
  <c r="Q29" i="20"/>
  <c r="Q28" i="20"/>
  <c r="Q27" i="20"/>
  <c r="R4" i="20"/>
  <c r="R5" i="20"/>
  <c r="R6" i="20"/>
  <c r="AI89" i="20"/>
  <c r="AH89" i="20"/>
  <c r="AE89" i="20"/>
  <c r="AD89" i="20"/>
  <c r="AC89" i="20"/>
  <c r="AB89" i="20"/>
  <c r="AA89" i="20"/>
  <c r="P89" i="20"/>
  <c r="O89" i="20"/>
  <c r="N89" i="20"/>
  <c r="M89" i="20"/>
  <c r="L89" i="20"/>
  <c r="K89" i="20"/>
  <c r="J89" i="20"/>
  <c r="I89" i="20"/>
  <c r="H89" i="20"/>
  <c r="AI42" i="20"/>
  <c r="AH42" i="20"/>
  <c r="AG42" i="20"/>
  <c r="AF42" i="20"/>
  <c r="AE42" i="20"/>
  <c r="AD42" i="20"/>
  <c r="AC42" i="20"/>
  <c r="AB42" i="20"/>
  <c r="AA42" i="20"/>
  <c r="P42" i="20"/>
  <c r="O42" i="20"/>
  <c r="N42" i="20"/>
  <c r="M42" i="20"/>
  <c r="L42" i="20"/>
  <c r="K42" i="20"/>
  <c r="J42" i="20"/>
  <c r="I42" i="20"/>
  <c r="H42" i="20"/>
  <c r="AJ3" i="7"/>
  <c r="B6" i="7"/>
  <c r="AK6" i="7"/>
  <c r="B7" i="7"/>
  <c r="AK7" i="7"/>
  <c r="B8" i="7"/>
  <c r="AK8" i="7"/>
  <c r="B9" i="7"/>
  <c r="AK9" i="7"/>
  <c r="B10" i="7"/>
  <c r="AK10" i="7"/>
  <c r="B11" i="7"/>
  <c r="AK11" i="7"/>
  <c r="B12" i="7"/>
  <c r="AK12" i="7"/>
  <c r="B13" i="7"/>
  <c r="AK13" i="7"/>
  <c r="B14" i="7"/>
  <c r="AK14" i="7"/>
  <c r="B15" i="7"/>
  <c r="AK15" i="7"/>
  <c r="B16" i="7"/>
  <c r="AK16" i="7"/>
  <c r="B17" i="7"/>
  <c r="AK17" i="7"/>
  <c r="B18" i="7"/>
  <c r="AK18" i="7"/>
  <c r="B19" i="7"/>
  <c r="AK19" i="7"/>
  <c r="B20" i="7"/>
  <c r="AK20" i="7"/>
  <c r="B21" i="7"/>
  <c r="AK21" i="7"/>
  <c r="B22" i="7"/>
  <c r="AK22" i="7"/>
  <c r="B23" i="7"/>
  <c r="AK23" i="7"/>
  <c r="B24" i="7"/>
  <c r="AK24" i="7"/>
  <c r="AJ25" i="7"/>
  <c r="B25" i="7"/>
  <c r="AK25" i="7"/>
  <c r="B28" i="7"/>
  <c r="AK28" i="7"/>
  <c r="B29" i="7"/>
  <c r="AK29" i="7"/>
  <c r="B30" i="7"/>
  <c r="AK30" i="7"/>
  <c r="B31" i="7"/>
  <c r="AK31" i="7"/>
  <c r="B32" i="7"/>
  <c r="AK32" i="7"/>
  <c r="B33" i="7"/>
  <c r="AK33" i="7"/>
  <c r="B34" i="7"/>
  <c r="AK34" i="7"/>
  <c r="B35" i="7"/>
  <c r="AK35" i="7"/>
  <c r="B36" i="7"/>
  <c r="AK36" i="7"/>
  <c r="B37" i="7"/>
  <c r="AK37" i="7"/>
  <c r="B38" i="7"/>
  <c r="AK38" i="7"/>
  <c r="B39" i="7"/>
  <c r="AK39" i="7"/>
  <c r="B40" i="7"/>
  <c r="AK40" i="7"/>
  <c r="B41" i="7"/>
  <c r="AK41" i="7"/>
  <c r="B42" i="7"/>
  <c r="AK42" i="7"/>
  <c r="B43" i="7"/>
  <c r="AK43" i="7"/>
  <c r="B44" i="7"/>
  <c r="AK44" i="7"/>
  <c r="B45" i="7"/>
  <c r="AK45" i="7"/>
  <c r="B46" i="7"/>
  <c r="AK46" i="7"/>
  <c r="B47" i="7"/>
  <c r="AK47" i="7"/>
  <c r="B56" i="11"/>
  <c r="B57" i="11"/>
  <c r="B58" i="11"/>
  <c r="B59" i="11"/>
  <c r="O4" i="13"/>
  <c r="N5" i="13"/>
  <c r="O5" i="13"/>
  <c r="B4" i="14"/>
  <c r="B28" i="14"/>
  <c r="C4" i="14"/>
  <c r="C28" i="14"/>
  <c r="G4" i="14"/>
  <c r="G28" i="14"/>
  <c r="H4" i="14"/>
  <c r="H28" i="14"/>
  <c r="B5" i="14"/>
  <c r="B29" i="14"/>
  <c r="C5" i="14"/>
  <c r="C29" i="14"/>
  <c r="G5" i="14"/>
  <c r="G29" i="14"/>
  <c r="H5" i="14"/>
  <c r="H29" i="14"/>
  <c r="B6" i="14"/>
  <c r="B30" i="14"/>
  <c r="C6" i="14"/>
  <c r="C30" i="14"/>
  <c r="G6" i="14"/>
  <c r="G30" i="14"/>
  <c r="H6" i="14"/>
  <c r="H30" i="14"/>
  <c r="B7" i="14"/>
  <c r="B31" i="14"/>
  <c r="C7" i="14"/>
  <c r="C31" i="14"/>
  <c r="G7" i="14"/>
  <c r="G31" i="14"/>
  <c r="H7" i="14"/>
  <c r="H31" i="14"/>
  <c r="B8" i="14"/>
  <c r="B32" i="14"/>
  <c r="C8" i="14"/>
  <c r="C32" i="14"/>
  <c r="G8" i="14"/>
  <c r="G32" i="14"/>
  <c r="H8" i="14"/>
  <c r="H32" i="14"/>
  <c r="B9" i="14"/>
  <c r="B33" i="14"/>
  <c r="C9" i="14"/>
  <c r="C33" i="14"/>
  <c r="G9" i="14"/>
  <c r="G33" i="14"/>
  <c r="H9" i="14"/>
  <c r="H33" i="14"/>
  <c r="B10" i="14"/>
  <c r="B34" i="14"/>
  <c r="C10" i="14"/>
  <c r="C34" i="14"/>
  <c r="G10" i="14"/>
  <c r="G34" i="14"/>
  <c r="H10" i="14"/>
  <c r="H34" i="14"/>
  <c r="B11" i="14"/>
  <c r="B35" i="14"/>
  <c r="C11" i="14"/>
  <c r="C35" i="14"/>
  <c r="G11" i="14"/>
  <c r="G35" i="14"/>
  <c r="H11" i="14"/>
  <c r="H35" i="14"/>
  <c r="B12" i="14"/>
  <c r="B36" i="14"/>
  <c r="C12" i="14"/>
  <c r="C36" i="14"/>
  <c r="G12" i="14"/>
  <c r="G36" i="14"/>
  <c r="H12" i="14"/>
  <c r="H36" i="14"/>
  <c r="B13" i="14"/>
  <c r="B37" i="14"/>
  <c r="C13" i="14"/>
  <c r="C37" i="14"/>
  <c r="G13" i="14"/>
  <c r="G37" i="14"/>
  <c r="H13" i="14"/>
  <c r="H37" i="14"/>
  <c r="B14" i="14"/>
  <c r="B38" i="14"/>
  <c r="C14" i="14"/>
  <c r="C38" i="14"/>
  <c r="G14" i="14"/>
  <c r="G38" i="14"/>
  <c r="H14" i="14"/>
  <c r="H38" i="14"/>
  <c r="B15" i="14"/>
  <c r="B39" i="14"/>
  <c r="C15" i="14"/>
  <c r="C39" i="14"/>
  <c r="G15" i="14"/>
  <c r="G39" i="14"/>
  <c r="H15" i="14"/>
  <c r="H39" i="14"/>
  <c r="B16" i="14"/>
  <c r="B40" i="14"/>
  <c r="C16" i="14"/>
  <c r="C40" i="14"/>
  <c r="G16" i="14"/>
  <c r="G40" i="14"/>
  <c r="H16" i="14"/>
  <c r="H40" i="14"/>
  <c r="B17" i="14"/>
  <c r="B41" i="14"/>
  <c r="C17" i="14"/>
  <c r="C41" i="14"/>
  <c r="G17" i="14"/>
  <c r="G41" i="14"/>
  <c r="H17" i="14"/>
  <c r="H41" i="14"/>
  <c r="B18" i="14"/>
  <c r="B42" i="14"/>
  <c r="C18" i="14"/>
  <c r="C42" i="14"/>
  <c r="G18" i="14"/>
  <c r="G42" i="14"/>
  <c r="H18" i="14"/>
  <c r="H42" i="14"/>
  <c r="B19" i="14"/>
  <c r="B43" i="14"/>
  <c r="C19" i="14"/>
  <c r="C43" i="14"/>
  <c r="G19" i="14"/>
  <c r="G43" i="14"/>
  <c r="H19" i="14"/>
  <c r="H43" i="14"/>
  <c r="B20" i="14"/>
  <c r="B44" i="14"/>
  <c r="C20" i="14"/>
  <c r="C44" i="14"/>
  <c r="G20" i="14"/>
  <c r="G44" i="14"/>
  <c r="H20" i="14"/>
  <c r="H44" i="14"/>
  <c r="B21" i="14"/>
  <c r="B45" i="14"/>
  <c r="C21" i="14"/>
  <c r="C45" i="14"/>
  <c r="G21" i="14"/>
  <c r="G45" i="14"/>
  <c r="H21" i="14"/>
  <c r="H45" i="14"/>
  <c r="B22" i="14"/>
  <c r="B46" i="14"/>
  <c r="C22" i="14"/>
  <c r="C46" i="14"/>
  <c r="G22" i="14"/>
  <c r="G46" i="14"/>
  <c r="H22" i="14"/>
  <c r="H46" i="14"/>
  <c r="B23" i="14"/>
  <c r="B47" i="14"/>
  <c r="C23" i="14"/>
  <c r="C47" i="14"/>
  <c r="G23" i="14"/>
  <c r="G47" i="14"/>
  <c r="H23" i="14"/>
  <c r="H47" i="14"/>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C32" i="17"/>
  <c r="T9" i="17"/>
  <c r="T10" i="17"/>
  <c r="T11" i="17"/>
  <c r="T12" i="17"/>
  <c r="T13" i="17"/>
  <c r="T14" i="17"/>
  <c r="T15" i="17"/>
  <c r="T16" i="17"/>
  <c r="T17" i="17"/>
  <c r="T18" i="17"/>
  <c r="T19" i="17"/>
  <c r="T20" i="17"/>
  <c r="T21" i="17"/>
  <c r="T22" i="17"/>
  <c r="T23" i="17"/>
  <c r="T24" i="17"/>
  <c r="T25" i="17"/>
  <c r="T26" i="17"/>
  <c r="T27" i="17"/>
  <c r="T28" i="17"/>
  <c r="V9" i="17"/>
  <c r="V78" i="17"/>
  <c r="C10" i="17"/>
  <c r="C109" i="17"/>
  <c r="V10" i="17"/>
  <c r="V33" i="17"/>
  <c r="V11" i="17"/>
  <c r="V12" i="17"/>
  <c r="V35" i="17"/>
  <c r="V13" i="17"/>
  <c r="V82" i="17"/>
  <c r="V14" i="17"/>
  <c r="V60" i="17"/>
  <c r="V15" i="17"/>
  <c r="V61" i="17"/>
  <c r="V16" i="17"/>
  <c r="V39" i="17"/>
  <c r="V17" i="17"/>
  <c r="V40" i="17"/>
  <c r="V18" i="17"/>
  <c r="V87" i="17"/>
  <c r="V19" i="17"/>
  <c r="V118" i="17"/>
  <c r="V141" i="17"/>
  <c r="V20" i="17"/>
  <c r="V66" i="17"/>
  <c r="V21" i="17"/>
  <c r="V90" i="17"/>
  <c r="V22" i="17"/>
  <c r="V68" i="17"/>
  <c r="V23" i="17"/>
  <c r="V46" i="17"/>
  <c r="C70" i="17"/>
  <c r="V24" i="17"/>
  <c r="C71" i="17"/>
  <c r="V25" i="17"/>
  <c r="V71" i="17"/>
  <c r="C49" i="17"/>
  <c r="V26" i="17"/>
  <c r="V95" i="17"/>
  <c r="C73" i="17"/>
  <c r="U50" i="17"/>
  <c r="V27" i="17"/>
  <c r="V96" i="17"/>
  <c r="C97" i="17"/>
  <c r="V28" i="17"/>
  <c r="V97" i="17"/>
  <c r="V74"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AJ42" i="7"/>
  <c r="AJ38" i="7"/>
  <c r="C59" i="17"/>
  <c r="AJ47" i="7"/>
  <c r="AJ43" i="7"/>
  <c r="AJ39" i="7"/>
  <c r="C48" i="17"/>
  <c r="AJ31" i="7"/>
  <c r="B97" i="17"/>
  <c r="V126" i="17"/>
  <c r="V195" i="17"/>
  <c r="C43" i="17"/>
  <c r="C95" i="17"/>
  <c r="V79" i="17"/>
  <c r="C124" i="17"/>
  <c r="C193" i="17"/>
  <c r="N6" i="13"/>
  <c r="C94" i="17"/>
  <c r="C72" i="17"/>
  <c r="C125" i="17"/>
  <c r="C148" i="17"/>
  <c r="C194" i="17"/>
  <c r="V59" i="17"/>
  <c r="B51" i="17"/>
  <c r="AJ35" i="7"/>
  <c r="C51" i="17"/>
  <c r="C74" i="17"/>
  <c r="C96" i="17"/>
  <c r="C126" i="17"/>
  <c r="C172" i="17"/>
  <c r="C50" i="17"/>
  <c r="C79" i="17"/>
  <c r="C56" i="17"/>
  <c r="U36" i="17"/>
  <c r="V121" i="17"/>
  <c r="V50" i="17"/>
  <c r="V73" i="17"/>
  <c r="B93" i="17"/>
  <c r="V38" i="17"/>
  <c r="AJ22" i="7"/>
  <c r="C123" i="17"/>
  <c r="C146" i="17"/>
  <c r="B50" i="17"/>
  <c r="V149" i="17"/>
  <c r="V172" i="17"/>
  <c r="C147" i="17"/>
  <c r="C170" i="17"/>
  <c r="O6" i="13"/>
  <c r="N7" i="13"/>
  <c r="C195" i="17"/>
  <c r="C149" i="17"/>
  <c r="AG127" i="17"/>
  <c r="U150" i="17"/>
  <c r="B149" i="17"/>
  <c r="O7" i="13"/>
  <c r="N8" i="13"/>
  <c r="O8" i="13"/>
  <c r="V109" i="17"/>
  <c r="V178" i="17"/>
  <c r="N9" i="13"/>
  <c r="U51" i="17"/>
  <c r="U49" i="17"/>
  <c r="J44" i="21"/>
  <c r="O51" i="13"/>
  <c r="N52" i="13"/>
  <c r="O9" i="13"/>
  <c r="N10" i="13"/>
  <c r="N53" i="13"/>
  <c r="N54" i="13"/>
  <c r="O52" i="13"/>
  <c r="U149" i="17"/>
  <c r="AG126" i="17"/>
  <c r="O10" i="13"/>
  <c r="N11" i="13"/>
  <c r="O53" i="13"/>
  <c r="N55" i="13"/>
  <c r="O54" i="13"/>
  <c r="O11" i="13"/>
  <c r="N12" i="13"/>
  <c r="O55" i="13"/>
  <c r="N56" i="13"/>
  <c r="O12" i="13"/>
  <c r="N13" i="13"/>
  <c r="O13" i="13"/>
  <c r="N14" i="13"/>
  <c r="N15" i="13"/>
  <c r="O15" i="13"/>
  <c r="O14" i="13"/>
  <c r="N16" i="13"/>
  <c r="F18" i="17"/>
  <c r="B87" i="17"/>
  <c r="O17" i="17"/>
  <c r="D12" i="17"/>
  <c r="D11" i="17"/>
  <c r="F11" i="17"/>
  <c r="B34" i="17"/>
  <c r="AK52" i="20"/>
  <c r="AK53" i="20"/>
  <c r="AK54"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AJ42" i="20"/>
  <c r="I38" i="2"/>
  <c r="AJ89" i="20"/>
  <c r="I39" i="2"/>
  <c r="I40" i="2"/>
  <c r="V125" i="17"/>
  <c r="V171" i="17"/>
  <c r="V112" i="17"/>
  <c r="V51" i="17"/>
  <c r="V49" i="17"/>
  <c r="V127" i="17"/>
  <c r="V173" i="17"/>
  <c r="AJ46" i="7"/>
  <c r="U146" i="17"/>
  <c r="U47" i="17"/>
  <c r="U44" i="17"/>
  <c r="I63" i="11"/>
  <c r="J62" i="11"/>
  <c r="Q89" i="20"/>
  <c r="C39" i="2"/>
  <c r="C196" i="17"/>
  <c r="C173" i="17"/>
  <c r="C150" i="17"/>
  <c r="C171" i="17"/>
  <c r="B96" i="17"/>
  <c r="B94" i="17"/>
  <c r="B48" i="17"/>
  <c r="B42" i="17"/>
  <c r="B150" i="17"/>
  <c r="AJ24" i="7"/>
  <c r="B49" i="17"/>
  <c r="AJ23" i="7"/>
  <c r="AJ21" i="7"/>
  <c r="B89" i="17"/>
  <c r="B88" i="17"/>
  <c r="AJ13" i="7"/>
  <c r="B81" i="17"/>
  <c r="O16" i="13"/>
  <c r="N17" i="13"/>
  <c r="O56" i="13"/>
  <c r="N57" i="13"/>
  <c r="B148" i="17"/>
  <c r="V196" i="17"/>
  <c r="V150" i="17"/>
  <c r="O50" i="13"/>
  <c r="D3" i="17"/>
  <c r="E19" i="17"/>
  <c r="AK55" i="20"/>
  <c r="AK56" i="20"/>
  <c r="AK57" i="20"/>
  <c r="AK58" i="20"/>
  <c r="AK59" i="20"/>
  <c r="AK60" i="20"/>
  <c r="AK61" i="20"/>
  <c r="AK62" i="20"/>
  <c r="AK63" i="20"/>
  <c r="AK64" i="20"/>
  <c r="AK65" i="20"/>
  <c r="AK66" i="20"/>
  <c r="AK67" i="20"/>
  <c r="AK68" i="20"/>
  <c r="AK69" i="20"/>
  <c r="AK70" i="20"/>
  <c r="AK71" i="20"/>
  <c r="AK72" i="20"/>
  <c r="AK73" i="20"/>
  <c r="AK74" i="20"/>
  <c r="AK75" i="20"/>
  <c r="AK76" i="20"/>
  <c r="AK77" i="20"/>
  <c r="AK78" i="20"/>
  <c r="AK79" i="20"/>
  <c r="AK80" i="20"/>
  <c r="AK81" i="20"/>
  <c r="AK82" i="20"/>
  <c r="AK83" i="20"/>
  <c r="AK84" i="20"/>
  <c r="AK85" i="20"/>
  <c r="AK86" i="20"/>
  <c r="AK87" i="20"/>
  <c r="AK88" i="20"/>
  <c r="E25" i="17"/>
  <c r="E28" i="17"/>
  <c r="D20" i="17"/>
  <c r="E20" i="17"/>
  <c r="E27" i="17"/>
  <c r="D24" i="17"/>
  <c r="E24" i="17"/>
  <c r="E26" i="17"/>
  <c r="O18" i="17"/>
  <c r="P18" i="17"/>
  <c r="R42" i="20"/>
  <c r="R50" i="20"/>
  <c r="R51" i="20"/>
  <c r="J63" i="11"/>
  <c r="E126" i="17"/>
  <c r="E127" i="17"/>
  <c r="B147" i="17"/>
  <c r="B141" i="17"/>
  <c r="E125" i="17"/>
  <c r="O57" i="13"/>
  <c r="N58" i="13"/>
  <c r="O17" i="13"/>
  <c r="N18" i="13"/>
  <c r="E124" i="17"/>
  <c r="D118" i="17"/>
  <c r="E118" i="17"/>
  <c r="AK89" i="20"/>
  <c r="X24" i="17"/>
  <c r="W3" i="17"/>
  <c r="W13" i="17"/>
  <c r="X13" i="17"/>
  <c r="X28" i="17"/>
  <c r="X25" i="17"/>
  <c r="X21" i="17"/>
  <c r="X26" i="17"/>
  <c r="X27" i="17"/>
  <c r="W17" i="17"/>
  <c r="X17" i="17"/>
  <c r="X18" i="17"/>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X127" i="17"/>
  <c r="W112" i="17"/>
  <c r="X112" i="17"/>
  <c r="X126" i="17"/>
  <c r="H19" i="17"/>
  <c r="I19" i="17"/>
  <c r="G19" i="17"/>
  <c r="H118" i="17"/>
  <c r="I118" i="17"/>
  <c r="G20" i="17"/>
  <c r="I22" i="17"/>
  <c r="I23" i="17"/>
  <c r="H24" i="17"/>
  <c r="I24" i="17"/>
  <c r="H25" i="17"/>
  <c r="I25" i="17"/>
  <c r="G25" i="17"/>
  <c r="J25" i="17"/>
  <c r="G124" i="17"/>
  <c r="H124" i="17"/>
  <c r="I124" i="17"/>
  <c r="J124" i="17"/>
  <c r="H26" i="17"/>
  <c r="I26" i="17"/>
  <c r="G26" i="17"/>
  <c r="J26" i="17"/>
  <c r="G125" i="17"/>
  <c r="H125" i="17"/>
  <c r="I125" i="17"/>
  <c r="J125" i="17"/>
  <c r="H27" i="17"/>
  <c r="I27" i="17"/>
  <c r="G27" i="17"/>
  <c r="J27" i="17"/>
  <c r="G126" i="17"/>
  <c r="H126" i="17"/>
  <c r="I126" i="17"/>
  <c r="J126" i="17"/>
  <c r="H28" i="17"/>
  <c r="I28" i="17"/>
  <c r="G28" i="17"/>
  <c r="J28" i="17"/>
  <c r="G127" i="17"/>
  <c r="H127" i="17"/>
  <c r="I127" i="17"/>
  <c r="J127" i="17"/>
  <c r="N59" i="13"/>
  <c r="O58" i="13"/>
  <c r="O18" i="13"/>
  <c r="N19" i="13"/>
  <c r="I64" i="11"/>
  <c r="J64" i="11"/>
  <c r="E40" i="2"/>
  <c r="R89" i="20"/>
  <c r="G18" i="17"/>
  <c r="H18" i="17"/>
  <c r="I18" i="17"/>
  <c r="J18" i="17"/>
  <c r="D18" i="17"/>
  <c r="L18" i="17"/>
  <c r="Q18" i="17"/>
  <c r="R18" i="17"/>
  <c r="O19" i="13"/>
  <c r="N20" i="13"/>
  <c r="J65" i="11"/>
  <c r="I65" i="11"/>
  <c r="I14" i="11"/>
  <c r="N60" i="13"/>
  <c r="O59" i="13"/>
  <c r="N21" i="13"/>
  <c r="O20" i="13"/>
  <c r="N61" i="13"/>
  <c r="O60" i="13"/>
  <c r="J66" i="11"/>
  <c r="I66" i="11"/>
  <c r="N22" i="13"/>
  <c r="O21" i="13"/>
  <c r="J67" i="11"/>
  <c r="I67" i="11"/>
  <c r="O61" i="13"/>
  <c r="N62" i="13"/>
  <c r="O62" i="13"/>
  <c r="N63" i="13"/>
  <c r="J68" i="11"/>
  <c r="I68" i="11"/>
  <c r="N23" i="13"/>
  <c r="O22" i="13"/>
  <c r="O23" i="13"/>
  <c r="N24" i="13"/>
  <c r="N64" i="13"/>
  <c r="O63" i="13"/>
  <c r="I69" i="11"/>
  <c r="J69" i="11"/>
  <c r="O64" i="13"/>
  <c r="N65" i="13"/>
  <c r="O24" i="13"/>
  <c r="N25" i="13"/>
  <c r="I70" i="11"/>
  <c r="J70" i="11"/>
  <c r="N26" i="13"/>
  <c r="O25" i="13"/>
  <c r="I71" i="11"/>
  <c r="J71" i="11"/>
  <c r="O65" i="13"/>
  <c r="N66" i="13"/>
  <c r="N67" i="13"/>
  <c r="O66" i="13"/>
  <c r="N27" i="13"/>
  <c r="O26" i="13"/>
  <c r="I72" i="11"/>
  <c r="J72" i="11"/>
  <c r="I73" i="11"/>
  <c r="J73" i="11"/>
  <c r="N28" i="13"/>
  <c r="O28" i="13"/>
  <c r="O27" i="13"/>
  <c r="N68" i="13"/>
  <c r="O67" i="13"/>
  <c r="O68" i="13"/>
  <c r="N69" i="13"/>
  <c r="J74" i="11"/>
  <c r="I74" i="11"/>
  <c r="O69" i="13"/>
  <c r="N70" i="13"/>
  <c r="I75" i="11"/>
  <c r="J75" i="11"/>
  <c r="J76" i="11"/>
  <c r="I76" i="11"/>
  <c r="O70" i="13"/>
  <c r="N71" i="13"/>
  <c r="I77" i="11"/>
  <c r="J77" i="11"/>
  <c r="O71" i="13"/>
  <c r="N72" i="13"/>
  <c r="O72" i="13"/>
  <c r="I26" i="11"/>
  <c r="I78" i="11"/>
  <c r="J78" i="11"/>
  <c r="J79" i="11"/>
  <c r="I79" i="11"/>
  <c r="I80" i="11"/>
  <c r="J80" i="11"/>
  <c r="I81" i="11"/>
  <c r="J81" i="11"/>
  <c r="J82" i="11"/>
  <c r="I82" i="11"/>
  <c r="I83" i="11"/>
  <c r="J83" i="11"/>
  <c r="U136" i="15"/>
  <c r="AA136" i="15"/>
  <c r="W136" i="15"/>
  <c r="S136" i="15"/>
  <c r="AC136" i="15"/>
  <c r="V136" i="15"/>
  <c r="Z136" i="15"/>
  <c r="W138" i="15"/>
  <c r="AA138" i="15"/>
  <c r="Z138" i="15"/>
  <c r="S138" i="15"/>
  <c r="V138" i="15"/>
  <c r="U138" i="15"/>
  <c r="AC138" i="15"/>
  <c r="J84" i="11"/>
  <c r="I84" i="11"/>
  <c r="W49" i="15"/>
  <c r="AA49" i="15"/>
  <c r="AC49" i="15"/>
  <c r="M49" i="15"/>
  <c r="K49" i="15"/>
  <c r="I85" i="11"/>
  <c r="J85" i="11"/>
  <c r="U140" i="15"/>
  <c r="W140" i="15"/>
  <c r="Z140" i="15"/>
  <c r="V140" i="15"/>
  <c r="AC140" i="15"/>
  <c r="S140" i="15"/>
  <c r="AA140" i="15"/>
  <c r="C136" i="15"/>
  <c r="F136" i="15"/>
  <c r="E136" i="15"/>
  <c r="K136" i="15"/>
  <c r="M136" i="15"/>
  <c r="G136" i="15"/>
  <c r="L136" i="15"/>
  <c r="J136" i="15"/>
  <c r="J34" i="11"/>
  <c r="K51" i="15"/>
  <c r="V49" i="15"/>
  <c r="S142" i="15"/>
  <c r="Z142" i="15"/>
  <c r="AA142" i="15"/>
  <c r="W142" i="15"/>
  <c r="U142" i="15"/>
  <c r="V142" i="15"/>
  <c r="AC142" i="15"/>
  <c r="I86" i="11"/>
  <c r="J86" i="11"/>
  <c r="G138" i="15"/>
  <c r="M138" i="15"/>
  <c r="F138" i="15"/>
  <c r="L138" i="15"/>
  <c r="K138" i="15"/>
  <c r="E138" i="15"/>
  <c r="C138" i="15"/>
  <c r="J138" i="15"/>
  <c r="W53" i="15"/>
  <c r="AA53" i="15"/>
  <c r="M53" i="15"/>
  <c r="J53" i="15"/>
  <c r="L53" i="15"/>
  <c r="K53" i="15"/>
  <c r="G53" i="15"/>
  <c r="W144" i="15"/>
  <c r="S144" i="15"/>
  <c r="Z144" i="15"/>
  <c r="AA144" i="15"/>
  <c r="V144" i="15"/>
  <c r="AC144" i="15"/>
  <c r="U144" i="15"/>
  <c r="L140" i="15"/>
  <c r="M140" i="15"/>
  <c r="G140" i="15"/>
  <c r="K140" i="15"/>
  <c r="J140" i="15"/>
  <c r="F140" i="15"/>
  <c r="C140" i="15"/>
  <c r="E140" i="15"/>
  <c r="I87" i="11"/>
  <c r="J87" i="11"/>
  <c r="I36" i="11"/>
  <c r="AA55" i="15"/>
  <c r="Z55" i="15"/>
  <c r="V53" i="15"/>
  <c r="G142" i="15"/>
  <c r="J142" i="15"/>
  <c r="K142" i="15"/>
  <c r="L142" i="15"/>
  <c r="C142" i="15"/>
  <c r="F142" i="15"/>
  <c r="M142" i="15"/>
  <c r="E142" i="15"/>
  <c r="S146" i="15"/>
  <c r="AA146" i="15"/>
  <c r="V146" i="15"/>
  <c r="Z146" i="15"/>
  <c r="W146" i="15"/>
  <c r="AC146" i="15"/>
  <c r="U146" i="15"/>
  <c r="I88" i="11"/>
  <c r="J88" i="11"/>
  <c r="AA57" i="15"/>
  <c r="AC57" i="15"/>
  <c r="J57" i="15"/>
  <c r="AA148" i="15"/>
  <c r="Z148" i="15"/>
  <c r="AC148" i="15"/>
  <c r="W148" i="15"/>
  <c r="V148" i="15"/>
  <c r="U148" i="15"/>
  <c r="S148" i="15"/>
  <c r="J89" i="11"/>
  <c r="I89" i="11"/>
  <c r="C144" i="15"/>
  <c r="J144" i="15"/>
  <c r="L144" i="15"/>
  <c r="G144" i="15"/>
  <c r="F144" i="15"/>
  <c r="K144" i="15"/>
  <c r="M144" i="15"/>
  <c r="E144" i="15"/>
  <c r="AC59" i="15"/>
  <c r="AA59" i="15"/>
  <c r="Z59" i="15"/>
  <c r="W59" i="15"/>
  <c r="G59" i="15"/>
  <c r="J59" i="15"/>
  <c r="M59" i="15"/>
  <c r="K59" i="15"/>
  <c r="L59" i="15"/>
  <c r="F146" i="15"/>
  <c r="M146" i="15"/>
  <c r="G146" i="15"/>
  <c r="L146" i="15"/>
  <c r="E146" i="15"/>
  <c r="J146" i="15"/>
  <c r="C146" i="15"/>
  <c r="K146" i="15"/>
  <c r="J90" i="11"/>
  <c r="I90" i="11"/>
  <c r="AC150" i="15"/>
  <c r="AA150" i="15"/>
  <c r="Z150" i="15"/>
  <c r="U150" i="15"/>
  <c r="W150" i="15"/>
  <c r="V150" i="15"/>
  <c r="S150" i="15"/>
  <c r="W61" i="15"/>
  <c r="Z61" i="15"/>
  <c r="AA61" i="15"/>
  <c r="J61" i="15"/>
  <c r="U152" i="15"/>
  <c r="V152" i="15"/>
  <c r="W152" i="15"/>
  <c r="AA152" i="15"/>
  <c r="AC152" i="15"/>
  <c r="S152" i="15"/>
  <c r="Z152" i="15"/>
  <c r="A41" i="11"/>
  <c r="J41" i="11"/>
  <c r="M148" i="15"/>
  <c r="E148" i="15"/>
  <c r="L148" i="15"/>
  <c r="F148" i="15"/>
  <c r="G148" i="15"/>
  <c r="C148" i="15"/>
  <c r="J148" i="15"/>
  <c r="K148" i="15"/>
  <c r="A92" i="11"/>
  <c r="J91" i="11"/>
  <c r="I91" i="11"/>
  <c r="Z63" i="15"/>
  <c r="AC63" i="15"/>
  <c r="G63" i="15"/>
  <c r="J63" i="15"/>
  <c r="M63" i="15"/>
  <c r="L63" i="15"/>
  <c r="K63" i="15"/>
  <c r="V61" i="15"/>
  <c r="V59" i="15"/>
  <c r="K150" i="15"/>
  <c r="C150" i="15"/>
  <c r="F150" i="15"/>
  <c r="A93" i="11"/>
  <c r="G150" i="15"/>
  <c r="L150" i="15"/>
  <c r="J150" i="15"/>
  <c r="M150" i="15"/>
  <c r="E150" i="15"/>
  <c r="J92" i="11"/>
  <c r="I92" i="11"/>
  <c r="Z154" i="15"/>
  <c r="AC154" i="15"/>
  <c r="AA154" i="15"/>
  <c r="U154" i="15"/>
  <c r="W154" i="15"/>
  <c r="V154" i="15"/>
  <c r="S154" i="15"/>
  <c r="G65" i="15"/>
  <c r="L152" i="15"/>
  <c r="E152" i="15"/>
  <c r="M152" i="15"/>
  <c r="A94" i="11"/>
  <c r="K152" i="15"/>
  <c r="G152" i="15"/>
  <c r="J152" i="15"/>
  <c r="C152" i="15"/>
  <c r="F152" i="15"/>
  <c r="Z156" i="15"/>
  <c r="V156" i="15"/>
  <c r="AA156" i="15"/>
  <c r="S156" i="15"/>
  <c r="AC156" i="15"/>
  <c r="W156" i="15"/>
  <c r="U156" i="15"/>
  <c r="A43" i="11"/>
  <c r="J43" i="11"/>
  <c r="J93" i="11"/>
  <c r="I93" i="11"/>
  <c r="AC67" i="15"/>
  <c r="M67" i="15"/>
  <c r="K67" i="15"/>
  <c r="L67" i="15"/>
  <c r="G67" i="15"/>
  <c r="J67" i="15"/>
  <c r="S158" i="15"/>
  <c r="AA158" i="15"/>
  <c r="V158" i="15"/>
  <c r="W158" i="15"/>
  <c r="Z158" i="15"/>
  <c r="AC158" i="15"/>
  <c r="U158" i="15"/>
  <c r="J94" i="11"/>
  <c r="I94" i="11"/>
  <c r="K154" i="15"/>
  <c r="C154" i="15"/>
  <c r="L154" i="15"/>
  <c r="F154" i="15"/>
  <c r="J154" i="15"/>
  <c r="M154" i="15"/>
  <c r="G154" i="15"/>
  <c r="E154" i="15"/>
  <c r="A95" i="11"/>
  <c r="A96" i="11"/>
  <c r="G156" i="15"/>
  <c r="C156" i="15"/>
  <c r="E156" i="15"/>
  <c r="L156" i="15"/>
  <c r="J156" i="15"/>
  <c r="F156" i="15"/>
  <c r="M156" i="15"/>
  <c r="K156" i="15"/>
  <c r="I95" i="11"/>
  <c r="J95" i="11"/>
  <c r="AA162" i="15"/>
  <c r="S162" i="15"/>
  <c r="W162" i="15"/>
  <c r="V162" i="15"/>
  <c r="AC162" i="15"/>
  <c r="Z162" i="15"/>
  <c r="U162" i="15"/>
  <c r="U160" i="15"/>
  <c r="AC160" i="15"/>
  <c r="V160" i="15"/>
  <c r="S160" i="15"/>
  <c r="AA160" i="15"/>
  <c r="W160" i="15"/>
  <c r="Z160" i="15"/>
  <c r="G71" i="15"/>
  <c r="I96" i="11"/>
  <c r="J96" i="11"/>
  <c r="M158" i="15"/>
  <c r="A97" i="11"/>
  <c r="K158" i="15"/>
  <c r="E158" i="15"/>
  <c r="F158" i="15"/>
  <c r="C158" i="15"/>
  <c r="J158" i="15"/>
  <c r="G158" i="15"/>
  <c r="L158" i="15"/>
  <c r="J73" i="15"/>
  <c r="G73" i="15"/>
  <c r="U230" i="15"/>
  <c r="AC230" i="15"/>
  <c r="U227" i="15"/>
  <c r="I97" i="11"/>
  <c r="J97" i="11"/>
  <c r="Z77" i="15"/>
  <c r="AC77" i="15"/>
  <c r="U77" i="15"/>
  <c r="L160" i="15"/>
  <c r="C160" i="15"/>
  <c r="G160" i="15"/>
  <c r="A98" i="11"/>
  <c r="M160" i="15"/>
  <c r="E160" i="15"/>
  <c r="F160" i="15"/>
  <c r="K160" i="15"/>
  <c r="J160" i="15"/>
  <c r="W75" i="15"/>
  <c r="X230" i="15"/>
  <c r="AA230" i="15"/>
  <c r="Z230" i="15"/>
  <c r="Y230" i="15"/>
  <c r="T230" i="15"/>
  <c r="V230" i="15"/>
  <c r="AG123" i="17"/>
  <c r="W230" i="15"/>
  <c r="AB230" i="15"/>
  <c r="V227" i="15"/>
  <c r="AB227" i="15"/>
  <c r="Y227" i="15"/>
  <c r="W227" i="15"/>
  <c r="T227" i="15"/>
  <c r="Z227" i="15"/>
  <c r="AA227" i="15"/>
  <c r="X227" i="15"/>
  <c r="AC227" i="15"/>
  <c r="I98" i="11"/>
  <c r="J98" i="11"/>
  <c r="E162" i="15"/>
  <c r="J162" i="15"/>
  <c r="L162" i="15"/>
  <c r="K162" i="15"/>
  <c r="M162" i="15"/>
  <c r="F162" i="15"/>
  <c r="C162" i="15"/>
  <c r="G162" i="15"/>
  <c r="A99" i="11"/>
  <c r="G77" i="15"/>
  <c r="V75" i="15"/>
  <c r="U226" i="15"/>
  <c r="W226" i="15"/>
  <c r="W228" i="15"/>
  <c r="U229" i="15"/>
  <c r="I99" i="11"/>
  <c r="J99" i="11"/>
  <c r="AA226" i="15"/>
  <c r="AA228" i="15"/>
  <c r="V226" i="15"/>
  <c r="V228" i="15"/>
  <c r="AB226" i="15"/>
  <c r="AB228" i="15"/>
  <c r="AC226" i="15"/>
  <c r="AC228" i="15"/>
  <c r="Z226" i="15"/>
  <c r="Z228" i="15"/>
  <c r="T226" i="15"/>
  <c r="T228" i="15"/>
  <c r="X226" i="15"/>
  <c r="X228" i="15"/>
  <c r="Y226" i="15"/>
  <c r="Y228" i="15"/>
  <c r="X229" i="15"/>
  <c r="X231" i="15"/>
  <c r="T229" i="15"/>
  <c r="T231" i="15"/>
  <c r="V229" i="15"/>
  <c r="V231" i="15"/>
  <c r="AC229" i="15"/>
  <c r="AC231" i="15"/>
  <c r="W229" i="15"/>
  <c r="W231" i="15"/>
  <c r="AB229" i="15"/>
  <c r="AB231" i="15"/>
  <c r="Z229" i="15"/>
  <c r="Z231" i="15"/>
  <c r="AA229" i="15"/>
  <c r="AA231" i="15"/>
  <c r="Y229" i="15"/>
  <c r="Y231" i="15"/>
  <c r="E227" i="15"/>
  <c r="M227" i="15"/>
  <c r="E230" i="15"/>
  <c r="E226" i="15"/>
  <c r="K226" i="15"/>
  <c r="E229" i="15"/>
  <c r="E220" i="15"/>
  <c r="H220" i="15"/>
  <c r="E223" i="15"/>
  <c r="E221" i="15"/>
  <c r="J221" i="15"/>
  <c r="E224" i="15"/>
  <c r="AG27" i="17"/>
  <c r="AG28" i="17"/>
  <c r="J73" i="17"/>
  <c r="L73" i="17"/>
  <c r="J71" i="17"/>
  <c r="L71" i="17"/>
  <c r="J74" i="17"/>
  <c r="L74" i="17"/>
  <c r="J72" i="17"/>
  <c r="L72" i="17"/>
  <c r="L226" i="15"/>
  <c r="D226" i="15"/>
  <c r="K220" i="15"/>
  <c r="F226" i="15"/>
  <c r="H226" i="15"/>
  <c r="N27" i="17"/>
  <c r="G226" i="15"/>
  <c r="N25" i="17"/>
  <c r="I226" i="15"/>
  <c r="N126" i="17"/>
  <c r="I227" i="15"/>
  <c r="H227" i="15"/>
  <c r="G220" i="15"/>
  <c r="K227" i="15"/>
  <c r="K228" i="15"/>
  <c r="G227" i="15"/>
  <c r="M226" i="15"/>
  <c r="M228" i="15"/>
  <c r="F220" i="15"/>
  <c r="L227" i="15"/>
  <c r="D227" i="15"/>
  <c r="L220" i="15"/>
  <c r="J227" i="15"/>
  <c r="F227" i="15"/>
  <c r="M221" i="15"/>
  <c r="J220" i="15"/>
  <c r="J222" i="15"/>
  <c r="J226" i="15"/>
  <c r="H229" i="15"/>
  <c r="N28" i="17"/>
  <c r="M229" i="15"/>
  <c r="G229" i="15"/>
  <c r="I229" i="15"/>
  <c r="F229" i="15"/>
  <c r="D229" i="15"/>
  <c r="L229" i="15"/>
  <c r="K229" i="15"/>
  <c r="J229" i="15"/>
  <c r="I220" i="15"/>
  <c r="F230" i="15"/>
  <c r="L230" i="15"/>
  <c r="D230" i="15"/>
  <c r="H230" i="15"/>
  <c r="G230" i="15"/>
  <c r="I230" i="15"/>
  <c r="M230" i="15"/>
  <c r="K230" i="15"/>
  <c r="J230" i="15"/>
  <c r="N127" i="17"/>
  <c r="M220" i="15"/>
  <c r="D220" i="15"/>
  <c r="N124" i="17"/>
  <c r="H221" i="15"/>
  <c r="H222" i="15"/>
  <c r="L221" i="15"/>
  <c r="K221" i="15"/>
  <c r="F221" i="15"/>
  <c r="G221" i="15"/>
  <c r="L224" i="15"/>
  <c r="K224" i="15"/>
  <c r="I224" i="15"/>
  <c r="M224" i="15"/>
  <c r="H224" i="15"/>
  <c r="J224" i="15"/>
  <c r="D224" i="15"/>
  <c r="G224" i="15"/>
  <c r="F224" i="15"/>
  <c r="N125" i="17"/>
  <c r="D221" i="15"/>
  <c r="I221" i="15"/>
  <c r="I223" i="15"/>
  <c r="G223" i="15"/>
  <c r="K223" i="15"/>
  <c r="M223" i="15"/>
  <c r="H223" i="15"/>
  <c r="N26" i="17"/>
  <c r="F223" i="15"/>
  <c r="J223" i="15"/>
  <c r="D223" i="15"/>
  <c r="L223" i="15"/>
  <c r="L228" i="15"/>
  <c r="L222" i="15"/>
  <c r="G228" i="15"/>
  <c r="F228" i="15"/>
  <c r="K222" i="15"/>
  <c r="G222" i="15"/>
  <c r="I228" i="15"/>
  <c r="I222" i="15"/>
  <c r="D228" i="15"/>
  <c r="H228" i="15"/>
  <c r="M222" i="15"/>
  <c r="M231" i="15"/>
  <c r="F222" i="15"/>
  <c r="L231" i="15"/>
  <c r="J228" i="15"/>
  <c r="G225" i="15"/>
  <c r="J231" i="15"/>
  <c r="D222" i="15"/>
  <c r="K231" i="15"/>
  <c r="H231" i="15"/>
  <c r="F231" i="15"/>
  <c r="D231" i="15"/>
  <c r="H225" i="15"/>
  <c r="I231" i="15"/>
  <c r="M225" i="15"/>
  <c r="G231" i="15"/>
  <c r="L225" i="15"/>
  <c r="D225" i="15"/>
  <c r="F225" i="15"/>
  <c r="K225" i="15"/>
  <c r="I225" i="15"/>
  <c r="J225" i="15"/>
  <c r="AH12" i="17"/>
  <c r="AH13" i="17"/>
  <c r="AH112" i="17"/>
  <c r="Z13" i="17"/>
  <c r="AA13" i="17"/>
  <c r="AB13" i="17"/>
  <c r="Z112" i="17"/>
  <c r="AH14" i="17"/>
  <c r="Z14" i="17"/>
  <c r="AA14" i="17"/>
  <c r="AB14" i="17"/>
  <c r="AA15" i="17"/>
  <c r="AB18" i="17"/>
  <c r="Z19" i="17"/>
  <c r="Z20" i="17"/>
  <c r="AA20" i="17"/>
  <c r="AH21" i="17"/>
  <c r="Z21" i="17"/>
  <c r="AA21" i="17"/>
  <c r="AB21" i="17"/>
  <c r="AH24" i="17"/>
  <c r="AH123" i="17"/>
  <c r="Z24" i="17"/>
  <c r="AA24" i="17"/>
  <c r="AB24" i="17"/>
  <c r="Z123" i="17"/>
  <c r="AA123" i="17"/>
  <c r="AB123" i="17"/>
  <c r="AH25" i="17"/>
  <c r="Z25" i="17"/>
  <c r="AA25" i="17"/>
  <c r="AB25" i="17"/>
  <c r="AH147" i="17"/>
  <c r="AH26" i="17"/>
  <c r="Z26" i="17"/>
  <c r="AA26" i="17"/>
  <c r="AC26" i="17"/>
  <c r="AB26" i="17"/>
  <c r="AH148" i="17"/>
  <c r="AH27" i="17"/>
  <c r="AH126" i="17"/>
  <c r="Z27" i="17"/>
  <c r="AA27" i="17"/>
  <c r="AB27" i="17"/>
  <c r="AC27" i="17"/>
  <c r="Z126" i="17"/>
  <c r="AA126" i="17"/>
  <c r="AB126" i="17"/>
  <c r="AC126" i="17"/>
  <c r="AH50" i="17"/>
  <c r="AH149" i="17"/>
  <c r="AH28" i="17"/>
  <c r="AH127" i="17"/>
  <c r="Z28" i="17"/>
  <c r="AA28" i="17"/>
  <c r="AB28" i="17"/>
  <c r="AC28" i="17"/>
  <c r="Z127" i="17"/>
  <c r="AA127" i="17"/>
  <c r="AB127" i="17"/>
  <c r="AC127" i="17"/>
  <c r="AH51" i="17"/>
  <c r="AH150" i="17"/>
  <c r="O118" i="17"/>
  <c r="O20" i="17"/>
  <c r="O25" i="17"/>
  <c r="O124" i="17"/>
  <c r="O26" i="17"/>
  <c r="O125" i="17"/>
  <c r="O27" i="17"/>
  <c r="O126" i="17"/>
  <c r="O28" i="17"/>
  <c r="O127" i="17"/>
  <c r="O147" i="17"/>
  <c r="O148" i="17"/>
  <c r="O149" i="17"/>
  <c r="O150" i="17"/>
  <c r="L124" i="17"/>
  <c r="M124" i="17"/>
  <c r="Q124" i="17"/>
  <c r="R124" i="17"/>
  <c r="L25" i="17"/>
  <c r="M25" i="17"/>
  <c r="G24" i="17"/>
  <c r="J24" i="17"/>
  <c r="L24" i="17"/>
  <c r="M24" i="17"/>
  <c r="J19" i="17"/>
  <c r="L19" i="17"/>
  <c r="O19" i="17"/>
  <c r="Q19" i="17"/>
  <c r="R19" i="17"/>
  <c r="L26" i="17"/>
  <c r="M26" i="17"/>
  <c r="J118" i="17"/>
  <c r="L118" i="17"/>
  <c r="M118" i="17"/>
  <c r="Q118" i="17"/>
  <c r="R118" i="17"/>
  <c r="L125" i="17"/>
  <c r="M125" i="17"/>
  <c r="Q125" i="17"/>
  <c r="R125" i="17"/>
  <c r="L127" i="17"/>
  <c r="M127" i="17"/>
  <c r="Q127" i="17"/>
  <c r="R127" i="17"/>
  <c r="L126" i="17"/>
  <c r="M126" i="17"/>
  <c r="AF25" i="17"/>
  <c r="AK25" i="17"/>
  <c r="AE28" i="17"/>
  <c r="AF28" i="17"/>
  <c r="AJ28" i="17"/>
  <c r="AK28" i="17"/>
  <c r="AF26" i="17"/>
  <c r="AK26" i="17"/>
  <c r="AK24" i="17"/>
  <c r="AC21" i="17"/>
  <c r="AE21" i="17"/>
  <c r="AJ21" i="17"/>
  <c r="AK21" i="17"/>
  <c r="AE126" i="17"/>
  <c r="AF126" i="17"/>
  <c r="Q25" i="17"/>
  <c r="R25" i="17"/>
  <c r="Q26" i="17"/>
  <c r="R26" i="17"/>
  <c r="O24" i="17"/>
  <c r="Q24" i="17"/>
  <c r="R24" i="17"/>
  <c r="M19" i="17"/>
  <c r="K28" i="17"/>
  <c r="L28" i="17"/>
  <c r="M28" i="17"/>
  <c r="K27" i="17"/>
  <c r="K124" i="17"/>
  <c r="K118" i="17"/>
  <c r="Q126" i="17"/>
  <c r="R126" i="17"/>
  <c r="P125" i="17"/>
  <c r="P118" i="17"/>
  <c r="P124" i="17"/>
  <c r="Y14" i="17"/>
  <c r="AC14" i="17"/>
  <c r="W14" i="17"/>
  <c r="AE14" i="17"/>
  <c r="AF14" i="17"/>
  <c r="AJ14" i="17"/>
  <c r="AK14" i="17"/>
  <c r="Z18" i="17"/>
  <c r="AA18" i="17"/>
  <c r="AC18" i="17"/>
  <c r="AE18" i="17"/>
  <c r="AF18" i="17"/>
  <c r="AK23" i="17"/>
  <c r="AF123" i="17"/>
  <c r="AK123" i="17"/>
  <c r="AD127" i="17"/>
  <c r="AD25" i="17"/>
  <c r="AI127" i="17"/>
  <c r="AE127" i="17"/>
  <c r="AF127" i="17"/>
  <c r="AI123" i="17"/>
  <c r="AI126" i="17"/>
  <c r="AJ127" i="17"/>
  <c r="AK127" i="17"/>
  <c r="AD28" i="17"/>
  <c r="AD123" i="17"/>
  <c r="AD126" i="17"/>
  <c r="AF24" i="17"/>
  <c r="AJ126" i="17"/>
  <c r="AK126" i="17"/>
  <c r="AF21" i="17"/>
  <c r="AH18" i="17"/>
  <c r="AJ18" i="17"/>
  <c r="AK18" i="17"/>
  <c r="AE27" i="17"/>
  <c r="AF27" i="17"/>
  <c r="AI27" i="17"/>
  <c r="AD27" i="17"/>
  <c r="AI28" i="17"/>
  <c r="AH15" i="17"/>
  <c r="AI15" i="17"/>
  <c r="AJ27" i="17"/>
  <c r="AK27" i="17"/>
  <c r="AI26" i="17"/>
  <c r="AD18" i="17"/>
  <c r="AD24" i="17"/>
  <c r="AC13" i="17"/>
  <c r="AE13" i="17"/>
  <c r="AJ13" i="17"/>
  <c r="AK13" i="17"/>
  <c r="AF13" i="17"/>
  <c r="AD26" i="17"/>
  <c r="AD21" i="17"/>
  <c r="AI13" i="17"/>
  <c r="AH20" i="17"/>
  <c r="AI20" i="17"/>
  <c r="AD13" i="17"/>
  <c r="AI24" i="17"/>
  <c r="AB20" i="17"/>
  <c r="Y20" i="17"/>
  <c r="AC20" i="17"/>
  <c r="AD20" i="17"/>
  <c r="AI21" i="17"/>
  <c r="AI18" i="17"/>
  <c r="AI25" i="17"/>
  <c r="K125" i="17"/>
  <c r="K26" i="17"/>
  <c r="K126" i="17"/>
  <c r="K127" i="17"/>
  <c r="K19" i="17"/>
  <c r="G23" i="17"/>
  <c r="H23" i="17"/>
  <c r="F23" i="17"/>
  <c r="J23" i="17"/>
  <c r="K23" i="17"/>
  <c r="L27" i="17"/>
  <c r="Q27" i="17"/>
  <c r="R27" i="17"/>
  <c r="K25" i="17"/>
  <c r="K24" i="17"/>
  <c r="Q28" i="17"/>
  <c r="R28" i="17"/>
  <c r="M27" i="17"/>
  <c r="P127" i="17"/>
  <c r="P126" i="17"/>
  <c r="P27" i="17"/>
  <c r="P28" i="17"/>
  <c r="P24" i="17"/>
  <c r="P25" i="17"/>
  <c r="P20" i="17"/>
  <c r="P26" i="17"/>
  <c r="D94" i="17"/>
  <c r="D48" i="17"/>
  <c r="F94" i="17"/>
  <c r="F48" i="17"/>
  <c r="G94" i="17"/>
  <c r="G48" i="17"/>
  <c r="H94" i="17"/>
  <c r="H48" i="17"/>
  <c r="I94" i="17"/>
  <c r="I48" i="17"/>
  <c r="J48" i="17"/>
  <c r="L48" i="17"/>
  <c r="D95" i="17"/>
  <c r="D49" i="17"/>
  <c r="F95" i="17"/>
  <c r="F49" i="17"/>
  <c r="G95" i="17"/>
  <c r="G49" i="17"/>
  <c r="H95" i="17"/>
  <c r="H49" i="17"/>
  <c r="I95" i="17"/>
  <c r="I49" i="17"/>
  <c r="J49" i="17"/>
  <c r="L49" i="17"/>
  <c r="D96" i="17"/>
  <c r="D50" i="17"/>
  <c r="F96" i="17"/>
  <c r="F50" i="17"/>
  <c r="G96" i="17"/>
  <c r="G50" i="17"/>
  <c r="H96" i="17"/>
  <c r="H50" i="17"/>
  <c r="I96" i="17"/>
  <c r="I50" i="17"/>
  <c r="J50" i="17"/>
  <c r="L50" i="17"/>
  <c r="D97" i="17"/>
  <c r="D51" i="17"/>
  <c r="F97" i="17"/>
  <c r="F51" i="17"/>
  <c r="G97" i="17"/>
  <c r="G51" i="17"/>
  <c r="H97" i="17"/>
  <c r="H51" i="17"/>
  <c r="I97" i="17"/>
  <c r="I51" i="17"/>
  <c r="J51" i="17"/>
  <c r="L51" i="17"/>
  <c r="J94" i="17"/>
  <c r="L94" i="17"/>
  <c r="J95" i="17"/>
  <c r="L95" i="17"/>
  <c r="J96" i="17"/>
  <c r="L96" i="17"/>
  <c r="J97" i="17"/>
  <c r="L97" i="17"/>
  <c r="W70" i="17"/>
  <c r="Y70" i="17"/>
  <c r="AC70" i="17"/>
  <c r="Z70" i="17"/>
  <c r="AA70" i="17"/>
  <c r="AB70" i="17"/>
  <c r="AB72" i="17"/>
  <c r="W73" i="17"/>
  <c r="Y73" i="17"/>
  <c r="Z73" i="17"/>
  <c r="AA73" i="17"/>
  <c r="AB73" i="17"/>
  <c r="AC73" i="17"/>
  <c r="AE73" i="17"/>
  <c r="AJ73" i="17"/>
  <c r="W74" i="17"/>
  <c r="Y74" i="17"/>
  <c r="Z74" i="17"/>
  <c r="AA74" i="17"/>
  <c r="AB74" i="17"/>
  <c r="AC74" i="17"/>
  <c r="AE74" i="17"/>
  <c r="AJ74" i="17"/>
  <c r="W96" i="17"/>
  <c r="W50" i="17"/>
  <c r="Y96" i="17"/>
  <c r="Y50" i="17"/>
  <c r="Z96" i="17"/>
  <c r="Z50" i="17"/>
  <c r="AA96" i="17"/>
  <c r="AA50" i="17"/>
  <c r="AB96" i="17"/>
  <c r="AB50" i="17"/>
  <c r="AC50" i="17"/>
  <c r="AE50" i="17"/>
  <c r="AJ50" i="17"/>
  <c r="W97" i="17"/>
  <c r="W51" i="17"/>
  <c r="Y97" i="17"/>
  <c r="Y51" i="17"/>
  <c r="Z97" i="17"/>
  <c r="Z51" i="17"/>
  <c r="AA97" i="17"/>
  <c r="AA51" i="17"/>
  <c r="AB97" i="17"/>
  <c r="AB51" i="17"/>
  <c r="AC51" i="17"/>
  <c r="AE51" i="17"/>
  <c r="AJ51" i="17"/>
  <c r="AC96" i="17"/>
  <c r="AE96" i="17"/>
  <c r="AJ96" i="17"/>
  <c r="AC97" i="17"/>
  <c r="AE97" i="17"/>
  <c r="AJ97" i="17"/>
  <c r="D170" i="17"/>
  <c r="F170" i="17"/>
  <c r="G170" i="17"/>
  <c r="H170" i="17"/>
  <c r="I170" i="17"/>
  <c r="D171" i="17"/>
  <c r="F171" i="17"/>
  <c r="G171" i="17"/>
  <c r="H171" i="17"/>
  <c r="I171" i="17"/>
  <c r="D172" i="17"/>
  <c r="F172" i="17"/>
  <c r="G172" i="17"/>
  <c r="H172" i="17"/>
  <c r="I172" i="17"/>
  <c r="D173" i="17"/>
  <c r="F173" i="17"/>
  <c r="G173" i="17"/>
  <c r="H173" i="17"/>
  <c r="I173" i="17"/>
  <c r="J170" i="17"/>
  <c r="L170" i="17"/>
  <c r="Q170" i="17"/>
  <c r="J171" i="17"/>
  <c r="L171" i="17"/>
  <c r="Q171" i="17"/>
  <c r="J172" i="17"/>
  <c r="L172" i="17"/>
  <c r="Q172" i="17"/>
  <c r="J173" i="17"/>
  <c r="L173" i="17"/>
  <c r="Q173" i="17"/>
  <c r="W195" i="17"/>
  <c r="Y195" i="17"/>
  <c r="Z195" i="17"/>
  <c r="AA195" i="17"/>
  <c r="AB195" i="17"/>
  <c r="AC195" i="17"/>
  <c r="AE195" i="17"/>
  <c r="AJ195" i="17"/>
  <c r="W196" i="17"/>
  <c r="Y196" i="17"/>
  <c r="Z196" i="17"/>
  <c r="AA196" i="17"/>
  <c r="AB196" i="17"/>
  <c r="AC196" i="17"/>
  <c r="AE196" i="17"/>
  <c r="AJ196" i="17"/>
  <c r="D193" i="17"/>
  <c r="D147" i="17"/>
  <c r="F193" i="17"/>
  <c r="F147" i="17"/>
  <c r="G193" i="17"/>
  <c r="G147" i="17"/>
  <c r="H193" i="17"/>
  <c r="H147" i="17"/>
  <c r="I193" i="17"/>
  <c r="I147" i="17"/>
  <c r="J147" i="17"/>
  <c r="L147" i="17"/>
  <c r="Q147" i="17"/>
  <c r="D194" i="17"/>
  <c r="D148" i="17"/>
  <c r="F194" i="17"/>
  <c r="F148" i="17"/>
  <c r="G194" i="17"/>
  <c r="G148" i="17"/>
  <c r="H194" i="17"/>
  <c r="H148" i="17"/>
  <c r="I194" i="17"/>
  <c r="I148" i="17"/>
  <c r="J148" i="17"/>
  <c r="L148" i="17"/>
  <c r="Q148" i="17"/>
  <c r="D195" i="17"/>
  <c r="D149" i="17"/>
  <c r="F195" i="17"/>
  <c r="F149" i="17"/>
  <c r="G195" i="17"/>
  <c r="G149" i="17"/>
  <c r="H195" i="17"/>
  <c r="H149" i="17"/>
  <c r="I195" i="17"/>
  <c r="I149" i="17"/>
  <c r="J149" i="17"/>
  <c r="L149" i="17"/>
  <c r="Q149" i="17"/>
  <c r="D196" i="17"/>
  <c r="D150" i="17"/>
  <c r="F196" i="17"/>
  <c r="F150" i="17"/>
  <c r="G196" i="17"/>
  <c r="G150" i="17"/>
  <c r="H196" i="17"/>
  <c r="H150" i="17"/>
  <c r="I196" i="17"/>
  <c r="I150" i="17"/>
  <c r="J150" i="17"/>
  <c r="L150" i="17"/>
  <c r="Q150" i="17"/>
  <c r="J193" i="17"/>
  <c r="L193" i="17"/>
  <c r="Q193" i="17"/>
  <c r="J194" i="17"/>
  <c r="L194" i="17"/>
  <c r="Q194" i="17"/>
  <c r="J195" i="17"/>
  <c r="L195" i="17"/>
  <c r="Q195" i="17"/>
  <c r="J196" i="17"/>
  <c r="L196" i="17"/>
  <c r="Q196" i="17"/>
  <c r="W172" i="17"/>
  <c r="Y172" i="17"/>
  <c r="Z172" i="17"/>
  <c r="AA172" i="17"/>
  <c r="AB172" i="17"/>
  <c r="AC172" i="17"/>
  <c r="AE172" i="17"/>
  <c r="AJ172" i="17"/>
  <c r="W173" i="17"/>
  <c r="Y173" i="17"/>
  <c r="Z173" i="17"/>
  <c r="AA173" i="17"/>
  <c r="AB173" i="17"/>
  <c r="AC173" i="17"/>
  <c r="AE173" i="17"/>
  <c r="AJ173" i="17"/>
  <c r="W149" i="17"/>
  <c r="Y149" i="17"/>
  <c r="Z149" i="17"/>
  <c r="AA149" i="17"/>
  <c r="AB149" i="17"/>
  <c r="AC149" i="17"/>
  <c r="AE149" i="17"/>
  <c r="AJ149" i="17"/>
  <c r="W150" i="17"/>
  <c r="Y150" i="17"/>
  <c r="Z150" i="17"/>
  <c r="AA150" i="17"/>
  <c r="AB150" i="17"/>
  <c r="AC150" i="17"/>
  <c r="AE150" i="17"/>
  <c r="AJ150" i="17"/>
  <c r="O94" i="17"/>
  <c r="O95" i="17"/>
  <c r="O96" i="17"/>
  <c r="O97" i="17"/>
  <c r="Q94" i="17"/>
  <c r="Q95" i="17"/>
  <c r="Q96" i="17"/>
  <c r="Q97" i="17"/>
  <c r="O71" i="17"/>
  <c r="O48" i="17"/>
  <c r="Q48" i="17"/>
  <c r="O72" i="17"/>
  <c r="O49" i="17"/>
  <c r="Q49" i="17"/>
  <c r="O73" i="17"/>
  <c r="O50" i="17"/>
  <c r="Q50" i="17"/>
  <c r="O74" i="17"/>
  <c r="O51" i="17"/>
  <c r="Q51" i="17"/>
  <c r="Q71" i="17"/>
  <c r="Q72" i="17"/>
  <c r="Q73" i="17"/>
  <c r="Q74" i="17"/>
  <c r="W20" i="17"/>
  <c r="AE20" i="17"/>
  <c r="AJ20" i="17"/>
  <c r="AK20" i="17"/>
  <c r="E36" i="33"/>
  <c r="E70" i="34"/>
  <c r="L71" i="34"/>
  <c r="F78" i="34"/>
  <c r="W79" i="34"/>
  <c r="I36" i="33"/>
  <c r="M70" i="34"/>
  <c r="W70" i="34"/>
  <c r="T71" i="34"/>
  <c r="AF78" i="34"/>
  <c r="AE71" i="34"/>
  <c r="AB70" i="34"/>
  <c r="H36" i="33"/>
  <c r="Z15" i="17"/>
  <c r="AB15" i="17"/>
  <c r="Y15" i="17"/>
  <c r="AC15" i="17"/>
  <c r="AD15" i="17"/>
  <c r="AF20" i="17"/>
  <c r="Z12" i="17"/>
  <c r="AA12" i="17"/>
  <c r="AB12" i="17"/>
  <c r="AC12" i="17"/>
  <c r="W12" i="17"/>
  <c r="AE12" i="17"/>
  <c r="AJ12" i="17"/>
  <c r="AK12" i="17"/>
  <c r="X20" i="17"/>
  <c r="U43" i="17"/>
  <c r="V117" i="17"/>
  <c r="V140" i="17"/>
  <c r="V36" i="17"/>
  <c r="Y19" i="17"/>
  <c r="O58" i="34"/>
  <c r="N59" i="34"/>
  <c r="K70" i="34"/>
  <c r="S70" i="34"/>
  <c r="J71" i="34"/>
  <c r="R71" i="34"/>
  <c r="E72" i="34"/>
  <c r="W72" i="34"/>
  <c r="M79" i="34"/>
  <c r="I81" i="34"/>
  <c r="U66" i="17"/>
  <c r="AI59" i="34"/>
  <c r="AI70" i="34"/>
  <c r="AA58" i="34"/>
  <c r="K58" i="34"/>
  <c r="J59" i="34"/>
  <c r="J70" i="34"/>
  <c r="R70" i="34"/>
  <c r="I71" i="34"/>
  <c r="Q71" i="34"/>
  <c r="Q72" i="34"/>
  <c r="S73" i="34"/>
  <c r="E79" i="34"/>
  <c r="G80" i="34"/>
  <c r="AH78" i="34"/>
  <c r="AC83" i="34"/>
  <c r="Y59" i="34"/>
  <c r="K32" i="34"/>
  <c r="J18" i="33"/>
  <c r="K18" i="17"/>
  <c r="B41" i="17"/>
  <c r="C40" i="17"/>
  <c r="C112" i="17"/>
  <c r="C135" i="17"/>
  <c r="E13" i="34"/>
  <c r="G13" i="34"/>
  <c r="H13" i="34"/>
  <c r="I13" i="34"/>
  <c r="J13" i="34"/>
  <c r="K13" i="34"/>
  <c r="L13" i="34"/>
  <c r="M13" i="34"/>
  <c r="O13" i="34"/>
  <c r="P13" i="34"/>
  <c r="Q13" i="34"/>
  <c r="R13" i="34"/>
  <c r="S13" i="34"/>
  <c r="T13" i="34"/>
  <c r="V13" i="34"/>
  <c r="L14" i="34"/>
  <c r="T14" i="34"/>
  <c r="S9" i="33"/>
  <c r="K29" i="34"/>
  <c r="AE14" i="34"/>
  <c r="AD13" i="34"/>
  <c r="AC14" i="34"/>
  <c r="O22" i="17"/>
  <c r="P22" i="17"/>
  <c r="E18" i="17"/>
  <c r="C36" i="17"/>
  <c r="F22" i="17"/>
  <c r="I14" i="34"/>
  <c r="H9" i="33"/>
  <c r="Q14" i="34"/>
  <c r="P9" i="33"/>
  <c r="H14" i="34"/>
  <c r="P14" i="34"/>
  <c r="H23" i="34"/>
  <c r="G14" i="33"/>
  <c r="Q23" i="34"/>
  <c r="K24" i="34"/>
  <c r="G29" i="34"/>
  <c r="O29" i="34"/>
  <c r="O30" i="34"/>
  <c r="N17" i="33"/>
  <c r="F30" i="34"/>
  <c r="E30" i="34"/>
  <c r="G30" i="34"/>
  <c r="H30" i="34"/>
  <c r="I30" i="34"/>
  <c r="J30" i="34"/>
  <c r="L30" i="34"/>
  <c r="M30" i="34"/>
  <c r="N30" i="34"/>
  <c r="P30" i="34"/>
  <c r="Q30" i="34"/>
  <c r="R30" i="34"/>
  <c r="T30" i="34"/>
  <c r="U30" i="34"/>
  <c r="L31" i="34"/>
  <c r="T31" i="34"/>
  <c r="S32" i="34"/>
  <c r="R18" i="33"/>
  <c r="AI23" i="34"/>
  <c r="AH13" i="34"/>
  <c r="AG31" i="34"/>
  <c r="AF23" i="34"/>
  <c r="AE29" i="34"/>
  <c r="AD24" i="34"/>
  <c r="AB32" i="34"/>
  <c r="AA30" i="34"/>
  <c r="Z13" i="34"/>
  <c r="Y31" i="34"/>
  <c r="M18" i="17"/>
  <c r="G22" i="17"/>
  <c r="W13" i="34"/>
  <c r="S29" i="34"/>
  <c r="R17" i="33"/>
  <c r="AB14" i="34"/>
  <c r="AA13" i="34"/>
  <c r="D22" i="17"/>
  <c r="E22" i="17"/>
  <c r="B32" i="17"/>
  <c r="I23" i="34"/>
  <c r="T23" i="34"/>
  <c r="O24" i="34"/>
  <c r="H29" i="34"/>
  <c r="P29" i="34"/>
  <c r="O17" i="33"/>
  <c r="E31" i="34"/>
  <c r="E32" i="34"/>
  <c r="D18" i="33"/>
  <c r="M31" i="34"/>
  <c r="W31" i="34"/>
  <c r="L32" i="34"/>
  <c r="K18" i="33"/>
  <c r="T32" i="34"/>
  <c r="AI14" i="34"/>
  <c r="AI13" i="34"/>
  <c r="AH32" i="34"/>
  <c r="AG32" i="34"/>
  <c r="AG13" i="34"/>
  <c r="AE24" i="34"/>
  <c r="AE23" i="34"/>
  <c r="AD23" i="34"/>
  <c r="AC24" i="34"/>
  <c r="AB24" i="34"/>
  <c r="AA29" i="34"/>
  <c r="Y32" i="34"/>
  <c r="AA112" i="17"/>
  <c r="W19" i="17"/>
  <c r="X19" i="17"/>
  <c r="V94" i="17"/>
  <c r="V86" i="17"/>
  <c r="F58" i="34"/>
  <c r="N58" i="34"/>
  <c r="E59" i="34"/>
  <c r="M59" i="34"/>
  <c r="W59" i="34"/>
  <c r="H72" i="34"/>
  <c r="P72" i="34"/>
  <c r="T72" i="34"/>
  <c r="T73" i="34"/>
  <c r="S41" i="33"/>
  <c r="H73" i="34"/>
  <c r="L73" i="34"/>
  <c r="R73" i="34"/>
  <c r="F81" i="34"/>
  <c r="E81" i="34"/>
  <c r="G81" i="34"/>
  <c r="H81" i="34"/>
  <c r="J81" i="34"/>
  <c r="K81" i="34"/>
  <c r="L81" i="34"/>
  <c r="M81" i="34"/>
  <c r="N81" i="34"/>
  <c r="O81" i="34"/>
  <c r="P81" i="34"/>
  <c r="Q81" i="34"/>
  <c r="R81" i="34"/>
  <c r="S81" i="34"/>
  <c r="T81" i="34"/>
  <c r="V81" i="34"/>
  <c r="P88" i="34"/>
  <c r="U88" i="17"/>
  <c r="AI58" i="34"/>
  <c r="AG58" i="34"/>
  <c r="Y89" i="34"/>
  <c r="AI12" i="17"/>
  <c r="AH19" i="17"/>
  <c r="AI19" i="17"/>
  <c r="W15" i="17"/>
  <c r="AE15" i="17"/>
  <c r="AJ15" i="17"/>
  <c r="AK15" i="17"/>
  <c r="AF12" i="17"/>
  <c r="C32" i="7"/>
  <c r="U38" i="17"/>
  <c r="V116" i="17"/>
  <c r="V139" i="17"/>
  <c r="V63" i="17"/>
  <c r="U42" i="17"/>
  <c r="H58" i="34"/>
  <c r="L58" i="34"/>
  <c r="E58" i="34"/>
  <c r="I58" i="34"/>
  <c r="J58" i="34"/>
  <c r="M58" i="34"/>
  <c r="P58" i="34"/>
  <c r="Q58" i="34"/>
  <c r="R58" i="34"/>
  <c r="T58" i="34"/>
  <c r="V58" i="34"/>
  <c r="G59" i="34"/>
  <c r="K59" i="34"/>
  <c r="H59" i="34"/>
  <c r="I59" i="34"/>
  <c r="L59" i="34"/>
  <c r="O59" i="34"/>
  <c r="P59" i="34"/>
  <c r="Q59" i="34"/>
  <c r="S59" i="34"/>
  <c r="T59" i="34"/>
  <c r="U59" i="34"/>
  <c r="E60" i="34"/>
  <c r="M60" i="34"/>
  <c r="M61" i="34"/>
  <c r="L35" i="33"/>
  <c r="W60" i="34"/>
  <c r="L61" i="34"/>
  <c r="T61" i="34"/>
  <c r="F36" i="33"/>
  <c r="N36" i="33"/>
  <c r="L66" i="34"/>
  <c r="G67" i="34"/>
  <c r="T67" i="34"/>
  <c r="S38" i="33"/>
  <c r="F72" i="34"/>
  <c r="J72" i="34"/>
  <c r="N72" i="34"/>
  <c r="R72" i="34"/>
  <c r="Q41" i="33"/>
  <c r="E73" i="34"/>
  <c r="J73" i="34"/>
  <c r="P73" i="34"/>
  <c r="Q74" i="34"/>
  <c r="P80" i="34"/>
  <c r="N82" i="34"/>
  <c r="M46" i="33"/>
  <c r="K83" i="34"/>
  <c r="O89" i="34"/>
  <c r="G36" i="33"/>
  <c r="U114" i="17"/>
  <c r="U61" i="17"/>
  <c r="AI81" i="34"/>
  <c r="AG72" i="34"/>
  <c r="AF61" i="34"/>
  <c r="AF82" i="34"/>
  <c r="AF58" i="34"/>
  <c r="AE59" i="34"/>
  <c r="AD58" i="34"/>
  <c r="AC81" i="34"/>
  <c r="AC58" i="34"/>
  <c r="AB72" i="34"/>
  <c r="AB58" i="34"/>
  <c r="Z75" i="34"/>
  <c r="Y83" i="34"/>
  <c r="Y72" i="34"/>
  <c r="AB112" i="17"/>
  <c r="Y112" i="17"/>
  <c r="AC112" i="17"/>
  <c r="AD112" i="17"/>
  <c r="AA19" i="17"/>
  <c r="AC19" i="17"/>
  <c r="AE19" i="17"/>
  <c r="AF19" i="17"/>
  <c r="U135" i="17"/>
  <c r="V69" i="17"/>
  <c r="Q34" i="33"/>
  <c r="L36" i="33"/>
  <c r="L72" i="34"/>
  <c r="K41" i="33"/>
  <c r="AD12" i="17"/>
  <c r="AI23" i="17"/>
  <c r="AD19" i="17"/>
  <c r="AF15" i="17"/>
  <c r="AJ19" i="17"/>
  <c r="AK19" i="17"/>
  <c r="X15" i="17"/>
  <c r="V124" i="17"/>
  <c r="V170" i="17"/>
  <c r="W58" i="34"/>
  <c r="G60" i="34"/>
  <c r="O60" i="34"/>
  <c r="F61" i="34"/>
  <c r="N61" i="34"/>
  <c r="O36" i="33"/>
  <c r="O66" i="34"/>
  <c r="G72" i="34"/>
  <c r="K72" i="34"/>
  <c r="O72" i="34"/>
  <c r="S72" i="34"/>
  <c r="R41" i="33"/>
  <c r="F73" i="34"/>
  <c r="K73" i="34"/>
  <c r="Q73" i="34"/>
  <c r="W73" i="34"/>
  <c r="R74" i="34"/>
  <c r="O82" i="34"/>
  <c r="L83" i="34"/>
  <c r="H88" i="34"/>
  <c r="AI60" i="34"/>
  <c r="AH59" i="34"/>
  <c r="AG59" i="34"/>
  <c r="AF59" i="34"/>
  <c r="AE58" i="34"/>
  <c r="AC82" i="34"/>
  <c r="AA59" i="34"/>
  <c r="AA72" i="34"/>
  <c r="Z73" i="34"/>
  <c r="Y73" i="34"/>
  <c r="Y64" i="34"/>
  <c r="D123" i="17"/>
  <c r="E123" i="17"/>
  <c r="I123" i="17"/>
  <c r="B169" i="17"/>
  <c r="H123" i="17"/>
  <c r="F123" i="17"/>
  <c r="B146" i="17"/>
  <c r="G123" i="17"/>
  <c r="J123" i="17"/>
  <c r="L123" i="17"/>
  <c r="D23" i="17"/>
  <c r="L23" i="17"/>
  <c r="M23" i="17"/>
  <c r="E23" i="17"/>
  <c r="B46" i="17"/>
  <c r="C64" i="17"/>
  <c r="H17" i="17"/>
  <c r="C87" i="17"/>
  <c r="M20" i="34"/>
  <c r="R27" i="34"/>
  <c r="W28" i="34"/>
  <c r="B122" i="17"/>
  <c r="B145" i="17"/>
  <c r="F4" i="34"/>
  <c r="AC3" i="34"/>
  <c r="O23" i="17"/>
  <c r="P23" i="17"/>
  <c r="H20" i="17"/>
  <c r="I20" i="17"/>
  <c r="F20" i="17"/>
  <c r="J20" i="17"/>
  <c r="L20" i="17"/>
  <c r="M20" i="17"/>
  <c r="D17" i="17"/>
  <c r="E17" i="17"/>
  <c r="B92" i="17"/>
  <c r="D13" i="17"/>
  <c r="C33" i="17"/>
  <c r="U13" i="34"/>
  <c r="K9" i="33"/>
  <c r="O9" i="33"/>
  <c r="G14" i="34"/>
  <c r="K14" i="34"/>
  <c r="J9" i="33"/>
  <c r="O14" i="34"/>
  <c r="S14" i="34"/>
  <c r="I15" i="33"/>
  <c r="J27" i="34"/>
  <c r="Q28" i="34"/>
  <c r="F29" i="34"/>
  <c r="J29" i="34"/>
  <c r="I17" i="33"/>
  <c r="N29" i="34"/>
  <c r="M17" i="33"/>
  <c r="R29" i="34"/>
  <c r="Q17" i="33"/>
  <c r="I29" i="34"/>
  <c r="H17" i="33"/>
  <c r="M29" i="34"/>
  <c r="L17" i="33"/>
  <c r="W30" i="34"/>
  <c r="N33" i="34"/>
  <c r="N34" i="34"/>
  <c r="M19" i="33"/>
  <c r="AI29" i="34"/>
  <c r="AG30" i="34"/>
  <c r="AG29" i="34"/>
  <c r="AF14" i="34"/>
  <c r="AE30" i="34"/>
  <c r="AC13" i="34"/>
  <c r="AB28" i="34"/>
  <c r="AB13" i="34"/>
  <c r="AA14" i="34"/>
  <c r="Z29" i="34"/>
  <c r="Y30" i="34"/>
  <c r="X14" i="34"/>
  <c r="X29" i="34"/>
  <c r="P19" i="17"/>
  <c r="K20" i="17"/>
  <c r="Q20" i="17"/>
  <c r="R20" i="17"/>
  <c r="Q23" i="17"/>
  <c r="R23" i="17"/>
  <c r="G17" i="17"/>
  <c r="I17" i="17"/>
  <c r="F17" i="17"/>
  <c r="J17" i="17"/>
  <c r="L17" i="17"/>
  <c r="Q17" i="17"/>
  <c r="R17" i="17"/>
  <c r="B35" i="17"/>
  <c r="P17" i="17"/>
  <c r="F12" i="17"/>
  <c r="B47" i="17"/>
  <c r="C41" i="17"/>
  <c r="B65" i="17"/>
  <c r="R9" i="33"/>
  <c r="F14" i="34"/>
  <c r="J14" i="34"/>
  <c r="N14" i="34"/>
  <c r="R14" i="34"/>
  <c r="U14" i="34"/>
  <c r="G21" i="34"/>
  <c r="K23" i="34"/>
  <c r="S23" i="34"/>
  <c r="J24" i="34"/>
  <c r="R24" i="34"/>
  <c r="P15" i="33"/>
  <c r="F27" i="34"/>
  <c r="I28" i="34"/>
  <c r="E29" i="34"/>
  <c r="Q29" i="34"/>
  <c r="P17" i="33"/>
  <c r="W29" i="34"/>
  <c r="AI24" i="34"/>
  <c r="AH30" i="34"/>
  <c r="AF24" i="34"/>
  <c r="AF13" i="34"/>
  <c r="AE4" i="34"/>
  <c r="AE13" i="34"/>
  <c r="AD14" i="34"/>
  <c r="AC23" i="34"/>
  <c r="AB30" i="34"/>
  <c r="AB23" i="34"/>
  <c r="Z14" i="34"/>
  <c r="X30" i="34"/>
  <c r="B53" i="11"/>
  <c r="Y119" i="17"/>
  <c r="U165" i="17"/>
  <c r="Z119" i="17"/>
  <c r="AA119" i="17"/>
  <c r="AB119" i="17"/>
  <c r="AC119" i="17"/>
  <c r="W119" i="17"/>
  <c r="AE119" i="17"/>
  <c r="AH119" i="17"/>
  <c r="AJ119" i="17"/>
  <c r="AK119" i="17"/>
  <c r="AI119" i="17"/>
  <c r="AF119" i="17"/>
  <c r="U188" i="17"/>
  <c r="X119" i="17"/>
  <c r="U142" i="17"/>
  <c r="AD119" i="17"/>
  <c r="G49" i="33"/>
  <c r="V62" i="17"/>
  <c r="AC25" i="17"/>
  <c r="X12" i="17"/>
  <c r="V85" i="17"/>
  <c r="V42" i="17"/>
  <c r="K78" i="34"/>
  <c r="K79" i="34"/>
  <c r="J44" i="33"/>
  <c r="S78" i="34"/>
  <c r="J79" i="34"/>
  <c r="R79" i="34"/>
  <c r="K46" i="33"/>
  <c r="E88" i="34"/>
  <c r="U88" i="34"/>
  <c r="M88" i="34"/>
  <c r="W88" i="34"/>
  <c r="L89" i="34"/>
  <c r="T89" i="34"/>
  <c r="S49" i="33"/>
  <c r="AG88" i="34"/>
  <c r="AF89" i="34"/>
  <c r="AD79" i="34"/>
  <c r="AB79" i="34"/>
  <c r="Y78" i="34"/>
  <c r="Q42" i="33"/>
  <c r="F60" i="34"/>
  <c r="N60" i="34"/>
  <c r="M35" i="33"/>
  <c r="E61" i="34"/>
  <c r="W61" i="34"/>
  <c r="J36" i="33"/>
  <c r="R36" i="33"/>
  <c r="H69" i="34"/>
  <c r="N74" i="34"/>
  <c r="L78" i="34"/>
  <c r="T78" i="34"/>
  <c r="S79" i="34"/>
  <c r="M82" i="34"/>
  <c r="M83" i="34"/>
  <c r="L46" i="33"/>
  <c r="J83" i="34"/>
  <c r="W83" i="34"/>
  <c r="L86" i="34"/>
  <c r="K87" i="34"/>
  <c r="J48" i="33"/>
  <c r="F88" i="34"/>
  <c r="E49" i="33"/>
  <c r="N88" i="34"/>
  <c r="E89" i="34"/>
  <c r="M89" i="34"/>
  <c r="W89" i="34"/>
  <c r="U80" i="17"/>
  <c r="AI87" i="34"/>
  <c r="AG86" i="34"/>
  <c r="AF86" i="34"/>
  <c r="AE89" i="34"/>
  <c r="AE60" i="34"/>
  <c r="AD63" i="34"/>
  <c r="AC63" i="34"/>
  <c r="AC62" i="34"/>
  <c r="AB69" i="34"/>
  <c r="AA79" i="34"/>
  <c r="AA78" i="34"/>
  <c r="Y61" i="34"/>
  <c r="V67" i="17"/>
  <c r="AC24" i="17"/>
  <c r="AE24" i="17"/>
  <c r="AJ24" i="17"/>
  <c r="V84" i="17"/>
  <c r="V88" i="17"/>
  <c r="V44" i="17"/>
  <c r="E78" i="34"/>
  <c r="M78" i="34"/>
  <c r="W78" i="34"/>
  <c r="L79" i="34"/>
  <c r="T79" i="34"/>
  <c r="G88" i="34"/>
  <c r="F49" i="33"/>
  <c r="O88" i="34"/>
  <c r="F89" i="34"/>
  <c r="N89" i="34"/>
  <c r="AI78" i="34"/>
  <c r="AH89" i="34"/>
  <c r="AG78" i="34"/>
  <c r="AF79" i="34"/>
  <c r="Z79" i="34"/>
  <c r="X79" i="34"/>
  <c r="X88" i="34"/>
  <c r="X78" i="34"/>
  <c r="X123" i="17"/>
  <c r="V114" i="17"/>
  <c r="V120" i="17"/>
  <c r="V166" i="17"/>
  <c r="V89" i="17"/>
  <c r="I60" i="34"/>
  <c r="Q60" i="34"/>
  <c r="P35" i="33"/>
  <c r="H61" i="34"/>
  <c r="P61" i="34"/>
  <c r="J61" i="34"/>
  <c r="K61" i="34"/>
  <c r="R61" i="34"/>
  <c r="S61" i="34"/>
  <c r="V61" i="34"/>
  <c r="M36" i="33"/>
  <c r="H68" i="34"/>
  <c r="J75" i="34"/>
  <c r="G78" i="34"/>
  <c r="G79" i="34"/>
  <c r="F44" i="33"/>
  <c r="O78" i="34"/>
  <c r="O79" i="34"/>
  <c r="N44" i="33"/>
  <c r="F79" i="34"/>
  <c r="E44" i="33"/>
  <c r="N79" i="34"/>
  <c r="M44" i="33"/>
  <c r="E82" i="34"/>
  <c r="S82" i="34"/>
  <c r="R86" i="34"/>
  <c r="Q87" i="34"/>
  <c r="I88" i="34"/>
  <c r="Q88" i="34"/>
  <c r="H89" i="34"/>
  <c r="P89" i="34"/>
  <c r="O49" i="33"/>
  <c r="AI69" i="34"/>
  <c r="AH79" i="34"/>
  <c r="AH74" i="34"/>
  <c r="AG61" i="34"/>
  <c r="AE79" i="34"/>
  <c r="AE86" i="34"/>
  <c r="AD88" i="34"/>
  <c r="AC87" i="34"/>
  <c r="Z82" i="34"/>
  <c r="X86" i="34"/>
  <c r="V113" i="17"/>
  <c r="V159" i="17"/>
  <c r="V108" i="17"/>
  <c r="V131" i="17"/>
  <c r="V65" i="17"/>
  <c r="H78" i="34"/>
  <c r="P78" i="34"/>
  <c r="H79" i="34"/>
  <c r="I79" i="34"/>
  <c r="P79" i="34"/>
  <c r="Q79" i="34"/>
  <c r="U79" i="34"/>
  <c r="J88" i="34"/>
  <c r="R88" i="34"/>
  <c r="I89" i="34"/>
  <c r="V89" i="34"/>
  <c r="Q89" i="34"/>
  <c r="AD89" i="34"/>
  <c r="AB88" i="34"/>
  <c r="Z78" i="34"/>
  <c r="V55" i="17"/>
  <c r="K60" i="34"/>
  <c r="S60" i="34"/>
  <c r="M68" i="34"/>
  <c r="M69" i="34"/>
  <c r="L39" i="33"/>
  <c r="Q75" i="34"/>
  <c r="P42" i="33"/>
  <c r="I78" i="34"/>
  <c r="Q78" i="34"/>
  <c r="G82" i="34"/>
  <c r="W82" i="34"/>
  <c r="R83" i="34"/>
  <c r="E86" i="34"/>
  <c r="W86" i="34"/>
  <c r="T87" i="34"/>
  <c r="K88" i="34"/>
  <c r="J49" i="33"/>
  <c r="S88" i="34"/>
  <c r="J89" i="34"/>
  <c r="R89" i="34"/>
  <c r="AE82" i="34"/>
  <c r="AD87" i="34"/>
  <c r="AD78" i="34"/>
  <c r="AC78" i="34"/>
  <c r="AB89" i="34"/>
  <c r="AA88" i="34"/>
  <c r="Z63" i="34"/>
  <c r="Z62" i="34"/>
  <c r="Y79" i="34"/>
  <c r="Y88" i="34"/>
  <c r="L60" i="34"/>
  <c r="K35" i="33"/>
  <c r="T60" i="34"/>
  <c r="S35" i="33"/>
  <c r="N38" i="33"/>
  <c r="J78" i="34"/>
  <c r="I44" i="33"/>
  <c r="R78" i="34"/>
  <c r="Q44" i="33"/>
  <c r="K82" i="34"/>
  <c r="J46" i="33"/>
  <c r="E83" i="34"/>
  <c r="S83" i="34"/>
  <c r="I86" i="34"/>
  <c r="H87" i="34"/>
  <c r="L88" i="34"/>
  <c r="T88" i="34"/>
  <c r="K89" i="34"/>
  <c r="S89" i="34"/>
  <c r="AE63" i="34"/>
  <c r="AE78" i="34"/>
  <c r="AD83" i="34"/>
  <c r="AD62" i="34"/>
  <c r="AC79" i="34"/>
  <c r="AC76" i="34"/>
  <c r="AA87" i="34"/>
  <c r="AA86" i="34"/>
  <c r="Z61" i="34"/>
  <c r="Z60" i="34"/>
  <c r="C139" i="17"/>
  <c r="C162" i="17"/>
  <c r="C185" i="17"/>
  <c r="H33" i="34"/>
  <c r="G34" i="34"/>
  <c r="B120" i="17"/>
  <c r="I120" i="17"/>
  <c r="B44" i="17"/>
  <c r="AD34" i="34"/>
  <c r="Z34" i="34"/>
  <c r="X34" i="34"/>
  <c r="AD12" i="34"/>
  <c r="P11" i="34"/>
  <c r="J11" i="34"/>
  <c r="I33" i="34"/>
  <c r="H34" i="34"/>
  <c r="AI33" i="34"/>
  <c r="AE8" i="34"/>
  <c r="AD33" i="34"/>
  <c r="AB34" i="34"/>
  <c r="AA33" i="34"/>
  <c r="AA26" i="34"/>
  <c r="X26" i="34"/>
  <c r="AB25" i="34"/>
  <c r="W26" i="34"/>
  <c r="M26" i="34"/>
  <c r="E26" i="34"/>
  <c r="N25" i="34"/>
  <c r="M15" i="33"/>
  <c r="F25" i="34"/>
  <c r="E15" i="33"/>
  <c r="AH26" i="34"/>
  <c r="T26" i="34"/>
  <c r="L26" i="34"/>
  <c r="W25" i="34"/>
  <c r="M25" i="34"/>
  <c r="E25" i="34"/>
  <c r="D15" i="33"/>
  <c r="AG25" i="34"/>
  <c r="S26" i="34"/>
  <c r="R15" i="33"/>
  <c r="K26" i="34"/>
  <c r="J15" i="33"/>
  <c r="T25" i="34"/>
  <c r="S15" i="33"/>
  <c r="L25" i="34"/>
  <c r="K15" i="33"/>
  <c r="AC25" i="34"/>
  <c r="AE26" i="34"/>
  <c r="AH25" i="34"/>
  <c r="O26" i="34"/>
  <c r="G26" i="34"/>
  <c r="F15" i="33"/>
  <c r="P25" i="34"/>
  <c r="O15" i="33"/>
  <c r="H25" i="34"/>
  <c r="F21" i="34"/>
  <c r="H15" i="33"/>
  <c r="J33" i="34"/>
  <c r="I34" i="34"/>
  <c r="AF8" i="34"/>
  <c r="X7" i="34"/>
  <c r="C88" i="17"/>
  <c r="C42" i="17"/>
  <c r="C65" i="17"/>
  <c r="C55" i="17"/>
  <c r="S18" i="33"/>
  <c r="X21" i="34"/>
  <c r="E22" i="34"/>
  <c r="AF22" i="34"/>
  <c r="AI22" i="34"/>
  <c r="O21" i="34"/>
  <c r="N21" i="34"/>
  <c r="AB21" i="34"/>
  <c r="M22" i="34"/>
  <c r="C47" i="17"/>
  <c r="C192" i="17"/>
  <c r="C69" i="17"/>
  <c r="C92" i="17"/>
  <c r="F22" i="34"/>
  <c r="U29" i="34"/>
  <c r="U17" i="33"/>
  <c r="P33" i="34"/>
  <c r="O34" i="34"/>
  <c r="B109" i="17"/>
  <c r="B155" i="17"/>
  <c r="D10" i="17"/>
  <c r="B116" i="17"/>
  <c r="K17" i="17"/>
  <c r="B63" i="17"/>
  <c r="M17" i="17"/>
  <c r="B40" i="17"/>
  <c r="O122" i="17"/>
  <c r="P122" i="17"/>
  <c r="F122" i="17"/>
  <c r="X19" i="34"/>
  <c r="AI20" i="34"/>
  <c r="I20" i="34"/>
  <c r="Y19" i="34"/>
  <c r="O19" i="34"/>
  <c r="N19" i="34"/>
  <c r="N20" i="34"/>
  <c r="M12" i="33"/>
  <c r="AC5" i="34"/>
  <c r="L6" i="34"/>
  <c r="C169" i="17"/>
  <c r="C91" i="17"/>
  <c r="C68" i="17"/>
  <c r="C45" i="17"/>
  <c r="C121" i="17"/>
  <c r="C190" i="17"/>
  <c r="D122" i="17"/>
  <c r="D20" i="7"/>
  <c r="R11" i="34"/>
  <c r="N22" i="34"/>
  <c r="V29" i="34"/>
  <c r="Q33" i="34"/>
  <c r="P34" i="34"/>
  <c r="AI34" i="34"/>
  <c r="AE32" i="34"/>
  <c r="O32" i="34"/>
  <c r="G32" i="34"/>
  <c r="P31" i="34"/>
  <c r="O18" i="33"/>
  <c r="H31" i="34"/>
  <c r="G18" i="33"/>
  <c r="AB31" i="34"/>
  <c r="AC32" i="34"/>
  <c r="AF31" i="34"/>
  <c r="N32" i="34"/>
  <c r="F32" i="34"/>
  <c r="O31" i="34"/>
  <c r="N18" i="33"/>
  <c r="G31" i="34"/>
  <c r="F18" i="33"/>
  <c r="X32" i="34"/>
  <c r="AD31" i="34"/>
  <c r="W32" i="34"/>
  <c r="M32" i="34"/>
  <c r="L18" i="33"/>
  <c r="N31" i="34"/>
  <c r="F31" i="34"/>
  <c r="Z31" i="34"/>
  <c r="Z32" i="34"/>
  <c r="AA31" i="34"/>
  <c r="AI31" i="34"/>
  <c r="Q32" i="34"/>
  <c r="P18" i="33"/>
  <c r="I32" i="34"/>
  <c r="H18" i="33"/>
  <c r="R31" i="34"/>
  <c r="J31" i="34"/>
  <c r="I18" i="33"/>
  <c r="AA17" i="34"/>
  <c r="AD17" i="34"/>
  <c r="H18" i="34"/>
  <c r="P18" i="34"/>
  <c r="C46" i="17"/>
  <c r="W22" i="34"/>
  <c r="R33" i="34"/>
  <c r="Q34" i="34"/>
  <c r="Q18" i="33"/>
  <c r="B192" i="17"/>
  <c r="O123" i="17"/>
  <c r="C21" i="7"/>
  <c r="K123" i="17"/>
  <c r="P123" i="17"/>
  <c r="M123" i="17"/>
  <c r="Q123" i="17"/>
  <c r="R123" i="17"/>
  <c r="G15" i="33"/>
  <c r="N15" i="33"/>
  <c r="AG33" i="34"/>
  <c r="C63" i="17"/>
  <c r="C86" i="17"/>
  <c r="AA34" i="34"/>
  <c r="AC33" i="34"/>
  <c r="AH33" i="34"/>
  <c r="T34" i="34"/>
  <c r="L34" i="34"/>
  <c r="W33" i="34"/>
  <c r="M33" i="34"/>
  <c r="L19" i="33"/>
  <c r="E33" i="34"/>
  <c r="AE34" i="34"/>
  <c r="S34" i="34"/>
  <c r="K34" i="34"/>
  <c r="T33" i="34"/>
  <c r="S19" i="33"/>
  <c r="L33" i="34"/>
  <c r="AB33" i="34"/>
  <c r="AC34" i="34"/>
  <c r="AF33" i="34"/>
  <c r="R34" i="34"/>
  <c r="J34" i="34"/>
  <c r="S33" i="34"/>
  <c r="K33" i="34"/>
  <c r="X33" i="34"/>
  <c r="Y34" i="34"/>
  <c r="AG34" i="34"/>
  <c r="F34" i="34"/>
  <c r="O33" i="34"/>
  <c r="G33" i="34"/>
  <c r="F19" i="33"/>
  <c r="C191" i="17"/>
  <c r="C145" i="17"/>
  <c r="J19" i="34"/>
  <c r="Q15" i="33"/>
  <c r="F33" i="34"/>
  <c r="E19" i="33"/>
  <c r="E34" i="34"/>
  <c r="W34" i="34"/>
  <c r="AH21" i="34"/>
  <c r="AE33" i="34"/>
  <c r="Z33" i="34"/>
  <c r="Y33" i="34"/>
  <c r="C37" i="17"/>
  <c r="B2" i="14"/>
  <c r="B26" i="14"/>
  <c r="F1" i="26"/>
  <c r="T48" i="31"/>
  <c r="AT2" i="31"/>
  <c r="AH46" i="13"/>
  <c r="R48" i="33"/>
  <c r="H48" i="33"/>
  <c r="U62" i="17"/>
  <c r="Y16" i="17"/>
  <c r="W16" i="17"/>
  <c r="AB16" i="17"/>
  <c r="AH16" i="17"/>
  <c r="AI16" i="17"/>
  <c r="Z16" i="17"/>
  <c r="AA16" i="17"/>
  <c r="AC16" i="17"/>
  <c r="AD16" i="17"/>
  <c r="AE16" i="17"/>
  <c r="AF16" i="17"/>
  <c r="U85" i="17"/>
  <c r="AJ16" i="17"/>
  <c r="AK16" i="17"/>
  <c r="U39" i="17"/>
  <c r="X16" i="17"/>
  <c r="U115" i="17"/>
  <c r="V160" i="17"/>
  <c r="V137" i="17"/>
  <c r="V183" i="17"/>
  <c r="AH169" i="17"/>
  <c r="W169" i="17"/>
  <c r="Y169" i="17"/>
  <c r="Z169" i="17"/>
  <c r="AA169" i="17"/>
  <c r="AB169" i="17"/>
  <c r="X64" i="34"/>
  <c r="O65" i="34"/>
  <c r="S64" i="34"/>
  <c r="S65" i="34"/>
  <c r="R37" i="33"/>
  <c r="G64" i="34"/>
  <c r="N65" i="34"/>
  <c r="R64" i="34"/>
  <c r="K65" i="34"/>
  <c r="P64" i="34"/>
  <c r="AE64" i="34"/>
  <c r="G65" i="34"/>
  <c r="K64" i="34"/>
  <c r="I65" i="34"/>
  <c r="AG65" i="34"/>
  <c r="F65" i="34"/>
  <c r="O64" i="34"/>
  <c r="T64" i="34"/>
  <c r="AD65" i="34"/>
  <c r="Q65" i="34"/>
  <c r="H64" i="34"/>
  <c r="J65" i="34"/>
  <c r="L64" i="34"/>
  <c r="T70" i="34"/>
  <c r="S40" i="33"/>
  <c r="J64" i="34"/>
  <c r="R65" i="34"/>
  <c r="U116" i="17"/>
  <c r="U86" i="17"/>
  <c r="O47" i="33"/>
  <c r="K47" i="33"/>
  <c r="Z22" i="17"/>
  <c r="AA22" i="17"/>
  <c r="Y22" i="17"/>
  <c r="AC22" i="17"/>
  <c r="W22" i="17"/>
  <c r="AE22" i="17"/>
  <c r="AH22" i="17"/>
  <c r="AJ22" i="17"/>
  <c r="AK22" i="17"/>
  <c r="V194" i="17"/>
  <c r="U45" i="17"/>
  <c r="L40" i="33"/>
  <c r="S47" i="33"/>
  <c r="AD76" i="34"/>
  <c r="X68" i="34"/>
  <c r="Z68" i="34"/>
  <c r="AD69" i="34"/>
  <c r="AF68" i="34"/>
  <c r="AG68" i="34"/>
  <c r="S69" i="34"/>
  <c r="K69" i="34"/>
  <c r="T68" i="34"/>
  <c r="S39" i="33"/>
  <c r="L68" i="34"/>
  <c r="AA68" i="34"/>
  <c r="R69" i="34"/>
  <c r="J69" i="34"/>
  <c r="S68" i="34"/>
  <c r="K68" i="34"/>
  <c r="J39" i="33"/>
  <c r="Y69" i="34"/>
  <c r="AB68" i="34"/>
  <c r="AE69" i="34"/>
  <c r="AH68" i="34"/>
  <c r="Q69" i="34"/>
  <c r="I69" i="34"/>
  <c r="R68" i="34"/>
  <c r="Q39" i="33"/>
  <c r="J68" i="34"/>
  <c r="I39" i="33"/>
  <c r="AI68" i="34"/>
  <c r="N69" i="34"/>
  <c r="F69" i="34"/>
  <c r="O68" i="34"/>
  <c r="G68" i="34"/>
  <c r="AH17" i="17"/>
  <c r="AI17" i="17"/>
  <c r="AD23" i="17"/>
  <c r="AI112" i="17"/>
  <c r="AF23" i="17"/>
  <c r="AH23" i="17"/>
  <c r="V72" i="17"/>
  <c r="V32" i="17"/>
  <c r="W123" i="17"/>
  <c r="F68" i="34"/>
  <c r="E39" i="33"/>
  <c r="E69" i="34"/>
  <c r="W69" i="34"/>
  <c r="Q40" i="33"/>
  <c r="J76" i="34"/>
  <c r="I43" i="33"/>
  <c r="I77" i="34"/>
  <c r="P48" i="33"/>
  <c r="U68" i="17"/>
  <c r="U89" i="17"/>
  <c r="AD68" i="34"/>
  <c r="Y68" i="34"/>
  <c r="Z91" i="34"/>
  <c r="X90" i="34"/>
  <c r="AG90" i="34"/>
  <c r="I91" i="34"/>
  <c r="O90" i="34"/>
  <c r="AA90" i="34"/>
  <c r="AH90" i="34"/>
  <c r="H91" i="34"/>
  <c r="K90" i="34"/>
  <c r="AB90" i="34"/>
  <c r="R91" i="34"/>
  <c r="G91" i="34"/>
  <c r="J90" i="34"/>
  <c r="O91" i="34"/>
  <c r="R90" i="34"/>
  <c r="G90" i="34"/>
  <c r="AF81" i="34"/>
  <c r="O45" i="33"/>
  <c r="O80" i="34"/>
  <c r="I80" i="34"/>
  <c r="H45" i="33"/>
  <c r="H80" i="34"/>
  <c r="AA72" i="17"/>
  <c r="AC72" i="17"/>
  <c r="AD22" i="17"/>
  <c r="U40" i="17"/>
  <c r="U92" i="17"/>
  <c r="U69" i="17"/>
  <c r="U122" i="17"/>
  <c r="W23" i="17"/>
  <c r="X76" i="34"/>
  <c r="Z77" i="34"/>
  <c r="AE76" i="34"/>
  <c r="W77" i="34"/>
  <c r="M77" i="34"/>
  <c r="E77" i="34"/>
  <c r="N76" i="34"/>
  <c r="F76" i="34"/>
  <c r="X77" i="34"/>
  <c r="AA77" i="34"/>
  <c r="AC77" i="34"/>
  <c r="AG77" i="34"/>
  <c r="T77" i="34"/>
  <c r="T76" i="34"/>
  <c r="S43" i="33"/>
  <c r="L77" i="34"/>
  <c r="W76" i="34"/>
  <c r="M76" i="34"/>
  <c r="E76" i="34"/>
  <c r="Z76" i="34"/>
  <c r="AB77" i="34"/>
  <c r="AD77" i="34"/>
  <c r="AF76" i="34"/>
  <c r="AH77" i="34"/>
  <c r="AI77" i="34"/>
  <c r="S77" i="34"/>
  <c r="K77" i="34"/>
  <c r="J43" i="33"/>
  <c r="L76" i="34"/>
  <c r="Y77" i="34"/>
  <c r="AB76" i="34"/>
  <c r="AH76" i="34"/>
  <c r="P77" i="34"/>
  <c r="H77" i="34"/>
  <c r="G43" i="33"/>
  <c r="Q76" i="34"/>
  <c r="Q77" i="34"/>
  <c r="P43" i="33"/>
  <c r="I76" i="34"/>
  <c r="Z72" i="17"/>
  <c r="Z17" i="17"/>
  <c r="AA17" i="17"/>
  <c r="AB17" i="17"/>
  <c r="Y17" i="17"/>
  <c r="AC17" i="17"/>
  <c r="AD17" i="17"/>
  <c r="AE17" i="17"/>
  <c r="AF17" i="17"/>
  <c r="AF22" i="17"/>
  <c r="AB23" i="17"/>
  <c r="X23" i="17"/>
  <c r="U41" i="17"/>
  <c r="V37" i="17"/>
  <c r="N68" i="34"/>
  <c r="I40" i="33"/>
  <c r="R76" i="34"/>
  <c r="R77" i="34"/>
  <c r="Q43" i="33"/>
  <c r="AH69" i="34"/>
  <c r="AH70" i="34"/>
  <c r="AG69" i="34"/>
  <c r="AA69" i="34"/>
  <c r="Y71" i="34"/>
  <c r="AB86" i="34"/>
  <c r="AH86" i="34"/>
  <c r="O87" i="34"/>
  <c r="G87" i="34"/>
  <c r="P86" i="34"/>
  <c r="O48" i="33"/>
  <c r="H86" i="34"/>
  <c r="V86" i="34"/>
  <c r="Y87" i="34"/>
  <c r="AD86" i="34"/>
  <c r="N87" i="34"/>
  <c r="F87" i="34"/>
  <c r="E48" i="33"/>
  <c r="O86" i="34"/>
  <c r="N48" i="33"/>
  <c r="G86" i="34"/>
  <c r="F48" i="33"/>
  <c r="Y86" i="34"/>
  <c r="AC86" i="34"/>
  <c r="AF87" i="34"/>
  <c r="AI86" i="34"/>
  <c r="W87" i="34"/>
  <c r="M87" i="34"/>
  <c r="L48" i="33"/>
  <c r="E87" i="34"/>
  <c r="N86" i="34"/>
  <c r="F86" i="34"/>
  <c r="AB87" i="34"/>
  <c r="AG87" i="34"/>
  <c r="AH87" i="34"/>
  <c r="R87" i="34"/>
  <c r="Q48" i="33"/>
  <c r="J87" i="34"/>
  <c r="I48" i="33"/>
  <c r="S86" i="34"/>
  <c r="K86" i="34"/>
  <c r="X74" i="34"/>
  <c r="H75" i="34"/>
  <c r="H74" i="34"/>
  <c r="AB75" i="34"/>
  <c r="AI75" i="34"/>
  <c r="G75" i="34"/>
  <c r="G74" i="34"/>
  <c r="S74" i="34"/>
  <c r="N75" i="34"/>
  <c r="O74" i="34"/>
  <c r="AI22" i="17"/>
  <c r="Y72" i="17"/>
  <c r="AJ17" i="17"/>
  <c r="AK17" i="17"/>
  <c r="AE112" i="17"/>
  <c r="AF112" i="17"/>
  <c r="AA23" i="17"/>
  <c r="V148" i="17"/>
  <c r="D32" i="7"/>
  <c r="U59" i="17"/>
  <c r="V32" i="7"/>
  <c r="W32" i="7"/>
  <c r="U108" i="17"/>
  <c r="W108" i="17"/>
  <c r="D28" i="7"/>
  <c r="U78" i="17"/>
  <c r="U32" i="17"/>
  <c r="U154" i="17"/>
  <c r="U177" i="17"/>
  <c r="U131" i="17"/>
  <c r="U109" i="17"/>
  <c r="W109" i="17"/>
  <c r="W10" i="17"/>
  <c r="D29" i="7"/>
  <c r="W29" i="7"/>
  <c r="U110" i="17"/>
  <c r="W110" i="17"/>
  <c r="W11" i="17"/>
  <c r="D30" i="7"/>
  <c r="U57" i="17"/>
  <c r="U34" i="17"/>
  <c r="U156" i="17"/>
  <c r="U179" i="17"/>
  <c r="U133" i="17"/>
  <c r="U111" i="17"/>
  <c r="W111" i="17"/>
  <c r="D31" i="7"/>
  <c r="U58" i="17"/>
  <c r="U81" i="17"/>
  <c r="U35" i="17"/>
  <c r="U157" i="17"/>
  <c r="U180" i="17"/>
  <c r="U134" i="17"/>
  <c r="U113" i="17"/>
  <c r="W113" i="17"/>
  <c r="D33" i="7"/>
  <c r="W33" i="7"/>
  <c r="W114" i="17"/>
  <c r="D34" i="7"/>
  <c r="U160" i="17"/>
  <c r="U183" i="17"/>
  <c r="U137" i="17"/>
  <c r="W115" i="17"/>
  <c r="D35" i="7"/>
  <c r="W35" i="7"/>
  <c r="W116" i="17"/>
  <c r="D36" i="7"/>
  <c r="W36" i="7"/>
  <c r="U117" i="17"/>
  <c r="W117" i="17"/>
  <c r="D37" i="7"/>
  <c r="U64" i="17"/>
  <c r="U87" i="17"/>
  <c r="U163" i="17"/>
  <c r="U186" i="17"/>
  <c r="U140" i="17"/>
  <c r="U118" i="17"/>
  <c r="W118" i="17"/>
  <c r="D38" i="7"/>
  <c r="W38" i="7"/>
  <c r="D39" i="7"/>
  <c r="W39" i="7"/>
  <c r="U120" i="17"/>
  <c r="W120" i="17"/>
  <c r="D40" i="7"/>
  <c r="W40" i="7"/>
  <c r="U121" i="17"/>
  <c r="W121" i="17"/>
  <c r="D41" i="7"/>
  <c r="W41" i="7"/>
  <c r="D42" i="7"/>
  <c r="W42" i="7"/>
  <c r="D43" i="7"/>
  <c r="W43" i="7"/>
  <c r="D44" i="7"/>
  <c r="W44" i="7"/>
  <c r="D45" i="7"/>
  <c r="W45" i="7"/>
  <c r="AE32" i="7"/>
  <c r="R34" i="33"/>
  <c r="P68" i="34"/>
  <c r="O69" i="34"/>
  <c r="S76" i="34"/>
  <c r="F39" i="33"/>
  <c r="U94" i="17"/>
  <c r="U71" i="17"/>
  <c r="U124" i="17"/>
  <c r="U48" i="17"/>
  <c r="W25" i="17"/>
  <c r="AG76" i="34"/>
  <c r="AA76" i="34"/>
  <c r="AJ112" i="17"/>
  <c r="AK112" i="17"/>
  <c r="Z23" i="17"/>
  <c r="X22" i="17"/>
  <c r="V83" i="17"/>
  <c r="V56" i="17"/>
  <c r="V91" i="17"/>
  <c r="V45" i="17"/>
  <c r="Q68" i="34"/>
  <c r="P39" i="33"/>
  <c r="P69" i="34"/>
  <c r="G76" i="34"/>
  <c r="F43" i="33"/>
  <c r="F77" i="34"/>
  <c r="N39" i="33"/>
  <c r="U192" i="17"/>
  <c r="Y123" i="17"/>
  <c r="AC123" i="17"/>
  <c r="AE123" i="17"/>
  <c r="AJ123" i="17"/>
  <c r="U63" i="17"/>
  <c r="Y26" i="17"/>
  <c r="W26" i="17"/>
  <c r="AF77" i="34"/>
  <c r="AE68" i="34"/>
  <c r="Y76" i="34"/>
  <c r="X70" i="34"/>
  <c r="X71" i="34"/>
  <c r="AA71" i="34"/>
  <c r="AB71" i="34"/>
  <c r="AC71" i="34"/>
  <c r="AG71" i="34"/>
  <c r="AH71" i="34"/>
  <c r="AI71" i="34"/>
  <c r="P71" i="34"/>
  <c r="H71" i="34"/>
  <c r="Q70" i="34"/>
  <c r="I70" i="34"/>
  <c r="H40" i="33"/>
  <c r="Z70" i="34"/>
  <c r="AD71" i="34"/>
  <c r="AF70" i="34"/>
  <c r="AG70" i="34"/>
  <c r="O71" i="34"/>
  <c r="G71" i="34"/>
  <c r="P70" i="34"/>
  <c r="H70" i="34"/>
  <c r="AA70" i="34"/>
  <c r="N71" i="34"/>
  <c r="F71" i="34"/>
  <c r="E40" i="33"/>
  <c r="O70" i="34"/>
  <c r="N40" i="33"/>
  <c r="G70" i="34"/>
  <c r="Y70" i="34"/>
  <c r="Z71" i="34"/>
  <c r="AC70" i="34"/>
  <c r="AD70" i="34"/>
  <c r="AF71" i="34"/>
  <c r="S71" i="34"/>
  <c r="R40" i="33"/>
  <c r="K71" i="34"/>
  <c r="J40" i="33"/>
  <c r="L70" i="34"/>
  <c r="N43" i="33"/>
  <c r="AI85" i="34"/>
  <c r="AH61" i="34"/>
  <c r="AG63" i="34"/>
  <c r="AG84" i="34"/>
  <c r="AF84" i="34"/>
  <c r="AF62" i="34"/>
  <c r="AD85" i="34"/>
  <c r="AD59" i="34"/>
  <c r="AC85" i="34"/>
  <c r="AC61" i="34"/>
  <c r="AB61" i="34"/>
  <c r="AA61" i="34"/>
  <c r="Z84" i="34"/>
  <c r="X85" i="34"/>
  <c r="AJ85" i="34"/>
  <c r="V47" i="33"/>
  <c r="X59" i="34"/>
  <c r="P47" i="33"/>
  <c r="X72" i="34"/>
  <c r="V115" i="17"/>
  <c r="I47" i="33"/>
  <c r="Q47" i="33"/>
  <c r="AJ79" i="34"/>
  <c r="V44" i="33"/>
  <c r="J47" i="33"/>
  <c r="R47" i="33"/>
  <c r="B159" i="17"/>
  <c r="O113" i="17"/>
  <c r="C163" i="17"/>
  <c r="C186" i="17"/>
  <c r="O21" i="17"/>
  <c r="P21" i="17"/>
  <c r="O120" i="17"/>
  <c r="P120" i="17"/>
  <c r="G22" i="34"/>
  <c r="P20" i="34"/>
  <c r="H22" i="34"/>
  <c r="AA22" i="34"/>
  <c r="H22" i="17"/>
  <c r="J22" i="17"/>
  <c r="L22" i="17"/>
  <c r="Q22" i="17"/>
  <c r="R22" i="17"/>
  <c r="G120" i="17"/>
  <c r="B33" i="17"/>
  <c r="C108" i="17"/>
  <c r="C177" i="17"/>
  <c r="D21" i="17"/>
  <c r="B67" i="17"/>
  <c r="G7" i="34"/>
  <c r="I17" i="34"/>
  <c r="H11" i="33"/>
  <c r="R19" i="34"/>
  <c r="Q20" i="34"/>
  <c r="J21" i="34"/>
  <c r="R21" i="34"/>
  <c r="I22" i="34"/>
  <c r="Q22" i="34"/>
  <c r="H12" i="17"/>
  <c r="AH22" i="34"/>
  <c r="AG22" i="34"/>
  <c r="AF21" i="34"/>
  <c r="AE21" i="34"/>
  <c r="AA21" i="34"/>
  <c r="Y28" i="34"/>
  <c r="X22" i="34"/>
  <c r="Y21" i="34"/>
  <c r="O22" i="34"/>
  <c r="G21" i="17"/>
  <c r="H21" i="17"/>
  <c r="I21" i="17"/>
  <c r="F21" i="17"/>
  <c r="J21" i="17"/>
  <c r="K21" i="17"/>
  <c r="L21" i="17"/>
  <c r="M21" i="17"/>
  <c r="Q21" i="34"/>
  <c r="P13" i="33"/>
  <c r="M22" i="17"/>
  <c r="C118" i="17"/>
  <c r="C187" i="17"/>
  <c r="C120" i="17"/>
  <c r="B45" i="17"/>
  <c r="O7" i="34"/>
  <c r="J17" i="34"/>
  <c r="F19" i="34"/>
  <c r="F20" i="34"/>
  <c r="E12" i="33"/>
  <c r="E20" i="34"/>
  <c r="W20" i="34"/>
  <c r="K21" i="34"/>
  <c r="S21" i="34"/>
  <c r="J22" i="34"/>
  <c r="R22" i="34"/>
  <c r="AG20" i="34"/>
  <c r="AE17" i="34"/>
  <c r="AA19" i="34"/>
  <c r="X20" i="34"/>
  <c r="P21" i="34"/>
  <c r="H120" i="17"/>
  <c r="I21" i="34"/>
  <c r="H13" i="33"/>
  <c r="P22" i="34"/>
  <c r="C60" i="17"/>
  <c r="P7" i="34"/>
  <c r="Q17" i="34"/>
  <c r="P11" i="33"/>
  <c r="G19" i="34"/>
  <c r="L21" i="34"/>
  <c r="L22" i="34"/>
  <c r="K13" i="33"/>
  <c r="T21" i="34"/>
  <c r="K22" i="34"/>
  <c r="S22" i="34"/>
  <c r="T22" i="34"/>
  <c r="V22" i="34"/>
  <c r="AI30" i="34"/>
  <c r="AH8" i="34"/>
  <c r="AC22" i="34"/>
  <c r="AC29" i="34"/>
  <c r="AB22" i="34"/>
  <c r="AB29" i="34"/>
  <c r="Z30" i="34"/>
  <c r="Y22" i="34"/>
  <c r="Y29" i="34"/>
  <c r="B90" i="17"/>
  <c r="B91" i="17"/>
  <c r="H21" i="34"/>
  <c r="AD21" i="34"/>
  <c r="Q19" i="34"/>
  <c r="P12" i="33"/>
  <c r="Z21" i="34"/>
  <c r="K22" i="17"/>
  <c r="Q21" i="17"/>
  <c r="R21" i="17"/>
  <c r="C16" i="7"/>
  <c r="C49" i="15"/>
  <c r="C51" i="15"/>
  <c r="C54" i="15"/>
  <c r="C55" i="15"/>
  <c r="C57" i="15"/>
  <c r="C59" i="15"/>
  <c r="C61" i="15"/>
  <c r="C65" i="15"/>
  <c r="C69" i="15"/>
  <c r="C71" i="15"/>
  <c r="C73" i="15"/>
  <c r="C75" i="15"/>
  <c r="C77" i="15"/>
  <c r="L49" i="15"/>
  <c r="L51" i="15"/>
  <c r="L57" i="15"/>
  <c r="L61" i="15"/>
  <c r="L65" i="15"/>
  <c r="L68" i="15"/>
  <c r="L69" i="15"/>
  <c r="L70" i="15"/>
  <c r="L71" i="15"/>
  <c r="L72" i="15"/>
  <c r="L73" i="15"/>
  <c r="L75" i="15"/>
  <c r="L77" i="15"/>
  <c r="C163" i="15"/>
  <c r="L153" i="15"/>
  <c r="E21" i="17"/>
  <c r="B143" i="17"/>
  <c r="F8" i="34"/>
  <c r="R17" i="34"/>
  <c r="I19" i="34"/>
  <c r="H20" i="34"/>
  <c r="E21" i="34"/>
  <c r="M21" i="34"/>
  <c r="W21" i="34"/>
  <c r="S13" i="33"/>
  <c r="AI21" i="34"/>
  <c r="AH29" i="34"/>
  <c r="AG21" i="34"/>
  <c r="AF30" i="34"/>
  <c r="AE22" i="34"/>
  <c r="AD22" i="34"/>
  <c r="AA7" i="34"/>
  <c r="X11" i="34"/>
  <c r="AE20" i="34"/>
  <c r="AD18" i="34"/>
  <c r="Z22" i="34"/>
  <c r="AE26" i="17"/>
  <c r="AJ26" i="17"/>
  <c r="V144" i="17"/>
  <c r="V190" i="17"/>
  <c r="V167" i="17"/>
  <c r="V57" i="17"/>
  <c r="V80" i="17"/>
  <c r="V110" i="17"/>
  <c r="V34" i="17"/>
  <c r="AE70" i="17"/>
  <c r="AJ70" i="17"/>
  <c r="V181" i="17"/>
  <c r="V135" i="17"/>
  <c r="V158" i="17"/>
  <c r="V177" i="17"/>
  <c r="AH92" i="17"/>
  <c r="AA92" i="17"/>
  <c r="V47" i="17"/>
  <c r="V70" i="17"/>
  <c r="V93" i="17"/>
  <c r="V123" i="17"/>
  <c r="V119" i="17"/>
  <c r="V43" i="17"/>
  <c r="U60" i="17"/>
  <c r="U83" i="17"/>
  <c r="U37" i="17"/>
  <c r="X14" i="17"/>
  <c r="AD14" i="17"/>
  <c r="AI14" i="17"/>
  <c r="D39" i="33"/>
  <c r="V147" i="17"/>
  <c r="V122" i="17"/>
  <c r="V92" i="17"/>
  <c r="V164" i="17"/>
  <c r="V187" i="17"/>
  <c r="D36" i="33"/>
  <c r="V62" i="34"/>
  <c r="U62" i="34"/>
  <c r="F38" i="33"/>
  <c r="AJ44" i="7"/>
  <c r="V63" i="34"/>
  <c r="U70" i="34"/>
  <c r="H47" i="33"/>
  <c r="U84" i="34"/>
  <c r="U47" i="33"/>
  <c r="V85" i="34"/>
  <c r="U85" i="34"/>
  <c r="L32" i="7"/>
  <c r="U32" i="7"/>
  <c r="V81" i="17"/>
  <c r="V48" i="17"/>
  <c r="V58" i="17"/>
  <c r="AD32" i="7"/>
  <c r="Y66" i="34"/>
  <c r="Z67" i="34"/>
  <c r="AB66" i="34"/>
  <c r="AF67" i="34"/>
  <c r="AA66" i="34"/>
  <c r="AB67" i="34"/>
  <c r="AD66" i="34"/>
  <c r="AE67" i="34"/>
  <c r="AG66" i="34"/>
  <c r="AH67" i="34"/>
  <c r="X66" i="34"/>
  <c r="AC66" i="34"/>
  <c r="AI67" i="34"/>
  <c r="AD67" i="34"/>
  <c r="AE66" i="34"/>
  <c r="R67" i="34"/>
  <c r="J67" i="34"/>
  <c r="S66" i="34"/>
  <c r="R38" i="33"/>
  <c r="K66" i="34"/>
  <c r="J38" i="33"/>
  <c r="X67" i="34"/>
  <c r="AA67" i="34"/>
  <c r="AH66" i="34"/>
  <c r="Q67" i="34"/>
  <c r="I67" i="34"/>
  <c r="H38" i="33"/>
  <c r="R66" i="34"/>
  <c r="Q38" i="33"/>
  <c r="J66" i="34"/>
  <c r="AG67" i="34"/>
  <c r="W67" i="34"/>
  <c r="M67" i="34"/>
  <c r="E67" i="34"/>
  <c r="E66" i="34"/>
  <c r="D38" i="33"/>
  <c r="N66" i="34"/>
  <c r="F66" i="34"/>
  <c r="E38" i="33"/>
  <c r="Z66" i="34"/>
  <c r="H67" i="34"/>
  <c r="M66" i="34"/>
  <c r="Y67" i="34"/>
  <c r="AC67" i="34"/>
  <c r="AI66" i="34"/>
  <c r="P67" i="34"/>
  <c r="W66" i="34"/>
  <c r="H66" i="34"/>
  <c r="G38" i="33"/>
  <c r="N67" i="34"/>
  <c r="Q66" i="34"/>
  <c r="P38" i="33"/>
  <c r="L67" i="34"/>
  <c r="K38" i="33"/>
  <c r="P66" i="34"/>
  <c r="O38" i="33"/>
  <c r="V41" i="17"/>
  <c r="V64" i="17"/>
  <c r="U63" i="34"/>
  <c r="K39" i="33"/>
  <c r="C39" i="7"/>
  <c r="B119" i="17"/>
  <c r="B142" i="17"/>
  <c r="C43" i="7"/>
  <c r="M43" i="7"/>
  <c r="N34" i="33"/>
  <c r="O34" i="33"/>
  <c r="E34" i="33"/>
  <c r="N37" i="33"/>
  <c r="D46" i="33"/>
  <c r="U90" i="17"/>
  <c r="U67" i="17"/>
  <c r="U95" i="17"/>
  <c r="U125" i="17"/>
  <c r="AH75" i="34"/>
  <c r="Z65" i="34"/>
  <c r="Y74" i="34"/>
  <c r="AA80" i="34"/>
  <c r="AB81" i="34"/>
  <c r="AD80" i="34"/>
  <c r="AE81" i="34"/>
  <c r="AG80" i="34"/>
  <c r="AH81" i="34"/>
  <c r="Y81" i="34"/>
  <c r="AA81" i="34"/>
  <c r="AB80" i="34"/>
  <c r="AI80" i="34"/>
  <c r="W80" i="34"/>
  <c r="M80" i="34"/>
  <c r="L45" i="33"/>
  <c r="E80" i="34"/>
  <c r="D45" i="33"/>
  <c r="AH80" i="34"/>
  <c r="T80" i="34"/>
  <c r="S45" i="33"/>
  <c r="L80" i="34"/>
  <c r="K45" i="33"/>
  <c r="Y80" i="34"/>
  <c r="Z80" i="34"/>
  <c r="Z81" i="34"/>
  <c r="AG81" i="34"/>
  <c r="Q45" i="33"/>
  <c r="S80" i="34"/>
  <c r="K80" i="34"/>
  <c r="X80" i="34"/>
  <c r="AF80" i="34"/>
  <c r="G45" i="33"/>
  <c r="N80" i="34"/>
  <c r="M45" i="33"/>
  <c r="W81" i="34"/>
  <c r="J80" i="34"/>
  <c r="AC80" i="34"/>
  <c r="AD81" i="34"/>
  <c r="AE80" i="34"/>
  <c r="Q80" i="34"/>
  <c r="P45" i="33"/>
  <c r="F80" i="34"/>
  <c r="M40" i="33"/>
  <c r="U91" i="17"/>
  <c r="I38" i="33"/>
  <c r="D40" i="33"/>
  <c r="J50" i="33"/>
  <c r="Q50" i="33"/>
  <c r="I50" i="33"/>
  <c r="H50" i="33"/>
  <c r="G50" i="33"/>
  <c r="F50" i="33"/>
  <c r="P50" i="33"/>
  <c r="O50" i="33"/>
  <c r="E50" i="33"/>
  <c r="M43" i="33"/>
  <c r="E43" i="33"/>
  <c r="L43" i="33"/>
  <c r="H43" i="33"/>
  <c r="O43" i="33"/>
  <c r="V60" i="34"/>
  <c r="Q36" i="33"/>
  <c r="P40" i="33"/>
  <c r="E41" i="33"/>
  <c r="U65" i="17"/>
  <c r="AD75" i="34"/>
  <c r="Z74" i="34"/>
  <c r="AA75" i="34"/>
  <c r="AC74" i="34"/>
  <c r="AF74" i="34"/>
  <c r="AG75" i="34"/>
  <c r="AI74" i="34"/>
  <c r="X75" i="34"/>
  <c r="Y75" i="34"/>
  <c r="AG74" i="34"/>
  <c r="AF75" i="34"/>
  <c r="T75" i="34"/>
  <c r="L75" i="34"/>
  <c r="W74" i="34"/>
  <c r="M74" i="34"/>
  <c r="L42" i="33"/>
  <c r="E74" i="34"/>
  <c r="AC75" i="34"/>
  <c r="AD74" i="34"/>
  <c r="AE74" i="34"/>
  <c r="AE75" i="34"/>
  <c r="S75" i="34"/>
  <c r="R42" i="33"/>
  <c r="K75" i="34"/>
  <c r="T74" i="34"/>
  <c r="L74" i="34"/>
  <c r="AB74" i="34"/>
  <c r="P75" i="34"/>
  <c r="F75" i="34"/>
  <c r="K74" i="34"/>
  <c r="J42" i="33"/>
  <c r="O75" i="34"/>
  <c r="N42" i="33"/>
  <c r="E75" i="34"/>
  <c r="J74" i="34"/>
  <c r="I42" i="33"/>
  <c r="AA74" i="34"/>
  <c r="W75" i="34"/>
  <c r="I75" i="34"/>
  <c r="H42" i="33"/>
  <c r="P74" i="34"/>
  <c r="F74" i="34"/>
  <c r="AA64" i="34"/>
  <c r="AB65" i="34"/>
  <c r="AD64" i="34"/>
  <c r="AE65" i="34"/>
  <c r="AG64" i="34"/>
  <c r="AH65" i="34"/>
  <c r="Y65" i="34"/>
  <c r="AC64" i="34"/>
  <c r="AI65" i="34"/>
  <c r="AB64" i="34"/>
  <c r="AA65" i="34"/>
  <c r="AH64" i="34"/>
  <c r="AI64" i="34"/>
  <c r="X65" i="34"/>
  <c r="W65" i="34"/>
  <c r="M65" i="34"/>
  <c r="E65" i="34"/>
  <c r="N64" i="34"/>
  <c r="M37" i="33"/>
  <c r="F64" i="34"/>
  <c r="AF65" i="34"/>
  <c r="T65" i="34"/>
  <c r="L65" i="34"/>
  <c r="K37" i="33"/>
  <c r="W64" i="34"/>
  <c r="M64" i="34"/>
  <c r="E64" i="34"/>
  <c r="Z64" i="34"/>
  <c r="AC65" i="34"/>
  <c r="P65" i="34"/>
  <c r="H65" i="34"/>
  <c r="G37" i="33"/>
  <c r="Q64" i="34"/>
  <c r="I64" i="34"/>
  <c r="H37" i="33"/>
  <c r="I34" i="33"/>
  <c r="K36" i="33"/>
  <c r="S36" i="33"/>
  <c r="O40" i="33"/>
  <c r="G47" i="33"/>
  <c r="D48" i="33"/>
  <c r="H39" i="33"/>
  <c r="O39" i="33"/>
  <c r="I35" i="33"/>
  <c r="Y82" i="34"/>
  <c r="Z83" i="34"/>
  <c r="AB82" i="34"/>
  <c r="AF83" i="34"/>
  <c r="AA82" i="34"/>
  <c r="AB83" i="34"/>
  <c r="AD82" i="34"/>
  <c r="AE83" i="34"/>
  <c r="AG82" i="34"/>
  <c r="AH83" i="34"/>
  <c r="AI83" i="34"/>
  <c r="Q83" i="34"/>
  <c r="I83" i="34"/>
  <c r="R82" i="34"/>
  <c r="J82" i="34"/>
  <c r="I46" i="33"/>
  <c r="AA83" i="34"/>
  <c r="AI82" i="34"/>
  <c r="P83" i="34"/>
  <c r="H83" i="34"/>
  <c r="Q82" i="34"/>
  <c r="I82" i="34"/>
  <c r="H46" i="33"/>
  <c r="AH82" i="34"/>
  <c r="O83" i="34"/>
  <c r="N46" i="33"/>
  <c r="G83" i="34"/>
  <c r="P82" i="34"/>
  <c r="H82" i="34"/>
  <c r="G46" i="33"/>
  <c r="L49" i="33"/>
  <c r="D49" i="33"/>
  <c r="K49" i="33"/>
  <c r="R49" i="33"/>
  <c r="N49" i="33"/>
  <c r="M49" i="33"/>
  <c r="I49" i="33"/>
  <c r="AD91" i="34"/>
  <c r="Z90" i="34"/>
  <c r="AA91" i="34"/>
  <c r="AC90" i="34"/>
  <c r="AF90" i="34"/>
  <c r="AG91" i="34"/>
  <c r="AI90" i="34"/>
  <c r="AD90" i="34"/>
  <c r="AE91" i="34"/>
  <c r="AF91" i="34"/>
  <c r="W91" i="34"/>
  <c r="M91" i="34"/>
  <c r="E91" i="34"/>
  <c r="N90" i="34"/>
  <c r="M50" i="33"/>
  <c r="F90" i="34"/>
  <c r="AC91" i="34"/>
  <c r="AE90" i="34"/>
  <c r="T91" i="34"/>
  <c r="L91" i="34"/>
  <c r="W90" i="34"/>
  <c r="M90" i="34"/>
  <c r="L50" i="33"/>
  <c r="E90" i="34"/>
  <c r="AB91" i="34"/>
  <c r="S91" i="34"/>
  <c r="R50" i="33"/>
  <c r="K91" i="34"/>
  <c r="T90" i="34"/>
  <c r="S50" i="33"/>
  <c r="L90" i="34"/>
  <c r="K50" i="33"/>
  <c r="Z72" i="34"/>
  <c r="AA73" i="34"/>
  <c r="AC72" i="34"/>
  <c r="AF72" i="34"/>
  <c r="AG73" i="34"/>
  <c r="AI72" i="34"/>
  <c r="X73" i="34"/>
  <c r="AC73" i="34"/>
  <c r="AE72" i="34"/>
  <c r="AH72" i="34"/>
  <c r="AI73" i="34"/>
  <c r="AF73" i="34"/>
  <c r="AD72" i="34"/>
  <c r="AD73" i="34"/>
  <c r="AE73" i="34"/>
  <c r="O73" i="34"/>
  <c r="G73" i="34"/>
  <c r="N73" i="34"/>
  <c r="V73" i="34"/>
  <c r="M41" i="33"/>
  <c r="Z88" i="34"/>
  <c r="AA89" i="34"/>
  <c r="AC88" i="34"/>
  <c r="AF88" i="34"/>
  <c r="AG89" i="34"/>
  <c r="AI88" i="34"/>
  <c r="X89" i="34"/>
  <c r="AC89" i="34"/>
  <c r="AE88" i="34"/>
  <c r="AH88" i="34"/>
  <c r="AI89" i="34"/>
  <c r="N47" i="33"/>
  <c r="F47" i="33"/>
  <c r="M47" i="33"/>
  <c r="E47" i="33"/>
  <c r="L47" i="33"/>
  <c r="D47" i="33"/>
  <c r="U93" i="17"/>
  <c r="K48" i="33"/>
  <c r="S48" i="33"/>
  <c r="F46" i="33"/>
  <c r="E46" i="33"/>
  <c r="C90" i="17"/>
  <c r="C67" i="17"/>
  <c r="Z15" i="34"/>
  <c r="X15" i="34"/>
  <c r="AC16" i="34"/>
  <c r="O15" i="34"/>
  <c r="AI15" i="34"/>
  <c r="N15" i="34"/>
  <c r="N16" i="34"/>
  <c r="M10" i="33"/>
  <c r="G15" i="34"/>
  <c r="M16" i="34"/>
  <c r="AH15" i="34"/>
  <c r="W16" i="34"/>
  <c r="AE16" i="34"/>
  <c r="Y15" i="34"/>
  <c r="F15" i="34"/>
  <c r="AB6" i="34"/>
  <c r="Y6" i="34"/>
  <c r="J6" i="34"/>
  <c r="K5" i="34"/>
  <c r="AB5" i="34"/>
  <c r="I6" i="34"/>
  <c r="J5" i="34"/>
  <c r="T6" i="34"/>
  <c r="W5" i="34"/>
  <c r="E5" i="34"/>
  <c r="Q6" i="34"/>
  <c r="R5" i="34"/>
  <c r="Z6" i="34"/>
  <c r="M5" i="34"/>
  <c r="AE5" i="34"/>
  <c r="AF6" i="34"/>
  <c r="L5" i="34"/>
  <c r="K5" i="33"/>
  <c r="S6" i="34"/>
  <c r="K6" i="34"/>
  <c r="AH5" i="34"/>
  <c r="T5" i="34"/>
  <c r="C140" i="17"/>
  <c r="C119" i="17"/>
  <c r="C66" i="17"/>
  <c r="R6" i="34"/>
  <c r="AH11" i="34"/>
  <c r="AE6" i="34"/>
  <c r="AA5" i="34"/>
  <c r="Y27" i="34"/>
  <c r="AB27" i="34"/>
  <c r="AE28" i="34"/>
  <c r="AI28" i="34"/>
  <c r="P28" i="34"/>
  <c r="H28" i="34"/>
  <c r="Q27" i="34"/>
  <c r="P16" i="33"/>
  <c r="I27" i="34"/>
  <c r="AA28" i="34"/>
  <c r="O28" i="34"/>
  <c r="G28" i="34"/>
  <c r="P27" i="34"/>
  <c r="H27" i="34"/>
  <c r="X28" i="34"/>
  <c r="AG28" i="34"/>
  <c r="N28" i="34"/>
  <c r="F28" i="34"/>
  <c r="E16" i="33"/>
  <c r="O27" i="34"/>
  <c r="N16" i="33"/>
  <c r="G27" i="34"/>
  <c r="F16" i="33"/>
  <c r="AC27" i="34"/>
  <c r="AC28" i="34"/>
  <c r="AH28" i="34"/>
  <c r="S28" i="34"/>
  <c r="K28" i="34"/>
  <c r="T27" i="34"/>
  <c r="L27" i="34"/>
  <c r="X27" i="34"/>
  <c r="Z27" i="34"/>
  <c r="AD28" i="34"/>
  <c r="M28" i="34"/>
  <c r="N27" i="34"/>
  <c r="AA27" i="34"/>
  <c r="AF27" i="34"/>
  <c r="L28" i="34"/>
  <c r="M27" i="34"/>
  <c r="AD27" i="34"/>
  <c r="AG27" i="34"/>
  <c r="AI27" i="34"/>
  <c r="J28" i="34"/>
  <c r="K27" i="34"/>
  <c r="J16" i="33"/>
  <c r="AH27" i="34"/>
  <c r="T28" i="34"/>
  <c r="W27" i="34"/>
  <c r="E27" i="34"/>
  <c r="D16" i="33"/>
  <c r="AE27" i="34"/>
  <c r="AF28" i="34"/>
  <c r="R28" i="34"/>
  <c r="Q16" i="33"/>
  <c r="S27" i="34"/>
  <c r="H12" i="33"/>
  <c r="I16" i="33"/>
  <c r="R14" i="33"/>
  <c r="J14" i="33"/>
  <c r="O14" i="33"/>
  <c r="X6" i="34"/>
  <c r="B189" i="17"/>
  <c r="D120" i="17"/>
  <c r="E13" i="33"/>
  <c r="O111" i="17"/>
  <c r="B157" i="17"/>
  <c r="Y12" i="34"/>
  <c r="AB12" i="34"/>
  <c r="AF11" i="34"/>
  <c r="AF12" i="34"/>
  <c r="W12" i="34"/>
  <c r="M12" i="34"/>
  <c r="E12" i="34"/>
  <c r="N11" i="34"/>
  <c r="F11" i="34"/>
  <c r="AE12" i="34"/>
  <c r="AI12" i="34"/>
  <c r="T12" i="34"/>
  <c r="L12" i="34"/>
  <c r="W11" i="34"/>
  <c r="M11" i="34"/>
  <c r="E11" i="34"/>
  <c r="AB11" i="34"/>
  <c r="S12" i="34"/>
  <c r="K12" i="34"/>
  <c r="T11" i="34"/>
  <c r="S8" i="33"/>
  <c r="L11" i="34"/>
  <c r="K8" i="33"/>
  <c r="Z12" i="34"/>
  <c r="AA11" i="34"/>
  <c r="P12" i="34"/>
  <c r="H12" i="34"/>
  <c r="Q11" i="34"/>
  <c r="I11" i="34"/>
  <c r="X12" i="34"/>
  <c r="AC12" i="34"/>
  <c r="AH12" i="34"/>
  <c r="G12" i="34"/>
  <c r="H11" i="34"/>
  <c r="AA12" i="34"/>
  <c r="F12" i="34"/>
  <c r="G11" i="34"/>
  <c r="AG12" i="34"/>
  <c r="R12" i="34"/>
  <c r="Q8" i="33"/>
  <c r="S11" i="34"/>
  <c r="AD11" i="34"/>
  <c r="N12" i="34"/>
  <c r="O11" i="34"/>
  <c r="AG11" i="34"/>
  <c r="AI11" i="34"/>
  <c r="J12" i="34"/>
  <c r="K11" i="34"/>
  <c r="J8" i="33"/>
  <c r="F120" i="17"/>
  <c r="J120" i="17"/>
  <c r="L120" i="17"/>
  <c r="Q120" i="17"/>
  <c r="R120" i="17"/>
  <c r="I12" i="34"/>
  <c r="F16" i="34"/>
  <c r="B166" i="17"/>
  <c r="AD5" i="34"/>
  <c r="O12" i="34"/>
  <c r="L15" i="33"/>
  <c r="G17" i="33"/>
  <c r="F17" i="33"/>
  <c r="S17" i="33"/>
  <c r="K17" i="33"/>
  <c r="J17" i="33"/>
  <c r="D17" i="33"/>
  <c r="S5" i="34"/>
  <c r="Q12" i="34"/>
  <c r="Z11" i="34"/>
  <c r="L13" i="33"/>
  <c r="J13" i="33"/>
  <c r="G13" i="33"/>
  <c r="X3" i="34"/>
  <c r="AI4" i="34"/>
  <c r="F3" i="34"/>
  <c r="E4" i="33"/>
  <c r="M4" i="34"/>
  <c r="K3" i="34"/>
  <c r="N4" i="34"/>
  <c r="AH3" i="34"/>
  <c r="M3" i="34"/>
  <c r="S4" i="34"/>
  <c r="AC4" i="34"/>
  <c r="AD3" i="34"/>
  <c r="E4" i="34"/>
  <c r="W3" i="34"/>
  <c r="B110" i="17"/>
  <c r="B156" i="17"/>
  <c r="B57" i="17"/>
  <c r="B66" i="17"/>
  <c r="AB19" i="34"/>
  <c r="X23" i="34"/>
  <c r="X24" i="34"/>
  <c r="AG24" i="34"/>
  <c r="N24" i="34"/>
  <c r="F24" i="34"/>
  <c r="O23" i="34"/>
  <c r="N14" i="33"/>
  <c r="G23" i="34"/>
  <c r="F14" i="33"/>
  <c r="Z24" i="34"/>
  <c r="AA23" i="34"/>
  <c r="W24" i="34"/>
  <c r="M24" i="34"/>
  <c r="E24" i="34"/>
  <c r="N23" i="34"/>
  <c r="F23" i="34"/>
  <c r="Z23" i="34"/>
  <c r="AG23" i="34"/>
  <c r="AH23" i="34"/>
  <c r="T24" i="34"/>
  <c r="S14" i="33"/>
  <c r="L24" i="34"/>
  <c r="K14" i="33"/>
  <c r="W23" i="34"/>
  <c r="M23" i="34"/>
  <c r="E23" i="34"/>
  <c r="Q24" i="34"/>
  <c r="P14" i="33"/>
  <c r="I24" i="34"/>
  <c r="H14" i="33"/>
  <c r="R23" i="34"/>
  <c r="J23" i="34"/>
  <c r="I14" i="33"/>
  <c r="B56" i="17"/>
  <c r="B117" i="17"/>
  <c r="S3" i="34"/>
  <c r="AD4" i="34"/>
  <c r="B79" i="17"/>
  <c r="O10" i="17"/>
  <c r="D14" i="17"/>
  <c r="B60" i="17"/>
  <c r="Q9" i="33"/>
  <c r="I9" i="33"/>
  <c r="N3" i="34"/>
  <c r="Z19" i="34"/>
  <c r="AG19" i="34"/>
  <c r="AH19" i="34"/>
  <c r="T20" i="34"/>
  <c r="L20" i="34"/>
  <c r="W19" i="34"/>
  <c r="M19" i="34"/>
  <c r="L12" i="33"/>
  <c r="E19" i="34"/>
  <c r="AC19" i="34"/>
  <c r="AC20" i="34"/>
  <c r="AH20" i="34"/>
  <c r="S20" i="34"/>
  <c r="K20" i="34"/>
  <c r="T19" i="34"/>
  <c r="S12" i="33"/>
  <c r="L19" i="34"/>
  <c r="Y20" i="34"/>
  <c r="AB20" i="34"/>
  <c r="AD19" i="34"/>
  <c r="AD20" i="34"/>
  <c r="AE19" i="34"/>
  <c r="AF19" i="34"/>
  <c r="AF20" i="34"/>
  <c r="AI19" i="34"/>
  <c r="R20" i="34"/>
  <c r="J20" i="34"/>
  <c r="S19" i="34"/>
  <c r="K19" i="34"/>
  <c r="AA20" i="34"/>
  <c r="O20" i="34"/>
  <c r="N12" i="33"/>
  <c r="G20" i="34"/>
  <c r="P19" i="34"/>
  <c r="H19" i="34"/>
  <c r="V25" i="34"/>
  <c r="Q13" i="33"/>
  <c r="B187" i="17"/>
  <c r="B121" i="17"/>
  <c r="E3" i="34"/>
  <c r="AE3" i="34"/>
  <c r="AI25" i="34"/>
  <c r="AF26" i="34"/>
  <c r="AF25" i="34"/>
  <c r="AE25" i="34"/>
  <c r="AD26" i="34"/>
  <c r="AD25" i="34"/>
  <c r="AB26" i="34"/>
  <c r="Y26" i="34"/>
  <c r="AA25" i="34"/>
  <c r="Z26" i="34"/>
  <c r="X25" i="34"/>
  <c r="X17" i="34"/>
  <c r="A1" i="32"/>
  <c r="AC1" i="32"/>
  <c r="K71" i="23"/>
  <c r="B5" i="7"/>
  <c r="AK5" i="7"/>
  <c r="R1" i="13"/>
  <c r="F17" i="26"/>
  <c r="C51" i="25"/>
  <c r="J51" i="25"/>
  <c r="B1" i="11"/>
  <c r="I5" i="11"/>
  <c r="I56" i="11"/>
  <c r="A48" i="20"/>
  <c r="A1" i="13"/>
  <c r="A1" i="31"/>
  <c r="A47" i="31"/>
  <c r="C51" i="24"/>
  <c r="A74" i="24"/>
  <c r="H74" i="24"/>
  <c r="B52" i="11"/>
  <c r="A4" i="24"/>
  <c r="H4" i="24"/>
  <c r="K1" i="23"/>
  <c r="A2" i="33"/>
  <c r="A74" i="25"/>
  <c r="H74" i="25"/>
  <c r="AP47" i="31"/>
  <c r="P47" i="31"/>
  <c r="AH2" i="13"/>
  <c r="CA72" i="23"/>
  <c r="AJ72" i="23"/>
  <c r="B27" i="7"/>
  <c r="AK27" i="7"/>
  <c r="G52" i="24"/>
  <c r="N3" i="24"/>
  <c r="Q1" i="32"/>
  <c r="AS1" i="32"/>
  <c r="K56" i="34"/>
  <c r="T4" i="34"/>
  <c r="L4" i="34"/>
  <c r="T3" i="34"/>
  <c r="L3" i="34"/>
  <c r="AI3" i="34"/>
  <c r="J3" i="34"/>
  <c r="Y3" i="34"/>
  <c r="F9" i="17"/>
  <c r="Q4" i="34"/>
  <c r="I4" i="34"/>
  <c r="Q3" i="34"/>
  <c r="I3" i="34"/>
  <c r="Y4" i="34"/>
  <c r="J4" i="34"/>
  <c r="X4" i="34"/>
  <c r="D9" i="17"/>
  <c r="P4" i="34"/>
  <c r="H4" i="34"/>
  <c r="P3" i="34"/>
  <c r="H3" i="34"/>
  <c r="G4" i="33"/>
  <c r="AG3" i="34"/>
  <c r="AF3" i="34"/>
  <c r="AA4" i="34"/>
  <c r="Z3" i="34"/>
  <c r="R4" i="34"/>
  <c r="R3" i="34"/>
  <c r="AH4" i="34"/>
  <c r="O4" i="34"/>
  <c r="G4" i="34"/>
  <c r="O3" i="34"/>
  <c r="G3" i="34"/>
  <c r="F4" i="33"/>
  <c r="AG4" i="34"/>
  <c r="AF4" i="34"/>
  <c r="AB4" i="34"/>
  <c r="AB3" i="34"/>
  <c r="AA3" i="34"/>
  <c r="Z4" i="34"/>
  <c r="O57" i="34"/>
  <c r="S56" i="34"/>
  <c r="F57" i="34"/>
  <c r="R57" i="34"/>
  <c r="AD57" i="34"/>
  <c r="G57" i="34"/>
  <c r="G56" i="34"/>
  <c r="F33" i="33"/>
  <c r="T57" i="34"/>
  <c r="AC57" i="34"/>
  <c r="I56" i="34"/>
  <c r="V155" i="17"/>
  <c r="V111" i="17"/>
  <c r="H56" i="34"/>
  <c r="W56" i="34"/>
  <c r="P57" i="34"/>
  <c r="H34" i="33"/>
  <c r="P34" i="33"/>
  <c r="AB11" i="17"/>
  <c r="AI61" i="34"/>
  <c r="AH62" i="34"/>
  <c r="AG60" i="34"/>
  <c r="AF56" i="34"/>
  <c r="AD61" i="34"/>
  <c r="AC59" i="34"/>
  <c r="AB59" i="34"/>
  <c r="AA62" i="34"/>
  <c r="Z58" i="34"/>
  <c r="Y58" i="34"/>
  <c r="M56" i="34"/>
  <c r="S34" i="33"/>
  <c r="F34" i="33"/>
  <c r="O56" i="34"/>
  <c r="J57" i="34"/>
  <c r="D34" i="33"/>
  <c r="L34" i="33"/>
  <c r="G34" i="33"/>
  <c r="AB56" i="34"/>
  <c r="Y57" i="34"/>
  <c r="P56" i="34"/>
  <c r="O33" i="33"/>
  <c r="L57" i="34"/>
  <c r="M34" i="33"/>
  <c r="AC56" i="34"/>
  <c r="H57" i="34"/>
  <c r="V132" i="17"/>
  <c r="E56" i="34"/>
  <c r="Q56" i="34"/>
  <c r="N57" i="34"/>
  <c r="AG57" i="34"/>
  <c r="B82" i="17"/>
  <c r="C84" i="17"/>
  <c r="G17" i="34"/>
  <c r="O17" i="34"/>
  <c r="O18" i="34"/>
  <c r="N11" i="33"/>
  <c r="F18" i="34"/>
  <c r="N18" i="34"/>
  <c r="AH18" i="34"/>
  <c r="AC10" i="34"/>
  <c r="C114" i="17"/>
  <c r="H7" i="34"/>
  <c r="L9" i="34"/>
  <c r="D9" i="33"/>
  <c r="L9" i="33"/>
  <c r="H17" i="34"/>
  <c r="P17" i="34"/>
  <c r="O11" i="33"/>
  <c r="G18" i="34"/>
  <c r="Z18" i="34"/>
  <c r="K10" i="34"/>
  <c r="J18" i="34"/>
  <c r="Y17" i="34"/>
  <c r="G113" i="17"/>
  <c r="H113" i="17"/>
  <c r="I113" i="17"/>
  <c r="F113" i="17"/>
  <c r="J113" i="17"/>
  <c r="D113" i="17"/>
  <c r="L113" i="17"/>
  <c r="Q113" i="17"/>
  <c r="R113" i="17"/>
  <c r="P111" i="17"/>
  <c r="B134" i="17"/>
  <c r="E113" i="17"/>
  <c r="H111" i="17"/>
  <c r="G8" i="34"/>
  <c r="L17" i="34"/>
  <c r="T17" i="34"/>
  <c r="K18" i="34"/>
  <c r="S18" i="34"/>
  <c r="AI17" i="34"/>
  <c r="AG18" i="34"/>
  <c r="AG17" i="34"/>
  <c r="AF18" i="34"/>
  <c r="AD8" i="34"/>
  <c r="X18" i="34"/>
  <c r="X5" i="34"/>
  <c r="K17" i="34"/>
  <c r="R18" i="34"/>
  <c r="Q11" i="33"/>
  <c r="M9" i="33"/>
  <c r="AC18" i="34"/>
  <c r="Z10" i="34"/>
  <c r="Y18" i="34"/>
  <c r="G111" i="17"/>
  <c r="I111" i="17"/>
  <c r="F111" i="17"/>
  <c r="J111" i="17"/>
  <c r="D111" i="17"/>
  <c r="L111" i="17"/>
  <c r="Q111" i="17"/>
  <c r="R111" i="17"/>
  <c r="E111" i="17"/>
  <c r="C38" i="17"/>
  <c r="O14" i="17"/>
  <c r="C11" i="7"/>
  <c r="N8" i="34"/>
  <c r="E17" i="34"/>
  <c r="M17" i="34"/>
  <c r="W17" i="34"/>
  <c r="L18" i="34"/>
  <c r="T18" i="34"/>
  <c r="L4" i="33"/>
  <c r="AC17" i="34"/>
  <c r="AB18" i="34"/>
  <c r="AB17" i="34"/>
  <c r="Z7" i="34"/>
  <c r="Z17" i="34"/>
  <c r="S10" i="34"/>
  <c r="G9" i="33"/>
  <c r="S17" i="34"/>
  <c r="B36" i="17"/>
  <c r="O8" i="34"/>
  <c r="N6" i="33"/>
  <c r="F17" i="34"/>
  <c r="N17" i="34"/>
  <c r="E18" i="34"/>
  <c r="M18" i="34"/>
  <c r="W18" i="34"/>
  <c r="AF17" i="34"/>
  <c r="AE18" i="34"/>
  <c r="AA18" i="34"/>
  <c r="Y7" i="34"/>
  <c r="AA51" i="15"/>
  <c r="V71" i="15"/>
  <c r="Z51" i="15"/>
  <c r="AA77" i="15"/>
  <c r="Z71" i="15"/>
  <c r="W63" i="15"/>
  <c r="AC61" i="15"/>
  <c r="AB71" i="15"/>
  <c r="S61" i="15"/>
  <c r="T47" i="7"/>
  <c r="BB46" i="7"/>
  <c r="AM46" i="7"/>
  <c r="AV46" i="7"/>
  <c r="BQ46" i="7"/>
  <c r="W51" i="15"/>
  <c r="Z49" i="15"/>
  <c r="AB49" i="15"/>
  <c r="BM46" i="7"/>
  <c r="AR46" i="7"/>
  <c r="BI46" i="7"/>
  <c r="X61" i="15"/>
  <c r="Y61" i="15" s="1"/>
  <c r="W71" i="15"/>
  <c r="V57" i="15"/>
  <c r="S77" i="15"/>
  <c r="U71" i="15"/>
  <c r="W77" i="15"/>
  <c r="AC71" i="15"/>
  <c r="AB77" i="15"/>
  <c r="S71" i="15"/>
  <c r="U63" i="15"/>
  <c r="AY46" i="7"/>
  <c r="AT46" i="7"/>
  <c r="BO46" i="7"/>
  <c r="X53" i="15"/>
  <c r="Y53" i="15" s="1"/>
  <c r="AA63" i="15"/>
  <c r="V63" i="15"/>
  <c r="V77" i="15"/>
  <c r="S63" i="15"/>
  <c r="S46" i="7"/>
  <c r="AZ46" i="7"/>
  <c r="AL46" i="7"/>
  <c r="AU46" i="7"/>
  <c r="J18" i="11"/>
  <c r="E57" i="15"/>
  <c r="AV23" i="7"/>
  <c r="G42" i="20"/>
  <c r="G57" i="15"/>
  <c r="W21" i="33"/>
  <c r="X21" i="33"/>
  <c r="BI23" i="7"/>
  <c r="G14" i="17"/>
  <c r="D42" i="20"/>
  <c r="J71" i="15"/>
  <c r="AY23" i="7"/>
  <c r="BQ23" i="7"/>
  <c r="BT22" i="7"/>
  <c r="K71" i="15"/>
  <c r="A45" i="11"/>
  <c r="Z23" i="7"/>
  <c r="BB23" i="7"/>
  <c r="AM23" i="7"/>
  <c r="AM24" i="7"/>
  <c r="H67" i="15"/>
  <c r="I67" i="15" s="1"/>
  <c r="A28" i="11"/>
  <c r="I28" i="11"/>
  <c r="G69" i="15"/>
  <c r="M57" i="15"/>
  <c r="BD23" i="7"/>
  <c r="AS23" i="7"/>
  <c r="BO24" i="7"/>
  <c r="S23" i="7"/>
  <c r="BP23" i="7"/>
  <c r="O11" i="17"/>
  <c r="AL23" i="7"/>
  <c r="M71" i="15"/>
  <c r="K57" i="15"/>
  <c r="K55" i="15"/>
  <c r="O12" i="17"/>
  <c r="C9" i="7"/>
  <c r="F57" i="15"/>
  <c r="AF25" i="7"/>
  <c r="X23" i="7"/>
  <c r="X24" i="7"/>
  <c r="X25" i="7"/>
  <c r="AQ23" i="7"/>
  <c r="AU23" i="7"/>
  <c r="BQ24" i="7"/>
  <c r="O9" i="17"/>
  <c r="A40" i="11"/>
  <c r="I40" i="11"/>
  <c r="C161" i="17"/>
  <c r="C138" i="17"/>
  <c r="C184" i="17"/>
  <c r="C85" i="17"/>
  <c r="C39" i="17"/>
  <c r="C62" i="17"/>
  <c r="C159" i="17"/>
  <c r="C136" i="17"/>
  <c r="C182" i="17"/>
  <c r="C83" i="17"/>
  <c r="C111" i="17"/>
  <c r="C35" i="17"/>
  <c r="C58" i="17"/>
  <c r="C133" i="17"/>
  <c r="C179" i="17"/>
  <c r="C156" i="17"/>
  <c r="C57" i="17"/>
  <c r="C34" i="17"/>
  <c r="C80" i="17"/>
  <c r="C178" i="17"/>
  <c r="C155" i="17"/>
  <c r="C132" i="17"/>
  <c r="C78" i="17"/>
  <c r="J20" i="11"/>
  <c r="I20" i="11"/>
  <c r="I32" i="11"/>
  <c r="J32" i="11"/>
  <c r="J77" i="15"/>
  <c r="J65" i="15"/>
  <c r="J55" i="15"/>
  <c r="K77" i="15"/>
  <c r="J69" i="15"/>
  <c r="M61" i="15"/>
  <c r="F61" i="15"/>
  <c r="Y24" i="7"/>
  <c r="H49" i="15"/>
  <c r="I49" i="15" s="1"/>
  <c r="E55" i="15"/>
  <c r="Y22" i="7"/>
  <c r="E77" i="15"/>
  <c r="M65" i="15"/>
  <c r="G61" i="15"/>
  <c r="AQ22" i="7"/>
  <c r="BF22" i="7"/>
  <c r="E42" i="20"/>
  <c r="A27" i="11"/>
  <c r="J27" i="11"/>
  <c r="M77" i="15"/>
  <c r="K69" i="15"/>
  <c r="A44" i="11"/>
  <c r="A42" i="11"/>
  <c r="I41" i="11"/>
  <c r="K61" i="15"/>
  <c r="G49" i="15"/>
  <c r="I30" i="11"/>
  <c r="F49" i="15"/>
  <c r="E69" i="15"/>
  <c r="E61" i="15"/>
  <c r="E49" i="15"/>
  <c r="BH22" i="7"/>
  <c r="H61" i="15"/>
  <c r="I61" i="15" s="1"/>
  <c r="AR22" i="7"/>
  <c r="F77" i="15"/>
  <c r="A48" i="11"/>
  <c r="I48" i="11"/>
  <c r="M69" i="15"/>
  <c r="J49" i="15"/>
  <c r="J23" i="11"/>
  <c r="Q42" i="20"/>
  <c r="C38" i="2"/>
  <c r="C40" i="2"/>
  <c r="AZ22" i="7"/>
  <c r="I31" i="11"/>
  <c r="J31" i="11"/>
  <c r="I15" i="11"/>
  <c r="J15" i="11"/>
  <c r="E75" i="15"/>
  <c r="E51" i="15"/>
  <c r="F51" i="15"/>
  <c r="A29" i="11"/>
  <c r="A13" i="11"/>
  <c r="K75" i="15"/>
  <c r="G51" i="15"/>
  <c r="J11" i="11"/>
  <c r="H73" i="15"/>
  <c r="I73" i="15" s="1"/>
  <c r="F73" i="15"/>
  <c r="J12" i="11"/>
  <c r="I12" i="11"/>
  <c r="G75" i="15"/>
  <c r="G55" i="15"/>
  <c r="J51" i="15"/>
  <c r="I12" i="17"/>
  <c r="X22" i="7"/>
  <c r="BB22" i="7"/>
  <c r="H59" i="15"/>
  <c r="I59" i="15" s="1"/>
  <c r="E59" i="15"/>
  <c r="A33" i="11"/>
  <c r="A17" i="11"/>
  <c r="I43" i="11"/>
  <c r="A47" i="11"/>
  <c r="M75" i="15"/>
  <c r="I13" i="17"/>
  <c r="G13" i="17"/>
  <c r="H11" i="17"/>
  <c r="I9" i="17"/>
  <c r="I10" i="17"/>
  <c r="G12" i="17"/>
  <c r="G10" i="17"/>
  <c r="BP22" i="7"/>
  <c r="AU22" i="7"/>
  <c r="AL22" i="7"/>
  <c r="AW22" i="7"/>
  <c r="BL22" i="7"/>
  <c r="Q22" i="7"/>
  <c r="S22" i="7"/>
  <c r="BO22" i="7"/>
  <c r="AT22" i="7"/>
  <c r="AX22" i="7"/>
  <c r="BK22" i="7"/>
  <c r="W20" i="33"/>
  <c r="X20" i="33"/>
  <c r="AH22" i="7"/>
  <c r="BJ22" i="7"/>
  <c r="AS22" i="7"/>
  <c r="BD22" i="7"/>
  <c r="R22" i="7"/>
  <c r="BS22" i="7"/>
  <c r="BG22" i="7"/>
  <c r="AO22" i="7"/>
  <c r="AY22" i="7"/>
  <c r="A21" i="11"/>
  <c r="J48" i="11"/>
  <c r="J75" i="15"/>
  <c r="I38" i="11"/>
  <c r="M55" i="15"/>
  <c r="J28" i="11"/>
  <c r="I22" i="11"/>
  <c r="Z22" i="7"/>
  <c r="BI22" i="7"/>
  <c r="K73" i="15"/>
  <c r="I39" i="11"/>
  <c r="AM22" i="7"/>
  <c r="BQ22" i="7"/>
  <c r="H51" i="15"/>
  <c r="I51" i="15" s="1"/>
  <c r="BH23" i="7"/>
  <c r="AP23" i="7"/>
  <c r="BM23" i="7"/>
  <c r="AH23" i="7"/>
  <c r="BS23" i="7"/>
  <c r="BG23" i="7"/>
  <c r="AO23" i="7"/>
  <c r="AW23" i="7"/>
  <c r="BL23" i="7"/>
  <c r="Q23" i="7"/>
  <c r="BR23" i="7"/>
  <c r="BF23" i="7"/>
  <c r="BN23" i="7"/>
  <c r="AN23" i="7"/>
  <c r="AX23" i="7"/>
  <c r="BK23" i="7"/>
  <c r="BO23" i="7"/>
  <c r="AT23" i="7"/>
  <c r="AZ23" i="7"/>
  <c r="A25" i="11"/>
  <c r="I11" i="11"/>
  <c r="I27" i="11"/>
  <c r="A37" i="11"/>
  <c r="M73" i="15"/>
  <c r="A46" i="11"/>
  <c r="M51" i="15"/>
  <c r="I16" i="11"/>
  <c r="H10" i="17"/>
  <c r="G11" i="17"/>
  <c r="F55" i="15"/>
  <c r="AN22" i="7"/>
  <c r="BR22" i="7"/>
  <c r="H75" i="15"/>
  <c r="I75" i="15" s="1"/>
  <c r="F65" i="15"/>
  <c r="E65" i="15"/>
  <c r="H65" i="15"/>
  <c r="I65" i="15" s="1"/>
  <c r="A35" i="11"/>
  <c r="J24" i="11"/>
  <c r="I24" i="11"/>
  <c r="A19" i="11"/>
  <c r="C42" i="20"/>
  <c r="I14" i="17"/>
  <c r="N46" i="7"/>
  <c r="U46" i="7"/>
  <c r="T46" i="7"/>
  <c r="M32" i="7"/>
  <c r="U47" i="7"/>
  <c r="T32" i="7"/>
  <c r="M46" i="7"/>
  <c r="BT47" i="7"/>
  <c r="N47" i="7"/>
  <c r="M47" i="7"/>
  <c r="BT46" i="7"/>
  <c r="H32" i="7"/>
  <c r="O32" i="7"/>
  <c r="S49" i="15"/>
  <c r="S51" i="15"/>
  <c r="S53" i="15"/>
  <c r="S55" i="15"/>
  <c r="S65" i="15"/>
  <c r="S67" i="15"/>
  <c r="S69" i="15"/>
  <c r="S75" i="15"/>
  <c r="AB51" i="15"/>
  <c r="AB53" i="15"/>
  <c r="AB55" i="15"/>
  <c r="AB57" i="15"/>
  <c r="AB65" i="15"/>
  <c r="AB67" i="15"/>
  <c r="AB69" i="15"/>
  <c r="AB73" i="15"/>
  <c r="S141" i="15"/>
  <c r="S147" i="15"/>
  <c r="H46" i="7"/>
  <c r="O46" i="7"/>
  <c r="H47" i="7"/>
  <c r="O47" i="7"/>
  <c r="BN46" i="7"/>
  <c r="AD47" i="7"/>
  <c r="J32" i="7"/>
  <c r="J46" i="7"/>
  <c r="J47" i="7"/>
  <c r="N32" i="7"/>
  <c r="AD46" i="7"/>
  <c r="K32" i="7"/>
  <c r="P32" i="7"/>
  <c r="K46" i="7"/>
  <c r="P46" i="7"/>
  <c r="K47" i="7"/>
  <c r="P47" i="7"/>
  <c r="BT32" i="7"/>
  <c r="Z67" i="15"/>
  <c r="AZ47" i="7"/>
  <c r="W67" i="15"/>
  <c r="AC55" i="15"/>
  <c r="U73" i="15"/>
  <c r="U53" i="15"/>
  <c r="Y46" i="7"/>
  <c r="R47" i="7"/>
  <c r="BM47" i="7"/>
  <c r="X67" i="15"/>
  <c r="Y67" i="15" s="1"/>
  <c r="W42" i="20"/>
  <c r="AC69" i="15"/>
  <c r="AA67" i="15"/>
  <c r="AA9" i="17"/>
  <c r="AA75" i="15"/>
  <c r="AC73" i="15"/>
  <c r="V67" i="15"/>
  <c r="AA69" i="15"/>
  <c r="Z53" i="15"/>
  <c r="U67" i="15"/>
  <c r="AF46" i="7"/>
  <c r="AV47" i="7"/>
  <c r="AA73" i="15"/>
  <c r="W69" i="15"/>
  <c r="U69" i="15"/>
  <c r="AP47" i="7"/>
  <c r="AH47" i="7"/>
  <c r="Z75" i="15"/>
  <c r="W73" i="15"/>
  <c r="Z69" i="15"/>
  <c r="V55" i="15"/>
  <c r="AC53" i="15"/>
  <c r="E13" i="17"/>
  <c r="BD47" i="7"/>
  <c r="V73" i="15"/>
  <c r="Z73" i="15"/>
  <c r="V69" i="15"/>
  <c r="BO47" i="7"/>
  <c r="AT47" i="7"/>
  <c r="AW47" i="7"/>
  <c r="W52" i="33"/>
  <c r="X52" i="33"/>
  <c r="BJ47" i="7"/>
  <c r="AS47" i="7"/>
  <c r="BB47" i="7"/>
  <c r="BI47" i="7"/>
  <c r="AR47" i="7"/>
  <c r="AQ47" i="7"/>
  <c r="BR47" i="7"/>
  <c r="BF47" i="7"/>
  <c r="AN47" i="7"/>
  <c r="BK47" i="7"/>
  <c r="Z47" i="7"/>
  <c r="AY47" i="7"/>
  <c r="BL47" i="7"/>
  <c r="AU47" i="7"/>
  <c r="X71" i="15"/>
  <c r="Y71" i="15" s="1"/>
  <c r="X57" i="15"/>
  <c r="Y57" i="15" s="1"/>
  <c r="Z42" i="20"/>
  <c r="X42" i="20"/>
  <c r="Z65" i="15"/>
  <c r="Z57" i="15"/>
  <c r="U65" i="15"/>
  <c r="AL47" i="7"/>
  <c r="BP47" i="7"/>
  <c r="AX47" i="7"/>
  <c r="BH47" i="7"/>
  <c r="V65" i="15"/>
  <c r="AC65" i="15"/>
  <c r="W57" i="15"/>
  <c r="Q47" i="7"/>
  <c r="AM47" i="7"/>
  <c r="BQ47" i="7"/>
  <c r="X55" i="15"/>
  <c r="Y55" i="15" s="1"/>
  <c r="W65" i="15"/>
  <c r="AA65" i="15"/>
  <c r="V51" i="15"/>
  <c r="S47" i="7"/>
  <c r="AO47" i="7"/>
  <c r="BS47" i="7"/>
  <c r="X73" i="15"/>
  <c r="Y73" i="15" s="1"/>
  <c r="U23" i="7"/>
  <c r="K22" i="7"/>
  <c r="AR25" i="7"/>
  <c r="BT25" i="7"/>
  <c r="O24" i="7"/>
  <c r="H25" i="7"/>
  <c r="BT23" i="7"/>
  <c r="T22" i="7"/>
  <c r="S24" i="7"/>
  <c r="AN25" i="7"/>
  <c r="BF25" i="7"/>
  <c r="K23" i="7"/>
  <c r="P23" i="7"/>
  <c r="H24" i="7"/>
  <c r="M25" i="7"/>
  <c r="BL24" i="7"/>
  <c r="AT24" i="7"/>
  <c r="BI25" i="7"/>
  <c r="J23" i="7"/>
  <c r="W22" i="33"/>
  <c r="X22" i="33"/>
  <c r="O25" i="7"/>
  <c r="BM24" i="7"/>
  <c r="AW24" i="7"/>
  <c r="AX24" i="7"/>
  <c r="AV24" i="7"/>
  <c r="BR25" i="7"/>
  <c r="AD23" i="7"/>
  <c r="AY24" i="7"/>
  <c r="AS24" i="7"/>
  <c r="N23" i="7"/>
  <c r="T23" i="7"/>
  <c r="T25" i="7"/>
  <c r="AY25" i="7"/>
  <c r="BK25" i="7"/>
  <c r="BJ24" i="7"/>
  <c r="Q25" i="7"/>
  <c r="BB25" i="7"/>
  <c r="AO25" i="7"/>
  <c r="BG25" i="7"/>
  <c r="BS25" i="7"/>
  <c r="BT24" i="7"/>
  <c r="AD22" i="7"/>
  <c r="AD24" i="7"/>
  <c r="AD25" i="7"/>
  <c r="J22" i="7"/>
  <c r="T24" i="7"/>
  <c r="S25" i="7"/>
  <c r="Q24" i="7"/>
  <c r="AW25" i="7"/>
  <c r="AL24" i="7"/>
  <c r="AU24" i="7"/>
  <c r="BP24" i="7"/>
  <c r="AP25" i="7"/>
  <c r="BH25" i="7"/>
  <c r="L22" i="7"/>
  <c r="AZ24" i="7"/>
  <c r="AZ25" i="7"/>
  <c r="BL25" i="7"/>
  <c r="N22" i="7"/>
  <c r="N24" i="7"/>
  <c r="N25" i="7"/>
  <c r="M22" i="7"/>
  <c r="L23" i="7"/>
  <c r="K24" i="7"/>
  <c r="P24" i="7"/>
  <c r="J25" i="7"/>
  <c r="R25" i="7"/>
  <c r="BB24" i="7"/>
  <c r="AQ25" i="7"/>
  <c r="BM25" i="7"/>
  <c r="AO24" i="7"/>
  <c r="BG24" i="7"/>
  <c r="BS24" i="7"/>
  <c r="AT25" i="7"/>
  <c r="BO25" i="7"/>
  <c r="J24" i="7"/>
  <c r="AN24" i="7"/>
  <c r="BR24" i="7"/>
  <c r="BJ25" i="7"/>
  <c r="W23" i="33"/>
  <c r="X23" i="33"/>
  <c r="P22" i="7"/>
  <c r="H22" i="7"/>
  <c r="O22" i="7"/>
  <c r="M23" i="7"/>
  <c r="L24" i="7"/>
  <c r="K25" i="7"/>
  <c r="P25" i="7"/>
  <c r="R24" i="7"/>
  <c r="BD24" i="7"/>
  <c r="AQ24" i="7"/>
  <c r="BD25" i="7"/>
  <c r="AP24" i="7"/>
  <c r="BH24" i="7"/>
  <c r="AL25" i="7"/>
  <c r="AU25" i="7"/>
  <c r="BP25" i="7"/>
  <c r="AH24" i="7"/>
  <c r="Z25" i="7"/>
  <c r="BF24" i="7"/>
  <c r="AS25" i="7"/>
  <c r="U24" i="7"/>
  <c r="U25" i="7"/>
  <c r="H23" i="7"/>
  <c r="BK24" i="7"/>
  <c r="AX25" i="7"/>
  <c r="AR24" i="7"/>
  <c r="AM25" i="7"/>
  <c r="AV25" i="7"/>
  <c r="BQ25" i="7"/>
  <c r="Q35" i="33"/>
  <c r="R35" i="33"/>
  <c r="X61" i="34"/>
  <c r="D35" i="33"/>
  <c r="E35" i="33"/>
  <c r="Z11" i="17"/>
  <c r="F35" i="33"/>
  <c r="N35" i="33"/>
  <c r="AA11" i="17"/>
  <c r="G35" i="33"/>
  <c r="AH11" i="17"/>
  <c r="H35" i="33"/>
  <c r="AH10" i="17"/>
  <c r="U79" i="17"/>
  <c r="AB10" i="17"/>
  <c r="Z10" i="17"/>
  <c r="AA10" i="17"/>
  <c r="U33" i="17"/>
  <c r="Y10" i="17"/>
  <c r="Z9" i="17"/>
  <c r="AB9" i="17"/>
  <c r="Y9" i="17"/>
  <c r="AH9" i="17"/>
  <c r="G33" i="33"/>
  <c r="AE57" i="34"/>
  <c r="AD56" i="34"/>
  <c r="F56" i="34"/>
  <c r="N56" i="34"/>
  <c r="E57" i="34"/>
  <c r="M57" i="34"/>
  <c r="W57" i="34"/>
  <c r="AI56" i="34"/>
  <c r="AB57" i="34"/>
  <c r="AA56" i="34"/>
  <c r="AI57" i="34"/>
  <c r="AH56" i="34"/>
  <c r="AA57" i="34"/>
  <c r="Z56" i="34"/>
  <c r="J56" i="34"/>
  <c r="R56" i="34"/>
  <c r="I57" i="34"/>
  <c r="Q57" i="34"/>
  <c r="AF57" i="34"/>
  <c r="AE56" i="34"/>
  <c r="X57" i="34"/>
  <c r="X56" i="34"/>
  <c r="L56" i="34"/>
  <c r="T56" i="34"/>
  <c r="K57" i="34"/>
  <c r="S57" i="34"/>
  <c r="AH57" i="34"/>
  <c r="AG56" i="34"/>
  <c r="Z57" i="34"/>
  <c r="O16" i="17"/>
  <c r="B39" i="17"/>
  <c r="I16" i="17"/>
  <c r="B62" i="17"/>
  <c r="B115" i="17"/>
  <c r="G16" i="17"/>
  <c r="F16" i="17"/>
  <c r="B85" i="17"/>
  <c r="H16" i="17"/>
  <c r="O15" i="17"/>
  <c r="L15" i="34"/>
  <c r="T15" i="34"/>
  <c r="K16" i="34"/>
  <c r="S16" i="34"/>
  <c r="AI16" i="34"/>
  <c r="AD15" i="34"/>
  <c r="AA16" i="34"/>
  <c r="D15" i="17"/>
  <c r="E15" i="34"/>
  <c r="M15" i="34"/>
  <c r="W15" i="34"/>
  <c r="L16" i="34"/>
  <c r="T16" i="34"/>
  <c r="B114" i="17"/>
  <c r="AF15" i="34"/>
  <c r="AA15" i="34"/>
  <c r="Y16" i="34"/>
  <c r="H15" i="34"/>
  <c r="H16" i="34"/>
  <c r="G10" i="33"/>
  <c r="O16" i="34"/>
  <c r="N10" i="33"/>
  <c r="B84" i="17"/>
  <c r="I15" i="34"/>
  <c r="Q15" i="34"/>
  <c r="P16" i="34"/>
  <c r="AG15" i="34"/>
  <c r="AE15" i="34"/>
  <c r="AB16" i="34"/>
  <c r="G15" i="17"/>
  <c r="X16" i="34"/>
  <c r="H15" i="17"/>
  <c r="B61" i="17"/>
  <c r="G16" i="34"/>
  <c r="AG16" i="34"/>
  <c r="AC15" i="34"/>
  <c r="Z16" i="34"/>
  <c r="AJ12" i="7"/>
  <c r="I15" i="17"/>
  <c r="B38" i="17"/>
  <c r="J15" i="34"/>
  <c r="R15" i="34"/>
  <c r="I16" i="34"/>
  <c r="Q16" i="34"/>
  <c r="AH16" i="34"/>
  <c r="AF16" i="34"/>
  <c r="AD16" i="34"/>
  <c r="AB15" i="34"/>
  <c r="P15" i="34"/>
  <c r="K15" i="34"/>
  <c r="S15" i="34"/>
  <c r="J16" i="34"/>
  <c r="R16" i="34"/>
  <c r="M113" i="17"/>
  <c r="K113" i="17"/>
  <c r="B83" i="17"/>
  <c r="B182" i="17"/>
  <c r="P113" i="17"/>
  <c r="F14" i="17"/>
  <c r="B136" i="17"/>
  <c r="B37" i="17"/>
  <c r="H14" i="17"/>
  <c r="G112" i="17"/>
  <c r="O112" i="17"/>
  <c r="P112" i="17"/>
  <c r="H112" i="17"/>
  <c r="I112" i="17"/>
  <c r="F112" i="17"/>
  <c r="J112" i="17"/>
  <c r="K112" i="17"/>
  <c r="B181" i="17"/>
  <c r="D112" i="17"/>
  <c r="E112" i="17"/>
  <c r="L112" i="17"/>
  <c r="M112" i="17"/>
  <c r="Q112" i="17"/>
  <c r="R112" i="17"/>
  <c r="D10" i="7"/>
  <c r="AE10" i="7"/>
  <c r="B135" i="17"/>
  <c r="B158" i="17"/>
  <c r="F13" i="17"/>
  <c r="AE11" i="34"/>
  <c r="AC11" i="34"/>
  <c r="Y11" i="34"/>
  <c r="D8" i="33"/>
  <c r="H13" i="17"/>
  <c r="B59" i="17"/>
  <c r="O13" i="17"/>
  <c r="E9" i="34"/>
  <c r="M9" i="34"/>
  <c r="W9" i="34"/>
  <c r="L10" i="34"/>
  <c r="T10" i="34"/>
  <c r="S7" i="33"/>
  <c r="AI10" i="34"/>
  <c r="AH10" i="34"/>
  <c r="AG10" i="34"/>
  <c r="AF9" i="34"/>
  <c r="Y9" i="34"/>
  <c r="K111" i="17"/>
  <c r="F9" i="34"/>
  <c r="N9" i="34"/>
  <c r="E10" i="34"/>
  <c r="M10" i="34"/>
  <c r="W10" i="34"/>
  <c r="AD10" i="34"/>
  <c r="AC9" i="34"/>
  <c r="AA10" i="34"/>
  <c r="G9" i="34"/>
  <c r="O9" i="34"/>
  <c r="F10" i="34"/>
  <c r="N10" i="34"/>
  <c r="AG9" i="34"/>
  <c r="AE10" i="34"/>
  <c r="Z9" i="34"/>
  <c r="H9" i="34"/>
  <c r="P9" i="34"/>
  <c r="G10" i="34"/>
  <c r="O10" i="34"/>
  <c r="B180" i="17"/>
  <c r="AA9" i="34"/>
  <c r="X10" i="34"/>
  <c r="Q9" i="34"/>
  <c r="H10" i="34"/>
  <c r="P10" i="34"/>
  <c r="AI9" i="34"/>
  <c r="AF10" i="34"/>
  <c r="AD9" i="34"/>
  <c r="AB10" i="34"/>
  <c r="D9" i="7"/>
  <c r="V9" i="7"/>
  <c r="J9" i="34"/>
  <c r="R9" i="34"/>
  <c r="R10" i="34"/>
  <c r="Q7" i="33"/>
  <c r="I10" i="34"/>
  <c r="Q10" i="34"/>
  <c r="AH9" i="34"/>
  <c r="Y10" i="34"/>
  <c r="I9" i="34"/>
  <c r="M111" i="17"/>
  <c r="K9" i="34"/>
  <c r="S9" i="34"/>
  <c r="R7" i="33"/>
  <c r="J10" i="34"/>
  <c r="AE9" i="34"/>
  <c r="AB9" i="34"/>
  <c r="D110" i="17"/>
  <c r="D8" i="7"/>
  <c r="H8" i="34"/>
  <c r="G6" i="33"/>
  <c r="AG8" i="34"/>
  <c r="AC7" i="34"/>
  <c r="J7" i="34"/>
  <c r="AD7" i="34"/>
  <c r="K7" i="34"/>
  <c r="S7" i="34"/>
  <c r="J8" i="34"/>
  <c r="R8" i="34"/>
  <c r="AI7" i="34"/>
  <c r="AF7" i="34"/>
  <c r="AE7" i="34"/>
  <c r="Y8" i="34"/>
  <c r="I7" i="34"/>
  <c r="I8" i="34"/>
  <c r="L7" i="34"/>
  <c r="T7" i="34"/>
  <c r="K8" i="34"/>
  <c r="S8" i="34"/>
  <c r="AG7" i="34"/>
  <c r="Z8" i="34"/>
  <c r="P8" i="34"/>
  <c r="O6" i="33"/>
  <c r="AB7" i="34"/>
  <c r="R7" i="34"/>
  <c r="E7" i="34"/>
  <c r="M7" i="34"/>
  <c r="W7" i="34"/>
  <c r="L8" i="34"/>
  <c r="T8" i="34"/>
  <c r="AH7" i="34"/>
  <c r="AB8" i="34"/>
  <c r="AA8" i="34"/>
  <c r="Q7" i="34"/>
  <c r="Q8" i="34"/>
  <c r="X8" i="34"/>
  <c r="F7" i="34"/>
  <c r="N7" i="34"/>
  <c r="E8" i="34"/>
  <c r="M8" i="34"/>
  <c r="W8" i="34"/>
  <c r="AI8" i="34"/>
  <c r="B132" i="17"/>
  <c r="G109" i="17"/>
  <c r="H109" i="17"/>
  <c r="I109" i="17"/>
  <c r="F109" i="17"/>
  <c r="J109" i="17"/>
  <c r="D109" i="17"/>
  <c r="L109" i="17"/>
  <c r="O109" i="17"/>
  <c r="Q109" i="17"/>
  <c r="R109" i="17"/>
  <c r="B178" i="17"/>
  <c r="M109" i="17"/>
  <c r="D7" i="7"/>
  <c r="E109" i="17"/>
  <c r="I5" i="34"/>
  <c r="H5" i="33"/>
  <c r="Q5" i="34"/>
  <c r="H6" i="34"/>
  <c r="P6" i="34"/>
  <c r="AI6" i="34"/>
  <c r="AG6" i="34"/>
  <c r="AA6" i="34"/>
  <c r="F5" i="34"/>
  <c r="N5" i="34"/>
  <c r="E6" i="34"/>
  <c r="M6" i="34"/>
  <c r="L5" i="33"/>
  <c r="W6" i="34"/>
  <c r="AG5" i="34"/>
  <c r="AD6" i="34"/>
  <c r="Z5" i="34"/>
  <c r="G5" i="34"/>
  <c r="O5" i="34"/>
  <c r="F6" i="34"/>
  <c r="N6" i="34"/>
  <c r="AH6" i="34"/>
  <c r="AF5" i="34"/>
  <c r="Y5" i="34"/>
  <c r="H5" i="34"/>
  <c r="P5" i="34"/>
  <c r="G6" i="34"/>
  <c r="O6" i="34"/>
  <c r="AI5" i="34"/>
  <c r="AC6" i="34"/>
  <c r="R4" i="33"/>
  <c r="I4" i="33"/>
  <c r="H9" i="17"/>
  <c r="B108" i="17"/>
  <c r="G9" i="17"/>
  <c r="J145" i="15"/>
  <c r="BB1" i="23"/>
  <c r="F18" i="26"/>
  <c r="A31" i="33"/>
  <c r="F2" i="26"/>
  <c r="BB71" i="23"/>
  <c r="B2" i="11"/>
  <c r="I7" i="11"/>
  <c r="I58" i="11"/>
  <c r="AA1" i="31"/>
  <c r="AA47" i="31"/>
  <c r="T48" i="20"/>
  <c r="G2" i="14"/>
  <c r="G26" i="14"/>
  <c r="C2" i="25"/>
  <c r="R45" i="13"/>
  <c r="C2" i="24"/>
  <c r="A45" i="13"/>
  <c r="A53" i="24"/>
  <c r="H53" i="24"/>
  <c r="AH1" i="21"/>
  <c r="M153" i="15"/>
  <c r="AC163" i="15"/>
  <c r="AA153" i="15"/>
  <c r="J147" i="15"/>
  <c r="AC153" i="15"/>
  <c r="J161" i="15"/>
  <c r="M163" i="15"/>
  <c r="Q46" i="33"/>
  <c r="E45" i="33"/>
  <c r="U58" i="34"/>
  <c r="U72" i="34"/>
  <c r="V154" i="17"/>
  <c r="J34" i="33"/>
  <c r="R39" i="33"/>
  <c r="O37" i="33"/>
  <c r="F37" i="33"/>
  <c r="O44" i="33"/>
  <c r="K44" i="33"/>
  <c r="R44" i="33"/>
  <c r="L37" i="33"/>
  <c r="U74" i="34"/>
  <c r="U76" i="34"/>
  <c r="U60" i="34"/>
  <c r="M42" i="33"/>
  <c r="Q101" i="34"/>
  <c r="K34" i="33"/>
  <c r="O35" i="33"/>
  <c r="AH108" i="17"/>
  <c r="C28" i="7"/>
  <c r="U28" i="7"/>
  <c r="AH109" i="17"/>
  <c r="C29" i="7"/>
  <c r="U29" i="7"/>
  <c r="AH110" i="17"/>
  <c r="C30" i="7"/>
  <c r="U30" i="7"/>
  <c r="AH111" i="17"/>
  <c r="C31" i="7"/>
  <c r="U31" i="7"/>
  <c r="AH113" i="17"/>
  <c r="C33" i="7"/>
  <c r="U33" i="7"/>
  <c r="AH114" i="17"/>
  <c r="C34" i="7"/>
  <c r="U34" i="7"/>
  <c r="AH115" i="17"/>
  <c r="C35" i="7"/>
  <c r="U184" i="17"/>
  <c r="U161" i="17"/>
  <c r="B138" i="17"/>
  <c r="AH116" i="17"/>
  <c r="C36" i="7"/>
  <c r="U36" i="7"/>
  <c r="AH117" i="17"/>
  <c r="C37" i="7"/>
  <c r="B140" i="17"/>
  <c r="AH118" i="17"/>
  <c r="C38" i="7"/>
  <c r="U38" i="7"/>
  <c r="AH120" i="17"/>
  <c r="C40" i="7"/>
  <c r="U189" i="17"/>
  <c r="U166" i="17"/>
  <c r="AH121" i="17"/>
  <c r="C41" i="7"/>
  <c r="U41" i="7"/>
  <c r="C42" i="7"/>
  <c r="U42" i="7"/>
  <c r="U43" i="7"/>
  <c r="C44" i="7"/>
  <c r="U44" i="7"/>
  <c r="C45" i="7"/>
  <c r="U45" i="7"/>
  <c r="V59" i="34"/>
  <c r="P37" i="33"/>
  <c r="V72" i="34"/>
  <c r="V163" i="17"/>
  <c r="K40" i="33"/>
  <c r="V71" i="34"/>
  <c r="G40" i="33"/>
  <c r="K43" i="33"/>
  <c r="N45" i="33"/>
  <c r="S37" i="33"/>
  <c r="V39" i="7"/>
  <c r="H44" i="33"/>
  <c r="L44" i="33"/>
  <c r="J41" i="33"/>
  <c r="I41" i="33"/>
  <c r="G41" i="33"/>
  <c r="D41" i="33"/>
  <c r="V79" i="34"/>
  <c r="E37" i="33"/>
  <c r="R45" i="33"/>
  <c r="V186" i="17"/>
  <c r="V185" i="17"/>
  <c r="U77" i="34"/>
  <c r="Q37" i="33"/>
  <c r="P44" i="33"/>
  <c r="V69" i="34"/>
  <c r="P41" i="33"/>
  <c r="O41" i="33"/>
  <c r="U9" i="33"/>
  <c r="E9" i="33"/>
  <c r="F9" i="33"/>
  <c r="N9" i="33"/>
  <c r="T9" i="33"/>
  <c r="Q19" i="33"/>
  <c r="AJ14" i="34"/>
  <c r="V9" i="33"/>
  <c r="F6" i="33"/>
  <c r="F12" i="33"/>
  <c r="E8" i="33"/>
  <c r="U21" i="34"/>
  <c r="U22" i="34"/>
  <c r="U13" i="33"/>
  <c r="R13" i="33"/>
  <c r="V34" i="34"/>
  <c r="V30" i="34"/>
  <c r="G19" i="33"/>
  <c r="E6" i="33"/>
  <c r="K6" i="33"/>
  <c r="F110" i="17"/>
  <c r="J66" i="15"/>
  <c r="O108" i="17"/>
  <c r="C6" i="7"/>
  <c r="B154" i="17"/>
  <c r="B177" i="17"/>
  <c r="B131" i="17"/>
  <c r="C7" i="7"/>
  <c r="U7" i="7"/>
  <c r="O110" i="17"/>
  <c r="C8" i="7"/>
  <c r="U8" i="7"/>
  <c r="C10" i="7"/>
  <c r="U10" i="7"/>
  <c r="O114" i="17"/>
  <c r="C12" i="7"/>
  <c r="U12" i="7"/>
  <c r="O115" i="17"/>
  <c r="C13" i="7"/>
  <c r="U13" i="7"/>
  <c r="O116" i="17"/>
  <c r="C14" i="7"/>
  <c r="U14" i="7"/>
  <c r="O117" i="17"/>
  <c r="C15" i="7"/>
  <c r="U15" i="7"/>
  <c r="O119" i="17"/>
  <c r="C17" i="7"/>
  <c r="U17" i="7"/>
  <c r="C18" i="7"/>
  <c r="U18" i="7"/>
  <c r="O121" i="17"/>
  <c r="C19" i="7"/>
  <c r="B167" i="17"/>
  <c r="B190" i="17"/>
  <c r="B144" i="17"/>
  <c r="C20" i="7"/>
  <c r="U20" i="7"/>
  <c r="U21" i="7"/>
  <c r="D11" i="33"/>
  <c r="O12" i="33"/>
  <c r="V26" i="34"/>
  <c r="C158" i="17"/>
  <c r="H16" i="33"/>
  <c r="I12" i="33"/>
  <c r="M18" i="33"/>
  <c r="P19" i="33"/>
  <c r="BT20" i="7"/>
  <c r="G122" i="17"/>
  <c r="H122" i="17"/>
  <c r="I122" i="17"/>
  <c r="J122" i="17"/>
  <c r="L122" i="17"/>
  <c r="Q122" i="17"/>
  <c r="R122" i="17"/>
  <c r="N13" i="33"/>
  <c r="U25" i="34"/>
  <c r="U26" i="34"/>
  <c r="K109" i="17"/>
  <c r="P109" i="17"/>
  <c r="P6" i="33"/>
  <c r="D6" i="33"/>
  <c r="J7" i="33"/>
  <c r="K7" i="33"/>
  <c r="V14" i="34"/>
  <c r="C181" i="17"/>
  <c r="G11" i="33"/>
  <c r="Q4" i="33"/>
  <c r="G12" i="33"/>
  <c r="Q12" i="33"/>
  <c r="Q14" i="33"/>
  <c r="L14" i="33"/>
  <c r="M14" i="33"/>
  <c r="N8" i="33"/>
  <c r="G8" i="33"/>
  <c r="O8" i="33"/>
  <c r="M8" i="33"/>
  <c r="O13" i="33"/>
  <c r="F13" i="33"/>
  <c r="J19" i="33"/>
  <c r="V31" i="34"/>
  <c r="D21" i="7"/>
  <c r="E17" i="33"/>
  <c r="T17" i="33"/>
  <c r="AJ69" i="34"/>
  <c r="V39" i="33"/>
  <c r="X114" i="17"/>
  <c r="Y114" i="17"/>
  <c r="Z114" i="17"/>
  <c r="AA114" i="17"/>
  <c r="AB114" i="17"/>
  <c r="AC114" i="17"/>
  <c r="E34" i="7"/>
  <c r="AE114" i="17"/>
  <c r="AJ114" i="17"/>
  <c r="AK114" i="17"/>
  <c r="AD114" i="17"/>
  <c r="AF114" i="17"/>
  <c r="AI114" i="17"/>
  <c r="R101" i="34"/>
  <c r="V193" i="17"/>
  <c r="V162" i="17"/>
  <c r="B168" i="17"/>
  <c r="M122" i="17"/>
  <c r="K122" i="17"/>
  <c r="B191" i="17"/>
  <c r="E122" i="17"/>
  <c r="AJ34" i="34"/>
  <c r="V19" i="33"/>
  <c r="E120" i="17"/>
  <c r="K120" i="17"/>
  <c r="AJ32" i="34"/>
  <c r="V18" i="33"/>
  <c r="M120" i="17"/>
  <c r="U43" i="33"/>
  <c r="V42" i="7"/>
  <c r="AE44" i="7"/>
  <c r="E32" i="7"/>
  <c r="AC9" i="17"/>
  <c r="Y108" i="17"/>
  <c r="Z108" i="17"/>
  <c r="AA108" i="17"/>
  <c r="AB108" i="17"/>
  <c r="AC108" i="17"/>
  <c r="E28" i="7"/>
  <c r="AC10" i="17"/>
  <c r="Y109" i="17"/>
  <c r="Z109" i="17"/>
  <c r="AA109" i="17"/>
  <c r="AB109" i="17"/>
  <c r="AC109" i="17"/>
  <c r="E29" i="7"/>
  <c r="U155" i="17"/>
  <c r="U178" i="17"/>
  <c r="U132" i="17"/>
  <c r="AC11" i="17"/>
  <c r="Y110" i="17"/>
  <c r="Z110" i="17"/>
  <c r="AA110" i="17"/>
  <c r="AB110" i="17"/>
  <c r="AC110" i="17"/>
  <c r="E30" i="7"/>
  <c r="Y111" i="17"/>
  <c r="Z111" i="17"/>
  <c r="AA111" i="17"/>
  <c r="AB111" i="17"/>
  <c r="AC111" i="17"/>
  <c r="E31" i="7"/>
  <c r="Y113" i="17"/>
  <c r="Z113" i="17"/>
  <c r="AA113" i="17"/>
  <c r="AB113" i="17"/>
  <c r="AC113" i="17"/>
  <c r="E33" i="7"/>
  <c r="U159" i="17"/>
  <c r="U182" i="17"/>
  <c r="U136" i="17"/>
  <c r="Y115" i="17"/>
  <c r="Z115" i="17"/>
  <c r="AA115" i="17"/>
  <c r="AB115" i="17"/>
  <c r="AC115" i="17"/>
  <c r="E35" i="7"/>
  <c r="Y35" i="7"/>
  <c r="Y116" i="17"/>
  <c r="Z116" i="17"/>
  <c r="AA116" i="17"/>
  <c r="AB116" i="17"/>
  <c r="AC116" i="17"/>
  <c r="E36" i="7"/>
  <c r="U162" i="17"/>
  <c r="U185" i="17"/>
  <c r="U139" i="17"/>
  <c r="Y117" i="17"/>
  <c r="Z117" i="17"/>
  <c r="AA117" i="17"/>
  <c r="AB117" i="17"/>
  <c r="AC117" i="17"/>
  <c r="E37" i="7"/>
  <c r="Y118" i="17"/>
  <c r="Z118" i="17"/>
  <c r="AA118" i="17"/>
  <c r="AB118" i="17"/>
  <c r="AC118" i="17"/>
  <c r="E38" i="7"/>
  <c r="U164" i="17"/>
  <c r="U187" i="17"/>
  <c r="U141" i="17"/>
  <c r="E39" i="7"/>
  <c r="Y39" i="7"/>
  <c r="Y120" i="17"/>
  <c r="Z120" i="17"/>
  <c r="AA120" i="17"/>
  <c r="AB120" i="17"/>
  <c r="AC120" i="17"/>
  <c r="E40" i="7"/>
  <c r="Y40" i="7"/>
  <c r="Y121" i="17"/>
  <c r="Z121" i="17"/>
  <c r="AA121" i="17"/>
  <c r="AB121" i="17"/>
  <c r="AC121" i="17"/>
  <c r="E41" i="7"/>
  <c r="U167" i="17"/>
  <c r="U190" i="17"/>
  <c r="U144" i="17"/>
  <c r="E42" i="7"/>
  <c r="Y42" i="7"/>
  <c r="E43" i="7"/>
  <c r="Y43" i="7"/>
  <c r="E44" i="7"/>
  <c r="Y44" i="7"/>
  <c r="E45" i="7"/>
  <c r="Y45" i="7"/>
  <c r="V43" i="7"/>
  <c r="V70" i="34"/>
  <c r="F41" i="33"/>
  <c r="V76" i="34"/>
  <c r="AJ77" i="34"/>
  <c r="V43" i="33"/>
  <c r="P49" i="33"/>
  <c r="AJ63" i="34"/>
  <c r="V36" i="33"/>
  <c r="L38" i="33"/>
  <c r="F40" i="33"/>
  <c r="V68" i="34"/>
  <c r="AC23" i="17"/>
  <c r="U71" i="34"/>
  <c r="U40" i="33"/>
  <c r="U87" i="34"/>
  <c r="L43" i="7"/>
  <c r="G39" i="33"/>
  <c r="U69" i="34"/>
  <c r="AA46" i="17"/>
  <c r="G42" i="33"/>
  <c r="M39" i="33"/>
  <c r="R43" i="33"/>
  <c r="AC169" i="17"/>
  <c r="AE169" i="17"/>
  <c r="AJ169" i="17"/>
  <c r="Y146" i="17"/>
  <c r="G48" i="33"/>
  <c r="H49" i="33"/>
  <c r="T49" i="33"/>
  <c r="J101" i="34"/>
  <c r="J100" i="34"/>
  <c r="J102" i="34"/>
  <c r="AD43" i="7"/>
  <c r="V64" i="34"/>
  <c r="T40" i="33"/>
  <c r="J45" i="33"/>
  <c r="U68" i="34"/>
  <c r="U86" i="34"/>
  <c r="U48" i="33"/>
  <c r="V78" i="34"/>
  <c r="J37" i="33"/>
  <c r="Q49" i="33"/>
  <c r="V143" i="17"/>
  <c r="V189" i="17"/>
  <c r="D44" i="33"/>
  <c r="G44" i="33"/>
  <c r="S44" i="33"/>
  <c r="T44" i="33"/>
  <c r="U78" i="34"/>
  <c r="U44" i="33"/>
  <c r="AD100" i="34"/>
  <c r="V88" i="34"/>
  <c r="H43" i="7"/>
  <c r="O42" i="33"/>
  <c r="V77" i="34"/>
  <c r="D43" i="33"/>
  <c r="V182" i="17"/>
  <c r="M48" i="33"/>
  <c r="U89" i="34"/>
  <c r="U49" i="33"/>
  <c r="D33" i="33"/>
  <c r="J43" i="7"/>
  <c r="K43" i="7"/>
  <c r="P43" i="7"/>
  <c r="T101" i="34"/>
  <c r="J35" i="33"/>
  <c r="T35" i="33"/>
  <c r="O46" i="33"/>
  <c r="U34" i="33"/>
  <c r="V136" i="17"/>
  <c r="F42" i="33"/>
  <c r="V87" i="34"/>
  <c r="I37" i="33"/>
  <c r="R46" i="33"/>
  <c r="U61" i="34"/>
  <c r="U35" i="33"/>
  <c r="AE25" i="17"/>
  <c r="AJ25" i="17"/>
  <c r="T21" i="7"/>
  <c r="L21" i="7"/>
  <c r="BT21" i="7"/>
  <c r="M21" i="7"/>
  <c r="N21" i="7"/>
  <c r="H21" i="7"/>
  <c r="O21" i="7"/>
  <c r="K21" i="7"/>
  <c r="P21" i="7"/>
  <c r="J21" i="7"/>
  <c r="AD21" i="7"/>
  <c r="T20" i="7"/>
  <c r="J20" i="7"/>
  <c r="Q6" i="33"/>
  <c r="V15" i="34"/>
  <c r="I11" i="33"/>
  <c r="V18" i="34"/>
  <c r="O4" i="33"/>
  <c r="P4" i="33"/>
  <c r="S4" i="33"/>
  <c r="U4" i="34"/>
  <c r="AJ30" i="34"/>
  <c r="V17" i="33"/>
  <c r="AJ22" i="34"/>
  <c r="V13" i="33"/>
  <c r="V33" i="34"/>
  <c r="U33" i="34"/>
  <c r="K19" i="33"/>
  <c r="U31" i="34"/>
  <c r="H4" i="33"/>
  <c r="D4" i="33"/>
  <c r="J4" i="33"/>
  <c r="K4" i="33"/>
  <c r="M4" i="33"/>
  <c r="N4" i="33"/>
  <c r="T4" i="33"/>
  <c r="H110" i="17"/>
  <c r="M7" i="33"/>
  <c r="O10" i="33"/>
  <c r="H20" i="7"/>
  <c r="V20" i="34"/>
  <c r="P8" i="33"/>
  <c r="R5" i="33"/>
  <c r="N19" i="33"/>
  <c r="R19" i="33"/>
  <c r="U20" i="34"/>
  <c r="D13" i="33"/>
  <c r="R8" i="33"/>
  <c r="L8" i="33"/>
  <c r="V21" i="34"/>
  <c r="V32" i="34"/>
  <c r="U32" i="34"/>
  <c r="I19" i="33"/>
  <c r="V3" i="34"/>
  <c r="O19" i="33"/>
  <c r="I13" i="33"/>
  <c r="M13" i="33"/>
  <c r="T13" i="33"/>
  <c r="E10" i="33"/>
  <c r="E18" i="33"/>
  <c r="T18" i="33"/>
  <c r="H19" i="33"/>
  <c r="T15" i="33"/>
  <c r="B185" i="17"/>
  <c r="B162" i="17"/>
  <c r="I116" i="17"/>
  <c r="G116" i="17"/>
  <c r="H116" i="17"/>
  <c r="F116" i="17"/>
  <c r="J116" i="17"/>
  <c r="K116" i="17"/>
  <c r="D116" i="17"/>
  <c r="L116" i="17"/>
  <c r="Q116" i="17"/>
  <c r="R116" i="17"/>
  <c r="M116" i="17"/>
  <c r="E116" i="17"/>
  <c r="P116" i="17"/>
  <c r="D14" i="7"/>
  <c r="V14" i="7"/>
  <c r="K14" i="7"/>
  <c r="P14" i="7"/>
  <c r="B139" i="17"/>
  <c r="E16" i="7"/>
  <c r="D16" i="7"/>
  <c r="F16" i="7"/>
  <c r="BO16" i="7"/>
  <c r="BP16" i="7"/>
  <c r="BQ16" i="7"/>
  <c r="BR16" i="7"/>
  <c r="BS16" i="7"/>
  <c r="BT16" i="7"/>
  <c r="D11" i="7"/>
  <c r="W11" i="7"/>
  <c r="C167" i="17"/>
  <c r="U12" i="34"/>
  <c r="R16" i="33"/>
  <c r="I5" i="33"/>
  <c r="U34" i="34"/>
  <c r="U28" i="34"/>
  <c r="P7" i="33"/>
  <c r="O20" i="7"/>
  <c r="P5" i="33"/>
  <c r="L7" i="33"/>
  <c r="D14" i="33"/>
  <c r="E14" i="33"/>
  <c r="C144" i="17"/>
  <c r="U11" i="34"/>
  <c r="U8" i="33"/>
  <c r="H8" i="33"/>
  <c r="D19" i="33"/>
  <c r="W20" i="7"/>
  <c r="AE20" i="7"/>
  <c r="V20" i="7"/>
  <c r="E21" i="7"/>
  <c r="J51" i="24"/>
  <c r="AJ75" i="34"/>
  <c r="V42" i="33"/>
  <c r="K101" i="34"/>
  <c r="I101" i="34"/>
  <c r="AB101" i="34"/>
  <c r="AE101" i="34"/>
  <c r="N42" i="7"/>
  <c r="L101" i="34"/>
  <c r="H100" i="34"/>
  <c r="G100" i="34"/>
  <c r="AJ71" i="34"/>
  <c r="V40" i="33"/>
  <c r="AH71" i="17"/>
  <c r="W71" i="17"/>
  <c r="Y71" i="17"/>
  <c r="AC71" i="17"/>
  <c r="Z71" i="17"/>
  <c r="AB71" i="17"/>
  <c r="AA71" i="17"/>
  <c r="AJ87" i="34"/>
  <c r="V48" i="33"/>
  <c r="AH69" i="17"/>
  <c r="AH46" i="17"/>
  <c r="Y69" i="17"/>
  <c r="Z69" i="17"/>
  <c r="AB69" i="17"/>
  <c r="AA69" i="17"/>
  <c r="W69" i="17"/>
  <c r="T100" i="34"/>
  <c r="R100" i="34"/>
  <c r="R102" i="34"/>
  <c r="AI100" i="34"/>
  <c r="T34" i="7"/>
  <c r="AH94" i="17"/>
  <c r="AB94" i="17"/>
  <c r="Y94" i="17"/>
  <c r="W94" i="17"/>
  <c r="AA94" i="17"/>
  <c r="Z94" i="17"/>
  <c r="AB92" i="17"/>
  <c r="AC92" i="17"/>
  <c r="AE92" i="17"/>
  <c r="AJ92" i="17"/>
  <c r="Z92" i="17"/>
  <c r="W92" i="17"/>
  <c r="Y92" i="17"/>
  <c r="S101" i="34"/>
  <c r="AA100" i="34"/>
  <c r="AE116" i="17"/>
  <c r="AJ116" i="17"/>
  <c r="AK116" i="17"/>
  <c r="AF116" i="17"/>
  <c r="X116" i="17"/>
  <c r="AI116" i="17"/>
  <c r="T36" i="7"/>
  <c r="AD116" i="17"/>
  <c r="AD101" i="34"/>
  <c r="AD102" i="34"/>
  <c r="M101" i="34"/>
  <c r="BT34" i="7"/>
  <c r="O100" i="34"/>
  <c r="V138" i="17"/>
  <c r="V184" i="17"/>
  <c r="V161" i="17"/>
  <c r="AH48" i="17"/>
  <c r="AA48" i="17"/>
  <c r="Y48" i="17"/>
  <c r="U193" i="17"/>
  <c r="Y124" i="17"/>
  <c r="U170" i="17"/>
  <c r="W124" i="17"/>
  <c r="AA124" i="17"/>
  <c r="AC124" i="17"/>
  <c r="AB124" i="17"/>
  <c r="AH124" i="17"/>
  <c r="X124" i="17"/>
  <c r="Z124" i="17"/>
  <c r="AD124" i="17"/>
  <c r="AK124" i="17"/>
  <c r="AG124" i="17"/>
  <c r="AI124" i="17"/>
  <c r="U147" i="17"/>
  <c r="AF124" i="17"/>
  <c r="U168" i="17"/>
  <c r="Y122" i="17"/>
  <c r="U191" i="17"/>
  <c r="W122" i="17"/>
  <c r="AD122" i="17"/>
  <c r="X122" i="17"/>
  <c r="Z122" i="17"/>
  <c r="AC122" i="17"/>
  <c r="AK122" i="17"/>
  <c r="AI122" i="17"/>
  <c r="AH122" i="17"/>
  <c r="BT42" i="7"/>
  <c r="AF122" i="17"/>
  <c r="AA122" i="17"/>
  <c r="U145" i="17"/>
  <c r="AB122" i="17"/>
  <c r="T42" i="7"/>
  <c r="O42" i="7"/>
  <c r="F101" i="34"/>
  <c r="AC100" i="34"/>
  <c r="AH192" i="17"/>
  <c r="AH146" i="17"/>
  <c r="Y192" i="17"/>
  <c r="Z192" i="17"/>
  <c r="Z146" i="17"/>
  <c r="AA192" i="17"/>
  <c r="AA146" i="17"/>
  <c r="AB192" i="17"/>
  <c r="AB146" i="17"/>
  <c r="W192" i="17"/>
  <c r="S100" i="34"/>
  <c r="Q100" i="34"/>
  <c r="Q102" i="34"/>
  <c r="AE115" i="17"/>
  <c r="AF115" i="17"/>
  <c r="X115" i="17"/>
  <c r="AD115" i="17"/>
  <c r="U138" i="17"/>
  <c r="AI115" i="17"/>
  <c r="AJ115" i="17"/>
  <c r="AK115" i="17"/>
  <c r="AE14" i="7"/>
  <c r="AF48" i="34"/>
  <c r="AC48" i="34"/>
  <c r="G110" i="17"/>
  <c r="I110" i="17"/>
  <c r="J110" i="17"/>
  <c r="L110" i="17"/>
  <c r="M110" i="17"/>
  <c r="R48" i="34"/>
  <c r="K48" i="34"/>
  <c r="AE48" i="34"/>
  <c r="C164" i="17"/>
  <c r="C141" i="17"/>
  <c r="C131" i="17"/>
  <c r="B133" i="17"/>
  <c r="E110" i="17"/>
  <c r="AD48" i="34"/>
  <c r="C154" i="17"/>
  <c r="X47" i="34"/>
  <c r="W14" i="7"/>
  <c r="AJ20" i="34"/>
  <c r="V12" i="33"/>
  <c r="C166" i="17"/>
  <c r="C189" i="17"/>
  <c r="C143" i="17"/>
  <c r="W101" i="34"/>
  <c r="AH93" i="17"/>
  <c r="AH47" i="17"/>
  <c r="Y93" i="17"/>
  <c r="Y47" i="17"/>
  <c r="Z93" i="17"/>
  <c r="Z47" i="17"/>
  <c r="AA93" i="17"/>
  <c r="AA47" i="17"/>
  <c r="W93" i="17"/>
  <c r="W47" i="17"/>
  <c r="AB93" i="17"/>
  <c r="AB47" i="17"/>
  <c r="AJ89" i="34"/>
  <c r="V49" i="33"/>
  <c r="U67" i="34"/>
  <c r="K100" i="34"/>
  <c r="AJ83" i="34"/>
  <c r="V46" i="33"/>
  <c r="U75" i="34"/>
  <c r="U42" i="33"/>
  <c r="I45" i="33"/>
  <c r="X120" i="17"/>
  <c r="AD120" i="17"/>
  <c r="AI120" i="17"/>
  <c r="U143" i="17"/>
  <c r="AE120" i="17"/>
  <c r="AJ120" i="17"/>
  <c r="AK120" i="17"/>
  <c r="AF120" i="17"/>
  <c r="F39" i="7"/>
  <c r="BO39" i="7"/>
  <c r="BP39" i="7"/>
  <c r="BQ39" i="7"/>
  <c r="BR39" i="7"/>
  <c r="BS39" i="7"/>
  <c r="BT39" i="7"/>
  <c r="AC101" i="34"/>
  <c r="AC102" i="34"/>
  <c r="U221" i="15"/>
  <c r="U224" i="15"/>
  <c r="U215" i="15"/>
  <c r="U218" i="15"/>
  <c r="AJ67" i="34"/>
  <c r="V38" i="33"/>
  <c r="U82" i="34"/>
  <c r="V156" i="17"/>
  <c r="V133" i="17"/>
  <c r="V179" i="17"/>
  <c r="T34" i="33"/>
  <c r="I100" i="34"/>
  <c r="N41" i="33"/>
  <c r="T41" i="33"/>
  <c r="U73" i="34"/>
  <c r="U81" i="34"/>
  <c r="F45" i="33"/>
  <c r="O43" i="7"/>
  <c r="BT43" i="7"/>
  <c r="T43" i="7"/>
  <c r="N43" i="7"/>
  <c r="F43" i="7"/>
  <c r="G43" i="7"/>
  <c r="P46" i="33"/>
  <c r="T46" i="33"/>
  <c r="U36" i="33"/>
  <c r="Y101" i="34"/>
  <c r="Y100" i="34"/>
  <c r="Y102" i="34"/>
  <c r="O101" i="34"/>
  <c r="AJ91" i="34"/>
  <c r="V50" i="33"/>
  <c r="AG101" i="34"/>
  <c r="V82" i="34"/>
  <c r="V145" i="17"/>
  <c r="V191" i="17"/>
  <c r="V168" i="17"/>
  <c r="M42" i="7"/>
  <c r="AD42" i="7"/>
  <c r="X117" i="17"/>
  <c r="AE117" i="17"/>
  <c r="AF117" i="17"/>
  <c r="AI117" i="17"/>
  <c r="AJ117" i="17"/>
  <c r="AK117" i="17"/>
  <c r="AD117" i="17"/>
  <c r="H101" i="34"/>
  <c r="H102" i="34"/>
  <c r="AB100" i="34"/>
  <c r="AB102" i="34"/>
  <c r="AF100" i="34"/>
  <c r="AJ65" i="34"/>
  <c r="V37" i="33"/>
  <c r="U80" i="34"/>
  <c r="Z101" i="34"/>
  <c r="AA101" i="34"/>
  <c r="K42" i="7"/>
  <c r="P42" i="7"/>
  <c r="AF44" i="7"/>
  <c r="P100" i="34"/>
  <c r="M100" i="34"/>
  <c r="M102" i="34"/>
  <c r="T47" i="33"/>
  <c r="U90" i="34"/>
  <c r="D50" i="33"/>
  <c r="T50" i="33"/>
  <c r="V90" i="34"/>
  <c r="V83" i="34"/>
  <c r="K42" i="33"/>
  <c r="D42" i="33"/>
  <c r="V74" i="34"/>
  <c r="M38" i="33"/>
  <c r="X121" i="17"/>
  <c r="AI121" i="17"/>
  <c r="AD121" i="17"/>
  <c r="AE121" i="17"/>
  <c r="AJ121" i="17"/>
  <c r="AK121" i="17"/>
  <c r="AF121" i="17"/>
  <c r="H42" i="7"/>
  <c r="N101" i="34"/>
  <c r="AG100" i="34"/>
  <c r="AE100" i="34"/>
  <c r="AE102" i="34"/>
  <c r="L33" i="33"/>
  <c r="N33" i="33"/>
  <c r="J42" i="7"/>
  <c r="L42" i="7"/>
  <c r="E100" i="34"/>
  <c r="P101" i="34"/>
  <c r="U91" i="34"/>
  <c r="V91" i="34"/>
  <c r="D37" i="33"/>
  <c r="U64" i="34"/>
  <c r="U65" i="34"/>
  <c r="V65" i="34"/>
  <c r="V75" i="34"/>
  <c r="S42" i="33"/>
  <c r="AE118" i="17"/>
  <c r="AF118" i="17"/>
  <c r="X118" i="17"/>
  <c r="AD118" i="17"/>
  <c r="AJ118" i="17"/>
  <c r="AK118" i="17"/>
  <c r="AI118" i="17"/>
  <c r="AJ81" i="34"/>
  <c r="V45" i="33"/>
  <c r="U171" i="17"/>
  <c r="U194" i="17"/>
  <c r="W125" i="17"/>
  <c r="AG125" i="17"/>
  <c r="U148" i="17"/>
  <c r="Z125" i="17"/>
  <c r="Y125" i="17"/>
  <c r="AC125" i="17"/>
  <c r="AA125" i="17"/>
  <c r="AD125" i="17"/>
  <c r="AF125" i="17"/>
  <c r="X125" i="17"/>
  <c r="AH125" i="17"/>
  <c r="AI125" i="17"/>
  <c r="AB125" i="17"/>
  <c r="AK125" i="17"/>
  <c r="AE43" i="7"/>
  <c r="V67" i="34"/>
  <c r="U83" i="34"/>
  <c r="T36" i="33"/>
  <c r="T39" i="33"/>
  <c r="X113" i="17"/>
  <c r="AD113" i="17"/>
  <c r="AE113" i="17"/>
  <c r="AF113" i="17"/>
  <c r="AJ113" i="17"/>
  <c r="AK113" i="17"/>
  <c r="AI113" i="17"/>
  <c r="V142" i="17"/>
  <c r="V188" i="17"/>
  <c r="V165" i="17"/>
  <c r="AH101" i="34"/>
  <c r="AF101" i="34"/>
  <c r="AI101" i="34"/>
  <c r="F100" i="34"/>
  <c r="W100" i="34"/>
  <c r="W102" i="34"/>
  <c r="G101" i="34"/>
  <c r="AJ73" i="34"/>
  <c r="V41" i="33"/>
  <c r="E42" i="33"/>
  <c r="V80" i="34"/>
  <c r="AH95" i="17"/>
  <c r="AH49" i="17"/>
  <c r="W95" i="17"/>
  <c r="W49" i="17"/>
  <c r="AB95" i="17"/>
  <c r="AB49" i="17"/>
  <c r="Z95" i="17"/>
  <c r="Z49" i="17"/>
  <c r="AA95" i="17"/>
  <c r="AA49" i="17"/>
  <c r="Y95" i="17"/>
  <c r="Y49" i="17"/>
  <c r="AC49" i="17"/>
  <c r="AE39" i="7"/>
  <c r="U66" i="34"/>
  <c r="U38" i="33"/>
  <c r="V66" i="34"/>
  <c r="V146" i="17"/>
  <c r="V169" i="17"/>
  <c r="V192" i="17"/>
  <c r="O7" i="33"/>
  <c r="L10" i="33"/>
  <c r="U23" i="34"/>
  <c r="I8" i="33"/>
  <c r="J10" i="33"/>
  <c r="U3" i="34"/>
  <c r="S48" i="34"/>
  <c r="P110" i="17"/>
  <c r="K110" i="17"/>
  <c r="V4" i="34"/>
  <c r="L6" i="33"/>
  <c r="Q110" i="17"/>
  <c r="R110" i="17"/>
  <c r="H10" i="33"/>
  <c r="V17" i="34"/>
  <c r="E11" i="33"/>
  <c r="L47" i="34"/>
  <c r="K12" i="33"/>
  <c r="V12" i="34"/>
  <c r="M16" i="33"/>
  <c r="J5" i="33"/>
  <c r="F119" i="17"/>
  <c r="D119" i="17"/>
  <c r="D17" i="7"/>
  <c r="B165" i="17"/>
  <c r="B188" i="17"/>
  <c r="G119" i="17"/>
  <c r="H119" i="17"/>
  <c r="I119" i="17"/>
  <c r="J119" i="17"/>
  <c r="K119" i="17"/>
  <c r="E119" i="17"/>
  <c r="P119" i="17"/>
  <c r="L119" i="17"/>
  <c r="Q119" i="17"/>
  <c r="R119" i="17"/>
  <c r="M119" i="17"/>
  <c r="W48" i="34"/>
  <c r="R10" i="33"/>
  <c r="AJ18" i="34"/>
  <c r="V11" i="33"/>
  <c r="AJ24" i="34"/>
  <c r="V14" i="33"/>
  <c r="K11" i="33"/>
  <c r="AJ4" i="34"/>
  <c r="V4" i="33"/>
  <c r="V23" i="34"/>
  <c r="AJ28" i="34"/>
  <c r="V16" i="33"/>
  <c r="U27" i="34"/>
  <c r="U6" i="34"/>
  <c r="M6" i="33"/>
  <c r="AH47" i="34"/>
  <c r="V16" i="34"/>
  <c r="L11" i="33"/>
  <c r="J11" i="33"/>
  <c r="R12" i="33"/>
  <c r="K16" i="33"/>
  <c r="V27" i="34"/>
  <c r="O16" i="33"/>
  <c r="B163" i="17"/>
  <c r="G117" i="17"/>
  <c r="H117" i="17"/>
  <c r="I117" i="17"/>
  <c r="F117" i="17"/>
  <c r="J117" i="17"/>
  <c r="D117" i="17"/>
  <c r="L117" i="17"/>
  <c r="Q117" i="17"/>
  <c r="R117" i="17"/>
  <c r="M117" i="17"/>
  <c r="D15" i="7"/>
  <c r="K117" i="17"/>
  <c r="B186" i="17"/>
  <c r="P117" i="17"/>
  <c r="E117" i="17"/>
  <c r="C165" i="17"/>
  <c r="C142" i="17"/>
  <c r="C188" i="17"/>
  <c r="AH48" i="34"/>
  <c r="AJ26" i="34"/>
  <c r="V15" i="33"/>
  <c r="F121" i="17"/>
  <c r="D121" i="17"/>
  <c r="D19" i="7"/>
  <c r="E121" i="17"/>
  <c r="H121" i="17"/>
  <c r="I121" i="17"/>
  <c r="P121" i="17"/>
  <c r="G121" i="17"/>
  <c r="J121" i="17"/>
  <c r="L121" i="17"/>
  <c r="M121" i="17"/>
  <c r="K121" i="17"/>
  <c r="Q121" i="17"/>
  <c r="R121" i="17"/>
  <c r="N48" i="34"/>
  <c r="E7" i="33"/>
  <c r="S11" i="33"/>
  <c r="V28" i="34"/>
  <c r="J12" i="33"/>
  <c r="L16" i="33"/>
  <c r="G16" i="33"/>
  <c r="B179" i="17"/>
  <c r="F8" i="33"/>
  <c r="U18" i="34"/>
  <c r="U17" i="34"/>
  <c r="F11" i="33"/>
  <c r="U24" i="34"/>
  <c r="V24" i="34"/>
  <c r="S16" i="33"/>
  <c r="S5" i="33"/>
  <c r="AD47" i="34"/>
  <c r="M11" i="33"/>
  <c r="R11" i="33"/>
  <c r="D12" i="33"/>
  <c r="U19" i="34"/>
  <c r="V19" i="34"/>
  <c r="D18" i="7"/>
  <c r="V11" i="34"/>
  <c r="Q5" i="33"/>
  <c r="J48" i="34"/>
  <c r="Z48" i="34"/>
  <c r="AA47" i="34"/>
  <c r="Z47" i="34"/>
  <c r="S33" i="33"/>
  <c r="O102" i="34"/>
  <c r="V134" i="17"/>
  <c r="V157" i="17"/>
  <c r="V180" i="17"/>
  <c r="AD111" i="17"/>
  <c r="AE111" i="17"/>
  <c r="AF111" i="17"/>
  <c r="AJ111" i="17"/>
  <c r="AK111" i="17"/>
  <c r="X111" i="17"/>
  <c r="AI111" i="17"/>
  <c r="AH100" i="34"/>
  <c r="AJ61" i="34"/>
  <c r="V35" i="33"/>
  <c r="AC78" i="15"/>
  <c r="Z100" i="34"/>
  <c r="AJ59" i="34"/>
  <c r="V34" i="33"/>
  <c r="AB48" i="34"/>
  <c r="T48" i="34"/>
  <c r="M48" i="34"/>
  <c r="Q48" i="34"/>
  <c r="I47" i="34"/>
  <c r="Y47" i="34"/>
  <c r="AF47" i="34"/>
  <c r="AJ16" i="34"/>
  <c r="V10" i="33"/>
  <c r="Y48" i="34"/>
  <c r="C160" i="17"/>
  <c r="C137" i="17"/>
  <c r="C183" i="17"/>
  <c r="AG48" i="34"/>
  <c r="AJ10" i="34"/>
  <c r="V7" i="33"/>
  <c r="AE9" i="17"/>
  <c r="AJ9" i="17"/>
  <c r="AK9" i="17"/>
  <c r="J12" i="17"/>
  <c r="E9" i="7"/>
  <c r="F9" i="7"/>
  <c r="BO9" i="7"/>
  <c r="BP9" i="7"/>
  <c r="BQ9" i="7"/>
  <c r="BR9" i="7"/>
  <c r="BS9" i="7"/>
  <c r="BT9" i="7"/>
  <c r="J14" i="17"/>
  <c r="E11" i="7"/>
  <c r="F11" i="7"/>
  <c r="BO11" i="7"/>
  <c r="BP11" i="7"/>
  <c r="BQ11" i="7"/>
  <c r="BR11" i="7"/>
  <c r="BS11" i="7"/>
  <c r="BT11" i="7"/>
  <c r="BN25" i="7"/>
  <c r="BN22" i="7"/>
  <c r="L12" i="17"/>
  <c r="Q12" i="17"/>
  <c r="J40" i="11"/>
  <c r="J45" i="11"/>
  <c r="I45" i="11"/>
  <c r="J16" i="17"/>
  <c r="L16" i="17"/>
  <c r="Q16" i="17"/>
  <c r="R16" i="17"/>
  <c r="P12" i="17"/>
  <c r="C180" i="17"/>
  <c r="C134" i="17"/>
  <c r="C157" i="17"/>
  <c r="J13" i="17"/>
  <c r="K13" i="17"/>
  <c r="J42" i="11"/>
  <c r="I42" i="11"/>
  <c r="N77" i="15"/>
  <c r="AD77" i="15" s="1"/>
  <c r="AE77" i="15" s="1"/>
  <c r="I44" i="11"/>
  <c r="J44" i="11"/>
  <c r="N59" i="15"/>
  <c r="O59" i="15" s="1"/>
  <c r="L14" i="17"/>
  <c r="Q14" i="17"/>
  <c r="R14" i="17"/>
  <c r="I37" i="11"/>
  <c r="J37" i="11"/>
  <c r="N61" i="15"/>
  <c r="O61" i="15" s="1"/>
  <c r="I35" i="11"/>
  <c r="J35" i="11"/>
  <c r="N73" i="15"/>
  <c r="AD73" i="15" s="1"/>
  <c r="AE73" i="15" s="1"/>
  <c r="G25" i="7"/>
  <c r="I25" i="11"/>
  <c r="J25" i="11"/>
  <c r="N67" i="15"/>
  <c r="AD67" i="15" s="1"/>
  <c r="AE67" i="15" s="1"/>
  <c r="I46" i="11"/>
  <c r="J46" i="11"/>
  <c r="N49" i="15"/>
  <c r="N57" i="15"/>
  <c r="O57" i="15" s="1"/>
  <c r="I21" i="11"/>
  <c r="J21" i="11"/>
  <c r="I33" i="11"/>
  <c r="J33" i="11"/>
  <c r="J10" i="17"/>
  <c r="L10" i="17"/>
  <c r="Q10" i="17"/>
  <c r="R10" i="17"/>
  <c r="J29" i="11"/>
  <c r="I29" i="11"/>
  <c r="J9" i="17"/>
  <c r="L9" i="17"/>
  <c r="BN24" i="7"/>
  <c r="P15" i="17"/>
  <c r="J19" i="11"/>
  <c r="I19" i="11"/>
  <c r="N65" i="15"/>
  <c r="O65" i="15" s="1"/>
  <c r="N75" i="15"/>
  <c r="AD75" i="15" s="1"/>
  <c r="AE75" i="15" s="1"/>
  <c r="J11" i="17"/>
  <c r="L11" i="17"/>
  <c r="Q11" i="17"/>
  <c r="R11" i="17"/>
  <c r="N55" i="15"/>
  <c r="O55" i="15" s="1"/>
  <c r="N71" i="15"/>
  <c r="O71" i="15" s="1"/>
  <c r="N69" i="15"/>
  <c r="AD69" i="15" s="1"/>
  <c r="AE69" i="15" s="1"/>
  <c r="J47" i="11"/>
  <c r="I47" i="11"/>
  <c r="J17" i="11"/>
  <c r="I17" i="11"/>
  <c r="N53" i="15"/>
  <c r="O53" i="15" s="1"/>
  <c r="I13" i="11"/>
  <c r="N63" i="15"/>
  <c r="AD63" i="15" s="1"/>
  <c r="AE63" i="15" s="1"/>
  <c r="J13" i="11"/>
  <c r="N51" i="15"/>
  <c r="AD51" i="15" s="1"/>
  <c r="AE51" i="15" s="1"/>
  <c r="BN47" i="7"/>
  <c r="AC50" i="15"/>
  <c r="G24" i="7"/>
  <c r="P11" i="17"/>
  <c r="G23" i="7"/>
  <c r="K11" i="17"/>
  <c r="X10" i="17"/>
  <c r="E10" i="17"/>
  <c r="E14" i="17"/>
  <c r="M12" i="17"/>
  <c r="P14" i="17"/>
  <c r="G46" i="7"/>
  <c r="P13" i="17"/>
  <c r="R12" i="17"/>
  <c r="E11" i="17"/>
  <c r="G47" i="7"/>
  <c r="E16" i="17"/>
  <c r="P9" i="17"/>
  <c r="E15" i="17"/>
  <c r="P16" i="17"/>
  <c r="E12" i="17"/>
  <c r="K14" i="17"/>
  <c r="K12" i="17"/>
  <c r="G22" i="7"/>
  <c r="D5" i="33"/>
  <c r="E5" i="33"/>
  <c r="F5" i="33"/>
  <c r="G5" i="33"/>
  <c r="M5" i="33"/>
  <c r="N5" i="33"/>
  <c r="O5" i="33"/>
  <c r="T5" i="33"/>
  <c r="H6" i="33"/>
  <c r="I6" i="33"/>
  <c r="J6" i="33"/>
  <c r="R6" i="33"/>
  <c r="S6" i="33"/>
  <c r="T6" i="33"/>
  <c r="D7" i="33"/>
  <c r="F7" i="33"/>
  <c r="G7" i="33"/>
  <c r="H7" i="33"/>
  <c r="I7" i="33"/>
  <c r="N7" i="33"/>
  <c r="T7" i="33"/>
  <c r="T8" i="33"/>
  <c r="D10" i="33"/>
  <c r="F10" i="33"/>
  <c r="I10" i="33"/>
  <c r="K10" i="33"/>
  <c r="P10" i="33"/>
  <c r="Q10" i="33"/>
  <c r="S10" i="33"/>
  <c r="T10" i="33"/>
  <c r="T11" i="33"/>
  <c r="T12" i="33"/>
  <c r="T14" i="33"/>
  <c r="T16" i="33"/>
  <c r="T19" i="33"/>
  <c r="T27" i="33"/>
  <c r="J28" i="33"/>
  <c r="E9" i="17"/>
  <c r="P10" i="17"/>
  <c r="AI11" i="17"/>
  <c r="X11" i="17"/>
  <c r="AE11" i="17"/>
  <c r="AJ11" i="17"/>
  <c r="X101" i="34"/>
  <c r="X110" i="17"/>
  <c r="AE110" i="17"/>
  <c r="AF110" i="17"/>
  <c r="AJ110" i="17"/>
  <c r="AK110" i="17"/>
  <c r="AD110" i="17"/>
  <c r="AI110" i="17"/>
  <c r="AD109" i="17"/>
  <c r="AE109" i="17"/>
  <c r="AF109" i="17"/>
  <c r="X109" i="17"/>
  <c r="AJ109" i="17"/>
  <c r="AK109" i="17"/>
  <c r="AI109" i="17"/>
  <c r="T102" i="34"/>
  <c r="H33" i="33"/>
  <c r="H56" i="33"/>
  <c r="Q33" i="33"/>
  <c r="P33" i="33"/>
  <c r="J33" i="33"/>
  <c r="K33" i="33"/>
  <c r="L100" i="34"/>
  <c r="E101" i="34"/>
  <c r="E102" i="34"/>
  <c r="V57" i="34"/>
  <c r="R33" i="33"/>
  <c r="AE108" i="17"/>
  <c r="AJ108" i="17"/>
  <c r="AK108" i="17"/>
  <c r="X108" i="17"/>
  <c r="AI108" i="17"/>
  <c r="AD108" i="17"/>
  <c r="AF108" i="17"/>
  <c r="U56" i="34"/>
  <c r="I33" i="33"/>
  <c r="E33" i="33"/>
  <c r="E56" i="33"/>
  <c r="V56" i="34"/>
  <c r="U57" i="34"/>
  <c r="X100" i="34"/>
  <c r="AJ57" i="34"/>
  <c r="V33" i="33"/>
  <c r="N100" i="34"/>
  <c r="M33" i="33"/>
  <c r="P115" i="17"/>
  <c r="B161" i="17"/>
  <c r="H115" i="17"/>
  <c r="G115" i="17"/>
  <c r="I115" i="17"/>
  <c r="F115" i="17"/>
  <c r="J115" i="17"/>
  <c r="D115" i="17"/>
  <c r="L115" i="17"/>
  <c r="M115" i="17"/>
  <c r="Q115" i="17"/>
  <c r="R115" i="17"/>
  <c r="D13" i="7"/>
  <c r="B184" i="17"/>
  <c r="E115" i="17"/>
  <c r="K115" i="17"/>
  <c r="U15" i="34"/>
  <c r="P114" i="17"/>
  <c r="G114" i="17"/>
  <c r="H114" i="17"/>
  <c r="I114" i="17"/>
  <c r="F114" i="17"/>
  <c r="J114" i="17"/>
  <c r="D114" i="17"/>
  <c r="L114" i="17"/>
  <c r="M114" i="17"/>
  <c r="D12" i="7"/>
  <c r="E114" i="17"/>
  <c r="B160" i="17"/>
  <c r="Q114" i="17"/>
  <c r="R114" i="17"/>
  <c r="B137" i="17"/>
  <c r="K114" i="17"/>
  <c r="B183" i="17"/>
  <c r="U16" i="34"/>
  <c r="AG47" i="34"/>
  <c r="AC47" i="34"/>
  <c r="P27" i="33"/>
  <c r="S47" i="34"/>
  <c r="J15" i="17"/>
  <c r="W10" i="7"/>
  <c r="V10" i="7"/>
  <c r="AJ12" i="34"/>
  <c r="V8" i="33"/>
  <c r="V10" i="34"/>
  <c r="AE9" i="7"/>
  <c r="W9" i="7"/>
  <c r="U9" i="34"/>
  <c r="O48" i="34"/>
  <c r="G48" i="34"/>
  <c r="J47" i="34"/>
  <c r="J49" i="34"/>
  <c r="AI48" i="34"/>
  <c r="X48" i="34"/>
  <c r="AB47" i="34"/>
  <c r="AB49" i="34"/>
  <c r="AE47" i="34"/>
  <c r="AE49" i="34"/>
  <c r="U10" i="34"/>
  <c r="AA48" i="34"/>
  <c r="AA49" i="34"/>
  <c r="L48" i="34"/>
  <c r="V9" i="34"/>
  <c r="F48" i="34"/>
  <c r="W47" i="34"/>
  <c r="I48" i="34"/>
  <c r="AJ8" i="34"/>
  <c r="V6" i="33"/>
  <c r="W8" i="7"/>
  <c r="AE8" i="7"/>
  <c r="V8" i="7"/>
  <c r="V8" i="34"/>
  <c r="AI47" i="34"/>
  <c r="V7" i="34"/>
  <c r="E47" i="34"/>
  <c r="R47" i="34"/>
  <c r="Q47" i="34"/>
  <c r="K47" i="34"/>
  <c r="K49" i="34"/>
  <c r="P48" i="34"/>
  <c r="U7" i="34"/>
  <c r="T47" i="34"/>
  <c r="M47" i="34"/>
  <c r="H48" i="34"/>
  <c r="U8" i="34"/>
  <c r="O47" i="34"/>
  <c r="N47" i="34"/>
  <c r="G47" i="34"/>
  <c r="U5" i="34"/>
  <c r="U5" i="33"/>
  <c r="F47" i="34"/>
  <c r="D108" i="17"/>
  <c r="D6" i="7"/>
  <c r="W12" i="7"/>
  <c r="W13" i="7"/>
  <c r="V16" i="7"/>
  <c r="W16" i="7"/>
  <c r="W17" i="7"/>
  <c r="W19" i="7"/>
  <c r="W21" i="7"/>
  <c r="P47" i="34"/>
  <c r="H47" i="34"/>
  <c r="AJ6" i="34"/>
  <c r="V5" i="33"/>
  <c r="V5" i="34"/>
  <c r="E48" i="34"/>
  <c r="V6" i="34"/>
  <c r="I108" i="17"/>
  <c r="G108" i="17"/>
  <c r="H108" i="17"/>
  <c r="F108" i="17"/>
  <c r="J108" i="17"/>
  <c r="L108" i="17"/>
  <c r="M108" i="17"/>
  <c r="Q108" i="17"/>
  <c r="R108" i="17"/>
  <c r="K108" i="17"/>
  <c r="E108" i="17"/>
  <c r="P108" i="17"/>
  <c r="A25" i="25"/>
  <c r="H25" i="25"/>
  <c r="J2" i="25"/>
  <c r="A25" i="24"/>
  <c r="H25" i="24"/>
  <c r="J2" i="24"/>
  <c r="AA102" i="34"/>
  <c r="F32" i="7"/>
  <c r="G32" i="7"/>
  <c r="U41" i="33"/>
  <c r="U39" i="33"/>
  <c r="Z102" i="34"/>
  <c r="F34" i="7"/>
  <c r="O56" i="33"/>
  <c r="F56" i="33"/>
  <c r="O34" i="7"/>
  <c r="AD34" i="7"/>
  <c r="J34" i="7"/>
  <c r="L34" i="7"/>
  <c r="M34" i="7"/>
  <c r="H34" i="7"/>
  <c r="K34" i="7"/>
  <c r="P34" i="7"/>
  <c r="N34" i="7"/>
  <c r="T37" i="33"/>
  <c r="T43" i="33"/>
  <c r="H7" i="7"/>
  <c r="T7" i="7"/>
  <c r="AD7" i="7"/>
  <c r="BT7" i="7"/>
  <c r="O7" i="7"/>
  <c r="K7" i="7"/>
  <c r="P7" i="7"/>
  <c r="M7" i="7"/>
  <c r="L7" i="7"/>
  <c r="E20" i="7"/>
  <c r="E18" i="7"/>
  <c r="AE21" i="7"/>
  <c r="V21" i="7"/>
  <c r="AD20" i="7"/>
  <c r="AD49" i="34"/>
  <c r="G27" i="33"/>
  <c r="U16" i="33"/>
  <c r="M20" i="7"/>
  <c r="N20" i="7"/>
  <c r="K20" i="7"/>
  <c r="P20" i="7"/>
  <c r="Q49" i="34"/>
  <c r="AF49" i="34"/>
  <c r="E19" i="7"/>
  <c r="Y19" i="7"/>
  <c r="U4" i="33"/>
  <c r="L20" i="7"/>
  <c r="F20" i="7"/>
  <c r="G20" i="7"/>
  <c r="U15" i="33"/>
  <c r="L56" i="33"/>
  <c r="N56" i="33"/>
  <c r="G56" i="33"/>
  <c r="M56" i="33"/>
  <c r="I56" i="33"/>
  <c r="R56" i="33"/>
  <c r="K56" i="33"/>
  <c r="Q56" i="33"/>
  <c r="I102" i="34"/>
  <c r="K102" i="34"/>
  <c r="H49" i="34"/>
  <c r="S27" i="33"/>
  <c r="R49" i="34"/>
  <c r="N7" i="7"/>
  <c r="J7" i="7"/>
  <c r="X49" i="34"/>
  <c r="AC49" i="34"/>
  <c r="V36" i="7"/>
  <c r="AE36" i="7"/>
  <c r="AD44" i="7"/>
  <c r="K36" i="7"/>
  <c r="P36" i="7"/>
  <c r="Y46" i="17"/>
  <c r="AC46" i="17"/>
  <c r="AC69" i="17"/>
  <c r="AE71" i="17"/>
  <c r="AJ71" i="17"/>
  <c r="AB46" i="17"/>
  <c r="AE42" i="7"/>
  <c r="AC47" i="17"/>
  <c r="X44" i="7"/>
  <c r="F35" i="7"/>
  <c r="BO35" i="7"/>
  <c r="BP35" i="7"/>
  <c r="BQ35" i="7"/>
  <c r="BR35" i="7"/>
  <c r="BS35" i="7"/>
  <c r="BT35" i="7"/>
  <c r="X39" i="7"/>
  <c r="F44" i="7"/>
  <c r="V44" i="7"/>
  <c r="AE124" i="17"/>
  <c r="AJ124" i="17"/>
  <c r="M44" i="7"/>
  <c r="K44" i="7"/>
  <c r="P44" i="7"/>
  <c r="AC94" i="17"/>
  <c r="AE94" i="17"/>
  <c r="AJ94" i="17"/>
  <c r="X43" i="7"/>
  <c r="AF43" i="7"/>
  <c r="J36" i="7"/>
  <c r="O36" i="7"/>
  <c r="AD36" i="7"/>
  <c r="L36" i="7"/>
  <c r="N36" i="7"/>
  <c r="M36" i="7"/>
  <c r="BT36" i="7"/>
  <c r="H36" i="7"/>
  <c r="T48" i="33"/>
  <c r="BT44" i="7"/>
  <c r="T38" i="33"/>
  <c r="T45" i="33"/>
  <c r="O44" i="7"/>
  <c r="AE122" i="17"/>
  <c r="AJ122" i="17"/>
  <c r="N44" i="7"/>
  <c r="AE23" i="17"/>
  <c r="AJ23" i="17"/>
  <c r="T42" i="33"/>
  <c r="H44" i="7"/>
  <c r="Z48" i="17"/>
  <c r="AC48" i="17"/>
  <c r="AC146" i="17"/>
  <c r="J56" i="33"/>
  <c r="J44" i="7"/>
  <c r="AF40" i="7"/>
  <c r="L44" i="7"/>
  <c r="F102" i="34"/>
  <c r="F42" i="7"/>
  <c r="T44" i="7"/>
  <c r="S102" i="34"/>
  <c r="W46" i="17"/>
  <c r="AE69" i="17"/>
  <c r="AJ69" i="17"/>
  <c r="G102" i="34"/>
  <c r="F41" i="7"/>
  <c r="W146" i="17"/>
  <c r="Z46" i="17"/>
  <c r="AF39" i="7"/>
  <c r="AB48" i="17"/>
  <c r="W48" i="17"/>
  <c r="AE11" i="7"/>
  <c r="L49" i="34"/>
  <c r="AF11" i="7"/>
  <c r="V11" i="7"/>
  <c r="E15" i="7"/>
  <c r="E6" i="7"/>
  <c r="E7" i="7"/>
  <c r="E8" i="7"/>
  <c r="Y9" i="7"/>
  <c r="E10" i="7"/>
  <c r="Y11" i="7"/>
  <c r="E12" i="7"/>
  <c r="E13" i="7"/>
  <c r="E14" i="7"/>
  <c r="E17" i="7"/>
  <c r="Y20" i="7"/>
  <c r="Y21" i="7"/>
  <c r="J14" i="7"/>
  <c r="T14" i="7"/>
  <c r="M14" i="7"/>
  <c r="N14" i="7"/>
  <c r="BT14" i="7"/>
  <c r="H14" i="7"/>
  <c r="AD14" i="7"/>
  <c r="O14" i="7"/>
  <c r="L14" i="7"/>
  <c r="U19" i="33"/>
  <c r="U12" i="33"/>
  <c r="AF21" i="7"/>
  <c r="X21" i="7"/>
  <c r="BT18" i="7"/>
  <c r="K18" i="7"/>
  <c r="P18" i="7"/>
  <c r="H18" i="7"/>
  <c r="T18" i="7"/>
  <c r="N18" i="7"/>
  <c r="J18" i="7"/>
  <c r="M18" i="7"/>
  <c r="O18" i="7"/>
  <c r="AD18" i="7"/>
  <c r="L18" i="7"/>
  <c r="F21" i="7"/>
  <c r="U14" i="33"/>
  <c r="S49" i="34"/>
  <c r="Y49" i="34"/>
  <c r="F14" i="7"/>
  <c r="U18" i="33"/>
  <c r="BI20" i="7"/>
  <c r="BJ20" i="7"/>
  <c r="AS20" i="7"/>
  <c r="BM20" i="7"/>
  <c r="AT20" i="7"/>
  <c r="AO20" i="7"/>
  <c r="BS20" i="7"/>
  <c r="AW20" i="7"/>
  <c r="BO20" i="7"/>
  <c r="AH20" i="7"/>
  <c r="BK20" i="7"/>
  <c r="S20" i="7"/>
  <c r="BG20" i="7"/>
  <c r="Z20" i="7"/>
  <c r="BQ20" i="7"/>
  <c r="BB20" i="7"/>
  <c r="AZ20" i="7"/>
  <c r="W18" i="33"/>
  <c r="X18" i="33"/>
  <c r="AL20" i="7"/>
  <c r="BP20" i="7"/>
  <c r="R20" i="7"/>
  <c r="AM20" i="7"/>
  <c r="AQ20" i="7"/>
  <c r="AN20" i="7"/>
  <c r="BH20" i="7"/>
  <c r="AX20" i="7"/>
  <c r="BF20" i="7"/>
  <c r="Q20" i="7"/>
  <c r="AP20" i="7"/>
  <c r="AR20" i="7"/>
  <c r="BL20" i="7"/>
  <c r="AU20" i="7"/>
  <c r="BD20" i="7"/>
  <c r="BR20" i="7"/>
  <c r="AY20" i="7"/>
  <c r="AV20" i="7"/>
  <c r="AF20" i="7"/>
  <c r="X20" i="7"/>
  <c r="AH168" i="17"/>
  <c r="W168" i="17"/>
  <c r="W145" i="17"/>
  <c r="AA168" i="17"/>
  <c r="AB168" i="17"/>
  <c r="Y168" i="17"/>
  <c r="Y145" i="17"/>
  <c r="AC145" i="17"/>
  <c r="Z168" i="17"/>
  <c r="Z145" i="17"/>
  <c r="AC168" i="17"/>
  <c r="AE168" i="17"/>
  <c r="AJ168" i="17"/>
  <c r="AH193" i="17"/>
  <c r="AA193" i="17"/>
  <c r="AA147" i="17"/>
  <c r="AB193" i="17"/>
  <c r="Y193" i="17"/>
  <c r="Z193" i="17"/>
  <c r="W193" i="17"/>
  <c r="P56" i="33"/>
  <c r="S56" i="33"/>
  <c r="N102" i="34"/>
  <c r="AB147" i="17"/>
  <c r="AH191" i="17"/>
  <c r="W191" i="17"/>
  <c r="Y191" i="17"/>
  <c r="AB191" i="17"/>
  <c r="AB145" i="17"/>
  <c r="Z191" i="17"/>
  <c r="AA191" i="17"/>
  <c r="AA145" i="17"/>
  <c r="AH102" i="34"/>
  <c r="AC192" i="17"/>
  <c r="AE192" i="17"/>
  <c r="AJ192" i="17"/>
  <c r="AI102" i="34"/>
  <c r="AG102" i="34"/>
  <c r="L102" i="34"/>
  <c r="AH170" i="17"/>
  <c r="AA170" i="17"/>
  <c r="AB170" i="17"/>
  <c r="Y170" i="17"/>
  <c r="AC170" i="17"/>
  <c r="AE170" i="17"/>
  <c r="AJ170" i="17"/>
  <c r="Z170" i="17"/>
  <c r="Z147" i="17"/>
  <c r="W170" i="17"/>
  <c r="W147" i="17"/>
  <c r="Z49" i="34"/>
  <c r="AH49" i="34"/>
  <c r="N49" i="34"/>
  <c r="Q27" i="33"/>
  <c r="V47" i="34"/>
  <c r="AG49" i="34"/>
  <c r="L27" i="33"/>
  <c r="V48" i="34"/>
  <c r="K27" i="33"/>
  <c r="U48" i="34"/>
  <c r="AE125" i="17"/>
  <c r="AJ125" i="17"/>
  <c r="AE33" i="7"/>
  <c r="V33" i="7"/>
  <c r="U214" i="15"/>
  <c r="BQ43" i="7"/>
  <c r="AT43" i="7"/>
  <c r="BI43" i="7"/>
  <c r="BM43" i="7"/>
  <c r="BK43" i="7"/>
  <c r="AR43" i="7"/>
  <c r="AO43" i="7"/>
  <c r="W48" i="33"/>
  <c r="X48" i="33"/>
  <c r="AU43" i="7"/>
  <c r="Q43" i="7"/>
  <c r="AX43" i="7"/>
  <c r="BS43" i="7"/>
  <c r="BB43" i="7"/>
  <c r="BH43" i="7"/>
  <c r="AH43" i="7"/>
  <c r="AP43" i="7"/>
  <c r="AS43" i="7"/>
  <c r="BR43" i="7"/>
  <c r="BD43" i="7"/>
  <c r="BL43" i="7"/>
  <c r="AM43" i="7"/>
  <c r="BO43" i="7"/>
  <c r="S43" i="7"/>
  <c r="AQ43" i="7"/>
  <c r="BF43" i="7"/>
  <c r="AN43" i="7"/>
  <c r="AY43" i="7"/>
  <c r="BP43" i="7"/>
  <c r="AW43" i="7"/>
  <c r="BJ43" i="7"/>
  <c r="AV43" i="7"/>
  <c r="Z43" i="7"/>
  <c r="AZ43" i="7"/>
  <c r="AL43" i="7"/>
  <c r="R43" i="7"/>
  <c r="BG43" i="7"/>
  <c r="AC95" i="17"/>
  <c r="BI34" i="7"/>
  <c r="AV34" i="7"/>
  <c r="AU34" i="7"/>
  <c r="AT34" i="7"/>
  <c r="BH34" i="7"/>
  <c r="BG34" i="7"/>
  <c r="BL34" i="7"/>
  <c r="AH34" i="7"/>
  <c r="BF34" i="7"/>
  <c r="BJ34" i="7"/>
  <c r="BK34" i="7"/>
  <c r="BP34" i="7"/>
  <c r="BO34" i="7"/>
  <c r="AL34" i="7"/>
  <c r="AM34" i="7"/>
  <c r="AN34" i="7"/>
  <c r="AO34" i="7"/>
  <c r="AP34" i="7"/>
  <c r="AQ34" i="7"/>
  <c r="AR34" i="7"/>
  <c r="AS34" i="7"/>
  <c r="AW34" i="7"/>
  <c r="AX34" i="7"/>
  <c r="BD34" i="7"/>
  <c r="BS34" i="7"/>
  <c r="BQ34" i="7"/>
  <c r="AZ34" i="7"/>
  <c r="W39" i="33"/>
  <c r="X39" i="33"/>
  <c r="BB34" i="7"/>
  <c r="AY34" i="7"/>
  <c r="BM34" i="7"/>
  <c r="BR34" i="7"/>
  <c r="K45" i="7"/>
  <c r="P45" i="7"/>
  <c r="F45" i="7"/>
  <c r="N45" i="7"/>
  <c r="H45" i="7"/>
  <c r="T45" i="7"/>
  <c r="J45" i="7"/>
  <c r="O45" i="7"/>
  <c r="M45" i="7"/>
  <c r="L45" i="7"/>
  <c r="BT45" i="7"/>
  <c r="AD45" i="7"/>
  <c r="U217" i="15"/>
  <c r="AE41" i="7"/>
  <c r="V41" i="7"/>
  <c r="U50" i="33"/>
  <c r="U46" i="33"/>
  <c r="U223" i="15"/>
  <c r="M41" i="7"/>
  <c r="AD41" i="7"/>
  <c r="N41" i="7"/>
  <c r="J41" i="7"/>
  <c r="K41" i="7"/>
  <c r="P41" i="7"/>
  <c r="BT41" i="7"/>
  <c r="O41" i="7"/>
  <c r="T41" i="7"/>
  <c r="L41" i="7"/>
  <c r="H41" i="7"/>
  <c r="U45" i="33"/>
  <c r="AE40" i="7"/>
  <c r="V40" i="7"/>
  <c r="U101" i="34"/>
  <c r="D56" i="33"/>
  <c r="AE45" i="7"/>
  <c r="V45" i="7"/>
  <c r="W218" i="15"/>
  <c r="V218" i="15"/>
  <c r="Y218" i="15"/>
  <c r="Z218" i="15"/>
  <c r="X218" i="15"/>
  <c r="AA218" i="15"/>
  <c r="AB218" i="15"/>
  <c r="AC218" i="15"/>
  <c r="T218" i="15"/>
  <c r="AE47" i="17"/>
  <c r="AJ47" i="17"/>
  <c r="Z215" i="15"/>
  <c r="Y215" i="15"/>
  <c r="X215" i="15"/>
  <c r="T215" i="15"/>
  <c r="W215" i="15"/>
  <c r="AB215" i="15"/>
  <c r="AA215" i="15"/>
  <c r="AG122" i="17"/>
  <c r="AC215" i="15"/>
  <c r="V215" i="15"/>
  <c r="V100" i="34"/>
  <c r="V101" i="34"/>
  <c r="V102" i="34"/>
  <c r="G34" i="7"/>
  <c r="J31" i="7"/>
  <c r="N31" i="7"/>
  <c r="O31" i="7"/>
  <c r="BT31" i="7"/>
  <c r="T31" i="7"/>
  <c r="F31" i="7"/>
  <c r="AD31" i="7"/>
  <c r="M31" i="7"/>
  <c r="H31" i="7"/>
  <c r="L31" i="7"/>
  <c r="K31" i="7"/>
  <c r="P31" i="7"/>
  <c r="AE49" i="17"/>
  <c r="AJ49" i="17"/>
  <c r="AF102" i="34"/>
  <c r="L33" i="7"/>
  <c r="T33" i="7"/>
  <c r="O33" i="7"/>
  <c r="K33" i="7"/>
  <c r="P33" i="7"/>
  <c r="N33" i="7"/>
  <c r="AD33" i="7"/>
  <c r="M33" i="7"/>
  <c r="J33" i="7"/>
  <c r="H33" i="7"/>
  <c r="BT33" i="7"/>
  <c r="AH171" i="17"/>
  <c r="W171" i="17"/>
  <c r="Z171" i="17"/>
  <c r="Z148" i="17"/>
  <c r="AB171" i="17"/>
  <c r="AB148" i="17"/>
  <c r="Y171" i="17"/>
  <c r="AC171" i="17"/>
  <c r="AA171" i="17"/>
  <c r="AA148" i="17"/>
  <c r="U37" i="33"/>
  <c r="U220" i="15"/>
  <c r="J38" i="7"/>
  <c r="M38" i="7"/>
  <c r="T38" i="7"/>
  <c r="AD38" i="7"/>
  <c r="F38" i="7"/>
  <c r="L38" i="7"/>
  <c r="BT38" i="7"/>
  <c r="H38" i="7"/>
  <c r="O38" i="7"/>
  <c r="N38" i="7"/>
  <c r="K38" i="7"/>
  <c r="P38" i="7"/>
  <c r="AH194" i="17"/>
  <c r="AA194" i="17"/>
  <c r="Z194" i="17"/>
  <c r="AB194" i="17"/>
  <c r="W194" i="17"/>
  <c r="Y194" i="17"/>
  <c r="P102" i="34"/>
  <c r="F37" i="7"/>
  <c r="BO37" i="7"/>
  <c r="BP37" i="7"/>
  <c r="BQ37" i="7"/>
  <c r="BR37" i="7"/>
  <c r="BS37" i="7"/>
  <c r="BT37" i="7"/>
  <c r="AE95" i="17"/>
  <c r="AJ95" i="17"/>
  <c r="AE38" i="7"/>
  <c r="V38" i="7"/>
  <c r="BS32" i="7"/>
  <c r="BJ32" i="7"/>
  <c r="BI32" i="7"/>
  <c r="BG32" i="7"/>
  <c r="BO32" i="7"/>
  <c r="AL32" i="7"/>
  <c r="AM32" i="7"/>
  <c r="AN32" i="7"/>
  <c r="AO32" i="7"/>
  <c r="AP32" i="7"/>
  <c r="AQ32" i="7"/>
  <c r="AR32" i="7"/>
  <c r="AS32" i="7"/>
  <c r="AT32" i="7"/>
  <c r="AU32" i="7"/>
  <c r="AV32" i="7"/>
  <c r="AW32" i="7"/>
  <c r="AX32" i="7"/>
  <c r="BD32" i="7"/>
  <c r="BF32" i="7"/>
  <c r="BH32" i="7"/>
  <c r="BK32" i="7"/>
  <c r="AZ32" i="7"/>
  <c r="W37" i="33"/>
  <c r="X37" i="33"/>
  <c r="BB32" i="7"/>
  <c r="AY32" i="7"/>
  <c r="BR32" i="7"/>
  <c r="BM32" i="7"/>
  <c r="BP32" i="7"/>
  <c r="AH32" i="7"/>
  <c r="BL32" i="7"/>
  <c r="BQ32" i="7"/>
  <c r="Z224" i="15"/>
  <c r="W224" i="15"/>
  <c r="T224" i="15"/>
  <c r="V224" i="15"/>
  <c r="AC224" i="15"/>
  <c r="AB224" i="15"/>
  <c r="Y224" i="15"/>
  <c r="AA224" i="15"/>
  <c r="X224" i="15"/>
  <c r="AC93" i="17"/>
  <c r="AE93" i="17"/>
  <c r="AJ93" i="17"/>
  <c r="AA221" i="15"/>
  <c r="AB221" i="15"/>
  <c r="X221" i="15"/>
  <c r="T221" i="15"/>
  <c r="Z221" i="15"/>
  <c r="Y221" i="15"/>
  <c r="AC221" i="15"/>
  <c r="V221" i="15"/>
  <c r="W221" i="15"/>
  <c r="F40" i="7"/>
  <c r="BO40" i="7"/>
  <c r="BP40" i="7"/>
  <c r="BQ40" i="7"/>
  <c r="BR40" i="7"/>
  <c r="BS40" i="7"/>
  <c r="BT40" i="7"/>
  <c r="AE19" i="7"/>
  <c r="V19" i="7"/>
  <c r="AE17" i="7"/>
  <c r="V17" i="7"/>
  <c r="U11" i="33"/>
  <c r="O27" i="33"/>
  <c r="M27" i="33"/>
  <c r="U47" i="34"/>
  <c r="U6" i="33"/>
  <c r="J27" i="33"/>
  <c r="F10" i="7"/>
  <c r="AE16" i="7"/>
  <c r="E27" i="33"/>
  <c r="W49" i="34"/>
  <c r="L17" i="7"/>
  <c r="BT17" i="7"/>
  <c r="M17" i="7"/>
  <c r="O17" i="7"/>
  <c r="AD17" i="7"/>
  <c r="N17" i="7"/>
  <c r="J17" i="7"/>
  <c r="K17" i="7"/>
  <c r="P17" i="7"/>
  <c r="H17" i="7"/>
  <c r="T17" i="7"/>
  <c r="F19" i="7"/>
  <c r="BO19" i="7"/>
  <c r="BP19" i="7"/>
  <c r="BQ19" i="7"/>
  <c r="BR19" i="7"/>
  <c r="BS19" i="7"/>
  <c r="BT19" i="7"/>
  <c r="R27" i="33"/>
  <c r="F18" i="7"/>
  <c r="AF19" i="7"/>
  <c r="F13" i="7"/>
  <c r="I49" i="34"/>
  <c r="O15" i="7"/>
  <c r="AD15" i="7"/>
  <c r="L15" i="7"/>
  <c r="M15" i="7"/>
  <c r="N15" i="7"/>
  <c r="K15" i="7"/>
  <c r="P15" i="7"/>
  <c r="T15" i="7"/>
  <c r="H15" i="7"/>
  <c r="J15" i="7"/>
  <c r="BT15" i="7"/>
  <c r="X102" i="34"/>
  <c r="T49" i="34"/>
  <c r="F27" i="33"/>
  <c r="M49" i="34"/>
  <c r="AF9" i="17"/>
  <c r="AK11" i="17"/>
  <c r="AI10" i="17"/>
  <c r="AD10" i="17"/>
  <c r="AD9" i="17"/>
  <c r="K16" i="17"/>
  <c r="AI9" i="17"/>
  <c r="T33" i="33"/>
  <c r="T56" i="33"/>
  <c r="J57" i="33"/>
  <c r="J58" i="33"/>
  <c r="M16" i="17"/>
  <c r="K10" i="17"/>
  <c r="M11" i="17"/>
  <c r="X9" i="17"/>
  <c r="L13" i="17"/>
  <c r="M10" i="17"/>
  <c r="K9" i="17"/>
  <c r="M14" i="17"/>
  <c r="K15" i="17"/>
  <c r="Q9" i="17"/>
  <c r="R9" i="17"/>
  <c r="M9" i="17"/>
  <c r="F8" i="7"/>
  <c r="BO8" i="7"/>
  <c r="AD65" i="15"/>
  <c r="AE65" i="15" s="1"/>
  <c r="AD11" i="17"/>
  <c r="AF11" i="17"/>
  <c r="V29" i="7"/>
  <c r="AE29" i="7"/>
  <c r="O29" i="7"/>
  <c r="H29" i="7"/>
  <c r="BT29" i="7"/>
  <c r="M29" i="7"/>
  <c r="L29" i="7"/>
  <c r="N29" i="7"/>
  <c r="K29" i="7"/>
  <c r="P29" i="7"/>
  <c r="J29" i="7"/>
  <c r="AD29" i="7"/>
  <c r="T29" i="7"/>
  <c r="AE10" i="17"/>
  <c r="U33" i="33"/>
  <c r="U100" i="34"/>
  <c r="C48" i="7"/>
  <c r="L13" i="7"/>
  <c r="T13" i="7"/>
  <c r="K13" i="7"/>
  <c r="P13" i="7"/>
  <c r="AD13" i="7"/>
  <c r="J13" i="7"/>
  <c r="BT13" i="7"/>
  <c r="O13" i="7"/>
  <c r="H13" i="7"/>
  <c r="N13" i="7"/>
  <c r="M13" i="7"/>
  <c r="AE13" i="7"/>
  <c r="V13" i="7"/>
  <c r="L15" i="17"/>
  <c r="I27" i="33"/>
  <c r="U10" i="33"/>
  <c r="AE12" i="7"/>
  <c r="V12" i="7"/>
  <c r="H12" i="7"/>
  <c r="M12" i="7"/>
  <c r="O12" i="7"/>
  <c r="K12" i="7"/>
  <c r="P12" i="7"/>
  <c r="AD12" i="7"/>
  <c r="J12" i="7"/>
  <c r="T12" i="7"/>
  <c r="N12" i="7"/>
  <c r="L12" i="7"/>
  <c r="BT12" i="7"/>
  <c r="AI49" i="34"/>
  <c r="G49" i="34"/>
  <c r="AU10" i="7"/>
  <c r="G10" i="7"/>
  <c r="W8" i="33"/>
  <c r="X8" i="33"/>
  <c r="AL10" i="7"/>
  <c r="AT10" i="7"/>
  <c r="AH10" i="7"/>
  <c r="BP10" i="7"/>
  <c r="BO10" i="7"/>
  <c r="AS10" i="7"/>
  <c r="BH10" i="7"/>
  <c r="AP10" i="7"/>
  <c r="BJ10" i="7"/>
  <c r="BS10" i="7"/>
  <c r="AN10" i="7"/>
  <c r="BF10" i="7"/>
  <c r="AO10" i="7"/>
  <c r="AR10" i="7"/>
  <c r="BR10" i="7"/>
  <c r="BG10" i="7"/>
  <c r="AM10" i="7"/>
  <c r="BI10" i="7"/>
  <c r="AV10" i="7"/>
  <c r="BQ10" i="7"/>
  <c r="O49" i="34"/>
  <c r="P49" i="34"/>
  <c r="H27" i="33"/>
  <c r="N27" i="33"/>
  <c r="F49" i="34"/>
  <c r="U7" i="33"/>
  <c r="E49" i="34"/>
  <c r="D27" i="33"/>
  <c r="D26" i="7"/>
  <c r="F6" i="7"/>
  <c r="BO6" i="7"/>
  <c r="BP6" i="7"/>
  <c r="BQ6" i="7"/>
  <c r="BR6" i="7"/>
  <c r="BS6" i="7"/>
  <c r="BT6" i="7"/>
  <c r="C26" i="7"/>
  <c r="BN34" i="7"/>
  <c r="X19" i="7"/>
  <c r="F17" i="7"/>
  <c r="AL17" i="7"/>
  <c r="AM17" i="7"/>
  <c r="AN17" i="7"/>
  <c r="AO17" i="7"/>
  <c r="AP17" i="7"/>
  <c r="AQ17" i="7"/>
  <c r="AZ17" i="7"/>
  <c r="U49" i="34"/>
  <c r="F15" i="7"/>
  <c r="BN20" i="7"/>
  <c r="X40" i="7"/>
  <c r="BN43" i="7"/>
  <c r="X11" i="7"/>
  <c r="AE145" i="17"/>
  <c r="AE35" i="7"/>
  <c r="V35" i="7"/>
  <c r="Y147" i="17"/>
  <c r="AC147" i="17"/>
  <c r="AE147" i="17"/>
  <c r="AJ147" i="17"/>
  <c r="AE46" i="17"/>
  <c r="AJ46" i="17"/>
  <c r="X35" i="7"/>
  <c r="AF35" i="7"/>
  <c r="AL39" i="7"/>
  <c r="AM39" i="7"/>
  <c r="AN39" i="7"/>
  <c r="AO39" i="7"/>
  <c r="AP39" i="7"/>
  <c r="AQ39" i="7"/>
  <c r="AR39" i="7"/>
  <c r="AS39" i="7"/>
  <c r="AT39" i="7"/>
  <c r="AU39" i="7"/>
  <c r="AV39" i="7"/>
  <c r="AW39" i="7"/>
  <c r="AX39" i="7"/>
  <c r="BF39" i="7"/>
  <c r="BD39" i="7"/>
  <c r="BG39" i="7"/>
  <c r="BH39" i="7"/>
  <c r="BM39" i="7"/>
  <c r="BJ39" i="7"/>
  <c r="AY39" i="7"/>
  <c r="BI39" i="7"/>
  <c r="BL39" i="7"/>
  <c r="AH39" i="7"/>
  <c r="BK39" i="7"/>
  <c r="W44" i="33"/>
  <c r="X44" i="33"/>
  <c r="G39" i="7"/>
  <c r="BB39" i="7"/>
  <c r="AZ39" i="7"/>
  <c r="AE48" i="17"/>
  <c r="AJ48" i="17"/>
  <c r="E48" i="7"/>
  <c r="X42" i="7"/>
  <c r="AF42" i="7"/>
  <c r="D48" i="7"/>
  <c r="AC193" i="17"/>
  <c r="AE193" i="17"/>
  <c r="AJ193" i="17"/>
  <c r="AE146" i="17"/>
  <c r="AJ146" i="17"/>
  <c r="K10" i="7"/>
  <c r="P10" i="7"/>
  <c r="AR42" i="7"/>
  <c r="S42" i="7"/>
  <c r="BI42" i="7"/>
  <c r="AQ42" i="7"/>
  <c r="BG42" i="7"/>
  <c r="AO42" i="7"/>
  <c r="BO42" i="7"/>
  <c r="BF42" i="7"/>
  <c r="BM42" i="7"/>
  <c r="BB42" i="7"/>
  <c r="BJ42" i="7"/>
  <c r="Z42" i="7"/>
  <c r="AM42" i="7"/>
  <c r="AY42" i="7"/>
  <c r="G42" i="7"/>
  <c r="BL42" i="7"/>
  <c r="AT42" i="7"/>
  <c r="AP42" i="7"/>
  <c r="BD42" i="7"/>
  <c r="AZ42" i="7"/>
  <c r="R42" i="7"/>
  <c r="AN42" i="7"/>
  <c r="BR42" i="7"/>
  <c r="BQ42" i="7"/>
  <c r="BH42" i="7"/>
  <c r="BK42" i="7"/>
  <c r="AS42" i="7"/>
  <c r="AV42" i="7"/>
  <c r="AX42" i="7"/>
  <c r="AL42" i="7"/>
  <c r="BS42" i="7"/>
  <c r="W47" i="33"/>
  <c r="X47" i="33"/>
  <c r="AH42" i="7"/>
  <c r="AU42" i="7"/>
  <c r="AW42" i="7"/>
  <c r="Q42" i="7"/>
  <c r="BP42" i="7"/>
  <c r="AH145" i="17"/>
  <c r="AW44" i="7"/>
  <c r="Z44" i="7"/>
  <c r="BJ44" i="7"/>
  <c r="BB44" i="7"/>
  <c r="BL44" i="7"/>
  <c r="BD44" i="7"/>
  <c r="BP44" i="7"/>
  <c r="AV44" i="7"/>
  <c r="R44" i="7"/>
  <c r="W49" i="33"/>
  <c r="X49" i="33"/>
  <c r="BS44" i="7"/>
  <c r="BI44" i="7"/>
  <c r="AQ44" i="7"/>
  <c r="AH44" i="7"/>
  <c r="AR44" i="7"/>
  <c r="S44" i="7"/>
  <c r="AM44" i="7"/>
  <c r="AP44" i="7"/>
  <c r="AX44" i="7"/>
  <c r="BR44" i="7"/>
  <c r="BM44" i="7"/>
  <c r="G44" i="7"/>
  <c r="Q44" i="7"/>
  <c r="AL44" i="7"/>
  <c r="BO44" i="7"/>
  <c r="BF44" i="7"/>
  <c r="BQ44" i="7"/>
  <c r="BG44" i="7"/>
  <c r="AT44" i="7"/>
  <c r="BK44" i="7"/>
  <c r="BH44" i="7"/>
  <c r="AS44" i="7"/>
  <c r="AO44" i="7"/>
  <c r="AY44" i="7"/>
  <c r="AN44" i="7"/>
  <c r="AU44" i="7"/>
  <c r="AZ44" i="7"/>
  <c r="BG14" i="7"/>
  <c r="AR14" i="7"/>
  <c r="AS14" i="7"/>
  <c r="AT14" i="7"/>
  <c r="AU14" i="7"/>
  <c r="AV14" i="7"/>
  <c r="AW14" i="7"/>
  <c r="BQ14" i="7"/>
  <c r="AL14" i="7"/>
  <c r="AM14" i="7"/>
  <c r="AN14" i="7"/>
  <c r="AO14" i="7"/>
  <c r="AP14" i="7"/>
  <c r="AQ14" i="7"/>
  <c r="AZ14" i="7"/>
  <c r="AX14" i="7"/>
  <c r="BF14" i="7"/>
  <c r="BH14" i="7"/>
  <c r="BI14" i="7"/>
  <c r="BJ14" i="7"/>
  <c r="BK14" i="7"/>
  <c r="BD14" i="7"/>
  <c r="W12" i="33"/>
  <c r="X12" i="33"/>
  <c r="AY14" i="7"/>
  <c r="G14" i="7"/>
  <c r="BM14" i="7"/>
  <c r="BS14" i="7"/>
  <c r="BO14" i="7"/>
  <c r="BB14" i="7"/>
  <c r="AH14" i="7"/>
  <c r="BP14" i="7"/>
  <c r="BR14" i="7"/>
  <c r="BL14" i="7"/>
  <c r="F12" i="7"/>
  <c r="BQ12" i="7"/>
  <c r="D104" i="17"/>
  <c r="V49" i="34"/>
  <c r="BQ21" i="7"/>
  <c r="BR21" i="7"/>
  <c r="AY21" i="7"/>
  <c r="R21" i="7"/>
  <c r="AP21" i="7"/>
  <c r="Q21" i="7"/>
  <c r="W19" i="33"/>
  <c r="X19" i="33"/>
  <c r="BP21" i="7"/>
  <c r="BK21" i="7"/>
  <c r="BI21" i="7"/>
  <c r="AQ21" i="7"/>
  <c r="AW21" i="7"/>
  <c r="AT21" i="7"/>
  <c r="AX21" i="7"/>
  <c r="BL21" i="7"/>
  <c r="BM21" i="7"/>
  <c r="BH21" i="7"/>
  <c r="Z21" i="7"/>
  <c r="AN21" i="7"/>
  <c r="BD21" i="7"/>
  <c r="AU21" i="7"/>
  <c r="BG21" i="7"/>
  <c r="AM21" i="7"/>
  <c r="AR21" i="7"/>
  <c r="AO21" i="7"/>
  <c r="BB21" i="7"/>
  <c r="BO21" i="7"/>
  <c r="AZ21" i="7"/>
  <c r="BF21" i="7"/>
  <c r="AH21" i="7"/>
  <c r="BS21" i="7"/>
  <c r="AS21" i="7"/>
  <c r="S21" i="7"/>
  <c r="AL21" i="7"/>
  <c r="AV21" i="7"/>
  <c r="BJ21" i="7"/>
  <c r="G21" i="7"/>
  <c r="U102" i="34"/>
  <c r="AC191" i="17"/>
  <c r="AE191" i="17"/>
  <c r="AJ191" i="17"/>
  <c r="AN8" i="7"/>
  <c r="V24" i="33"/>
  <c r="AE171" i="17"/>
  <c r="AJ171" i="17"/>
  <c r="BH37" i="7"/>
  <c r="AL37" i="7"/>
  <c r="BF37" i="7"/>
  <c r="BG37" i="7"/>
  <c r="BI37" i="7"/>
  <c r="BJ37" i="7"/>
  <c r="BK37" i="7"/>
  <c r="AR37" i="7"/>
  <c r="AS37" i="7"/>
  <c r="AT37" i="7"/>
  <c r="AU37" i="7"/>
  <c r="AV37" i="7"/>
  <c r="AW37" i="7"/>
  <c r="BB37" i="7"/>
  <c r="AH37" i="7"/>
  <c r="AM37" i="7"/>
  <c r="AY37" i="7"/>
  <c r="BM37" i="7"/>
  <c r="BL37" i="7"/>
  <c r="AN37" i="7"/>
  <c r="AO37" i="7"/>
  <c r="AP37" i="7"/>
  <c r="AQ37" i="7"/>
  <c r="AZ37" i="7"/>
  <c r="AX37" i="7"/>
  <c r="BD37" i="7"/>
  <c r="W42" i="33"/>
  <c r="X42" i="33"/>
  <c r="G37" i="7"/>
  <c r="AV41" i="7"/>
  <c r="AT41" i="7"/>
  <c r="AU41" i="7"/>
  <c r="BH41" i="7"/>
  <c r="BG41" i="7"/>
  <c r="BL41" i="7"/>
  <c r="BQ41" i="7"/>
  <c r="BO41" i="7"/>
  <c r="BI41" i="7"/>
  <c r="BP41" i="7"/>
  <c r="AR41" i="7"/>
  <c r="BF41" i="7"/>
  <c r="BJ41" i="7"/>
  <c r="BK41" i="7"/>
  <c r="BM41" i="7"/>
  <c r="AL41" i="7"/>
  <c r="AM41" i="7"/>
  <c r="AN41" i="7"/>
  <c r="AO41" i="7"/>
  <c r="AP41" i="7"/>
  <c r="AQ41" i="7"/>
  <c r="AS41" i="7"/>
  <c r="AW41" i="7"/>
  <c r="AX41" i="7"/>
  <c r="BB41" i="7"/>
  <c r="BS41" i="7"/>
  <c r="AY41" i="7"/>
  <c r="BD41" i="7"/>
  <c r="AZ41" i="7"/>
  <c r="AH41" i="7"/>
  <c r="W46" i="33"/>
  <c r="X46" i="33"/>
  <c r="BR41" i="7"/>
  <c r="G41" i="7"/>
  <c r="U222" i="15"/>
  <c r="I44" i="7"/>
  <c r="X220" i="15"/>
  <c r="X222" i="15"/>
  <c r="AA220" i="15"/>
  <c r="AA222" i="15"/>
  <c r="AC220" i="15"/>
  <c r="AC222" i="15"/>
  <c r="AB220" i="15"/>
  <c r="AB222" i="15"/>
  <c r="W220" i="15"/>
  <c r="W222" i="15"/>
  <c r="T220" i="15"/>
  <c r="T222" i="15"/>
  <c r="V220" i="15"/>
  <c r="V222" i="15"/>
  <c r="Z220" i="15"/>
  <c r="Z222" i="15"/>
  <c r="AG25" i="17"/>
  <c r="Y220" i="15"/>
  <c r="Y222" i="15"/>
  <c r="X45" i="7"/>
  <c r="AF45" i="7"/>
  <c r="U56" i="33"/>
  <c r="W148" i="17"/>
  <c r="AE148" i="17"/>
  <c r="AJ148" i="17"/>
  <c r="U216" i="15"/>
  <c r="I42" i="7"/>
  <c r="AB214" i="15"/>
  <c r="AB216" i="15"/>
  <c r="T214" i="15"/>
  <c r="T216" i="15"/>
  <c r="AG23" i="17"/>
  <c r="Y214" i="15"/>
  <c r="Y216" i="15"/>
  <c r="AA214" i="15"/>
  <c r="AA216" i="15"/>
  <c r="W214" i="15"/>
  <c r="W216" i="15"/>
  <c r="Z214" i="15"/>
  <c r="Z216" i="15"/>
  <c r="X214" i="15"/>
  <c r="X216" i="15"/>
  <c r="AC214" i="15"/>
  <c r="AC216" i="15"/>
  <c r="V214" i="15"/>
  <c r="V216" i="15"/>
  <c r="V53" i="33"/>
  <c r="BN32" i="7"/>
  <c r="Y148" i="17"/>
  <c r="AC148" i="17"/>
  <c r="BG31" i="7"/>
  <c r="AV31" i="7"/>
  <c r="AR31" i="7"/>
  <c r="AS31" i="7"/>
  <c r="AT31" i="7"/>
  <c r="AU31" i="7"/>
  <c r="AW31" i="7"/>
  <c r="AL31" i="7"/>
  <c r="AM31" i="7"/>
  <c r="AN31" i="7"/>
  <c r="AO31" i="7"/>
  <c r="AP31" i="7"/>
  <c r="AQ31" i="7"/>
  <c r="BP31" i="7"/>
  <c r="BH31" i="7"/>
  <c r="BL31" i="7"/>
  <c r="BF31" i="7"/>
  <c r="BI31" i="7"/>
  <c r="BJ31" i="7"/>
  <c r="BK31" i="7"/>
  <c r="BB31" i="7"/>
  <c r="BM31" i="7"/>
  <c r="W36" i="33"/>
  <c r="X36" i="33"/>
  <c r="BR31" i="7"/>
  <c r="AZ31" i="7"/>
  <c r="AX31" i="7"/>
  <c r="BD31" i="7"/>
  <c r="AH31" i="7"/>
  <c r="BO31" i="7"/>
  <c r="BQ31" i="7"/>
  <c r="BS31" i="7"/>
  <c r="AY31" i="7"/>
  <c r="G31" i="7"/>
  <c r="AC194" i="17"/>
  <c r="AE194" i="17"/>
  <c r="AJ194" i="17"/>
  <c r="BP38" i="7"/>
  <c r="AP38" i="7"/>
  <c r="AM38" i="7"/>
  <c r="AU38" i="7"/>
  <c r="AY38" i="7"/>
  <c r="AH38" i="7"/>
  <c r="BS38" i="7"/>
  <c r="AO38" i="7"/>
  <c r="BR38" i="7"/>
  <c r="AN38" i="7"/>
  <c r="BJ38" i="7"/>
  <c r="BH38" i="7"/>
  <c r="BG38" i="7"/>
  <c r="BF38" i="7"/>
  <c r="AR38" i="7"/>
  <c r="AS38" i="7"/>
  <c r="AT38" i="7"/>
  <c r="AV38" i="7"/>
  <c r="AW38" i="7"/>
  <c r="BM38" i="7"/>
  <c r="W43" i="33"/>
  <c r="X43" i="33"/>
  <c r="BL38" i="7"/>
  <c r="BI38" i="7"/>
  <c r="BK38" i="7"/>
  <c r="BB38" i="7"/>
  <c r="BQ38" i="7"/>
  <c r="BO38" i="7"/>
  <c r="AL38" i="7"/>
  <c r="AQ38" i="7"/>
  <c r="AX38" i="7"/>
  <c r="BD38" i="7"/>
  <c r="AZ38" i="7"/>
  <c r="G38" i="7"/>
  <c r="U219" i="15"/>
  <c r="I43" i="7"/>
  <c r="AG24" i="17"/>
  <c r="T217" i="15"/>
  <c r="T219" i="15"/>
  <c r="Y217" i="15"/>
  <c r="Y219" i="15"/>
  <c r="X217" i="15"/>
  <c r="X219" i="15"/>
  <c r="AA217" i="15"/>
  <c r="AA219" i="15"/>
  <c r="Z217" i="15"/>
  <c r="Z219" i="15"/>
  <c r="W217" i="15"/>
  <c r="W219" i="15"/>
  <c r="AC217" i="15"/>
  <c r="AC219" i="15"/>
  <c r="V217" i="15"/>
  <c r="V219" i="15"/>
  <c r="AB217" i="15"/>
  <c r="AB219" i="15"/>
  <c r="F33" i="7"/>
  <c r="AP45" i="7"/>
  <c r="BL45" i="7"/>
  <c r="BS45" i="7"/>
  <c r="BK45" i="7"/>
  <c r="BB45" i="7"/>
  <c r="S45" i="7"/>
  <c r="BH45" i="7"/>
  <c r="BQ45" i="7"/>
  <c r="AH45" i="7"/>
  <c r="Q45" i="7"/>
  <c r="AY45" i="7"/>
  <c r="AX45" i="7"/>
  <c r="BJ45" i="7"/>
  <c r="BR45" i="7"/>
  <c r="AV45" i="7"/>
  <c r="AS45" i="7"/>
  <c r="AR45" i="7"/>
  <c r="BF45" i="7"/>
  <c r="BN45" i="7"/>
  <c r="AO45" i="7"/>
  <c r="W50" i="33"/>
  <c r="X50" i="33"/>
  <c r="AU45" i="7"/>
  <c r="BD45" i="7"/>
  <c r="AZ45" i="7"/>
  <c r="AN45" i="7"/>
  <c r="R45" i="7"/>
  <c r="AL45" i="7"/>
  <c r="BM45" i="7"/>
  <c r="AQ45" i="7"/>
  <c r="BP45" i="7"/>
  <c r="AW45" i="7"/>
  <c r="BG45" i="7"/>
  <c r="BI45" i="7"/>
  <c r="BO45" i="7"/>
  <c r="AT45" i="7"/>
  <c r="Z45" i="7"/>
  <c r="AM45" i="7"/>
  <c r="G45" i="7"/>
  <c r="BH40" i="7"/>
  <c r="AL40" i="7"/>
  <c r="AM40" i="7"/>
  <c r="AN40" i="7"/>
  <c r="AO40" i="7"/>
  <c r="AP40" i="7"/>
  <c r="AQ40" i="7"/>
  <c r="AZ40" i="7"/>
  <c r="AH40" i="7"/>
  <c r="AR40" i="7"/>
  <c r="AS40" i="7"/>
  <c r="AT40" i="7"/>
  <c r="AU40" i="7"/>
  <c r="AV40" i="7"/>
  <c r="AW40" i="7"/>
  <c r="AY40" i="7"/>
  <c r="AX40" i="7"/>
  <c r="BF40" i="7"/>
  <c r="BD40" i="7"/>
  <c r="BG40" i="7"/>
  <c r="BM40" i="7"/>
  <c r="BB40" i="7"/>
  <c r="BI40" i="7"/>
  <c r="BJ40" i="7"/>
  <c r="BK40" i="7"/>
  <c r="BL40" i="7"/>
  <c r="W45" i="33"/>
  <c r="X45" i="33"/>
  <c r="G40" i="7"/>
  <c r="U225" i="15"/>
  <c r="I45" i="7"/>
  <c r="Z223" i="15"/>
  <c r="Z225" i="15"/>
  <c r="Y223" i="15"/>
  <c r="Y225" i="15"/>
  <c r="AB223" i="15"/>
  <c r="AB225" i="15"/>
  <c r="W223" i="15"/>
  <c r="W225" i="15"/>
  <c r="X223" i="15"/>
  <c r="X225" i="15"/>
  <c r="V223" i="15"/>
  <c r="V225" i="15"/>
  <c r="AA223" i="15"/>
  <c r="AA225" i="15"/>
  <c r="AG26" i="17"/>
  <c r="T223" i="15"/>
  <c r="T225" i="15"/>
  <c r="AC223" i="15"/>
  <c r="AC225" i="15"/>
  <c r="AH17" i="7"/>
  <c r="AU17" i="7"/>
  <c r="BF17" i="7"/>
  <c r="BG17" i="7"/>
  <c r="BH17" i="7"/>
  <c r="BI17" i="7"/>
  <c r="BJ17" i="7"/>
  <c r="BK17" i="7"/>
  <c r="BO17" i="7"/>
  <c r="AT17" i="7"/>
  <c r="BL17" i="7"/>
  <c r="G17" i="7"/>
  <c r="BP15" i="7"/>
  <c r="BO15" i="7"/>
  <c r="AR15" i="7"/>
  <c r="AS15" i="7"/>
  <c r="AT15" i="7"/>
  <c r="AU15" i="7"/>
  <c r="AV15" i="7"/>
  <c r="AW15" i="7"/>
  <c r="BB15" i="7"/>
  <c r="AL15" i="7"/>
  <c r="AM15" i="7"/>
  <c r="AN15" i="7"/>
  <c r="AO15" i="7"/>
  <c r="AP15" i="7"/>
  <c r="AQ15" i="7"/>
  <c r="AX15" i="7"/>
  <c r="BD15" i="7"/>
  <c r="BR15" i="7"/>
  <c r="AH15" i="7"/>
  <c r="W13" i="33"/>
  <c r="X13" i="33"/>
  <c r="BQ15" i="7"/>
  <c r="BH15" i="7"/>
  <c r="BI15" i="7"/>
  <c r="BG15" i="7"/>
  <c r="BM15" i="7"/>
  <c r="BF15" i="7"/>
  <c r="BJ15" i="7"/>
  <c r="BS15" i="7"/>
  <c r="AY15" i="7"/>
  <c r="AZ15" i="7"/>
  <c r="BL15" i="7"/>
  <c r="BK15" i="7"/>
  <c r="G15" i="7"/>
  <c r="BI16" i="7"/>
  <c r="AR16" i="7"/>
  <c r="AS16" i="7"/>
  <c r="AT16" i="7"/>
  <c r="AU16" i="7"/>
  <c r="AV16" i="7"/>
  <c r="AW16" i="7"/>
  <c r="BG16" i="7"/>
  <c r="BH16" i="7"/>
  <c r="BM16" i="7"/>
  <c r="AM16" i="7"/>
  <c r="BF16" i="7"/>
  <c r="BJ16" i="7"/>
  <c r="BK16" i="7"/>
  <c r="AY16" i="7"/>
  <c r="AN16" i="7"/>
  <c r="AL16" i="7"/>
  <c r="AO16" i="7"/>
  <c r="AP16" i="7"/>
  <c r="AQ16" i="7"/>
  <c r="AX16" i="7"/>
  <c r="BD16" i="7"/>
  <c r="BL16" i="7"/>
  <c r="BB16" i="7"/>
  <c r="AZ16" i="7"/>
  <c r="W14" i="33"/>
  <c r="X14" i="33"/>
  <c r="AH16" i="7"/>
  <c r="G16" i="7"/>
  <c r="AU18" i="7"/>
  <c r="BG18" i="7"/>
  <c r="BO18" i="7"/>
  <c r="AH18" i="7"/>
  <c r="AR18" i="7"/>
  <c r="AS18" i="7"/>
  <c r="AT18" i="7"/>
  <c r="AV18" i="7"/>
  <c r="AW18" i="7"/>
  <c r="BH18" i="7"/>
  <c r="BM18" i="7"/>
  <c r="BI18" i="7"/>
  <c r="AO18" i="7"/>
  <c r="AM18" i="7"/>
  <c r="BL18" i="7"/>
  <c r="AL18" i="7"/>
  <c r="AN18" i="7"/>
  <c r="AP18" i="7"/>
  <c r="AQ18" i="7"/>
  <c r="AX18" i="7"/>
  <c r="BF18" i="7"/>
  <c r="BJ18" i="7"/>
  <c r="BK18" i="7"/>
  <c r="AY18" i="7"/>
  <c r="BQ18" i="7"/>
  <c r="BR18" i="7"/>
  <c r="W16" i="33"/>
  <c r="X16" i="33"/>
  <c r="AZ18" i="7"/>
  <c r="BB18" i="7"/>
  <c r="BS18" i="7"/>
  <c r="BD18" i="7"/>
  <c r="BP18" i="7"/>
  <c r="G18" i="7"/>
  <c r="AP19" i="7"/>
  <c r="AV19" i="7"/>
  <c r="BH19" i="7"/>
  <c r="AM19" i="7"/>
  <c r="AU19" i="7"/>
  <c r="AY19" i="7"/>
  <c r="AL19" i="7"/>
  <c r="AS19" i="7"/>
  <c r="W17" i="33"/>
  <c r="X17" i="33"/>
  <c r="AH19" i="7"/>
  <c r="AN19" i="7"/>
  <c r="AO19" i="7"/>
  <c r="AQ19" i="7"/>
  <c r="AR19" i="7"/>
  <c r="AT19" i="7"/>
  <c r="AW19" i="7"/>
  <c r="AX19" i="7"/>
  <c r="BF19" i="7"/>
  <c r="BG19" i="7"/>
  <c r="BI19" i="7"/>
  <c r="BJ19" i="7"/>
  <c r="BK19" i="7"/>
  <c r="BD19" i="7"/>
  <c r="BB19" i="7"/>
  <c r="BM19" i="7"/>
  <c r="BL19" i="7"/>
  <c r="G19" i="7"/>
  <c r="AZ19" i="7"/>
  <c r="F28" i="7"/>
  <c r="AT28" i="7"/>
  <c r="H10" i="7"/>
  <c r="O10" i="7"/>
  <c r="W6" i="33"/>
  <c r="X6" i="33"/>
  <c r="U27" i="33"/>
  <c r="M10" i="7"/>
  <c r="J29" i="33"/>
  <c r="BJ8" i="7"/>
  <c r="X9" i="7"/>
  <c r="AF9" i="7"/>
  <c r="E26" i="7"/>
  <c r="O8" i="7"/>
  <c r="T28" i="7"/>
  <c r="H8" i="7"/>
  <c r="J8" i="7"/>
  <c r="M8" i="7"/>
  <c r="T10" i="7"/>
  <c r="T8" i="7"/>
  <c r="M30" i="7"/>
  <c r="AS6" i="7"/>
  <c r="BI8" i="7"/>
  <c r="BR8" i="7"/>
  <c r="AP8" i="7"/>
  <c r="AV8" i="7"/>
  <c r="AO8" i="7"/>
  <c r="O30" i="7"/>
  <c r="BH8" i="7"/>
  <c r="AU8" i="7"/>
  <c r="H30" i="7"/>
  <c r="BS8" i="7"/>
  <c r="BP8" i="7"/>
  <c r="BT8" i="7"/>
  <c r="L30" i="7"/>
  <c r="AR8" i="7"/>
  <c r="BQ8" i="7"/>
  <c r="BG8" i="7"/>
  <c r="AT8" i="7"/>
  <c r="BM8" i="7"/>
  <c r="AL8" i="7"/>
  <c r="AM8" i="7"/>
  <c r="AQ8" i="7"/>
  <c r="AZ8" i="7"/>
  <c r="J30" i="7"/>
  <c r="G8" i="7"/>
  <c r="AH8" i="7"/>
  <c r="Q13" i="17"/>
  <c r="R13" i="17"/>
  <c r="M13" i="17"/>
  <c r="BF8" i="7"/>
  <c r="BK8" i="7"/>
  <c r="AY8" i="7"/>
  <c r="AS8" i="7"/>
  <c r="Q15" i="17"/>
  <c r="M15" i="17"/>
  <c r="L10" i="7"/>
  <c r="F7" i="7"/>
  <c r="AY10" i="7"/>
  <c r="T30" i="7"/>
  <c r="M28" i="7"/>
  <c r="H28" i="7"/>
  <c r="O28" i="7"/>
  <c r="J28" i="7"/>
  <c r="K28" i="7"/>
  <c r="L28" i="7"/>
  <c r="F30" i="7"/>
  <c r="AL30" i="7"/>
  <c r="AJ10" i="17"/>
  <c r="AF10" i="17"/>
  <c r="BL10" i="7"/>
  <c r="AW8" i="7"/>
  <c r="BB8" i="7"/>
  <c r="AQ10" i="7"/>
  <c r="AZ10" i="7"/>
  <c r="BK10" i="7"/>
  <c r="BM10" i="7"/>
  <c r="AW10" i="7"/>
  <c r="BB10" i="7"/>
  <c r="BT10" i="7"/>
  <c r="BN10" i="7"/>
  <c r="F29" i="7"/>
  <c r="AM28" i="7"/>
  <c r="BO13" i="7"/>
  <c r="AT13" i="7"/>
  <c r="AL13" i="7"/>
  <c r="AM13" i="7"/>
  <c r="AN13" i="7"/>
  <c r="AO13" i="7"/>
  <c r="AP13" i="7"/>
  <c r="AQ13" i="7"/>
  <c r="AZ13" i="7"/>
  <c r="BH13" i="7"/>
  <c r="BG13" i="7"/>
  <c r="AU13" i="7"/>
  <c r="BL13" i="7"/>
  <c r="AR13" i="7"/>
  <c r="AS13" i="7"/>
  <c r="AV13" i="7"/>
  <c r="AW13" i="7"/>
  <c r="BJ13" i="7"/>
  <c r="AY13" i="7"/>
  <c r="BS13" i="7"/>
  <c r="BI13" i="7"/>
  <c r="BM13" i="7"/>
  <c r="AH13" i="7"/>
  <c r="W11" i="33"/>
  <c r="X11" i="33"/>
  <c r="BR13" i="7"/>
  <c r="BQ13" i="7"/>
  <c r="AX13" i="7"/>
  <c r="BD13" i="7"/>
  <c r="BP13" i="7"/>
  <c r="BB13" i="7"/>
  <c r="G13" i="7"/>
  <c r="BF13" i="7"/>
  <c r="BK13" i="7"/>
  <c r="AT12" i="7"/>
  <c r="AU12" i="7"/>
  <c r="BG12" i="7"/>
  <c r="BH12" i="7"/>
  <c r="BM12" i="7"/>
  <c r="AL12" i="7"/>
  <c r="AM12" i="7"/>
  <c r="AN12" i="7"/>
  <c r="AO12" i="7"/>
  <c r="AP12" i="7"/>
  <c r="AQ12" i="7"/>
  <c r="AR12" i="7"/>
  <c r="AS12" i="7"/>
  <c r="AV12" i="7"/>
  <c r="AW12" i="7"/>
  <c r="AX12" i="7"/>
  <c r="BD12" i="7"/>
  <c r="BF12" i="7"/>
  <c r="BI12" i="7"/>
  <c r="BJ12" i="7"/>
  <c r="BK12" i="7"/>
  <c r="L8" i="7"/>
  <c r="J10" i="7"/>
  <c r="AU11" i="7"/>
  <c r="AL11" i="7"/>
  <c r="AM11" i="7"/>
  <c r="AN11" i="7"/>
  <c r="AO11" i="7"/>
  <c r="AP11" i="7"/>
  <c r="AQ11" i="7"/>
  <c r="AR11" i="7"/>
  <c r="AS11" i="7"/>
  <c r="AT11" i="7"/>
  <c r="AV11" i="7"/>
  <c r="AW11" i="7"/>
  <c r="AX11" i="7"/>
  <c r="AY11" i="7"/>
  <c r="G11" i="7"/>
  <c r="BI11" i="7"/>
  <c r="BH11" i="7"/>
  <c r="BG11" i="7"/>
  <c r="BL11" i="7"/>
  <c r="BJ11" i="7"/>
  <c r="BM11" i="7"/>
  <c r="BF11" i="7"/>
  <c r="BK11" i="7"/>
  <c r="AH11" i="7"/>
  <c r="BD11" i="7"/>
  <c r="BB11" i="7"/>
  <c r="W9" i="33"/>
  <c r="X9" i="33"/>
  <c r="AZ11" i="7"/>
  <c r="R57" i="33"/>
  <c r="BN40" i="7"/>
  <c r="AV17" i="7"/>
  <c r="AS17" i="7"/>
  <c r="BS17" i="7"/>
  <c r="BR17" i="7"/>
  <c r="AR17" i="7"/>
  <c r="BN17" i="7"/>
  <c r="W15" i="33"/>
  <c r="X15" i="33"/>
  <c r="BM17" i="7"/>
  <c r="AW17" i="7"/>
  <c r="AX17" i="7"/>
  <c r="AY17" i="7"/>
  <c r="BD17" i="7"/>
  <c r="BQ17" i="7"/>
  <c r="BB17" i="7"/>
  <c r="BP17" i="7"/>
  <c r="BN21" i="7"/>
  <c r="BN39" i="7"/>
  <c r="BN38" i="7"/>
  <c r="BR12" i="7"/>
  <c r="BO12" i="7"/>
  <c r="G12" i="7"/>
  <c r="AZ12" i="7"/>
  <c r="BB12" i="7"/>
  <c r="BP12" i="7"/>
  <c r="W10" i="33"/>
  <c r="X10" i="33"/>
  <c r="BS12" i="7"/>
  <c r="BL12" i="7"/>
  <c r="AH12" i="7"/>
  <c r="AY12" i="7"/>
  <c r="BN12" i="7"/>
  <c r="W104" i="17"/>
  <c r="G35" i="7"/>
  <c r="AU35" i="7"/>
  <c r="AO35" i="7"/>
  <c r="AS35" i="7"/>
  <c r="AR35" i="7"/>
  <c r="AT35" i="7"/>
  <c r="AV35" i="7"/>
  <c r="AW35" i="7"/>
  <c r="BG35" i="7"/>
  <c r="BH35" i="7"/>
  <c r="BM35" i="7"/>
  <c r="AL35" i="7"/>
  <c r="AM35" i="7"/>
  <c r="AN35" i="7"/>
  <c r="AP35" i="7"/>
  <c r="AQ35" i="7"/>
  <c r="AX35" i="7"/>
  <c r="AZ35" i="7"/>
  <c r="AH35" i="7"/>
  <c r="BL35" i="7"/>
  <c r="BJ35" i="7"/>
  <c r="BF35" i="7"/>
  <c r="BI35" i="7"/>
  <c r="BK35" i="7"/>
  <c r="W40" i="33"/>
  <c r="X40" i="33"/>
  <c r="BB35" i="7"/>
  <c r="BD35" i="7"/>
  <c r="AY35" i="7"/>
  <c r="BN44" i="7"/>
  <c r="F36" i="7"/>
  <c r="BN42" i="7"/>
  <c r="AJ145" i="17"/>
  <c r="BN14" i="7"/>
  <c r="AL28" i="7"/>
  <c r="AN28" i="7"/>
  <c r="AO28" i="7"/>
  <c r="AP28" i="7"/>
  <c r="AQ28" i="7"/>
  <c r="W33" i="33"/>
  <c r="X33" i="33"/>
  <c r="G28" i="7"/>
  <c r="AH28" i="7"/>
  <c r="BF28" i="7"/>
  <c r="U57" i="33"/>
  <c r="BN37" i="7"/>
  <c r="BQ28" i="7"/>
  <c r="AS28" i="7"/>
  <c r="AU28" i="7"/>
  <c r="AY28" i="7"/>
  <c r="BN31" i="7"/>
  <c r="BN41" i="7"/>
  <c r="BN15" i="7"/>
  <c r="BN18" i="7"/>
  <c r="BN19" i="7"/>
  <c r="BN16" i="7"/>
  <c r="BO28" i="7"/>
  <c r="BG28" i="7"/>
  <c r="BH28" i="7"/>
  <c r="BI28" i="7"/>
  <c r="BJ28" i="7"/>
  <c r="BK28" i="7"/>
  <c r="BS33" i="7"/>
  <c r="BO33" i="7"/>
  <c r="BI33" i="7"/>
  <c r="AP33" i="7"/>
  <c r="BP33" i="7"/>
  <c r="BG33" i="7"/>
  <c r="AL33" i="7"/>
  <c r="AM33" i="7"/>
  <c r="AN33" i="7"/>
  <c r="AO33" i="7"/>
  <c r="AQ33" i="7"/>
  <c r="AZ33" i="7"/>
  <c r="AT33" i="7"/>
  <c r="AR33" i="7"/>
  <c r="AU33" i="7"/>
  <c r="BH33" i="7"/>
  <c r="BM33" i="7"/>
  <c r="BQ33" i="7"/>
  <c r="AS33" i="7"/>
  <c r="AV33" i="7"/>
  <c r="AW33" i="7"/>
  <c r="AX33" i="7"/>
  <c r="BF33" i="7"/>
  <c r="BJ33" i="7"/>
  <c r="BK33" i="7"/>
  <c r="BB33" i="7"/>
  <c r="AY33" i="7"/>
  <c r="BL33" i="7"/>
  <c r="BD33" i="7"/>
  <c r="W38" i="33"/>
  <c r="X38" i="33"/>
  <c r="AH33" i="7"/>
  <c r="BR33" i="7"/>
  <c r="G33" i="7"/>
  <c r="F48" i="7"/>
  <c r="BN8" i="7"/>
  <c r="BS28" i="7"/>
  <c r="BP28" i="7"/>
  <c r="AR28" i="7"/>
  <c r="AV28" i="7"/>
  <c r="AW28" i="7"/>
  <c r="BB28" i="7"/>
  <c r="BR28" i="7"/>
  <c r="BM28" i="7"/>
  <c r="BJ6" i="7"/>
  <c r="BG6" i="7"/>
  <c r="G6" i="7"/>
  <c r="AR6" i="7"/>
  <c r="AT6" i="7"/>
  <c r="AU6" i="7"/>
  <c r="AV6" i="7"/>
  <c r="AW6" i="7"/>
  <c r="BB6" i="7"/>
  <c r="U28" i="33"/>
  <c r="BH6" i="7"/>
  <c r="AL6" i="7"/>
  <c r="AO6" i="7"/>
  <c r="AN6" i="7"/>
  <c r="BM6" i="7"/>
  <c r="BF6" i="7"/>
  <c r="W4" i="33"/>
  <c r="X4" i="33"/>
  <c r="AM6" i="7"/>
  <c r="AP6" i="7"/>
  <c r="AQ6" i="7"/>
  <c r="AH6" i="7"/>
  <c r="BI6" i="7"/>
  <c r="BK6" i="7"/>
  <c r="AX6" i="7"/>
  <c r="BD6" i="7"/>
  <c r="BI30" i="7"/>
  <c r="G9" i="7"/>
  <c r="AO9" i="7"/>
  <c r="AT9" i="7"/>
  <c r="AU9" i="7"/>
  <c r="BG9" i="7"/>
  <c r="BH9" i="7"/>
  <c r="BM9" i="7"/>
  <c r="AS9" i="7"/>
  <c r="AL9" i="7"/>
  <c r="AM9" i="7"/>
  <c r="AN9" i="7"/>
  <c r="AP9" i="7"/>
  <c r="AQ9" i="7"/>
  <c r="AZ9" i="7"/>
  <c r="BL9" i="7"/>
  <c r="BI9" i="7"/>
  <c r="AR9" i="7"/>
  <c r="BF9" i="7"/>
  <c r="BJ9" i="7"/>
  <c r="BK9" i="7"/>
  <c r="AV9" i="7"/>
  <c r="AW9" i="7"/>
  <c r="AX9" i="7"/>
  <c r="AH9" i="7"/>
  <c r="BB9" i="7"/>
  <c r="BD9" i="7"/>
  <c r="AY9" i="7"/>
  <c r="W7" i="33"/>
  <c r="X7" i="33"/>
  <c r="AY6" i="7"/>
  <c r="AZ6" i="7"/>
  <c r="BL6" i="7"/>
  <c r="AD30" i="7"/>
  <c r="K8" i="7"/>
  <c r="K30" i="7"/>
  <c r="P30" i="7"/>
  <c r="BL8" i="7"/>
  <c r="AT7" i="7"/>
  <c r="AU7" i="7"/>
  <c r="BH7" i="7"/>
  <c r="BG7" i="7"/>
  <c r="BL7" i="7"/>
  <c r="BF7" i="7"/>
  <c r="BI7" i="7"/>
  <c r="BJ7" i="7"/>
  <c r="BK7" i="7"/>
  <c r="G7" i="7"/>
  <c r="AL7" i="7"/>
  <c r="AM7" i="7"/>
  <c r="AN7" i="7"/>
  <c r="AO7" i="7"/>
  <c r="AP7" i="7"/>
  <c r="AQ7" i="7"/>
  <c r="AZ7" i="7"/>
  <c r="BM7" i="7"/>
  <c r="BR7" i="7"/>
  <c r="AR7" i="7"/>
  <c r="AS7" i="7"/>
  <c r="AV7" i="7"/>
  <c r="AW7" i="7"/>
  <c r="AX7" i="7"/>
  <c r="AY7" i="7"/>
  <c r="BP7" i="7"/>
  <c r="AH7" i="7"/>
  <c r="BS7" i="7"/>
  <c r="W5" i="33"/>
  <c r="X5" i="33"/>
  <c r="BD7" i="7"/>
  <c r="BO7" i="7"/>
  <c r="BQ7" i="7"/>
  <c r="BB7" i="7"/>
  <c r="F26" i="7"/>
  <c r="AQ26" i="7"/>
  <c r="AZ26" i="7"/>
  <c r="BT26" i="7"/>
  <c r="D5" i="17"/>
  <c r="R15" i="17"/>
  <c r="AX28" i="7"/>
  <c r="BD28" i="7"/>
  <c r="AZ28" i="7"/>
  <c r="BT28" i="7"/>
  <c r="BL28" i="7"/>
  <c r="AR30" i="7"/>
  <c r="P28" i="7"/>
  <c r="N28" i="7"/>
  <c r="BF30" i="7"/>
  <c r="BG30" i="7"/>
  <c r="AN30" i="7"/>
  <c r="AU30" i="7"/>
  <c r="AM30" i="7"/>
  <c r="AY30" i="7"/>
  <c r="BH30" i="7"/>
  <c r="W35" i="33"/>
  <c r="X35" i="33"/>
  <c r="BR30" i="7"/>
  <c r="AS30" i="7"/>
  <c r="AH30" i="7"/>
  <c r="BJ30" i="7"/>
  <c r="BQ30" i="7"/>
  <c r="AP30" i="7"/>
  <c r="BP30" i="7"/>
  <c r="AO30" i="7"/>
  <c r="AQ30" i="7"/>
  <c r="AZ30" i="7"/>
  <c r="N10" i="7"/>
  <c r="AT30" i="7"/>
  <c r="AV30" i="7"/>
  <c r="BS30" i="7"/>
  <c r="G30" i="7"/>
  <c r="BO30" i="7"/>
  <c r="W5" i="17"/>
  <c r="AK10" i="17"/>
  <c r="BN13" i="7"/>
  <c r="AX8" i="7"/>
  <c r="BD8" i="7"/>
  <c r="AD10" i="7"/>
  <c r="AD8" i="7"/>
  <c r="BN11" i="7"/>
  <c r="AX10" i="7"/>
  <c r="BD10" i="7"/>
  <c r="BP29" i="7"/>
  <c r="AU29" i="7"/>
  <c r="AL29" i="7"/>
  <c r="AM29" i="7"/>
  <c r="AN29" i="7"/>
  <c r="AO29" i="7"/>
  <c r="AP29" i="7"/>
  <c r="AQ29" i="7"/>
  <c r="AZ29" i="7"/>
  <c r="BO29" i="7"/>
  <c r="AT29" i="7"/>
  <c r="AR29" i="7"/>
  <c r="AS29" i="7"/>
  <c r="AV29" i="7"/>
  <c r="AW29" i="7"/>
  <c r="AY29" i="7"/>
  <c r="W34" i="33"/>
  <c r="X34" i="33"/>
  <c r="AH29" i="7"/>
  <c r="BJ29" i="7"/>
  <c r="G29" i="7"/>
  <c r="BI29" i="7"/>
  <c r="BG29" i="7"/>
  <c r="BH29" i="7"/>
  <c r="BM29" i="7"/>
  <c r="BL29" i="7"/>
  <c r="BS29" i="7"/>
  <c r="AX29" i="7"/>
  <c r="BF29" i="7"/>
  <c r="BK29" i="7"/>
  <c r="BR29" i="7"/>
  <c r="BD29" i="7"/>
  <c r="BQ29" i="7"/>
  <c r="BB29" i="7"/>
  <c r="R28" i="33"/>
  <c r="AM26" i="7"/>
  <c r="AU26" i="7"/>
  <c r="G36" i="7"/>
  <c r="G48" i="7"/>
  <c r="AP36" i="7"/>
  <c r="AL36" i="7"/>
  <c r="AM36" i="7"/>
  <c r="AN36" i="7"/>
  <c r="AO36" i="7"/>
  <c r="AQ36" i="7"/>
  <c r="AZ36" i="7"/>
  <c r="AT36" i="7"/>
  <c r="AL48" i="7"/>
  <c r="BF36" i="7"/>
  <c r="BG36" i="7"/>
  <c r="BH36" i="7"/>
  <c r="BI36" i="7"/>
  <c r="BJ36" i="7"/>
  <c r="BK36" i="7"/>
  <c r="AR36" i="7"/>
  <c r="AU36" i="7"/>
  <c r="BL36" i="7"/>
  <c r="BM36" i="7"/>
  <c r="AH36" i="7"/>
  <c r="AH48" i="7"/>
  <c r="AV36" i="7"/>
  <c r="AV48" i="7"/>
  <c r="BH48" i="7"/>
  <c r="BI48" i="7"/>
  <c r="BR36" i="7"/>
  <c r="BR48" i="7"/>
  <c r="BF48" i="7"/>
  <c r="BG48" i="7"/>
  <c r="BP36" i="7"/>
  <c r="BP48" i="7"/>
  <c r="AO48" i="7"/>
  <c r="BJ48" i="7"/>
  <c r="AS36" i="7"/>
  <c r="AW36" i="7"/>
  <c r="BB36" i="7"/>
  <c r="BS36" i="7"/>
  <c r="BQ36" i="7"/>
  <c r="AS48" i="7"/>
  <c r="AX36" i="7"/>
  <c r="BD36" i="7"/>
  <c r="AY36" i="7"/>
  <c r="AY48" i="7"/>
  <c r="AM48" i="7"/>
  <c r="W41" i="33"/>
  <c r="X41" i="33"/>
  <c r="X53" i="33"/>
  <c r="BO36" i="7"/>
  <c r="AN48" i="7"/>
  <c r="BN35" i="7"/>
  <c r="BN33" i="7"/>
  <c r="G26" i="7"/>
  <c r="BG26" i="7"/>
  <c r="BN6" i="7"/>
  <c r="BP26" i="7"/>
  <c r="BA19" i="7"/>
  <c r="BN28" i="7"/>
  <c r="BJ26" i="7"/>
  <c r="AP26" i="7"/>
  <c r="AV26" i="7"/>
  <c r="AO26" i="7"/>
  <c r="BQ26" i="7"/>
  <c r="BS26" i="7"/>
  <c r="AH26" i="7"/>
  <c r="BI26" i="7"/>
  <c r="BO26" i="7"/>
  <c r="AN26" i="7"/>
  <c r="BN7" i="7"/>
  <c r="BF26" i="7"/>
  <c r="BN9" i="7"/>
  <c r="AY26" i="7"/>
  <c r="BK26" i="7"/>
  <c r="AT26" i="7"/>
  <c r="AL26" i="7"/>
  <c r="BH26" i="7"/>
  <c r="BR26" i="7"/>
  <c r="AW26" i="7"/>
  <c r="BC21" i="7"/>
  <c r="AR26" i="7"/>
  <c r="AD28" i="7"/>
  <c r="N8" i="7"/>
  <c r="P8" i="7"/>
  <c r="N30" i="7"/>
  <c r="W24" i="33"/>
  <c r="X24" i="33"/>
  <c r="BB26" i="7"/>
  <c r="BA9" i="7"/>
  <c r="AS26" i="7"/>
  <c r="AX26" i="7"/>
  <c r="BE21" i="7"/>
  <c r="BL30" i="7"/>
  <c r="AU48" i="7"/>
  <c r="BN30" i="7"/>
  <c r="BK30" i="7"/>
  <c r="AW30" i="7"/>
  <c r="BB30" i="7"/>
  <c r="BT30" i="7"/>
  <c r="BT48" i="7"/>
  <c r="BM30" i="7"/>
  <c r="AP48" i="7"/>
  <c r="AQ48" i="7"/>
  <c r="BA32" i="7"/>
  <c r="BQ48" i="7"/>
  <c r="AT48" i="7"/>
  <c r="BS48" i="7"/>
  <c r="BO48" i="7"/>
  <c r="BN29" i="7"/>
  <c r="BL48" i="7"/>
  <c r="BN36" i="7"/>
  <c r="AR48" i="7"/>
  <c r="BK48" i="7"/>
  <c r="W53" i="33"/>
  <c r="BA20" i="7"/>
  <c r="BL26" i="7"/>
  <c r="BA7" i="7"/>
  <c r="AW48" i="7"/>
  <c r="BB48" i="7"/>
  <c r="BA22" i="7"/>
  <c r="BA8" i="7"/>
  <c r="BA25" i="7"/>
  <c r="BA10" i="7"/>
  <c r="BA15" i="7"/>
  <c r="BA21" i="7"/>
  <c r="BA12" i="7"/>
  <c r="BA6" i="7"/>
  <c r="BE19" i="7"/>
  <c r="BA11" i="7"/>
  <c r="BA13" i="7"/>
  <c r="BN26" i="7"/>
  <c r="BA17" i="7"/>
  <c r="BA24" i="7"/>
  <c r="BA18" i="7"/>
  <c r="BA16" i="7"/>
  <c r="BA14" i="7"/>
  <c r="BC7" i="7"/>
  <c r="BA23" i="7"/>
  <c r="BC19" i="7"/>
  <c r="BC11" i="7"/>
  <c r="BC20" i="7"/>
  <c r="BC17" i="7"/>
  <c r="BA38" i="7"/>
  <c r="BC24" i="7"/>
  <c r="BC8" i="7"/>
  <c r="BA33" i="7"/>
  <c r="BA46" i="7"/>
  <c r="BC15" i="7"/>
  <c r="BC9" i="7"/>
  <c r="BC18" i="7"/>
  <c r="BM26" i="7"/>
  <c r="BC6" i="7"/>
  <c r="BC13" i="7"/>
  <c r="BC22" i="7"/>
  <c r="BC25" i="7"/>
  <c r="BA35" i="7"/>
  <c r="BA47" i="7"/>
  <c r="BA29" i="7"/>
  <c r="BA43" i="7"/>
  <c r="BA36" i="7"/>
  <c r="BA41" i="7"/>
  <c r="BA34" i="7"/>
  <c r="BA39" i="7"/>
  <c r="BA45" i="7"/>
  <c r="BA37" i="7"/>
  <c r="BA42" i="7"/>
  <c r="BA40" i="7"/>
  <c r="BA30" i="7"/>
  <c r="BN48" i="7"/>
  <c r="BC10" i="7"/>
  <c r="BC12" i="7"/>
  <c r="BC16" i="7"/>
  <c r="BC23" i="7"/>
  <c r="BC14" i="7"/>
  <c r="BE7" i="7"/>
  <c r="BE23" i="7"/>
  <c r="BE22" i="7"/>
  <c r="BE20" i="7"/>
  <c r="BE6" i="7"/>
  <c r="BD26" i="7"/>
  <c r="BE24" i="7"/>
  <c r="BE14" i="7"/>
  <c r="BE25" i="7"/>
  <c r="BE10" i="7"/>
  <c r="BE13" i="7"/>
  <c r="BE8" i="7"/>
  <c r="BE18" i="7"/>
  <c r="BE15" i="7"/>
  <c r="BE17" i="7"/>
  <c r="BE12" i="7"/>
  <c r="BE9" i="7"/>
  <c r="BE11" i="7"/>
  <c r="BE16" i="7"/>
  <c r="BA44" i="7"/>
  <c r="BM48" i="7"/>
  <c r="BA31" i="7"/>
  <c r="AX30" i="7"/>
  <c r="BC36" i="7"/>
  <c r="BA28" i="7"/>
  <c r="AZ48" i="7"/>
  <c r="BC47" i="7"/>
  <c r="BC46" i="7"/>
  <c r="BC37" i="7"/>
  <c r="BC31" i="7"/>
  <c r="BC45" i="7"/>
  <c r="BC42" i="7"/>
  <c r="BC34" i="7"/>
  <c r="BC32" i="7"/>
  <c r="BC38" i="7"/>
  <c r="BC40" i="7"/>
  <c r="BC29" i="7"/>
  <c r="BC33" i="7"/>
  <c r="BC41" i="7"/>
  <c r="BC28" i="7"/>
  <c r="BC35" i="7"/>
  <c r="BC43" i="7"/>
  <c r="BC44" i="7"/>
  <c r="BC30" i="7"/>
  <c r="BC39" i="7"/>
  <c r="BA26" i="7"/>
  <c r="BC26" i="7"/>
  <c r="BA48" i="7"/>
  <c r="BE26" i="7"/>
  <c r="BD30" i="7"/>
  <c r="AX48" i="7"/>
  <c r="BC48" i="7"/>
  <c r="BD48" i="7"/>
  <c r="BE41" i="7"/>
  <c r="BE43" i="7"/>
  <c r="BE33" i="7"/>
  <c r="BE34" i="7"/>
  <c r="BE38" i="7"/>
  <c r="BE30" i="7"/>
  <c r="BE42" i="7"/>
  <c r="BE40" i="7"/>
  <c r="BE45" i="7"/>
  <c r="BE44" i="7"/>
  <c r="BE47" i="7"/>
  <c r="BE46" i="7"/>
  <c r="BE29" i="7"/>
  <c r="BE39" i="7"/>
  <c r="BE31" i="7"/>
  <c r="BE28" i="7"/>
  <c r="BE35" i="7"/>
  <c r="BE37" i="7"/>
  <c r="BE36" i="7"/>
  <c r="BE32" i="7"/>
  <c r="BE48" i="7"/>
  <c r="M15" i="15"/>
  <c r="B113" i="15"/>
  <c r="R36" i="15"/>
  <c r="X100" i="15"/>
  <c r="N128" i="15"/>
  <c r="R119" i="15"/>
  <c r="D88" i="15"/>
  <c r="B42" i="15"/>
  <c r="N118" i="15"/>
  <c r="T114" i="15"/>
  <c r="R4" i="15"/>
  <c r="B48" i="15"/>
  <c r="H102" i="15"/>
  <c r="N106" i="15"/>
  <c r="T104" i="15"/>
  <c r="R30" i="15"/>
  <c r="D15" i="15"/>
  <c r="B115" i="15"/>
  <c r="H94" i="15"/>
  <c r="AC41" i="15"/>
  <c r="B117" i="15"/>
  <c r="X112" i="15"/>
  <c r="H13" i="15"/>
  <c r="AC90" i="15"/>
  <c r="K98" i="15"/>
  <c r="J21" i="15"/>
  <c r="K114" i="15"/>
  <c r="AC37" i="15"/>
  <c r="T106" i="15"/>
  <c r="B40" i="15"/>
  <c r="H45" i="15"/>
  <c r="D94" i="15"/>
  <c r="T37" i="15"/>
  <c r="H96" i="15"/>
  <c r="N114" i="15"/>
  <c r="B18" i="15"/>
  <c r="AB17" i="15"/>
  <c r="C96" i="15"/>
  <c r="M108" i="15"/>
  <c r="K116" i="15"/>
  <c r="AC132" i="15"/>
  <c r="T108" i="15"/>
  <c r="X13" i="15"/>
  <c r="S88" i="15"/>
  <c r="Z11" i="15"/>
  <c r="Z19" i="15"/>
  <c r="AA120" i="15"/>
  <c r="K126" i="15"/>
  <c r="M5" i="15"/>
  <c r="K41" i="15"/>
  <c r="J19" i="15"/>
  <c r="B24" i="15"/>
  <c r="J88" i="15"/>
  <c r="M98" i="15"/>
  <c r="G108" i="15"/>
  <c r="S120" i="15"/>
  <c r="M124" i="15"/>
  <c r="G5" i="15"/>
  <c r="C25" i="15"/>
  <c r="K92" i="15"/>
  <c r="AA106" i="15"/>
  <c r="AA29" i="15"/>
  <c r="AA132" i="15"/>
  <c r="L3" i="15"/>
  <c r="H25" i="15"/>
  <c r="Z114" i="15"/>
  <c r="W47" i="15"/>
  <c r="H47" i="15"/>
  <c r="W11" i="15"/>
  <c r="AC92" i="15"/>
  <c r="J100" i="15"/>
  <c r="AC128" i="15"/>
  <c r="J17" i="15"/>
  <c r="S37" i="15"/>
  <c r="R101" i="15"/>
  <c r="B129" i="15"/>
  <c r="T13" i="15"/>
  <c r="X110" i="15"/>
  <c r="N134" i="15"/>
  <c r="R135" i="15"/>
  <c r="D104" i="15"/>
  <c r="D23" i="15"/>
  <c r="N94" i="15"/>
  <c r="T130" i="15"/>
  <c r="R12" i="15"/>
  <c r="D9" i="15"/>
  <c r="H114" i="15"/>
  <c r="N100" i="15"/>
  <c r="T120" i="15"/>
  <c r="R46" i="15"/>
  <c r="D33" i="15"/>
  <c r="D92" i="15"/>
  <c r="H118" i="15"/>
  <c r="H9" i="15"/>
  <c r="D100" i="15"/>
  <c r="X122" i="15"/>
  <c r="AB100" i="15"/>
  <c r="G92" i="15"/>
  <c r="J13" i="15"/>
  <c r="L108" i="15"/>
  <c r="W118" i="15"/>
  <c r="S128" i="15"/>
  <c r="T122" i="15"/>
  <c r="D11" i="15"/>
  <c r="C9" i="15"/>
  <c r="D110" i="15"/>
  <c r="B8" i="15"/>
  <c r="H120" i="15"/>
  <c r="B28" i="15"/>
  <c r="X94" i="15"/>
  <c r="S92" i="15"/>
  <c r="W100" i="15"/>
  <c r="W23" i="15"/>
  <c r="Z122" i="15"/>
  <c r="K130" i="15"/>
  <c r="T118" i="15"/>
  <c r="X33" i="15"/>
  <c r="J90" i="15"/>
  <c r="AC102" i="15"/>
  <c r="J108" i="15"/>
  <c r="J116" i="15"/>
  <c r="C128" i="15"/>
  <c r="C11" i="15"/>
  <c r="K33" i="15"/>
  <c r="S3" i="15"/>
  <c r="D13" i="15"/>
  <c r="Z96" i="15"/>
  <c r="L13" i="15"/>
  <c r="M110" i="15"/>
  <c r="C116" i="15"/>
  <c r="AC130" i="15"/>
  <c r="N104" i="15"/>
  <c r="AB104" i="15"/>
  <c r="AA96" i="15"/>
  <c r="C104" i="15"/>
  <c r="S122" i="15"/>
  <c r="G130" i="15"/>
  <c r="L15" i="15"/>
  <c r="C45" i="15"/>
  <c r="Z118" i="15"/>
  <c r="K5" i="15"/>
  <c r="G23" i="15"/>
  <c r="AA9" i="15"/>
  <c r="AA90" i="15"/>
  <c r="G102" i="15"/>
  <c r="J130" i="15"/>
  <c r="H37" i="15"/>
  <c r="AA41" i="15"/>
  <c r="S9" i="15"/>
  <c r="R117" i="15"/>
  <c r="D102" i="15"/>
  <c r="T31" i="15"/>
  <c r="X120" i="15"/>
  <c r="N120" i="15"/>
  <c r="T96" i="15"/>
  <c r="D120" i="15"/>
  <c r="D41" i="15"/>
  <c r="N88" i="15"/>
  <c r="B93" i="15"/>
  <c r="R20" i="15"/>
  <c r="D25" i="15"/>
  <c r="X17" i="15"/>
  <c r="D27" i="15"/>
  <c r="B95" i="15"/>
  <c r="T7" i="15"/>
  <c r="X104" i="15"/>
  <c r="D108" i="15"/>
  <c r="H128" i="15"/>
  <c r="N110" i="15"/>
  <c r="D116" i="15"/>
  <c r="H100" i="15"/>
  <c r="AB116" i="15"/>
  <c r="S96" i="15"/>
  <c r="AC104" i="15"/>
  <c r="AC112" i="15"/>
  <c r="M29" i="15"/>
  <c r="K124" i="15"/>
  <c r="B89" i="15"/>
  <c r="D29" i="15"/>
  <c r="N108" i="15"/>
  <c r="D126" i="15"/>
  <c r="B44" i="15"/>
  <c r="H124" i="15"/>
  <c r="R115" i="15"/>
  <c r="X134" i="15"/>
  <c r="Z90" i="15"/>
  <c r="AC11" i="15"/>
  <c r="AA25" i="15"/>
  <c r="M118" i="15"/>
  <c r="L45" i="15"/>
  <c r="B105" i="15"/>
  <c r="S47" i="15"/>
  <c r="C90" i="15"/>
  <c r="G98" i="15"/>
  <c r="K110" i="15"/>
  <c r="W122" i="15"/>
  <c r="W132" i="15"/>
  <c r="C29" i="15"/>
  <c r="K21" i="15"/>
  <c r="N132" i="15"/>
  <c r="D47" i="15"/>
  <c r="K7" i="15"/>
  <c r="C102" i="15"/>
  <c r="AC114" i="15"/>
  <c r="AC122" i="15"/>
  <c r="G128" i="15"/>
  <c r="B131" i="15"/>
  <c r="AB122" i="15"/>
  <c r="AC98" i="15"/>
  <c r="Z108" i="15"/>
  <c r="G118" i="15"/>
  <c r="S134" i="15"/>
  <c r="L33" i="15"/>
  <c r="AB90" i="15"/>
  <c r="M33" i="15"/>
  <c r="C21" i="15"/>
  <c r="M31" i="15"/>
  <c r="X35" i="15"/>
  <c r="Z98" i="15"/>
  <c r="Z112" i="15"/>
  <c r="J45" i="15"/>
  <c r="H15" i="15"/>
  <c r="AC7" i="15"/>
  <c r="S21" i="15"/>
  <c r="AA102" i="15"/>
  <c r="AC118" i="15"/>
  <c r="K47" i="15"/>
  <c r="G29" i="15"/>
  <c r="W7" i="15"/>
  <c r="AB106" i="15"/>
  <c r="G106" i="15"/>
  <c r="S130" i="15"/>
  <c r="L41" i="15"/>
  <c r="S112" i="15"/>
  <c r="L23" i="15"/>
  <c r="M3" i="15"/>
  <c r="AC110" i="15"/>
  <c r="C31" i="15"/>
  <c r="W19" i="15"/>
  <c r="G88" i="15"/>
  <c r="K43" i="15"/>
  <c r="X25" i="15"/>
  <c r="K100" i="15"/>
  <c r="S39" i="15"/>
  <c r="Z39" i="15"/>
  <c r="K108" i="15"/>
  <c r="AB23" i="15"/>
  <c r="W13" i="15"/>
  <c r="W25" i="15"/>
  <c r="T102" i="15"/>
  <c r="H33" i="15"/>
  <c r="N21" i="15"/>
  <c r="L5" i="15"/>
  <c r="N17" i="15"/>
  <c r="N43" i="15"/>
  <c r="T92" i="15"/>
  <c r="N15" i="15"/>
  <c r="AA124" i="15"/>
  <c r="M132" i="15"/>
  <c r="AB41" i="15"/>
  <c r="S5" i="15"/>
  <c r="AB126" i="15"/>
  <c r="Z9" i="15"/>
  <c r="L47" i="15"/>
  <c r="AC19" i="15"/>
  <c r="C98" i="15"/>
  <c r="L116" i="15"/>
  <c r="G33" i="15"/>
  <c r="W94" i="15"/>
  <c r="M128" i="15"/>
  <c r="R133" i="15"/>
  <c r="D118" i="15"/>
  <c r="T47" i="15"/>
  <c r="X130" i="15"/>
  <c r="N96" i="15"/>
  <c r="T112" i="15"/>
  <c r="R38" i="15"/>
  <c r="X90" i="15"/>
  <c r="L19" i="15"/>
  <c r="B109" i="15"/>
  <c r="R40" i="15"/>
  <c r="D43" i="15"/>
  <c r="W35" i="15"/>
  <c r="J35" i="15"/>
  <c r="B111" i="15"/>
  <c r="T23" i="15"/>
  <c r="X114" i="15"/>
  <c r="D124" i="15"/>
  <c r="X11" i="15"/>
  <c r="G31" i="15"/>
  <c r="D132" i="15"/>
  <c r="H112" i="15"/>
  <c r="AB132" i="15"/>
  <c r="W98" i="15"/>
  <c r="L100" i="15"/>
  <c r="L110" i="15"/>
  <c r="AA122" i="15"/>
  <c r="Z130" i="15"/>
  <c r="B121" i="15"/>
  <c r="D45" i="15"/>
  <c r="T100" i="15"/>
  <c r="R16" i="15"/>
  <c r="D19" i="15"/>
  <c r="H132" i="15"/>
  <c r="R129" i="15"/>
  <c r="H110" i="15"/>
  <c r="C88" i="15"/>
  <c r="J98" i="15"/>
  <c r="J112" i="15"/>
  <c r="M120" i="15"/>
  <c r="G134" i="15"/>
  <c r="D130" i="15"/>
  <c r="AB98" i="15"/>
  <c r="W96" i="15"/>
  <c r="K13" i="15"/>
  <c r="AC25" i="15"/>
  <c r="L118" i="15"/>
  <c r="L130" i="15"/>
  <c r="C41" i="15"/>
  <c r="J15" i="15"/>
  <c r="B107" i="15"/>
  <c r="H122" i="15"/>
  <c r="S98" i="15"/>
  <c r="AC106" i="15"/>
  <c r="M25" i="15"/>
  <c r="J118" i="15"/>
  <c r="S132" i="15"/>
  <c r="D98" i="15"/>
  <c r="AB37" i="15"/>
  <c r="G9" i="15"/>
  <c r="C106" i="15"/>
  <c r="K120" i="15"/>
  <c r="K132" i="15"/>
  <c r="T29" i="15"/>
  <c r="Z124" i="15"/>
  <c r="C37" i="15"/>
  <c r="M19" i="15"/>
  <c r="H35" i="15"/>
  <c r="S114" i="15"/>
  <c r="J7" i="15"/>
  <c r="AB94" i="15"/>
  <c r="J134" i="15"/>
  <c r="X7" i="15"/>
  <c r="AA21" i="15"/>
  <c r="R6" i="15"/>
  <c r="H116" i="15"/>
  <c r="B103" i="15"/>
  <c r="X128" i="15"/>
  <c r="D90" i="15"/>
  <c r="X118" i="15"/>
  <c r="R111" i="15"/>
  <c r="B14" i="15"/>
  <c r="B26" i="15"/>
  <c r="R99" i="15"/>
  <c r="AA27" i="15"/>
  <c r="J96" i="15"/>
  <c r="J25" i="15"/>
  <c r="R107" i="15"/>
  <c r="H130" i="15"/>
  <c r="R34" i="15"/>
  <c r="X21" i="15"/>
  <c r="AB96" i="15"/>
  <c r="W104" i="15"/>
  <c r="M37" i="15"/>
  <c r="X96" i="15"/>
  <c r="G94" i="15"/>
  <c r="K27" i="15"/>
  <c r="K45" i="15"/>
  <c r="H19" i="15"/>
  <c r="AB120" i="15"/>
  <c r="W108" i="15"/>
  <c r="G35" i="15"/>
  <c r="B46" i="15"/>
  <c r="K11" i="15"/>
  <c r="G124" i="15"/>
  <c r="H108" i="15"/>
  <c r="Z128" i="15"/>
  <c r="AB25" i="15"/>
  <c r="L11" i="15"/>
  <c r="C7" i="15"/>
  <c r="N126" i="15"/>
  <c r="J94" i="15"/>
  <c r="L120" i="15"/>
  <c r="L39" i="15"/>
  <c r="AA17" i="15"/>
  <c r="W90" i="15"/>
  <c r="J29" i="15"/>
  <c r="L17" i="15"/>
  <c r="K106" i="15"/>
  <c r="Z43" i="15"/>
  <c r="N7" i="15"/>
  <c r="Z31" i="15"/>
  <c r="R14" i="15"/>
  <c r="X29" i="15"/>
  <c r="B119" i="15"/>
  <c r="H92" i="15"/>
  <c r="D106" i="15"/>
  <c r="X126" i="15"/>
  <c r="R127" i="15"/>
  <c r="B34" i="15"/>
  <c r="X88" i="15"/>
  <c r="R125" i="15"/>
  <c r="X37" i="15"/>
  <c r="AA11" i="15"/>
  <c r="C112" i="15"/>
  <c r="R113" i="15"/>
  <c r="X27" i="15"/>
  <c r="T3" i="15"/>
  <c r="S29" i="15"/>
  <c r="AB114" i="15"/>
  <c r="C100" i="15"/>
  <c r="J126" i="15"/>
  <c r="X116" i="15"/>
  <c r="J9" i="15"/>
  <c r="C114" i="15"/>
  <c r="G132" i="15"/>
  <c r="J27" i="15"/>
  <c r="AB27" i="15"/>
  <c r="W110" i="15"/>
  <c r="AA126" i="15"/>
  <c r="X106" i="15"/>
  <c r="M100" i="15"/>
  <c r="W130" i="15"/>
  <c r="H134" i="15"/>
  <c r="AC43" i="15"/>
  <c r="AB35" i="15"/>
  <c r="L98" i="15"/>
  <c r="C23" i="15"/>
  <c r="R97" i="15"/>
  <c r="K9" i="15"/>
  <c r="W126" i="15"/>
  <c r="W39" i="15"/>
  <c r="AC35" i="15"/>
  <c r="L92" i="15"/>
  <c r="G116" i="15"/>
  <c r="L29" i="15"/>
  <c r="L25" i="15"/>
  <c r="K37" i="15"/>
  <c r="Z23" i="15"/>
  <c r="C126" i="15"/>
  <c r="S35" i="15"/>
  <c r="AB88" i="15"/>
  <c r="K17" i="15"/>
  <c r="Z5" i="15"/>
  <c r="AC120" i="15"/>
  <c r="H43" i="15"/>
  <c r="C94" i="15"/>
  <c r="G43" i="15"/>
  <c r="AA100" i="15"/>
  <c r="K15" i="15"/>
  <c r="M13" i="15"/>
  <c r="S33" i="15"/>
  <c r="N5" i="15"/>
  <c r="S11" i="15"/>
  <c r="G21" i="15"/>
  <c r="X39" i="15"/>
  <c r="N29" i="15"/>
  <c r="K31" i="15"/>
  <c r="N9" i="15"/>
  <c r="J124" i="15"/>
  <c r="K102" i="15"/>
  <c r="B36" i="15"/>
  <c r="D96" i="15"/>
  <c r="N98" i="15"/>
  <c r="W88" i="15"/>
  <c r="S124" i="15"/>
  <c r="T132" i="15"/>
  <c r="R8" i="15"/>
  <c r="M27" i="15"/>
  <c r="AB21" i="15"/>
  <c r="K35" i="15"/>
  <c r="R42" i="15"/>
  <c r="Z134" i="15"/>
  <c r="W114" i="15"/>
  <c r="Z104" i="15"/>
  <c r="AB92" i="15"/>
  <c r="M7" i="15"/>
  <c r="M106" i="15"/>
  <c r="H27" i="15"/>
  <c r="AA104" i="15"/>
  <c r="Z45" i="15"/>
  <c r="AB9" i="15"/>
  <c r="C3" i="15"/>
  <c r="G100" i="15"/>
  <c r="AB108" i="15"/>
  <c r="S23" i="15"/>
  <c r="N3" i="15"/>
  <c r="W37" i="15"/>
  <c r="N13" i="15"/>
  <c r="H39" i="15"/>
  <c r="Z21" i="15"/>
  <c r="R103" i="15"/>
  <c r="Z37" i="15"/>
  <c r="C122" i="15"/>
  <c r="X132" i="15"/>
  <c r="W120" i="15"/>
  <c r="Z88" i="15"/>
  <c r="G37" i="15"/>
  <c r="J11" i="15"/>
  <c r="AA94" i="15"/>
  <c r="AA112" i="15"/>
  <c r="L122" i="15"/>
  <c r="J110" i="15"/>
  <c r="D114" i="15"/>
  <c r="W92" i="15"/>
  <c r="G112" i="15"/>
  <c r="M112" i="15"/>
  <c r="L7" i="15"/>
  <c r="N39" i="15"/>
  <c r="C35" i="15"/>
  <c r="N25" i="15"/>
  <c r="D134" i="15"/>
  <c r="B125" i="15"/>
  <c r="N92" i="15"/>
  <c r="R22" i="15"/>
  <c r="X45" i="15"/>
  <c r="B135" i="15"/>
  <c r="H104" i="15"/>
  <c r="D122" i="15"/>
  <c r="H90" i="15"/>
  <c r="T88" i="15"/>
  <c r="D3" i="15"/>
  <c r="H88" i="15"/>
  <c r="R131" i="15"/>
  <c r="X47" i="15"/>
  <c r="Z102" i="15"/>
  <c r="AC27" i="15"/>
  <c r="T90" i="15"/>
  <c r="AB43" i="15"/>
  <c r="T19" i="15"/>
  <c r="H23" i="15"/>
  <c r="AB134" i="15"/>
  <c r="AC15" i="15"/>
  <c r="K128" i="15"/>
  <c r="H98" i="15"/>
  <c r="L96" i="15"/>
  <c r="W29" i="15"/>
  <c r="M134" i="15"/>
  <c r="G15" i="15"/>
  <c r="AC88" i="15"/>
  <c r="J106" i="15"/>
  <c r="L37" i="15"/>
  <c r="AC45" i="15"/>
  <c r="M102" i="15"/>
  <c r="G126" i="15"/>
  <c r="AC17" i="15"/>
  <c r="G45" i="15"/>
  <c r="AA47" i="15"/>
  <c r="S104" i="15"/>
  <c r="L27" i="15"/>
  <c r="T134" i="15"/>
  <c r="L102" i="15"/>
  <c r="AA130" i="15"/>
  <c r="S45" i="15"/>
  <c r="B30" i="15"/>
  <c r="K94" i="15"/>
  <c r="C120" i="15"/>
  <c r="S27" i="15"/>
  <c r="AA118" i="15"/>
  <c r="H11" i="15"/>
  <c r="AA92" i="15"/>
  <c r="W43" i="15"/>
  <c r="W31" i="15"/>
  <c r="K90" i="15"/>
  <c r="G27" i="15"/>
  <c r="R44" i="15"/>
  <c r="J122" i="15"/>
  <c r="G11" i="15"/>
  <c r="Z100" i="15"/>
  <c r="K39" i="15"/>
  <c r="S102" i="15"/>
  <c r="AC39" i="15"/>
  <c r="S108" i="15"/>
  <c r="AB29" i="15"/>
  <c r="N102" i="15"/>
  <c r="AB39" i="15"/>
  <c r="H7" i="15"/>
  <c r="W3" i="15"/>
  <c r="C108" i="15"/>
  <c r="C118" i="15"/>
  <c r="N19" i="15"/>
  <c r="N37" i="15"/>
  <c r="B16" i="15"/>
  <c r="T15" i="15"/>
  <c r="T17" i="15"/>
  <c r="B127" i="15"/>
  <c r="X15" i="15"/>
  <c r="R24" i="15"/>
  <c r="AB11" i="15"/>
  <c r="K118" i="15"/>
  <c r="T116" i="15"/>
  <c r="B101" i="15"/>
  <c r="AA116" i="15"/>
  <c r="AB118" i="15"/>
  <c r="L31" i="15"/>
  <c r="M94" i="15"/>
  <c r="K112" i="15"/>
  <c r="AA88" i="15"/>
  <c r="AC47" i="15"/>
  <c r="Z27" i="15"/>
  <c r="S118" i="15"/>
  <c r="R18" i="15"/>
  <c r="L128" i="15"/>
  <c r="R91" i="15"/>
  <c r="S126" i="15"/>
  <c r="AA39" i="15"/>
  <c r="S19" i="15"/>
  <c r="Z47" i="15"/>
  <c r="Z94" i="15"/>
  <c r="C33" i="15"/>
  <c r="G39" i="15"/>
  <c r="S31" i="15"/>
  <c r="X41" i="15"/>
  <c r="L106" i="15"/>
  <c r="Z106" i="15"/>
  <c r="K19" i="15"/>
  <c r="Z132" i="15"/>
  <c r="S41" i="15"/>
  <c r="T110" i="15"/>
  <c r="T27" i="15"/>
  <c r="T33" i="15"/>
  <c r="R105" i="15"/>
  <c r="T35" i="15"/>
  <c r="N130" i="15"/>
  <c r="AA19" i="15"/>
  <c r="B38" i="15"/>
  <c r="S106" i="15"/>
  <c r="T25" i="15"/>
  <c r="X92" i="15"/>
  <c r="C92" i="15"/>
  <c r="X3" i="15"/>
  <c r="W106" i="15"/>
  <c r="X43" i="15"/>
  <c r="M9" i="15"/>
  <c r="Z116" i="15"/>
  <c r="M88" i="15"/>
  <c r="K134" i="15"/>
  <c r="AB13" i="15"/>
  <c r="M116" i="15"/>
  <c r="AB130" i="15"/>
  <c r="M130" i="15"/>
  <c r="T124" i="15"/>
  <c r="J132" i="15"/>
  <c r="J33" i="15"/>
  <c r="Z15" i="15"/>
  <c r="X5" i="15"/>
  <c r="M11" i="15"/>
  <c r="Z41" i="15"/>
  <c r="W21" i="15"/>
  <c r="AC126" i="15"/>
  <c r="W33" i="15"/>
  <c r="W9" i="15"/>
  <c r="W128" i="15"/>
  <c r="AB110" i="15"/>
  <c r="J128" i="15"/>
  <c r="Z7" i="15"/>
  <c r="AA33" i="15"/>
  <c r="B22" i="15"/>
  <c r="G90" i="15"/>
  <c r="B4" i="15"/>
  <c r="T21" i="15"/>
  <c r="R123" i="15"/>
  <c r="H29" i="15"/>
  <c r="AC29" i="15"/>
  <c r="L112" i="15"/>
  <c r="H41" i="15"/>
  <c r="S17" i="15"/>
  <c r="G3" i="15"/>
  <c r="H3" i="15"/>
  <c r="AA31" i="15"/>
  <c r="D7" i="15"/>
  <c r="AC94" i="15"/>
  <c r="J39" i="15"/>
  <c r="N23" i="15"/>
  <c r="C27" i="15"/>
  <c r="AA45" i="15"/>
  <c r="S13" i="15"/>
  <c r="H106" i="15"/>
  <c r="X108" i="15"/>
  <c r="R95" i="15"/>
  <c r="T94" i="15"/>
  <c r="N90" i="15"/>
  <c r="R89" i="15"/>
  <c r="C13" i="15"/>
  <c r="N122" i="15"/>
  <c r="J102" i="15"/>
  <c r="T9" i="15"/>
  <c r="D37" i="15"/>
  <c r="S90" i="15"/>
  <c r="C5" i="15"/>
  <c r="W124" i="15"/>
  <c r="R10" i="15"/>
  <c r="C130" i="15"/>
  <c r="G110" i="15"/>
  <c r="S100" i="15"/>
  <c r="S15" i="15"/>
  <c r="H31" i="15"/>
  <c r="G104" i="15"/>
  <c r="AC33" i="15"/>
  <c r="W102" i="15"/>
  <c r="AC31" i="15"/>
  <c r="M92" i="15"/>
  <c r="Z25" i="15"/>
  <c r="G19" i="15"/>
  <c r="C124" i="15"/>
  <c r="AA13" i="15"/>
  <c r="W112" i="15"/>
  <c r="Z13" i="15"/>
  <c r="AC3" i="15"/>
  <c r="AA128" i="15"/>
  <c r="M41" i="15"/>
  <c r="W27" i="15"/>
  <c r="T126" i="15"/>
  <c r="D21" i="15"/>
  <c r="G47" i="15"/>
  <c r="B6" i="15"/>
  <c r="R121" i="15"/>
  <c r="B12" i="15"/>
  <c r="N124" i="15"/>
  <c r="D112" i="15"/>
  <c r="R28" i="15"/>
  <c r="X31" i="15"/>
  <c r="D17" i="15"/>
  <c r="K88" i="15"/>
  <c r="K104" i="15"/>
  <c r="AA35" i="15"/>
  <c r="T43" i="15"/>
  <c r="B91" i="15"/>
  <c r="X102" i="15"/>
  <c r="T11" i="15"/>
  <c r="L94" i="15"/>
  <c r="M114" i="15"/>
  <c r="R109" i="15"/>
  <c r="Z92" i="15"/>
  <c r="Z17" i="15"/>
  <c r="G122" i="15"/>
  <c r="W45" i="15"/>
  <c r="R48" i="15"/>
  <c r="M96" i="15"/>
  <c r="G114" i="15"/>
  <c r="M45" i="15"/>
  <c r="L90" i="15"/>
  <c r="K25" i="15"/>
  <c r="J3" i="15"/>
  <c r="AA15" i="15"/>
  <c r="J47" i="15"/>
  <c r="AB128" i="15"/>
  <c r="J120" i="15"/>
  <c r="S7" i="15"/>
  <c r="AB47" i="15"/>
  <c r="AC21" i="15"/>
  <c r="L132" i="15"/>
  <c r="J31" i="15"/>
  <c r="B99" i="15"/>
  <c r="J104" i="15"/>
  <c r="L134" i="15"/>
  <c r="J43" i="15"/>
  <c r="G120" i="15"/>
  <c r="AB31" i="15"/>
  <c r="L104" i="15"/>
  <c r="M21" i="15"/>
  <c r="N116" i="15"/>
  <c r="S110" i="15"/>
  <c r="AB33" i="15"/>
  <c r="L88" i="15"/>
  <c r="H5" i="15"/>
  <c r="AB19" i="15"/>
  <c r="G25" i="15"/>
  <c r="N35" i="15"/>
  <c r="AA134" i="15"/>
  <c r="K3" i="15"/>
  <c r="AC134" i="15"/>
  <c r="AA23" i="15"/>
  <c r="C132" i="15"/>
  <c r="N31" i="15"/>
  <c r="L35" i="15"/>
  <c r="L43" i="15"/>
  <c r="AA7" i="15"/>
  <c r="X9" i="15"/>
  <c r="N47" i="15"/>
  <c r="J114" i="15"/>
  <c r="B97" i="15"/>
  <c r="D39" i="15"/>
  <c r="T98" i="15"/>
  <c r="B32" i="15"/>
  <c r="N112" i="15"/>
  <c r="D128" i="15"/>
  <c r="J37" i="15"/>
  <c r="D35" i="15"/>
  <c r="AC108" i="15"/>
  <c r="B123" i="15"/>
  <c r="AC9" i="15"/>
  <c r="AA108" i="15"/>
  <c r="T45" i="15"/>
  <c r="C134" i="15"/>
  <c r="C43" i="15"/>
  <c r="AB15" i="15"/>
  <c r="S94" i="15"/>
  <c r="AB5" i="15"/>
  <c r="C110" i="15"/>
  <c r="M126" i="15"/>
  <c r="J23" i="15"/>
  <c r="Z29" i="15"/>
  <c r="W5" i="15"/>
  <c r="M47" i="15"/>
  <c r="C19" i="15"/>
  <c r="AA5" i="15"/>
  <c r="AB45" i="15"/>
  <c r="G96" i="15"/>
  <c r="C47" i="15"/>
  <c r="T128" i="15"/>
  <c r="X98" i="15"/>
  <c r="L9" i="15"/>
  <c r="K122" i="15"/>
  <c r="AC124" i="15"/>
  <c r="J5" i="15"/>
  <c r="C15" i="15"/>
  <c r="H126" i="15"/>
  <c r="M43" i="15"/>
  <c r="J41" i="15"/>
  <c r="K23" i="15"/>
  <c r="L114" i="15"/>
  <c r="X23" i="15"/>
  <c r="L124" i="15"/>
  <c r="N11" i="15"/>
  <c r="T41" i="15"/>
  <c r="W134" i="15"/>
  <c r="D5" i="15"/>
  <c r="Z120" i="15"/>
  <c r="H17" i="15"/>
  <c r="AB7" i="15"/>
  <c r="N33" i="15"/>
  <c r="AC13" i="15"/>
  <c r="Z35" i="15"/>
  <c r="R93" i="15"/>
  <c r="S43" i="15"/>
  <c r="AB102" i="15"/>
  <c r="AB3" i="15"/>
  <c r="S25" i="15"/>
  <c r="M39" i="15"/>
  <c r="Z110" i="15"/>
  <c r="M90" i="15"/>
  <c r="Z3" i="15"/>
  <c r="X19" i="15"/>
  <c r="G13" i="15"/>
  <c r="M104" i="15"/>
  <c r="W116" i="15"/>
  <c r="D31" i="15"/>
  <c r="G17" i="15"/>
  <c r="K29" i="15"/>
  <c r="H21" i="15"/>
  <c r="AA114" i="15"/>
  <c r="B20" i="15"/>
  <c r="T5" i="15"/>
  <c r="W15" i="15"/>
  <c r="T39" i="15"/>
  <c r="Z33" i="15"/>
  <c r="B10" i="15"/>
  <c r="M17" i="15"/>
  <c r="R26" i="15"/>
  <c r="C39" i="15"/>
  <c r="W17" i="15"/>
  <c r="G7" i="15"/>
  <c r="R32" i="15"/>
  <c r="G41" i="15"/>
  <c r="M122" i="15"/>
  <c r="AA37" i="15"/>
  <c r="M23" i="15"/>
  <c r="AC96" i="15"/>
  <c r="AB124" i="15"/>
  <c r="N27" i="15"/>
  <c r="N41" i="15"/>
  <c r="AC100" i="15"/>
  <c r="L126" i="15"/>
  <c r="AA98" i="15"/>
  <c r="K96" i="15"/>
  <c r="J92" i="15"/>
  <c r="AA43" i="15"/>
  <c r="W41" i="15"/>
  <c r="AB112" i="15"/>
  <c r="N45" i="15"/>
  <c r="L21" i="15"/>
  <c r="AC5" i="15"/>
  <c r="X124" i="15"/>
  <c r="AC116" i="15"/>
  <c r="Z126" i="15"/>
  <c r="S116" i="15"/>
  <c r="AA3" i="15"/>
  <c r="AC23" i="15"/>
  <c r="C17" i="15"/>
  <c r="M35" i="15"/>
  <c r="B133" i="15"/>
  <c r="AA110" i="15"/>
  <c r="AA60" i="15" l="1"/>
  <c r="AC151" i="15"/>
  <c r="AB76" i="15"/>
  <c r="AB163" i="15"/>
  <c r="K161" i="15"/>
  <c r="Z151" i="15"/>
  <c r="L60" i="15"/>
  <c r="AA70" i="15"/>
  <c r="K60" i="15"/>
  <c r="J60" i="15"/>
  <c r="O162" i="15"/>
  <c r="M60" i="15"/>
  <c r="AA76" i="15"/>
  <c r="O158" i="15"/>
  <c r="S163" i="15"/>
  <c r="L161" i="15"/>
  <c r="C60" i="15"/>
  <c r="AC68" i="15"/>
  <c r="Z66" i="15"/>
  <c r="AA147" i="15"/>
  <c r="S149" i="15"/>
  <c r="Z163" i="15"/>
  <c r="L147" i="15"/>
  <c r="AD71" i="15"/>
  <c r="AE71" i="15" s="1"/>
  <c r="O63" i="15"/>
  <c r="AA78" i="15"/>
  <c r="K163" i="15"/>
  <c r="AA163" i="15"/>
  <c r="C155" i="15"/>
  <c r="Z147" i="15"/>
  <c r="S68" i="15"/>
  <c r="C147" i="15"/>
  <c r="AD148" i="15"/>
  <c r="AE148" i="15" s="1"/>
  <c r="O148" i="15"/>
  <c r="D52" i="15"/>
  <c r="M52" i="15"/>
  <c r="K52" i="15"/>
  <c r="AC139" i="15"/>
  <c r="AB139" i="15"/>
  <c r="Z139" i="15"/>
  <c r="M139" i="15"/>
  <c r="M137" i="15"/>
  <c r="K137" i="15"/>
  <c r="AC149" i="15"/>
  <c r="AB149" i="15"/>
  <c r="Z149" i="15"/>
  <c r="AA149" i="15"/>
  <c r="Z62" i="15"/>
  <c r="AC62" i="15"/>
  <c r="AA62" i="15"/>
  <c r="T62" i="15"/>
  <c r="J139" i="15"/>
  <c r="J159" i="15"/>
  <c r="M78" i="15"/>
  <c r="L78" i="15"/>
  <c r="AB78" i="15"/>
  <c r="S78" i="15"/>
  <c r="Z78" i="15"/>
  <c r="AD49" i="15"/>
  <c r="AE49" i="15" s="1"/>
  <c r="O49" i="15"/>
  <c r="O136" i="15"/>
  <c r="M151" i="15"/>
  <c r="T64" i="15"/>
  <c r="Z64" i="15"/>
  <c r="AD59" i="15"/>
  <c r="AE59" i="15" s="1"/>
  <c r="AA161" i="15"/>
  <c r="S62" i="15"/>
  <c r="J50" i="15"/>
  <c r="AC155" i="15"/>
  <c r="S139" i="15"/>
  <c r="M76" i="15"/>
  <c r="O75" i="15"/>
  <c r="AA66" i="15"/>
  <c r="AA137" i="15"/>
  <c r="S161" i="15"/>
  <c r="L56" i="15"/>
  <c r="J141" i="15"/>
  <c r="C149" i="15"/>
  <c r="AD57" i="15"/>
  <c r="AE57" i="15" s="1"/>
  <c r="AC66" i="15"/>
  <c r="J52" i="15"/>
  <c r="AC141" i="15"/>
  <c r="AB66" i="15"/>
  <c r="L52" i="15"/>
  <c r="C52" i="15"/>
  <c r="M149" i="15"/>
  <c r="M68" i="15"/>
  <c r="L76" i="15"/>
  <c r="AD53" i="15"/>
  <c r="AE53" i="15" s="1"/>
  <c r="K145" i="15"/>
  <c r="AB161" i="15"/>
  <c r="S66" i="15"/>
  <c r="T72" i="15"/>
  <c r="C76" i="15"/>
  <c r="O51" i="15"/>
  <c r="AA50" i="15"/>
  <c r="Z137" i="15"/>
  <c r="K68" i="15"/>
  <c r="L58" i="15"/>
  <c r="D157" i="15"/>
  <c r="AA54" i="15"/>
  <c r="D153" i="15"/>
  <c r="T153" i="15"/>
  <c r="K76" i="15"/>
  <c r="M147" i="15"/>
  <c r="M159" i="15"/>
  <c r="J153" i="15"/>
  <c r="Z161" i="15"/>
  <c r="AC54" i="15"/>
  <c r="S70" i="15"/>
  <c r="L159" i="15"/>
  <c r="AD154" i="15"/>
  <c r="AE154" i="15" s="1"/>
  <c r="AC70" i="15"/>
  <c r="K70" i="15"/>
  <c r="Z56" i="15"/>
  <c r="Z153" i="15"/>
  <c r="K143" i="15"/>
  <c r="O156" i="15"/>
  <c r="Z145" i="15"/>
  <c r="AA145" i="15"/>
  <c r="AB137" i="15"/>
  <c r="S137" i="15"/>
  <c r="S54" i="15"/>
  <c r="L155" i="15"/>
  <c r="L74" i="15"/>
  <c r="AB54" i="15"/>
  <c r="T70" i="15"/>
  <c r="D161" i="15"/>
  <c r="Z54" i="15"/>
  <c r="AA52" i="15"/>
  <c r="J76" i="15"/>
  <c r="K147" i="15"/>
  <c r="J143" i="15"/>
  <c r="M155" i="15"/>
  <c r="AC161" i="15"/>
  <c r="S153" i="15"/>
  <c r="AB70" i="15"/>
  <c r="L143" i="15"/>
  <c r="C143" i="15"/>
  <c r="J155" i="15"/>
  <c r="AA141" i="15"/>
  <c r="M161" i="15"/>
  <c r="J163" i="15"/>
  <c r="J58" i="15"/>
  <c r="K155" i="15"/>
  <c r="AD140" i="15"/>
  <c r="AE140" i="15" s="1"/>
  <c r="AB68" i="15"/>
  <c r="S64" i="15"/>
  <c r="L163" i="15"/>
  <c r="C68" i="15"/>
  <c r="AD55" i="15"/>
  <c r="AE55" i="15" s="1"/>
  <c r="O77" i="15"/>
  <c r="K62" i="15"/>
  <c r="K78" i="15"/>
  <c r="AC64" i="15"/>
  <c r="J78" i="15"/>
  <c r="AA151" i="15"/>
  <c r="Z155" i="15"/>
  <c r="O146" i="15"/>
  <c r="K64" i="15"/>
  <c r="L137" i="15"/>
  <c r="AA68" i="15"/>
  <c r="D145" i="15"/>
  <c r="O73" i="15"/>
  <c r="AC56" i="15"/>
  <c r="K66" i="15"/>
  <c r="AA64" i="15"/>
  <c r="J74" i="15"/>
  <c r="M58" i="15"/>
  <c r="M54" i="15"/>
  <c r="AA159" i="15"/>
  <c r="AB159" i="15"/>
  <c r="AB64" i="15"/>
  <c r="L66" i="15"/>
  <c r="L54" i="15"/>
  <c r="C58" i="15"/>
  <c r="K58" i="15"/>
  <c r="D78" i="15"/>
  <c r="AA155" i="15"/>
  <c r="AA139" i="15"/>
  <c r="S76" i="15"/>
  <c r="L62" i="15"/>
  <c r="C66" i="15"/>
  <c r="AB155" i="15"/>
  <c r="T143" i="15"/>
  <c r="O69" i="15"/>
  <c r="K74" i="15"/>
  <c r="M72" i="15"/>
  <c r="Z68" i="15"/>
  <c r="J68" i="15"/>
  <c r="S72" i="15"/>
  <c r="L141" i="15"/>
  <c r="C62" i="15"/>
  <c r="AD61" i="15"/>
  <c r="AE61" i="15" s="1"/>
  <c r="AB58" i="15"/>
  <c r="T56" i="15"/>
  <c r="D141" i="15"/>
  <c r="AA58" i="15"/>
  <c r="M74" i="15"/>
  <c r="K50" i="15"/>
  <c r="M66" i="15"/>
  <c r="Z52" i="15"/>
  <c r="J62" i="15"/>
  <c r="AC159" i="15"/>
  <c r="J157" i="15"/>
  <c r="AA157" i="15"/>
  <c r="M64" i="15"/>
  <c r="AB72" i="15"/>
  <c r="S52" i="15"/>
  <c r="C78" i="15"/>
  <c r="C70" i="15"/>
  <c r="C50" i="15"/>
  <c r="L149" i="15"/>
  <c r="S159" i="15"/>
  <c r="D50" i="15"/>
  <c r="D149" i="15"/>
  <c r="O67" i="15"/>
  <c r="AC58" i="15"/>
  <c r="AA72" i="15"/>
  <c r="M56" i="15"/>
  <c r="K72" i="15"/>
  <c r="Z74" i="15"/>
  <c r="J56" i="15"/>
  <c r="AC143" i="15"/>
  <c r="M157" i="15"/>
  <c r="J64" i="15"/>
  <c r="J54" i="15"/>
  <c r="AA143" i="15"/>
  <c r="AA56" i="15"/>
  <c r="S143" i="15"/>
  <c r="AB56" i="15"/>
  <c r="S74" i="15"/>
  <c r="J70" i="15"/>
  <c r="L145" i="15"/>
  <c r="M145" i="15"/>
  <c r="AB157" i="15"/>
  <c r="D72" i="15"/>
  <c r="K56" i="15"/>
  <c r="Z157" i="15"/>
  <c r="S157" i="15"/>
  <c r="S58" i="15"/>
  <c r="C56" i="15"/>
  <c r="AC72" i="15"/>
  <c r="M50" i="15"/>
  <c r="O150" i="15"/>
  <c r="K141" i="15"/>
  <c r="K54" i="15"/>
  <c r="Z159" i="15"/>
  <c r="AB151" i="15"/>
  <c r="S155" i="15"/>
  <c r="AB52" i="15"/>
  <c r="L64" i="15"/>
  <c r="C74" i="15"/>
  <c r="C64" i="15"/>
  <c r="Z143" i="15"/>
  <c r="T151" i="15"/>
  <c r="AC74" i="15"/>
  <c r="K149" i="15"/>
  <c r="L157" i="15"/>
  <c r="K157" i="15"/>
  <c r="AA74" i="15"/>
  <c r="M62" i="15"/>
  <c r="M70" i="15"/>
  <c r="Z58" i="15"/>
  <c r="J72" i="15"/>
  <c r="AC157" i="15"/>
  <c r="M141" i="15"/>
  <c r="AD138" i="15"/>
  <c r="AE138" i="15" s="1"/>
  <c r="AD144" i="15"/>
  <c r="AE144" i="15" s="1"/>
  <c r="AB74" i="15"/>
  <c r="O160" i="15"/>
  <c r="O37" i="15"/>
  <c r="AD37" i="15"/>
  <c r="AE37" i="15" s="1"/>
  <c r="O33" i="15"/>
  <c r="AD33" i="15"/>
  <c r="AE33" i="15" s="1"/>
  <c r="D133" i="15"/>
  <c r="E132" i="15" s="1"/>
  <c r="L133" i="15"/>
  <c r="C133" i="15"/>
  <c r="M133" i="15"/>
  <c r="J133" i="15"/>
  <c r="K133" i="15"/>
  <c r="O47" i="15"/>
  <c r="AD47" i="15"/>
  <c r="AE47" i="15" s="1"/>
  <c r="AD19" i="15"/>
  <c r="AE19" i="15" s="1"/>
  <c r="O19" i="15"/>
  <c r="AD9" i="15"/>
  <c r="AE9" i="15" s="1"/>
  <c r="O9" i="15"/>
  <c r="D10" i="15"/>
  <c r="E9" i="15" s="1"/>
  <c r="L10" i="15"/>
  <c r="J10" i="15"/>
  <c r="C10" i="15"/>
  <c r="K10" i="15"/>
  <c r="M10" i="15"/>
  <c r="O25" i="15"/>
  <c r="AD25" i="15"/>
  <c r="AE25" i="15" s="1"/>
  <c r="I39" i="15"/>
  <c r="O15" i="15"/>
  <c r="AD15" i="15"/>
  <c r="AE15" i="15" s="1"/>
  <c r="AD29" i="15"/>
  <c r="AE29" i="15" s="1"/>
  <c r="O29" i="15"/>
  <c r="W79" i="15"/>
  <c r="AD43" i="15"/>
  <c r="AE43" i="15" s="1"/>
  <c r="O43" i="15"/>
  <c r="AD31" i="15"/>
  <c r="AE31" i="15" s="1"/>
  <c r="O31" i="15"/>
  <c r="O17" i="15"/>
  <c r="AD17" i="15"/>
  <c r="AE17" i="15" s="1"/>
  <c r="O13" i="15"/>
  <c r="AD13" i="15"/>
  <c r="AE13" i="15" s="1"/>
  <c r="I21" i="15"/>
  <c r="O102" i="15"/>
  <c r="AD102" i="15"/>
  <c r="AE102" i="15" s="1"/>
  <c r="O5" i="15"/>
  <c r="AD5" i="15"/>
  <c r="AE5" i="15" s="1"/>
  <c r="O41" i="15"/>
  <c r="AD41" i="15"/>
  <c r="AE41" i="15" s="1"/>
  <c r="AD27" i="15"/>
  <c r="AE27" i="15" s="1"/>
  <c r="O27" i="15"/>
  <c r="O21" i="15"/>
  <c r="AD21" i="15"/>
  <c r="AE21" i="15" s="1"/>
  <c r="AD45" i="15"/>
  <c r="AE45" i="15" s="1"/>
  <c r="O45" i="15"/>
  <c r="AD11" i="15"/>
  <c r="AE11" i="15" s="1"/>
  <c r="O11" i="15"/>
  <c r="AD23" i="15"/>
  <c r="AE23" i="15" s="1"/>
  <c r="O23" i="15"/>
  <c r="AD39" i="15"/>
  <c r="AE39" i="15" s="1"/>
  <c r="O39" i="15"/>
  <c r="AD35" i="15"/>
  <c r="AE35" i="15" s="1"/>
  <c r="O35" i="15"/>
  <c r="O3" i="15"/>
  <c r="AD3" i="15"/>
  <c r="AE3" i="15" s="1"/>
  <c r="I43" i="15"/>
  <c r="I5" i="15"/>
  <c r="L164" i="15"/>
  <c r="T44" i="15"/>
  <c r="U43" i="15" s="1"/>
  <c r="Z44" i="15"/>
  <c r="AB44" i="15"/>
  <c r="AA44" i="15"/>
  <c r="S44" i="15"/>
  <c r="AC44" i="15"/>
  <c r="G164" i="15"/>
  <c r="AB164" i="15"/>
  <c r="I126" i="15"/>
  <c r="O116" i="15"/>
  <c r="AD116" i="15"/>
  <c r="AE116" i="15" s="1"/>
  <c r="AD7" i="15"/>
  <c r="AE7" i="15" s="1"/>
  <c r="O7" i="15"/>
  <c r="H79" i="15"/>
  <c r="D4" i="17" s="1"/>
  <c r="D99" i="15"/>
  <c r="E98" i="15" s="1"/>
  <c r="K99" i="15"/>
  <c r="L99" i="15"/>
  <c r="M99" i="15"/>
  <c r="C99" i="15"/>
  <c r="J99" i="15"/>
  <c r="T91" i="15"/>
  <c r="U90" i="15" s="1"/>
  <c r="AC91" i="15"/>
  <c r="AA91" i="15"/>
  <c r="S91" i="15"/>
  <c r="AB91" i="15"/>
  <c r="Z91" i="15"/>
  <c r="D30" i="15"/>
  <c r="E29" i="15" s="1"/>
  <c r="L30" i="15"/>
  <c r="K30" i="15"/>
  <c r="J30" i="15"/>
  <c r="M30" i="15"/>
  <c r="C30" i="15"/>
  <c r="Y7" i="15"/>
  <c r="G79" i="15"/>
  <c r="T18" i="15"/>
  <c r="U17" i="15" s="1"/>
  <c r="S18" i="15"/>
  <c r="AB18" i="15"/>
  <c r="Z18" i="15"/>
  <c r="AC18" i="15"/>
  <c r="AA18" i="15"/>
  <c r="T97" i="15"/>
  <c r="U96" i="15" s="1"/>
  <c r="S97" i="15"/>
  <c r="Z97" i="15"/>
  <c r="AA97" i="15"/>
  <c r="AB97" i="15"/>
  <c r="AC97" i="15"/>
  <c r="AD126" i="15"/>
  <c r="AE126" i="15" s="1"/>
  <c r="O126" i="15"/>
  <c r="I31" i="15"/>
  <c r="I15" i="15"/>
  <c r="I37" i="15"/>
  <c r="Y35" i="15"/>
  <c r="AB79" i="15"/>
  <c r="I41" i="15"/>
  <c r="I25" i="15"/>
  <c r="I108" i="15"/>
  <c r="L79" i="15"/>
  <c r="Y106" i="15"/>
  <c r="D46" i="15"/>
  <c r="E45" i="15" s="1"/>
  <c r="J46" i="15"/>
  <c r="M46" i="15"/>
  <c r="K46" i="15"/>
  <c r="L46" i="15"/>
  <c r="C46" i="15"/>
  <c r="D131" i="15"/>
  <c r="E130" i="15" s="1"/>
  <c r="K131" i="15"/>
  <c r="M131" i="15"/>
  <c r="C131" i="15"/>
  <c r="J131" i="15"/>
  <c r="L131" i="15"/>
  <c r="AD104" i="15"/>
  <c r="AE104" i="15" s="1"/>
  <c r="O104" i="15"/>
  <c r="D24" i="15"/>
  <c r="E23" i="15" s="1"/>
  <c r="L24" i="15"/>
  <c r="C24" i="15"/>
  <c r="J24" i="15"/>
  <c r="K24" i="15"/>
  <c r="M24" i="15"/>
  <c r="AB48" i="15"/>
  <c r="AC48" i="15"/>
  <c r="AA48" i="15"/>
  <c r="Z48" i="15"/>
  <c r="S48" i="15"/>
  <c r="T48" i="15"/>
  <c r="U47" i="15" s="1"/>
  <c r="T42" i="15"/>
  <c r="U41" i="15" s="1"/>
  <c r="AA42" i="15"/>
  <c r="AC42" i="15"/>
  <c r="S42" i="15"/>
  <c r="Z42" i="15"/>
  <c r="AB42" i="15"/>
  <c r="T10" i="15"/>
  <c r="U9" i="15" s="1"/>
  <c r="AA10" i="15"/>
  <c r="AB10" i="15"/>
  <c r="S10" i="15"/>
  <c r="Z10" i="15"/>
  <c r="AC10" i="15"/>
  <c r="D107" i="15"/>
  <c r="E106" i="15" s="1"/>
  <c r="C107" i="15"/>
  <c r="L107" i="15"/>
  <c r="J107" i="15"/>
  <c r="K107" i="15"/>
  <c r="M107" i="15"/>
  <c r="O132" i="15"/>
  <c r="AD132" i="15"/>
  <c r="AE132" i="15" s="1"/>
  <c r="I29" i="15"/>
  <c r="Y33" i="15"/>
  <c r="Y116" i="15"/>
  <c r="Y96" i="15"/>
  <c r="D20" i="15"/>
  <c r="E19" i="15" s="1"/>
  <c r="C20" i="15"/>
  <c r="M20" i="15"/>
  <c r="J20" i="15"/>
  <c r="K20" i="15"/>
  <c r="L20" i="15"/>
  <c r="C105" i="15"/>
  <c r="D105" i="15"/>
  <c r="E104" i="15" s="1"/>
  <c r="L105" i="15"/>
  <c r="K105" i="15"/>
  <c r="J105" i="15"/>
  <c r="M105" i="15"/>
  <c r="T123" i="15"/>
  <c r="U122" i="15" s="1"/>
  <c r="AC123" i="15"/>
  <c r="AB123" i="15"/>
  <c r="Z123" i="15"/>
  <c r="AA123" i="15"/>
  <c r="S123" i="15"/>
  <c r="T109" i="15"/>
  <c r="U108" i="15" s="1"/>
  <c r="AC109" i="15"/>
  <c r="Z109" i="15"/>
  <c r="S109" i="15"/>
  <c r="AA109" i="15"/>
  <c r="AB109" i="15"/>
  <c r="Y3" i="15"/>
  <c r="X79" i="15"/>
  <c r="W4" i="17" s="1"/>
  <c r="Y134" i="15"/>
  <c r="Y94" i="15"/>
  <c r="D18" i="15"/>
  <c r="E17" i="15" s="1"/>
  <c r="J18" i="15"/>
  <c r="M18" i="15"/>
  <c r="C18" i="15"/>
  <c r="K18" i="15"/>
  <c r="L18" i="15"/>
  <c r="T8" i="15"/>
  <c r="U7" i="15" s="1"/>
  <c r="S8" i="15"/>
  <c r="AC8" i="15"/>
  <c r="Z8" i="15"/>
  <c r="AA8" i="15"/>
  <c r="AB8" i="15"/>
  <c r="D101" i="15"/>
  <c r="E100" i="15" s="1"/>
  <c r="L101" i="15"/>
  <c r="K101" i="15"/>
  <c r="M101" i="15"/>
  <c r="J101" i="15"/>
  <c r="C101" i="15"/>
  <c r="T129" i="15"/>
  <c r="U128" i="15" s="1"/>
  <c r="S129" i="15"/>
  <c r="Z129" i="15"/>
  <c r="AA129" i="15"/>
  <c r="AB129" i="15"/>
  <c r="AC129" i="15"/>
  <c r="T115" i="15"/>
  <c r="U114" i="15" s="1"/>
  <c r="AB115" i="15"/>
  <c r="S115" i="15"/>
  <c r="AA115" i="15"/>
  <c r="Z115" i="15"/>
  <c r="AC115" i="15"/>
  <c r="D28" i="15"/>
  <c r="E27" i="15" s="1"/>
  <c r="L28" i="15"/>
  <c r="C28" i="15"/>
  <c r="J28" i="15"/>
  <c r="M28" i="15"/>
  <c r="K28" i="15"/>
  <c r="AD114" i="15"/>
  <c r="AE114" i="15" s="1"/>
  <c r="O114" i="15"/>
  <c r="I23" i="15"/>
  <c r="I132" i="15"/>
  <c r="Y102" i="15"/>
  <c r="D44" i="15"/>
  <c r="J44" i="15"/>
  <c r="M44" i="15"/>
  <c r="C44" i="15"/>
  <c r="L44" i="15"/>
  <c r="K44" i="15"/>
  <c r="D8" i="15"/>
  <c r="E7" i="15" s="1"/>
  <c r="C8" i="15"/>
  <c r="J8" i="15"/>
  <c r="L8" i="15"/>
  <c r="K8" i="15"/>
  <c r="M8" i="15"/>
  <c r="AW4" i="31"/>
  <c r="T34" i="15"/>
  <c r="U33" i="15" s="1"/>
  <c r="AC34" i="15"/>
  <c r="S34" i="15"/>
  <c r="AB34" i="15"/>
  <c r="Z34" i="15"/>
  <c r="AA34" i="15"/>
  <c r="T26" i="15"/>
  <c r="U25" i="15" s="1"/>
  <c r="S26" i="15"/>
  <c r="AB26" i="15"/>
  <c r="Z26" i="15"/>
  <c r="AA26" i="15"/>
  <c r="AC26" i="15"/>
  <c r="AA16" i="15"/>
  <c r="T16" i="15"/>
  <c r="U15" i="15" s="1"/>
  <c r="S16" i="15"/>
  <c r="AB16" i="15"/>
  <c r="Z16" i="15"/>
  <c r="AC16" i="15"/>
  <c r="D123" i="15"/>
  <c r="E122" i="15" s="1"/>
  <c r="L123" i="15"/>
  <c r="M123" i="15"/>
  <c r="K123" i="15"/>
  <c r="J123" i="15"/>
  <c r="C123" i="15"/>
  <c r="D91" i="15"/>
  <c r="E90" i="15" s="1"/>
  <c r="C91" i="15"/>
  <c r="J91" i="15"/>
  <c r="K91" i="15"/>
  <c r="M91" i="15"/>
  <c r="L91" i="15"/>
  <c r="O108" i="15"/>
  <c r="AD108" i="15"/>
  <c r="AE108" i="15" s="1"/>
  <c r="I45" i="15"/>
  <c r="Y27" i="15"/>
  <c r="I130" i="15"/>
  <c r="Y124" i="15"/>
  <c r="L40" i="15"/>
  <c r="M40" i="15"/>
  <c r="D40" i="15"/>
  <c r="E39" i="15" s="1"/>
  <c r="C40" i="15"/>
  <c r="J40" i="15"/>
  <c r="K40" i="15"/>
  <c r="D4" i="15"/>
  <c r="E3" i="15" s="1"/>
  <c r="W26" i="31"/>
  <c r="W24" i="31"/>
  <c r="W22" i="31"/>
  <c r="W20" i="31"/>
  <c r="W18" i="31"/>
  <c r="W16" i="31"/>
  <c r="W14" i="31"/>
  <c r="W12" i="31"/>
  <c r="W10" i="31"/>
  <c r="W8" i="31"/>
  <c r="W6" i="31"/>
  <c r="W25" i="31"/>
  <c r="W23" i="31"/>
  <c r="W21" i="31"/>
  <c r="W19" i="31"/>
  <c r="W17" i="31"/>
  <c r="W15" i="31"/>
  <c r="W13" i="31"/>
  <c r="W11" i="31"/>
  <c r="W9" i="31"/>
  <c r="W7" i="31"/>
  <c r="W5" i="31"/>
  <c r="K4" i="15"/>
  <c r="L4" i="15"/>
  <c r="C4" i="15"/>
  <c r="M4" i="15"/>
  <c r="J4" i="15"/>
  <c r="M121" i="15"/>
  <c r="D121" i="15"/>
  <c r="E120" i="15" s="1"/>
  <c r="L121" i="15"/>
  <c r="C121" i="15"/>
  <c r="J121" i="15"/>
  <c r="K121" i="15"/>
  <c r="W73" i="31"/>
  <c r="W71" i="31"/>
  <c r="W69" i="31"/>
  <c r="W67" i="31"/>
  <c r="W65" i="31"/>
  <c r="W63" i="31"/>
  <c r="W61" i="31"/>
  <c r="W59" i="31"/>
  <c r="W57" i="31"/>
  <c r="W55" i="31"/>
  <c r="W53" i="31"/>
  <c r="W51" i="31"/>
  <c r="W72" i="31"/>
  <c r="W70" i="31"/>
  <c r="W68" i="31"/>
  <c r="W66" i="31"/>
  <c r="W64" i="31"/>
  <c r="W62" i="31"/>
  <c r="W60" i="31"/>
  <c r="W58" i="31"/>
  <c r="W56" i="31"/>
  <c r="W54" i="31"/>
  <c r="W52" i="31"/>
  <c r="C89" i="15"/>
  <c r="J89" i="15"/>
  <c r="M89" i="15"/>
  <c r="K89" i="15"/>
  <c r="L89" i="15"/>
  <c r="D89" i="15"/>
  <c r="E88" i="15" s="1"/>
  <c r="T113" i="15"/>
  <c r="U112" i="15" s="1"/>
  <c r="S113" i="15"/>
  <c r="AA113" i="15"/>
  <c r="Z113" i="15"/>
  <c r="AB113" i="15"/>
  <c r="AC113" i="15"/>
  <c r="T107" i="15"/>
  <c r="U106" i="15" s="1"/>
  <c r="AB107" i="15"/>
  <c r="AC107" i="15"/>
  <c r="S107" i="15"/>
  <c r="Z107" i="15"/>
  <c r="AA107" i="15"/>
  <c r="W164" i="15"/>
  <c r="I13" i="15"/>
  <c r="Y47" i="15"/>
  <c r="Y19" i="15"/>
  <c r="I112" i="15"/>
  <c r="I100" i="15"/>
  <c r="Y122" i="15"/>
  <c r="D38" i="15"/>
  <c r="E37" i="15" s="1"/>
  <c r="C38" i="15"/>
  <c r="L38" i="15"/>
  <c r="J38" i="15"/>
  <c r="M38" i="15"/>
  <c r="K38" i="15"/>
  <c r="T24" i="15"/>
  <c r="U23" i="15" s="1"/>
  <c r="AC24" i="15"/>
  <c r="AB24" i="15"/>
  <c r="Z24" i="15"/>
  <c r="AA24" i="15"/>
  <c r="S24" i="15"/>
  <c r="D117" i="15"/>
  <c r="E116" i="15" s="1"/>
  <c r="L117" i="15"/>
  <c r="C117" i="15"/>
  <c r="K117" i="15"/>
  <c r="M117" i="15"/>
  <c r="J117" i="15"/>
  <c r="T131" i="15"/>
  <c r="U130" i="15" s="1"/>
  <c r="S131" i="15"/>
  <c r="AB131" i="15"/>
  <c r="AA131" i="15"/>
  <c r="AC131" i="15"/>
  <c r="Z131" i="15"/>
  <c r="T125" i="15"/>
  <c r="U124" i="15" s="1"/>
  <c r="AB125" i="15"/>
  <c r="Z125" i="15"/>
  <c r="AC125" i="15"/>
  <c r="S125" i="15"/>
  <c r="AA125" i="15"/>
  <c r="T99" i="15"/>
  <c r="U98" i="15" s="1"/>
  <c r="S99" i="15"/>
  <c r="AB99" i="15"/>
  <c r="AC99" i="15"/>
  <c r="AA99" i="15"/>
  <c r="Z99" i="15"/>
  <c r="T93" i="15"/>
  <c r="U92" i="15" s="1"/>
  <c r="AA93" i="15"/>
  <c r="AC93" i="15"/>
  <c r="S93" i="15"/>
  <c r="AB93" i="15"/>
  <c r="Z93" i="15"/>
  <c r="AD110" i="15"/>
  <c r="AE110" i="15" s="1"/>
  <c r="O110" i="15"/>
  <c r="I9" i="15"/>
  <c r="Y11" i="15"/>
  <c r="I128" i="15"/>
  <c r="H164" i="15"/>
  <c r="D103" i="17" s="1"/>
  <c r="Y88" i="15"/>
  <c r="X164" i="15"/>
  <c r="W103" i="17" s="1"/>
  <c r="D26" i="15"/>
  <c r="E25" i="15" s="1"/>
  <c r="M26" i="15"/>
  <c r="L26" i="15"/>
  <c r="C26" i="15"/>
  <c r="K26" i="15"/>
  <c r="J26" i="15"/>
  <c r="T32" i="15"/>
  <c r="U31" i="15" s="1"/>
  <c r="AA32" i="15"/>
  <c r="AB32" i="15"/>
  <c r="S32" i="15"/>
  <c r="AC32" i="15"/>
  <c r="Z32" i="15"/>
  <c r="D115" i="15"/>
  <c r="E114" i="15" s="1"/>
  <c r="L115" i="15"/>
  <c r="C115" i="15"/>
  <c r="M115" i="15"/>
  <c r="K115" i="15"/>
  <c r="J115" i="15"/>
  <c r="T28" i="15"/>
  <c r="U27" i="15" s="1"/>
  <c r="S28" i="15"/>
  <c r="AB28" i="15"/>
  <c r="Z28" i="15"/>
  <c r="AA28" i="15"/>
  <c r="AC28" i="15"/>
  <c r="O98" i="15"/>
  <c r="AD98" i="15"/>
  <c r="AE98" i="15" s="1"/>
  <c r="O122" i="15"/>
  <c r="AD122" i="15"/>
  <c r="AE122" i="15" s="1"/>
  <c r="Y104" i="15"/>
  <c r="W4" i="31"/>
  <c r="D34" i="15"/>
  <c r="E33" i="15" s="1"/>
  <c r="C34" i="15"/>
  <c r="L34" i="15"/>
  <c r="J34" i="15"/>
  <c r="K34" i="15"/>
  <c r="M34" i="15"/>
  <c r="M14" i="15"/>
  <c r="D14" i="15"/>
  <c r="E13" i="15" s="1"/>
  <c r="C14" i="15"/>
  <c r="L14" i="15"/>
  <c r="J14" i="15"/>
  <c r="K14" i="15"/>
  <c r="T46" i="15"/>
  <c r="U45" i="15" s="1"/>
  <c r="AB46" i="15"/>
  <c r="AA46" i="15"/>
  <c r="AC46" i="15"/>
  <c r="S46" i="15"/>
  <c r="Z46" i="15"/>
  <c r="T30" i="15"/>
  <c r="U29" i="15" s="1"/>
  <c r="AB30" i="15"/>
  <c r="AC30" i="15"/>
  <c r="S30" i="15"/>
  <c r="AA30" i="15"/>
  <c r="Z30" i="15"/>
  <c r="M127" i="15"/>
  <c r="D127" i="15"/>
  <c r="E126" i="15" s="1"/>
  <c r="L127" i="15"/>
  <c r="J127" i="15"/>
  <c r="K127" i="15"/>
  <c r="C127" i="15"/>
  <c r="J111" i="15"/>
  <c r="D111" i="15"/>
  <c r="E110" i="15" s="1"/>
  <c r="K111" i="15"/>
  <c r="L111" i="15"/>
  <c r="M111" i="15"/>
  <c r="C111" i="15"/>
  <c r="D95" i="15"/>
  <c r="E94" i="15" s="1"/>
  <c r="L95" i="15"/>
  <c r="C95" i="15"/>
  <c r="J95" i="15"/>
  <c r="K95" i="15"/>
  <c r="M95" i="15"/>
  <c r="AW50" i="31"/>
  <c r="T127" i="15"/>
  <c r="U126" i="15" s="1"/>
  <c r="AB127" i="15"/>
  <c r="AA127" i="15"/>
  <c r="AC127" i="15"/>
  <c r="Z127" i="15"/>
  <c r="S127" i="15"/>
  <c r="T111" i="15"/>
  <c r="U110" i="15" s="1"/>
  <c r="Z111" i="15"/>
  <c r="AA111" i="15"/>
  <c r="S111" i="15"/>
  <c r="AB111" i="15"/>
  <c r="AC111" i="15"/>
  <c r="AA95" i="15"/>
  <c r="T95" i="15"/>
  <c r="U94" i="15" s="1"/>
  <c r="S95" i="15"/>
  <c r="AB95" i="15"/>
  <c r="Z95" i="15"/>
  <c r="AC95" i="15"/>
  <c r="O100" i="15"/>
  <c r="AD100" i="15"/>
  <c r="AE100" i="15" s="1"/>
  <c r="AD106" i="15"/>
  <c r="AE106" i="15" s="1"/>
  <c r="O106" i="15"/>
  <c r="AD112" i="15"/>
  <c r="AE112" i="15" s="1"/>
  <c r="O112" i="15"/>
  <c r="O124" i="15"/>
  <c r="AD124" i="15"/>
  <c r="AE124" i="15" s="1"/>
  <c r="AD130" i="15"/>
  <c r="AE130" i="15" s="1"/>
  <c r="O130" i="15"/>
  <c r="Y17" i="15"/>
  <c r="I114" i="15"/>
  <c r="Y118" i="15"/>
  <c r="Y98" i="15"/>
  <c r="E43" i="15"/>
  <c r="D48" i="15"/>
  <c r="E47" i="15" s="1"/>
  <c r="C48" i="15"/>
  <c r="L48" i="15"/>
  <c r="K48" i="15"/>
  <c r="M48" i="15"/>
  <c r="J48" i="15"/>
  <c r="C32" i="15"/>
  <c r="L32" i="15"/>
  <c r="D32" i="15"/>
  <c r="E31" i="15" s="1"/>
  <c r="K32" i="15"/>
  <c r="M32" i="15"/>
  <c r="J32" i="15"/>
  <c r="D12" i="15"/>
  <c r="E11" i="15" s="1"/>
  <c r="L12" i="15"/>
  <c r="C12" i="15"/>
  <c r="J12" i="15"/>
  <c r="K12" i="15"/>
  <c r="M12" i="15"/>
  <c r="T40" i="15"/>
  <c r="U39" i="15" s="1"/>
  <c r="AC40" i="15"/>
  <c r="S40" i="15"/>
  <c r="AB40" i="15"/>
  <c r="AA40" i="15"/>
  <c r="Z40" i="15"/>
  <c r="AC20" i="15"/>
  <c r="T20" i="15"/>
  <c r="U19" i="15" s="1"/>
  <c r="S20" i="15"/>
  <c r="AA20" i="15"/>
  <c r="AB20" i="15"/>
  <c r="Z20" i="15"/>
  <c r="T12" i="15"/>
  <c r="U11" i="15" s="1"/>
  <c r="AB12" i="15"/>
  <c r="AC12" i="15"/>
  <c r="Z12" i="15"/>
  <c r="AA12" i="15"/>
  <c r="S12" i="15"/>
  <c r="AW26" i="31"/>
  <c r="AW25" i="31"/>
  <c r="AW17" i="31"/>
  <c r="AW9" i="31"/>
  <c r="AW22" i="31"/>
  <c r="AW14" i="31"/>
  <c r="AW6" i="31"/>
  <c r="AW19" i="31"/>
  <c r="AW11" i="31"/>
  <c r="AW24" i="31"/>
  <c r="AW16" i="31"/>
  <c r="AW8" i="31"/>
  <c r="T4" i="15"/>
  <c r="U3" i="15" s="1"/>
  <c r="AW15" i="31"/>
  <c r="AW12" i="31"/>
  <c r="AW21" i="31"/>
  <c r="AW18" i="31"/>
  <c r="AW10" i="31"/>
  <c r="AW13" i="31"/>
  <c r="AB4" i="15"/>
  <c r="AW20" i="31"/>
  <c r="AW5" i="31"/>
  <c r="AW23" i="31"/>
  <c r="S4" i="15"/>
  <c r="AA4" i="15"/>
  <c r="AC4" i="15"/>
  <c r="Z4" i="15"/>
  <c r="AW7" i="31"/>
  <c r="D125" i="15"/>
  <c r="E124" i="15" s="1"/>
  <c r="C125" i="15"/>
  <c r="L125" i="15"/>
  <c r="M125" i="15"/>
  <c r="K125" i="15"/>
  <c r="J125" i="15"/>
  <c r="L109" i="15"/>
  <c r="D109" i="15"/>
  <c r="E108" i="15" s="1"/>
  <c r="F108" i="15" s="1"/>
  <c r="C109" i="15"/>
  <c r="J109" i="15"/>
  <c r="M109" i="15"/>
  <c r="K109" i="15"/>
  <c r="J93" i="15"/>
  <c r="D93" i="15"/>
  <c r="E92" i="15" s="1"/>
  <c r="L93" i="15"/>
  <c r="C93" i="15"/>
  <c r="M93" i="15"/>
  <c r="K93" i="15"/>
  <c r="T121" i="15"/>
  <c r="U120" i="15" s="1"/>
  <c r="AB121" i="15"/>
  <c r="AA121" i="15"/>
  <c r="AC121" i="15"/>
  <c r="Z121" i="15"/>
  <c r="S121" i="15"/>
  <c r="T105" i="15"/>
  <c r="U104" i="15" s="1"/>
  <c r="AB105" i="15"/>
  <c r="AA105" i="15"/>
  <c r="AC105" i="15"/>
  <c r="Z105" i="15"/>
  <c r="S105" i="15"/>
  <c r="T89" i="15"/>
  <c r="U88" i="15" s="1"/>
  <c r="AW74" i="31"/>
  <c r="AW67" i="31"/>
  <c r="AW59" i="31"/>
  <c r="AW51" i="31"/>
  <c r="AW72" i="31"/>
  <c r="AW64" i="31"/>
  <c r="AW56" i="31"/>
  <c r="AW69" i="31"/>
  <c r="AW61" i="31"/>
  <c r="AW53" i="31"/>
  <c r="AW66" i="31"/>
  <c r="AW58" i="31"/>
  <c r="AW65" i="31"/>
  <c r="AW62" i="31"/>
  <c r="AW71" i="31"/>
  <c r="AW68" i="31"/>
  <c r="AW55" i="31"/>
  <c r="AW52" i="31"/>
  <c r="AW73" i="31"/>
  <c r="AB89" i="15"/>
  <c r="AW54" i="31"/>
  <c r="AW57" i="31"/>
  <c r="AW60" i="31"/>
  <c r="S89" i="15"/>
  <c r="AC89" i="15"/>
  <c r="AW63" i="31"/>
  <c r="AW70" i="31"/>
  <c r="AA89" i="15"/>
  <c r="Z89" i="15"/>
  <c r="O88" i="15"/>
  <c r="AD88" i="15"/>
  <c r="AE88" i="15" s="1"/>
  <c r="O94" i="15"/>
  <c r="AD94" i="15"/>
  <c r="AE94" i="15" s="1"/>
  <c r="AD118" i="15"/>
  <c r="AE118" i="15" s="1"/>
  <c r="O118" i="15"/>
  <c r="I92" i="15"/>
  <c r="Y90" i="15"/>
  <c r="L42" i="15"/>
  <c r="D42" i="15"/>
  <c r="E41" i="15" s="1"/>
  <c r="J42" i="15"/>
  <c r="C42" i="15"/>
  <c r="M42" i="15"/>
  <c r="K42" i="15"/>
  <c r="D22" i="15"/>
  <c r="E21" i="15" s="1"/>
  <c r="L22" i="15"/>
  <c r="C22" i="15"/>
  <c r="M22" i="15"/>
  <c r="J22" i="15"/>
  <c r="K22" i="15"/>
  <c r="D6" i="15"/>
  <c r="E5" i="15" s="1"/>
  <c r="C6" i="15"/>
  <c r="M6" i="15"/>
  <c r="K6" i="15"/>
  <c r="L6" i="15"/>
  <c r="J6" i="15"/>
  <c r="T38" i="15"/>
  <c r="U37" i="15" s="1"/>
  <c r="S38" i="15"/>
  <c r="AB38" i="15"/>
  <c r="AC38" i="15"/>
  <c r="AA38" i="15"/>
  <c r="Z38" i="15"/>
  <c r="W50" i="31"/>
  <c r="D119" i="15"/>
  <c r="E118" i="15" s="1"/>
  <c r="L119" i="15"/>
  <c r="C119" i="15"/>
  <c r="K119" i="15"/>
  <c r="J119" i="15"/>
  <c r="M119" i="15"/>
  <c r="C103" i="15"/>
  <c r="D103" i="15"/>
  <c r="E102" i="15" s="1"/>
  <c r="L103" i="15"/>
  <c r="K103" i="15"/>
  <c r="M103" i="15"/>
  <c r="J103" i="15"/>
  <c r="AC135" i="15"/>
  <c r="T135" i="15"/>
  <c r="U134" i="15" s="1"/>
  <c r="S135" i="15"/>
  <c r="AB135" i="15"/>
  <c r="Z135" i="15"/>
  <c r="AA135" i="15"/>
  <c r="Z119" i="15"/>
  <c r="T119" i="15"/>
  <c r="U118" i="15" s="1"/>
  <c r="S119" i="15"/>
  <c r="AB119" i="15"/>
  <c r="AA119" i="15"/>
  <c r="AC119" i="15"/>
  <c r="AB103" i="15"/>
  <c r="S103" i="15"/>
  <c r="T103" i="15"/>
  <c r="U102" i="15" s="1"/>
  <c r="AA103" i="15"/>
  <c r="AC103" i="15"/>
  <c r="Z103" i="15"/>
  <c r="AD90" i="15"/>
  <c r="AE90" i="15" s="1"/>
  <c r="O90" i="15"/>
  <c r="AD96" i="15"/>
  <c r="AE96" i="15" s="1"/>
  <c r="O96" i="15"/>
  <c r="AD120" i="15"/>
  <c r="AE120" i="15" s="1"/>
  <c r="O120" i="15"/>
  <c r="O134" i="15"/>
  <c r="AD134" i="15"/>
  <c r="AE134" i="15" s="1"/>
  <c r="O128" i="15"/>
  <c r="AD128" i="15"/>
  <c r="AE128" i="15" s="1"/>
  <c r="Y120" i="15"/>
  <c r="Y110" i="15"/>
  <c r="D36" i="15"/>
  <c r="E35" i="15" s="1"/>
  <c r="C36" i="15"/>
  <c r="L36" i="15"/>
  <c r="K36" i="15"/>
  <c r="J36" i="15"/>
  <c r="M36" i="15"/>
  <c r="D16" i="15"/>
  <c r="E15" i="15" s="1"/>
  <c r="M16" i="15"/>
  <c r="L16" i="15"/>
  <c r="J16" i="15"/>
  <c r="C16" i="15"/>
  <c r="K16" i="15"/>
  <c r="T36" i="15"/>
  <c r="U35" i="15" s="1"/>
  <c r="S36" i="15"/>
  <c r="AB36" i="15"/>
  <c r="AC36" i="15"/>
  <c r="Z36" i="15"/>
  <c r="AA36" i="15"/>
  <c r="AB22" i="15"/>
  <c r="T22" i="15"/>
  <c r="U21" i="15" s="1"/>
  <c r="AC22" i="15"/>
  <c r="AA22" i="15"/>
  <c r="Z22" i="15"/>
  <c r="S22" i="15"/>
  <c r="T14" i="15"/>
  <c r="U13" i="15" s="1"/>
  <c r="AB14" i="15"/>
  <c r="Z14" i="15"/>
  <c r="AC14" i="15"/>
  <c r="AA14" i="15"/>
  <c r="S14" i="15"/>
  <c r="S6" i="15"/>
  <c r="AC6" i="15"/>
  <c r="T6" i="15"/>
  <c r="U5" i="15" s="1"/>
  <c r="Z6" i="15"/>
  <c r="AA6" i="15"/>
  <c r="AB6" i="15"/>
  <c r="D129" i="15"/>
  <c r="E128" i="15" s="1"/>
  <c r="C129" i="15"/>
  <c r="M129" i="15"/>
  <c r="J129" i="15"/>
  <c r="L129" i="15"/>
  <c r="K129" i="15"/>
  <c r="D113" i="15"/>
  <c r="E112" i="15" s="1"/>
  <c r="J113" i="15"/>
  <c r="C113" i="15"/>
  <c r="M113" i="15"/>
  <c r="K113" i="15"/>
  <c r="L113" i="15"/>
  <c r="D97" i="15"/>
  <c r="E96" i="15" s="1"/>
  <c r="L97" i="15"/>
  <c r="J97" i="15"/>
  <c r="C97" i="15"/>
  <c r="M97" i="15"/>
  <c r="K97" i="15"/>
  <c r="AB133" i="15"/>
  <c r="T133" i="15"/>
  <c r="U132" i="15" s="1"/>
  <c r="AC133" i="15"/>
  <c r="S133" i="15"/>
  <c r="Z133" i="15"/>
  <c r="AA133" i="15"/>
  <c r="AC117" i="15"/>
  <c r="S117" i="15"/>
  <c r="AA117" i="15"/>
  <c r="AB117" i="15"/>
  <c r="Z117" i="15"/>
  <c r="T117" i="15"/>
  <c r="U116" i="15" s="1"/>
  <c r="T101" i="15"/>
  <c r="U100" i="15" s="1"/>
  <c r="AB101" i="15"/>
  <c r="S101" i="15"/>
  <c r="AC101" i="15"/>
  <c r="Z101" i="15"/>
  <c r="AA101" i="15"/>
  <c r="AD92" i="15"/>
  <c r="AE92" i="15" s="1"/>
  <c r="O92" i="15"/>
  <c r="O152" i="15"/>
  <c r="AD152" i="15"/>
  <c r="AE152" i="15" s="1"/>
  <c r="O142" i="15"/>
  <c r="AD142" i="15"/>
  <c r="AE142" i="15" s="1"/>
  <c r="T50" i="15"/>
  <c r="S50" i="15"/>
  <c r="AB50" i="15"/>
  <c r="Z76" i="15"/>
  <c r="T76" i="15"/>
  <c r="T60" i="15"/>
  <c r="AC60" i="15"/>
  <c r="S60" i="15"/>
  <c r="AB60" i="15"/>
  <c r="D159" i="15"/>
  <c r="C159" i="15"/>
  <c r="J151" i="15"/>
  <c r="D151" i="15"/>
  <c r="K151" i="15"/>
  <c r="L151" i="15"/>
  <c r="D139" i="15"/>
  <c r="L139" i="15"/>
  <c r="C139" i="15"/>
  <c r="C137" i="15"/>
  <c r="D137" i="15"/>
  <c r="T145" i="15"/>
  <c r="S145" i="15"/>
  <c r="AB145" i="15"/>
  <c r="T141" i="15"/>
  <c r="AB141" i="15"/>
  <c r="T147" i="15"/>
  <c r="AB147" i="15"/>
  <c r="K135" i="15"/>
  <c r="L135" i="15"/>
  <c r="M135" i="15"/>
  <c r="J135" i="15"/>
  <c r="C135" i="15"/>
  <c r="D135" i="15"/>
  <c r="F23" i="15" l="1"/>
  <c r="V13" i="15"/>
  <c r="Y13" i="15" s="1"/>
  <c r="F128" i="15"/>
  <c r="V27" i="15"/>
  <c r="V21" i="15"/>
  <c r="Y21" i="15" s="1"/>
  <c r="V130" i="15"/>
  <c r="Y130" i="15" s="1"/>
  <c r="V118" i="15"/>
  <c r="V45" i="15"/>
  <c r="Y45" i="15" s="1"/>
  <c r="V31" i="15"/>
  <c r="Y31" i="15" s="1"/>
  <c r="V102" i="15"/>
  <c r="F41" i="15"/>
  <c r="F90" i="15"/>
  <c r="I90" i="15" s="1"/>
  <c r="F7" i="15"/>
  <c r="I7" i="15" s="1"/>
  <c r="V122" i="15"/>
  <c r="V110" i="15"/>
  <c r="V100" i="15"/>
  <c r="Y100" i="15" s="1"/>
  <c r="AA79" i="15"/>
  <c r="V92" i="15"/>
  <c r="Y92" i="15" s="1"/>
  <c r="V124" i="15"/>
  <c r="U187" i="15"/>
  <c r="Y187" i="15" s="1"/>
  <c r="U184" i="15"/>
  <c r="AG13" i="17" s="1"/>
  <c r="U212" i="15"/>
  <c r="T212" i="15" s="1"/>
  <c r="E214" i="15"/>
  <c r="G214" i="15" s="1"/>
  <c r="F15" i="15"/>
  <c r="F29" i="15"/>
  <c r="F47" i="15"/>
  <c r="I47" i="15" s="1"/>
  <c r="V98" i="15"/>
  <c r="F37" i="15"/>
  <c r="K79" i="15"/>
  <c r="V126" i="15"/>
  <c r="Y126" i="15" s="1"/>
  <c r="F104" i="15"/>
  <c r="I104" i="15" s="1"/>
  <c r="F114" i="15"/>
  <c r="V25" i="15"/>
  <c r="Y25" i="15" s="1"/>
  <c r="F112" i="15"/>
  <c r="AA164" i="15"/>
  <c r="F132" i="15"/>
  <c r="J79" i="15"/>
  <c r="V19" i="15"/>
  <c r="V94" i="15"/>
  <c r="V106" i="15"/>
  <c r="V17" i="15"/>
  <c r="V35" i="15"/>
  <c r="F96" i="15"/>
  <c r="I96" i="15" s="1"/>
  <c r="V120" i="15"/>
  <c r="V11" i="15"/>
  <c r="V116" i="15"/>
  <c r="V9" i="15"/>
  <c r="Y9" i="15" s="1"/>
  <c r="U191" i="15"/>
  <c r="V191" i="15" s="1"/>
  <c r="Z79" i="15"/>
  <c r="F5" i="15"/>
  <c r="F33" i="15"/>
  <c r="I33" i="15" s="1"/>
  <c r="Z164" i="15"/>
  <c r="V43" i="15"/>
  <c r="Y43" i="15" s="1"/>
  <c r="F39" i="15"/>
  <c r="U199" i="15"/>
  <c r="T199" i="15" s="1"/>
  <c r="W74" i="31"/>
  <c r="AB181" i="17" s="1"/>
  <c r="E134" i="15"/>
  <c r="F134" i="15" s="1"/>
  <c r="I134" i="15" s="1"/>
  <c r="E197" i="15"/>
  <c r="V108" i="15"/>
  <c r="Y108" i="15" s="1"/>
  <c r="F31" i="15"/>
  <c r="E188" i="15"/>
  <c r="K164" i="15"/>
  <c r="F21" i="15"/>
  <c r="F110" i="15"/>
  <c r="I110" i="15" s="1"/>
  <c r="V23" i="15"/>
  <c r="Y23" i="15" s="1"/>
  <c r="V37" i="15"/>
  <c r="Y37" i="15" s="1"/>
  <c r="X199" i="15"/>
  <c r="V128" i="15"/>
  <c r="Y128" i="15" s="1"/>
  <c r="V5" i="15"/>
  <c r="Y5" i="15" s="1"/>
  <c r="F11" i="15"/>
  <c r="I11" i="15" s="1"/>
  <c r="F13" i="15"/>
  <c r="J164" i="15"/>
  <c r="W187" i="15"/>
  <c r="V187" i="15"/>
  <c r="X187" i="15"/>
  <c r="AB187" i="15"/>
  <c r="F94" i="15"/>
  <c r="I94" i="15" s="1"/>
  <c r="V112" i="15"/>
  <c r="Y112" i="15" s="1"/>
  <c r="E194" i="15"/>
  <c r="V114" i="15"/>
  <c r="Y114" i="15" s="1"/>
  <c r="U164" i="15"/>
  <c r="V88" i="15"/>
  <c r="E182" i="15"/>
  <c r="U200" i="15"/>
  <c r="E217" i="15"/>
  <c r="V39" i="15"/>
  <c r="Y39" i="15" s="1"/>
  <c r="F25" i="15"/>
  <c r="V104" i="15"/>
  <c r="F92" i="15"/>
  <c r="V132" i="15"/>
  <c r="Y132" i="15" s="1"/>
  <c r="E173" i="15"/>
  <c r="E200" i="15"/>
  <c r="U179" i="15"/>
  <c r="U206" i="15"/>
  <c r="U202" i="15"/>
  <c r="U211" i="15"/>
  <c r="E175" i="15"/>
  <c r="E172" i="15"/>
  <c r="I163" i="17"/>
  <c r="AE164" i="15"/>
  <c r="F43" i="15"/>
  <c r="F17" i="15"/>
  <c r="I17" i="15" s="1"/>
  <c r="V90" i="15"/>
  <c r="E176" i="15"/>
  <c r="E203" i="15"/>
  <c r="U209" i="15"/>
  <c r="U196" i="15"/>
  <c r="U205" i="15"/>
  <c r="E199" i="15"/>
  <c r="E208" i="15"/>
  <c r="E181" i="15"/>
  <c r="AE79" i="15"/>
  <c r="F9" i="15"/>
  <c r="U181" i="15"/>
  <c r="F100" i="15"/>
  <c r="E185" i="15"/>
  <c r="U190" i="15"/>
  <c r="E184" i="15"/>
  <c r="O79" i="15"/>
  <c r="F118" i="15"/>
  <c r="I118" i="15" s="1"/>
  <c r="I70" i="17"/>
  <c r="Z84" i="17"/>
  <c r="G64" i="17"/>
  <c r="AA82" i="17"/>
  <c r="W80" i="17"/>
  <c r="W87" i="17"/>
  <c r="AA84" i="17"/>
  <c r="I69" i="17"/>
  <c r="I65" i="17"/>
  <c r="AB82" i="17"/>
  <c r="W81" i="17"/>
  <c r="H68" i="17"/>
  <c r="Y84" i="17"/>
  <c r="F69" i="17"/>
  <c r="Y82" i="17"/>
  <c r="W78" i="17"/>
  <c r="O68" i="17"/>
  <c r="H64" i="17"/>
  <c r="O70" i="17"/>
  <c r="AB84" i="17"/>
  <c r="G69" i="17"/>
  <c r="F70" i="17"/>
  <c r="Z82" i="17"/>
  <c r="G68" i="17"/>
  <c r="F63" i="17"/>
  <c r="Y81" i="17"/>
  <c r="D56" i="17"/>
  <c r="D63" i="17"/>
  <c r="O63" i="17"/>
  <c r="H70" i="17"/>
  <c r="O64" i="17"/>
  <c r="AH89" i="17"/>
  <c r="Z78" i="17"/>
  <c r="Y79" i="17"/>
  <c r="AB81" i="17"/>
  <c r="Z91" i="17"/>
  <c r="H67" i="17"/>
  <c r="Z90" i="17"/>
  <c r="F66" i="17"/>
  <c r="H69" i="17"/>
  <c r="D70" i="17"/>
  <c r="AH88" i="17"/>
  <c r="AB79" i="17"/>
  <c r="Z80" i="17"/>
  <c r="Y83" i="17"/>
  <c r="Y87" i="17"/>
  <c r="Y89" i="17"/>
  <c r="Z85" i="17"/>
  <c r="F67" i="17"/>
  <c r="AB90" i="17"/>
  <c r="H66" i="17"/>
  <c r="W82" i="17"/>
  <c r="O69" i="17"/>
  <c r="G70" i="17"/>
  <c r="AH90" i="17"/>
  <c r="O65" i="17"/>
  <c r="AA88" i="17"/>
  <c r="Z81" i="17"/>
  <c r="AB83" i="17"/>
  <c r="AA86" i="17"/>
  <c r="AB87" i="17"/>
  <c r="AA89" i="17"/>
  <c r="H63" i="17"/>
  <c r="F65" i="17"/>
  <c r="F68" i="17"/>
  <c r="F64" i="17"/>
  <c r="Z88" i="17"/>
  <c r="AA78" i="17"/>
  <c r="Z79" i="17"/>
  <c r="AA91" i="17"/>
  <c r="I63" i="17"/>
  <c r="Z89" i="17"/>
  <c r="AB85" i="17"/>
  <c r="I67" i="17"/>
  <c r="Y90" i="17"/>
  <c r="AH85" i="17"/>
  <c r="Y88" i="17"/>
  <c r="AB78" i="17"/>
  <c r="Z83" i="17"/>
  <c r="Z86" i="17"/>
  <c r="AA87" i="17"/>
  <c r="AH86" i="17"/>
  <c r="G67" i="17"/>
  <c r="W83" i="17"/>
  <c r="G57" i="17"/>
  <c r="H61" i="17"/>
  <c r="O58" i="17"/>
  <c r="AB88" i="17"/>
  <c r="Y80" i="17"/>
  <c r="W86" i="17"/>
  <c r="AA85" i="17"/>
  <c r="O66" i="17"/>
  <c r="F56" i="17"/>
  <c r="G59" i="17"/>
  <c r="G63" i="17"/>
  <c r="AB86" i="17"/>
  <c r="AB91" i="17"/>
  <c r="Y85" i="17"/>
  <c r="AH81" i="17"/>
  <c r="G66" i="17"/>
  <c r="D55" i="17"/>
  <c r="H55" i="17"/>
  <c r="D69" i="17"/>
  <c r="AH82" i="17"/>
  <c r="O55" i="17"/>
  <c r="W88" i="17"/>
  <c r="Y78" i="17"/>
  <c r="AA80" i="17"/>
  <c r="AA83" i="17"/>
  <c r="W85" i="17"/>
  <c r="H57" i="17"/>
  <c r="I61" i="17"/>
  <c r="D68" i="17"/>
  <c r="I64" i="17"/>
  <c r="I55" i="17"/>
  <c r="I56" i="17"/>
  <c r="F62" i="17"/>
  <c r="I68" i="17"/>
  <c r="D65" i="17"/>
  <c r="G65" i="17"/>
  <c r="AA79" i="17"/>
  <c r="AA81" i="17"/>
  <c r="Y91" i="17"/>
  <c r="AH91" i="17"/>
  <c r="G62" i="17"/>
  <c r="AH84" i="17"/>
  <c r="O62" i="17"/>
  <c r="D59" i="17"/>
  <c r="G58" i="17"/>
  <c r="O57" i="17"/>
  <c r="W91" i="17"/>
  <c r="I66" i="17"/>
  <c r="H59" i="17"/>
  <c r="D61" i="17"/>
  <c r="H65" i="17"/>
  <c r="AA90" i="17"/>
  <c r="F55" i="17"/>
  <c r="H62" i="17"/>
  <c r="I58" i="17"/>
  <c r="AH80" i="17"/>
  <c r="D64" i="17"/>
  <c r="W89" i="17"/>
  <c r="D66" i="17"/>
  <c r="G56" i="17"/>
  <c r="G61" i="17"/>
  <c r="W79" i="17"/>
  <c r="G55" i="17"/>
  <c r="I57" i="17"/>
  <c r="I59" i="17"/>
  <c r="D60" i="17"/>
  <c r="D57" i="17"/>
  <c r="AH87" i="17"/>
  <c r="AB80" i="17"/>
  <c r="W90" i="17"/>
  <c r="AH83" i="17"/>
  <c r="O61" i="17"/>
  <c r="D58" i="17"/>
  <c r="D67" i="17"/>
  <c r="H56" i="17"/>
  <c r="AH78" i="17"/>
  <c r="H60" i="17"/>
  <c r="Y86" i="17"/>
  <c r="I62" i="17"/>
  <c r="F58" i="17"/>
  <c r="Z87" i="17"/>
  <c r="H58" i="17"/>
  <c r="F61" i="17"/>
  <c r="F57" i="17"/>
  <c r="AH79" i="17"/>
  <c r="W84" i="17"/>
  <c r="O59" i="17"/>
  <c r="F60" i="17"/>
  <c r="I60" i="17"/>
  <c r="O67" i="17"/>
  <c r="O56" i="17"/>
  <c r="O60" i="17"/>
  <c r="D62" i="17"/>
  <c r="G60" i="17"/>
  <c r="AB89" i="17"/>
  <c r="F59" i="17"/>
  <c r="E209" i="15"/>
  <c r="V29" i="15"/>
  <c r="Y29" i="15" s="1"/>
  <c r="AB165" i="15"/>
  <c r="F122" i="15"/>
  <c r="I122" i="15" s="1"/>
  <c r="E191" i="15"/>
  <c r="E212" i="15"/>
  <c r="U188" i="15"/>
  <c r="U189" i="15" s="1"/>
  <c r="I33" i="7" s="1"/>
  <c r="U182" i="15"/>
  <c r="U175" i="15"/>
  <c r="U208" i="15"/>
  <c r="E190" i="15"/>
  <c r="E211" i="15"/>
  <c r="E202" i="15"/>
  <c r="F126" i="15"/>
  <c r="F98" i="15"/>
  <c r="I98" i="15" s="1"/>
  <c r="E196" i="15"/>
  <c r="O164" i="15"/>
  <c r="F35" i="15"/>
  <c r="I35" i="15" s="1"/>
  <c r="F19" i="15"/>
  <c r="I19" i="15" s="1"/>
  <c r="E218" i="15"/>
  <c r="V96" i="15"/>
  <c r="F120" i="15"/>
  <c r="I120" i="15" s="1"/>
  <c r="F27" i="15"/>
  <c r="I27" i="15" s="1"/>
  <c r="V7" i="15"/>
  <c r="U203" i="15"/>
  <c r="E193" i="15"/>
  <c r="AB80" i="15"/>
  <c r="V41" i="15"/>
  <c r="Y41" i="15" s="1"/>
  <c r="L165" i="15"/>
  <c r="E206" i="15"/>
  <c r="E215" i="15"/>
  <c r="U194" i="15"/>
  <c r="U197" i="15"/>
  <c r="U172" i="15"/>
  <c r="U178" i="15"/>
  <c r="E205" i="15"/>
  <c r="V47" i="15"/>
  <c r="F45" i="15"/>
  <c r="F88" i="15"/>
  <c r="I88" i="15" s="1"/>
  <c r="F102" i="15"/>
  <c r="I102" i="15" s="1"/>
  <c r="V15" i="15"/>
  <c r="Y15" i="15" s="1"/>
  <c r="F3" i="15"/>
  <c r="I3" i="15" s="1"/>
  <c r="E79" i="15"/>
  <c r="F124" i="15"/>
  <c r="I124" i="15" s="1"/>
  <c r="U79" i="15"/>
  <c r="V3" i="15"/>
  <c r="U185" i="15"/>
  <c r="E187" i="15"/>
  <c r="V33" i="15"/>
  <c r="F106" i="15"/>
  <c r="I106" i="15" s="1"/>
  <c r="F116" i="15"/>
  <c r="I116" i="15" s="1"/>
  <c r="H93" i="17"/>
  <c r="W59" i="17"/>
  <c r="W55" i="17"/>
  <c r="AA66" i="17"/>
  <c r="D92" i="17"/>
  <c r="G92" i="17"/>
  <c r="F89" i="17"/>
  <c r="G93" i="17"/>
  <c r="I89" i="17"/>
  <c r="G89" i="17"/>
  <c r="Y66" i="17"/>
  <c r="W61" i="17"/>
  <c r="H89" i="17"/>
  <c r="AH66" i="17"/>
  <c r="I92" i="17"/>
  <c r="H86" i="17"/>
  <c r="I86" i="17"/>
  <c r="Z63" i="17"/>
  <c r="Y63" i="17"/>
  <c r="F87" i="17"/>
  <c r="F86" i="17"/>
  <c r="G86" i="17"/>
  <c r="D79" i="17"/>
  <c r="D87" i="17"/>
  <c r="D86" i="17"/>
  <c r="H87" i="17"/>
  <c r="I93" i="17"/>
  <c r="D89" i="17"/>
  <c r="W57" i="17"/>
  <c r="AA61" i="17"/>
  <c r="AB59" i="17"/>
  <c r="AB56" i="17"/>
  <c r="Z57" i="17"/>
  <c r="Y60" i="17"/>
  <c r="Y64" i="17"/>
  <c r="AB65" i="17"/>
  <c r="AA62" i="17"/>
  <c r="D91" i="17"/>
  <c r="Z67" i="17"/>
  <c r="Z44" i="17" s="1"/>
  <c r="F88" i="17"/>
  <c r="I87" i="17"/>
  <c r="AB66" i="17"/>
  <c r="AH67" i="17"/>
  <c r="AH61" i="17"/>
  <c r="Z58" i="17"/>
  <c r="AB60" i="17"/>
  <c r="AA63" i="17"/>
  <c r="AB64" i="17"/>
  <c r="AH68" i="17"/>
  <c r="H90" i="17"/>
  <c r="W67" i="17"/>
  <c r="G88" i="17"/>
  <c r="H88" i="17"/>
  <c r="F93" i="17"/>
  <c r="W58" i="17"/>
  <c r="Z61" i="17"/>
  <c r="Y59" i="17"/>
  <c r="AA55" i="17"/>
  <c r="Z56" i="17"/>
  <c r="Y65" i="17"/>
  <c r="AA68" i="17"/>
  <c r="W68" i="17"/>
  <c r="D88" i="17"/>
  <c r="I88" i="17"/>
  <c r="AH62" i="17"/>
  <c r="AH64" i="17"/>
  <c r="H92" i="17"/>
  <c r="AA57" i="17"/>
  <c r="Z60" i="17"/>
  <c r="Z64" i="17"/>
  <c r="Z41" i="17" s="1"/>
  <c r="I90" i="17"/>
  <c r="AB67" i="17"/>
  <c r="W60" i="17"/>
  <c r="AA59" i="17"/>
  <c r="Y57" i="17"/>
  <c r="AH59" i="17"/>
  <c r="Y67" i="17"/>
  <c r="G78" i="17"/>
  <c r="H79" i="17"/>
  <c r="I82" i="17"/>
  <c r="F85" i="17"/>
  <c r="Y56" i="17"/>
  <c r="AB58" i="17"/>
  <c r="AB63" i="17"/>
  <c r="AA65" i="17"/>
  <c r="AB68" i="17"/>
  <c r="AA67" i="17"/>
  <c r="W65" i="17"/>
  <c r="G80" i="17"/>
  <c r="H84" i="17"/>
  <c r="I85" i="17"/>
  <c r="D93" i="17"/>
  <c r="Z66" i="17"/>
  <c r="Y55" i="17"/>
  <c r="AA60" i="17"/>
  <c r="I91" i="17"/>
  <c r="AB62" i="17"/>
  <c r="G91" i="17"/>
  <c r="F79" i="17"/>
  <c r="W66" i="17"/>
  <c r="AA56" i="17"/>
  <c r="AH63" i="17"/>
  <c r="Z62" i="17"/>
  <c r="D78" i="17"/>
  <c r="H78" i="17"/>
  <c r="I79" i="17"/>
  <c r="F84" i="17"/>
  <c r="G85" i="17"/>
  <c r="W64" i="17"/>
  <c r="Y61" i="17"/>
  <c r="AA58" i="17"/>
  <c r="Y68" i="17"/>
  <c r="F80" i="17"/>
  <c r="F82" i="17"/>
  <c r="G84" i="17"/>
  <c r="F92" i="17"/>
  <c r="Z59" i="17"/>
  <c r="I78" i="17"/>
  <c r="G82" i="17"/>
  <c r="I83" i="17"/>
  <c r="AH57" i="17"/>
  <c r="D80" i="17"/>
  <c r="AB61" i="17"/>
  <c r="Z65" i="17"/>
  <c r="AH65" i="17"/>
  <c r="G87" i="17"/>
  <c r="Z55" i="17"/>
  <c r="AB57" i="17"/>
  <c r="Z68" i="17"/>
  <c r="H80" i="17"/>
  <c r="H82" i="17"/>
  <c r="I84" i="17"/>
  <c r="D85" i="17"/>
  <c r="G81" i="17"/>
  <c r="G90" i="17"/>
  <c r="H91" i="17"/>
  <c r="G79" i="17"/>
  <c r="H85" i="17"/>
  <c r="G83" i="17"/>
  <c r="W56" i="17"/>
  <c r="I80" i="17"/>
  <c r="F83" i="17"/>
  <c r="D84" i="17"/>
  <c r="D82" i="17"/>
  <c r="I81" i="17"/>
  <c r="D83" i="17"/>
  <c r="AB55" i="17"/>
  <c r="W62" i="17"/>
  <c r="D90" i="17"/>
  <c r="F91" i="17"/>
  <c r="F81" i="17"/>
  <c r="Y62" i="17"/>
  <c r="AA64" i="17"/>
  <c r="Y58" i="17"/>
  <c r="W63" i="17"/>
  <c r="F90" i="17"/>
  <c r="AH60" i="17"/>
  <c r="AH58" i="17"/>
  <c r="D81" i="17"/>
  <c r="H81" i="17"/>
  <c r="AH56" i="17"/>
  <c r="F78" i="17"/>
  <c r="AH55" i="17"/>
  <c r="H83" i="17"/>
  <c r="U176" i="15"/>
  <c r="Z158" i="17"/>
  <c r="AB158" i="17"/>
  <c r="AA158" i="17"/>
  <c r="W165" i="17"/>
  <c r="W158" i="17"/>
  <c r="W163" i="17"/>
  <c r="Y158" i="17"/>
  <c r="AH165" i="17"/>
  <c r="AB165" i="17"/>
  <c r="W157" i="17"/>
  <c r="W160" i="17"/>
  <c r="O180" i="17"/>
  <c r="AB155" i="17"/>
  <c r="AA156" i="17"/>
  <c r="Z163" i="17"/>
  <c r="I192" i="17"/>
  <c r="H189" i="17"/>
  <c r="AH161" i="17"/>
  <c r="Y154" i="17"/>
  <c r="AA157" i="17"/>
  <c r="AB159" i="17"/>
  <c r="Y160" i="17"/>
  <c r="Y162" i="17"/>
  <c r="AA162" i="17"/>
  <c r="Z164" i="17"/>
  <c r="Y165" i="17"/>
  <c r="D192" i="17"/>
  <c r="F187" i="17"/>
  <c r="D189" i="17"/>
  <c r="O182" i="17"/>
  <c r="AB154" i="17"/>
  <c r="Z155" i="17"/>
  <c r="Y156" i="17"/>
  <c r="AB160" i="17"/>
  <c r="Y167" i="17"/>
  <c r="AA167" i="17"/>
  <c r="O192" i="17"/>
  <c r="W154" i="17"/>
  <c r="W156" i="17"/>
  <c r="O177" i="17"/>
  <c r="AB156" i="17"/>
  <c r="Y157" i="17"/>
  <c r="Z159" i="17"/>
  <c r="AA163" i="17"/>
  <c r="H192" i="17"/>
  <c r="O187" i="17"/>
  <c r="O190" i="17"/>
  <c r="Z156" i="17"/>
  <c r="AA164" i="17"/>
  <c r="I187" i="17"/>
  <c r="F189" i="17"/>
  <c r="D182" i="17"/>
  <c r="F181" i="17"/>
  <c r="G180" i="17"/>
  <c r="F178" i="17"/>
  <c r="O191" i="17"/>
  <c r="G186" i="17"/>
  <c r="H177" i="17"/>
  <c r="F183" i="17"/>
  <c r="Z160" i="17"/>
  <c r="Z162" i="17"/>
  <c r="Z167" i="17"/>
  <c r="I179" i="17"/>
  <c r="AH160" i="17"/>
  <c r="H191" i="17"/>
  <c r="D179" i="17"/>
  <c r="I183" i="17"/>
  <c r="Y161" i="17"/>
  <c r="AH166" i="17"/>
  <c r="Z154" i="17"/>
  <c r="Y163" i="17"/>
  <c r="F192" i="17"/>
  <c r="G187" i="17"/>
  <c r="I182" i="17"/>
  <c r="G181" i="17"/>
  <c r="F191" i="17"/>
  <c r="F177" i="17"/>
  <c r="D178" i="17"/>
  <c r="AA159" i="17"/>
  <c r="AB162" i="17"/>
  <c r="AB164" i="17"/>
  <c r="AB167" i="17"/>
  <c r="D181" i="17"/>
  <c r="H180" i="17"/>
  <c r="G191" i="17"/>
  <c r="H186" i="17"/>
  <c r="I177" i="17"/>
  <c r="G183" i="17"/>
  <c r="AA165" i="17"/>
  <c r="O189" i="17"/>
  <c r="F182" i="17"/>
  <c r="D180" i="17"/>
  <c r="D191" i="17"/>
  <c r="I186" i="17"/>
  <c r="G179" i="17"/>
  <c r="F185" i="17"/>
  <c r="I185" i="17"/>
  <c r="H188" i="17"/>
  <c r="AB161" i="17"/>
  <c r="W167" i="17"/>
  <c r="AB166" i="17"/>
  <c r="G190" i="17"/>
  <c r="Z165" i="17"/>
  <c r="I189" i="17"/>
  <c r="G182" i="17"/>
  <c r="I180" i="17"/>
  <c r="W161" i="17"/>
  <c r="AH159" i="17"/>
  <c r="W164" i="17"/>
  <c r="H190" i="17"/>
  <c r="Z157" i="17"/>
  <c r="G192" i="17"/>
  <c r="H187" i="17"/>
  <c r="H182" i="17"/>
  <c r="D177" i="17"/>
  <c r="H179" i="17"/>
  <c r="H183" i="17"/>
  <c r="F184" i="17"/>
  <c r="I184" i="17"/>
  <c r="F188" i="17"/>
  <c r="I188" i="17"/>
  <c r="W159" i="17"/>
  <c r="AH158" i="17"/>
  <c r="O179" i="17"/>
  <c r="D190" i="17"/>
  <c r="AB163" i="17"/>
  <c r="F180" i="17"/>
  <c r="I178" i="17"/>
  <c r="F186" i="17"/>
  <c r="G185" i="17"/>
  <c r="Z161" i="17"/>
  <c r="I190" i="17"/>
  <c r="O186" i="17"/>
  <c r="AA154" i="17"/>
  <c r="O181" i="17"/>
  <c r="G178" i="17"/>
  <c r="H184" i="17"/>
  <c r="D185" i="17"/>
  <c r="AA161" i="17"/>
  <c r="F190" i="17"/>
  <c r="Y155" i="17"/>
  <c r="Y159" i="17"/>
  <c r="G189" i="17"/>
  <c r="H181" i="17"/>
  <c r="AH167" i="17"/>
  <c r="O183" i="17"/>
  <c r="D188" i="17"/>
  <c r="AA155" i="17"/>
  <c r="AH162" i="17"/>
  <c r="Z166" i="17"/>
  <c r="AH164" i="17"/>
  <c r="I181" i="17"/>
  <c r="H185" i="17"/>
  <c r="Y166" i="17"/>
  <c r="AA160" i="17"/>
  <c r="D186" i="17"/>
  <c r="O178" i="17"/>
  <c r="W162" i="17"/>
  <c r="D187" i="17"/>
  <c r="G188" i="17"/>
  <c r="AH154" i="17"/>
  <c r="AH155" i="17"/>
  <c r="O185" i="17"/>
  <c r="AH163" i="17"/>
  <c r="Y164" i="17"/>
  <c r="AB157" i="17"/>
  <c r="H178" i="17"/>
  <c r="O188" i="17"/>
  <c r="AH156" i="17"/>
  <c r="O184" i="17"/>
  <c r="F179" i="17"/>
  <c r="G177" i="17"/>
  <c r="D183" i="17"/>
  <c r="W166" i="17"/>
  <c r="AA166" i="17"/>
  <c r="AH157" i="17"/>
  <c r="D184" i="17"/>
  <c r="W155" i="17"/>
  <c r="G184" i="17"/>
  <c r="I191" i="17"/>
  <c r="L80" i="15"/>
  <c r="E179" i="15"/>
  <c r="F130" i="15"/>
  <c r="U173" i="15"/>
  <c r="U193" i="15"/>
  <c r="E178" i="15"/>
  <c r="AH32" i="17" l="1"/>
  <c r="AB38" i="17"/>
  <c r="G163" i="17"/>
  <c r="Z184" i="17"/>
  <c r="G157" i="17"/>
  <c r="G134" i="17" s="1"/>
  <c r="Z187" i="17"/>
  <c r="O159" i="17"/>
  <c r="AH186" i="17"/>
  <c r="AH140" i="17" s="1"/>
  <c r="T37" i="7" s="1"/>
  <c r="U37" i="7" s="1"/>
  <c r="AB43" i="17"/>
  <c r="O165" i="17"/>
  <c r="AA177" i="17"/>
  <c r="AA131" i="17" s="1"/>
  <c r="AB41" i="17"/>
  <c r="AB33" i="17"/>
  <c r="D154" i="17"/>
  <c r="D159" i="17"/>
  <c r="D136" i="17" s="1"/>
  <c r="T187" i="15"/>
  <c r="Z39" i="17"/>
  <c r="AA44" i="17"/>
  <c r="I162" i="17"/>
  <c r="I139" i="17" s="1"/>
  <c r="F168" i="17"/>
  <c r="F145" i="17" s="1"/>
  <c r="W179" i="17"/>
  <c r="AG14" i="17"/>
  <c r="G154" i="17"/>
  <c r="Z179" i="17"/>
  <c r="Z133" i="17" s="1"/>
  <c r="H164" i="17"/>
  <c r="O158" i="17"/>
  <c r="W185" i="17"/>
  <c r="W139" i="17" s="1"/>
  <c r="Y179" i="17"/>
  <c r="Y133" i="17" s="1"/>
  <c r="AH41" i="17"/>
  <c r="Z40" i="17"/>
  <c r="D161" i="17"/>
  <c r="D138" i="17" s="1"/>
  <c r="AA178" i="17"/>
  <c r="AA132" i="17" s="1"/>
  <c r="AH188" i="17"/>
  <c r="AH142" i="17" s="1"/>
  <c r="AA187" i="15"/>
  <c r="AC187" i="15"/>
  <c r="X212" i="15"/>
  <c r="AC212" i="15"/>
  <c r="H162" i="17"/>
  <c r="H139" i="17" s="1"/>
  <c r="G158" i="17"/>
  <c r="AH182" i="17"/>
  <c r="AH136" i="17" s="1"/>
  <c r="F159" i="17"/>
  <c r="AH185" i="17"/>
  <c r="AH139" i="17" s="1"/>
  <c r="D168" i="17"/>
  <c r="D145" i="17" s="1"/>
  <c r="I157" i="17"/>
  <c r="I134" i="17" s="1"/>
  <c r="AA190" i="17"/>
  <c r="AA144" i="17" s="1"/>
  <c r="D157" i="17"/>
  <c r="AA179" i="17"/>
  <c r="AB187" i="17"/>
  <c r="AB141" i="17" s="1"/>
  <c r="Z181" i="17"/>
  <c r="Z135" i="17" s="1"/>
  <c r="O157" i="17"/>
  <c r="O134" i="17" s="1"/>
  <c r="W184" i="15"/>
  <c r="X191" i="15"/>
  <c r="Y187" i="17"/>
  <c r="D166" i="17"/>
  <c r="D143" i="17" s="1"/>
  <c r="I166" i="17"/>
  <c r="I143" i="17" s="1"/>
  <c r="O166" i="17"/>
  <c r="O143" i="17" s="1"/>
  <c r="H165" i="17"/>
  <c r="H142" i="17" s="1"/>
  <c r="W189" i="17"/>
  <c r="W143" i="17" s="1"/>
  <c r="AB189" i="17"/>
  <c r="H167" i="17"/>
  <c r="H144" i="17" s="1"/>
  <c r="H160" i="17"/>
  <c r="H137" i="17" s="1"/>
  <c r="AB184" i="17"/>
  <c r="AB138" i="17" s="1"/>
  <c r="AB179" i="17"/>
  <c r="H155" i="17"/>
  <c r="H132" i="17" s="1"/>
  <c r="F165" i="17"/>
  <c r="AA187" i="17"/>
  <c r="AB186" i="17"/>
  <c r="Y185" i="17"/>
  <c r="Y139" i="17" s="1"/>
  <c r="Z188" i="17"/>
  <c r="Z142" i="17" s="1"/>
  <c r="G169" i="17"/>
  <c r="G146" i="17" s="1"/>
  <c r="AB178" i="17"/>
  <c r="AA183" i="17"/>
  <c r="AA137" i="17" s="1"/>
  <c r="G164" i="17"/>
  <c r="G141" i="17" s="1"/>
  <c r="AH181" i="17"/>
  <c r="AH135" i="17" s="1"/>
  <c r="Z187" i="15"/>
  <c r="X184" i="15"/>
  <c r="AG114" i="17"/>
  <c r="Z138" i="17"/>
  <c r="O164" i="17"/>
  <c r="O141" i="17" s="1"/>
  <c r="H154" i="17"/>
  <c r="H131" i="17" s="1"/>
  <c r="AH177" i="17"/>
  <c r="AH131" i="17" s="1"/>
  <c r="W190" i="17"/>
  <c r="W144" i="17" s="1"/>
  <c r="F161" i="17"/>
  <c r="F138" i="17" s="1"/>
  <c r="Y186" i="17"/>
  <c r="AA184" i="17"/>
  <c r="AA138" i="17" s="1"/>
  <c r="G166" i="17"/>
  <c r="G143" i="17" s="1"/>
  <c r="Y177" i="17"/>
  <c r="Y131" i="17" s="1"/>
  <c r="U186" i="15"/>
  <c r="I32" i="7" s="1"/>
  <c r="D160" i="17"/>
  <c r="D137" i="17" s="1"/>
  <c r="W178" i="17"/>
  <c r="W132" i="17" s="1"/>
  <c r="AA189" i="17"/>
  <c r="AA143" i="17" s="1"/>
  <c r="Z189" i="17"/>
  <c r="Z143" i="17" s="1"/>
  <c r="AH179" i="17"/>
  <c r="AH133" i="17" s="1"/>
  <c r="O168" i="17"/>
  <c r="D162" i="17"/>
  <c r="D139" i="17" s="1"/>
  <c r="W187" i="17"/>
  <c r="W141" i="17" s="1"/>
  <c r="AH187" i="17"/>
  <c r="AH141" i="17" s="1"/>
  <c r="AH183" i="17"/>
  <c r="AH137" i="17" s="1"/>
  <c r="AB190" i="17"/>
  <c r="AB144" i="17" s="1"/>
  <c r="Z177" i="17"/>
  <c r="F156" i="17"/>
  <c r="F133" i="17" s="1"/>
  <c r="F154" i="17"/>
  <c r="F131" i="17" s="1"/>
  <c r="Z182" i="17"/>
  <c r="AH189" i="17"/>
  <c r="AH143" i="17" s="1"/>
  <c r="AB183" i="17"/>
  <c r="AB137" i="17" s="1"/>
  <c r="Y188" i="17"/>
  <c r="Y142" i="17" s="1"/>
  <c r="I169" i="17"/>
  <c r="I146" i="17" s="1"/>
  <c r="O169" i="17"/>
  <c r="O146" i="17" s="1"/>
  <c r="Y182" i="17"/>
  <c r="Y136" i="17" s="1"/>
  <c r="I164" i="17"/>
  <c r="W181" i="17"/>
  <c r="W135" i="17" s="1"/>
  <c r="Z184" i="15"/>
  <c r="AC191" i="15"/>
  <c r="I167" i="17"/>
  <c r="I144" i="17" s="1"/>
  <c r="O167" i="17"/>
  <c r="O144" i="17" s="1"/>
  <c r="AH178" i="17"/>
  <c r="Y189" i="17"/>
  <c r="AH190" i="17"/>
  <c r="AH144" i="17" s="1"/>
  <c r="AB180" i="17"/>
  <c r="G168" i="17"/>
  <c r="G162" i="17"/>
  <c r="Y184" i="17"/>
  <c r="Y138" i="17" s="1"/>
  <c r="G156" i="17"/>
  <c r="G133" i="17" s="1"/>
  <c r="H168" i="17"/>
  <c r="H145" i="17" s="1"/>
  <c r="AH184" i="17"/>
  <c r="AH138" i="17" s="1"/>
  <c r="Z185" i="17"/>
  <c r="Z139" i="17" s="1"/>
  <c r="I168" i="17"/>
  <c r="I145" i="17" s="1"/>
  <c r="Y178" i="17"/>
  <c r="Y132" i="17" s="1"/>
  <c r="W180" i="17"/>
  <c r="W134" i="17" s="1"/>
  <c r="Z178" i="17"/>
  <c r="Z132" i="17" s="1"/>
  <c r="AA185" i="17"/>
  <c r="AB188" i="17"/>
  <c r="AB142" i="17" s="1"/>
  <c r="O154" i="17"/>
  <c r="O131" i="17" s="1"/>
  <c r="G159" i="17"/>
  <c r="G136" i="17" s="1"/>
  <c r="W186" i="17"/>
  <c r="W177" i="17"/>
  <c r="W131" i="17" s="1"/>
  <c r="Y191" i="15"/>
  <c r="G161" i="17"/>
  <c r="G138" i="17" s="1"/>
  <c r="D165" i="17"/>
  <c r="D142" i="17" s="1"/>
  <c r="W182" i="17"/>
  <c r="W136" i="17" s="1"/>
  <c r="F162" i="17"/>
  <c r="F139" i="17" s="1"/>
  <c r="F166" i="17"/>
  <c r="F143" i="17" s="1"/>
  <c r="O160" i="17"/>
  <c r="O137" i="17" s="1"/>
  <c r="D158" i="17"/>
  <c r="D135" i="17" s="1"/>
  <c r="F163" i="17"/>
  <c r="F140" i="17" s="1"/>
  <c r="O162" i="17"/>
  <c r="O139" i="17" s="1"/>
  <c r="AA186" i="17"/>
  <c r="AA140" i="17" s="1"/>
  <c r="I155" i="17"/>
  <c r="I132" i="17" s="1"/>
  <c r="H169" i="17"/>
  <c r="H146" i="17" s="1"/>
  <c r="Z183" i="17"/>
  <c r="Z137" i="17" s="1"/>
  <c r="G155" i="17"/>
  <c r="G132" i="17" s="1"/>
  <c r="I160" i="17"/>
  <c r="I137" i="17" s="1"/>
  <c r="H166" i="17"/>
  <c r="H143" i="17" s="1"/>
  <c r="AB177" i="17"/>
  <c r="Y183" i="17"/>
  <c r="F157" i="17"/>
  <c r="F134" i="17" s="1"/>
  <c r="H159" i="17"/>
  <c r="H136" i="17" s="1"/>
  <c r="D169" i="17"/>
  <c r="D146" i="17" s="1"/>
  <c r="W183" i="17"/>
  <c r="W137" i="17" s="1"/>
  <c r="H214" i="15"/>
  <c r="AA191" i="15"/>
  <c r="T191" i="15"/>
  <c r="AB143" i="17"/>
  <c r="G165" i="17"/>
  <c r="G142" i="17" s="1"/>
  <c r="O161" i="17"/>
  <c r="O138" i="17" s="1"/>
  <c r="H161" i="17"/>
  <c r="G160" i="17"/>
  <c r="G137" i="17" s="1"/>
  <c r="Y190" i="17"/>
  <c r="Y144" i="17" s="1"/>
  <c r="O163" i="17"/>
  <c r="O140" i="17" s="1"/>
  <c r="Z180" i="17"/>
  <c r="Z134" i="17" s="1"/>
  <c r="H156" i="17"/>
  <c r="H133" i="17" s="1"/>
  <c r="I165" i="17"/>
  <c r="I142" i="17" s="1"/>
  <c r="AA182" i="17"/>
  <c r="AA136" i="17" s="1"/>
  <c r="D156" i="17"/>
  <c r="D133" i="17" s="1"/>
  <c r="I154" i="17"/>
  <c r="I131" i="17" s="1"/>
  <c r="Y180" i="17"/>
  <c r="Y134" i="17" s="1"/>
  <c r="F155" i="17"/>
  <c r="O155" i="17"/>
  <c r="O132" i="17" s="1"/>
  <c r="H157" i="17"/>
  <c r="H134" i="17" s="1"/>
  <c r="F169" i="17"/>
  <c r="F146" i="17" s="1"/>
  <c r="AB182" i="17"/>
  <c r="AB136" i="17" s="1"/>
  <c r="W188" i="17"/>
  <c r="W142" i="17" s="1"/>
  <c r="I158" i="17"/>
  <c r="I135" i="17" s="1"/>
  <c r="F164" i="17"/>
  <c r="AA181" i="17"/>
  <c r="AA135" i="17" s="1"/>
  <c r="AB191" i="15"/>
  <c r="D167" i="17"/>
  <c r="D144" i="17" s="1"/>
  <c r="W184" i="17"/>
  <c r="F160" i="17"/>
  <c r="D163" i="17"/>
  <c r="AB185" i="17"/>
  <c r="AB139" i="17" s="1"/>
  <c r="G167" i="17"/>
  <c r="G144" i="17" s="1"/>
  <c r="AH180" i="17"/>
  <c r="AH134" i="17" s="1"/>
  <c r="F158" i="17"/>
  <c r="I161" i="17"/>
  <c r="I138" i="17" s="1"/>
  <c r="F167" i="17"/>
  <c r="H158" i="17"/>
  <c r="H135" i="17" s="1"/>
  <c r="H163" i="17"/>
  <c r="H140" i="17" s="1"/>
  <c r="D155" i="17"/>
  <c r="D132" i="17" s="1"/>
  <c r="I156" i="17"/>
  <c r="O156" i="17"/>
  <c r="O133" i="17" s="1"/>
  <c r="AA188" i="17"/>
  <c r="AA142" i="17" s="1"/>
  <c r="I159" i="17"/>
  <c r="I136" i="17" s="1"/>
  <c r="AA180" i="17"/>
  <c r="AA134" i="17" s="1"/>
  <c r="Z186" i="17"/>
  <c r="Z190" i="17"/>
  <c r="Z144" i="17" s="1"/>
  <c r="Y181" i="17"/>
  <c r="D164" i="17"/>
  <c r="D141" i="17" s="1"/>
  <c r="Z191" i="15"/>
  <c r="J177" i="17"/>
  <c r="L177" i="17" s="1"/>
  <c r="Q177" i="17" s="1"/>
  <c r="J181" i="17"/>
  <c r="L181" i="17" s="1"/>
  <c r="Q181" i="17" s="1"/>
  <c r="J78" i="17"/>
  <c r="L78" i="17" s="1"/>
  <c r="H37" i="17"/>
  <c r="G35" i="17"/>
  <c r="L214" i="15"/>
  <c r="V199" i="15"/>
  <c r="AA184" i="15"/>
  <c r="AH132" i="17"/>
  <c r="AA37" i="17"/>
  <c r="I214" i="15"/>
  <c r="Y184" i="15"/>
  <c r="O86" i="17"/>
  <c r="O40" i="17" s="1"/>
  <c r="O80" i="17"/>
  <c r="O34" i="17" s="1"/>
  <c r="AA133" i="17"/>
  <c r="AB35" i="17"/>
  <c r="Z33" i="17"/>
  <c r="H141" i="17"/>
  <c r="AC184" i="15"/>
  <c r="J82" i="17"/>
  <c r="L82" i="17" s="1"/>
  <c r="AA36" i="17"/>
  <c r="AA32" i="17"/>
  <c r="D214" i="15"/>
  <c r="AA199" i="15"/>
  <c r="Y212" i="15"/>
  <c r="AB212" i="15"/>
  <c r="J190" i="17"/>
  <c r="L190" i="17" s="1"/>
  <c r="Q190" i="17" s="1"/>
  <c r="J187" i="17"/>
  <c r="L187" i="17" s="1"/>
  <c r="Q187" i="17" s="1"/>
  <c r="AH33" i="17"/>
  <c r="AA41" i="17"/>
  <c r="Z45" i="17"/>
  <c r="AH34" i="17"/>
  <c r="AB39" i="17"/>
  <c r="AH39" i="17"/>
  <c r="AH45" i="17"/>
  <c r="Z34" i="17"/>
  <c r="G37" i="17"/>
  <c r="AC86" i="17"/>
  <c r="AE86" i="17" s="1"/>
  <c r="AJ86" i="17" s="1"/>
  <c r="I41" i="17"/>
  <c r="AC85" i="17"/>
  <c r="AE85" i="17" s="1"/>
  <c r="AJ85" i="17" s="1"/>
  <c r="I44" i="17"/>
  <c r="AC79" i="17"/>
  <c r="AE79" i="17" s="1"/>
  <c r="AJ79" i="17" s="1"/>
  <c r="O85" i="17"/>
  <c r="O39" i="17" s="1"/>
  <c r="O145" i="17"/>
  <c r="J214" i="15"/>
  <c r="Y199" i="15"/>
  <c r="V134" i="15"/>
  <c r="V194" i="15" s="1"/>
  <c r="AA212" i="15"/>
  <c r="AG121" i="17"/>
  <c r="G38" i="17"/>
  <c r="I47" i="17"/>
  <c r="K214" i="15"/>
  <c r="AC199" i="15"/>
  <c r="W212" i="15"/>
  <c r="J186" i="17"/>
  <c r="L186" i="17" s="1"/>
  <c r="Q186" i="17" s="1"/>
  <c r="Z141" i="17"/>
  <c r="AH35" i="17"/>
  <c r="J83" i="17"/>
  <c r="L83" i="17" s="1"/>
  <c r="AB37" i="17"/>
  <c r="AH43" i="17"/>
  <c r="O91" i="17"/>
  <c r="O45" i="17" s="1"/>
  <c r="H42" i="17"/>
  <c r="G40" i="17"/>
  <c r="H40" i="17"/>
  <c r="AC89" i="17"/>
  <c r="AE89" i="17" s="1"/>
  <c r="AJ89" i="17" s="1"/>
  <c r="M214" i="15"/>
  <c r="W199" i="15"/>
  <c r="O90" i="17"/>
  <c r="O44" i="17" s="1"/>
  <c r="V212" i="15"/>
  <c r="Z199" i="15"/>
  <c r="Z32" i="17"/>
  <c r="AH37" i="17"/>
  <c r="Z43" i="17"/>
  <c r="AA39" i="17"/>
  <c r="H35" i="17"/>
  <c r="I45" i="17"/>
  <c r="G47" i="17"/>
  <c r="N23" i="17"/>
  <c r="U201" i="15"/>
  <c r="AB199" i="15"/>
  <c r="AB184" i="15"/>
  <c r="V184" i="15"/>
  <c r="Z212" i="15"/>
  <c r="W191" i="15"/>
  <c r="I42" i="17"/>
  <c r="AB135" i="17"/>
  <c r="AA40" i="17"/>
  <c r="Z42" i="17"/>
  <c r="AB40" i="17"/>
  <c r="AH36" i="17"/>
  <c r="AA34" i="17"/>
  <c r="AB42" i="17"/>
  <c r="E164" i="15"/>
  <c r="F214" i="15"/>
  <c r="F216" i="15" s="1"/>
  <c r="AG18" i="17"/>
  <c r="T184" i="15"/>
  <c r="AC155" i="17"/>
  <c r="AE155" i="17" s="1"/>
  <c r="AJ155" i="17" s="1"/>
  <c r="F41" i="17"/>
  <c r="J64" i="17"/>
  <c r="L64" i="17" s="1"/>
  <c r="Q64" i="17" s="1"/>
  <c r="J80" i="17"/>
  <c r="L80" i="17" s="1"/>
  <c r="J85" i="17"/>
  <c r="L85" i="17" s="1"/>
  <c r="W37" i="17"/>
  <c r="Y36" i="17"/>
  <c r="AC59" i="17"/>
  <c r="AE59" i="17" s="1"/>
  <c r="AJ59" i="17" s="1"/>
  <c r="W197" i="15"/>
  <c r="AB197" i="15"/>
  <c r="V197" i="15"/>
  <c r="AA197" i="15"/>
  <c r="T197" i="15"/>
  <c r="AG116" i="17"/>
  <c r="Z197" i="15"/>
  <c r="Y197" i="15"/>
  <c r="X197" i="15"/>
  <c r="AC197" i="15"/>
  <c r="D193" i="15"/>
  <c r="J193" i="15"/>
  <c r="I193" i="15"/>
  <c r="M193" i="15"/>
  <c r="N16" i="17"/>
  <c r="F193" i="15"/>
  <c r="K193" i="15"/>
  <c r="L193" i="15"/>
  <c r="G193" i="15"/>
  <c r="E195" i="15"/>
  <c r="I13" i="7" s="1"/>
  <c r="H193" i="15"/>
  <c r="D190" i="15"/>
  <c r="G190" i="15"/>
  <c r="N15" i="17"/>
  <c r="J190" i="15"/>
  <c r="M190" i="15"/>
  <c r="L190" i="15"/>
  <c r="E192" i="15"/>
  <c r="I12" i="7" s="1"/>
  <c r="K190" i="15"/>
  <c r="H190" i="15"/>
  <c r="F190" i="15"/>
  <c r="I190" i="15"/>
  <c r="D39" i="17"/>
  <c r="F32" i="17"/>
  <c r="J55" i="17"/>
  <c r="L55" i="17" s="1"/>
  <c r="Q55" i="17" s="1"/>
  <c r="D45" i="17"/>
  <c r="AC80" i="17"/>
  <c r="AE80" i="17" s="1"/>
  <c r="AJ80" i="17" s="1"/>
  <c r="F45" i="17"/>
  <c r="J68" i="17"/>
  <c r="L68" i="17" s="1"/>
  <c r="Q68" i="17" s="1"/>
  <c r="J67" i="17"/>
  <c r="L67" i="17" s="1"/>
  <c r="Q67" i="17" s="1"/>
  <c r="F44" i="17"/>
  <c r="D47" i="17"/>
  <c r="J63" i="17"/>
  <c r="L63" i="17" s="1"/>
  <c r="Q63" i="17" s="1"/>
  <c r="F40" i="17"/>
  <c r="V181" i="15"/>
  <c r="AA181" i="15"/>
  <c r="AG12" i="17"/>
  <c r="AC181" i="15"/>
  <c r="W181" i="15"/>
  <c r="Y181" i="15"/>
  <c r="Z181" i="15"/>
  <c r="T181" i="15"/>
  <c r="X181" i="15"/>
  <c r="AB181" i="15"/>
  <c r="U183" i="15"/>
  <c r="I31" i="7" s="1"/>
  <c r="Y196" i="15"/>
  <c r="AG17" i="17"/>
  <c r="X196" i="15"/>
  <c r="AC196" i="15"/>
  <c r="AB196" i="15"/>
  <c r="W196" i="15"/>
  <c r="V196" i="15"/>
  <c r="Z196" i="15"/>
  <c r="U198" i="15"/>
  <c r="I36" i="7" s="1"/>
  <c r="T196" i="15"/>
  <c r="AA196" i="15"/>
  <c r="I141" i="17"/>
  <c r="V211" i="15"/>
  <c r="AC211" i="15"/>
  <c r="Y211" i="15"/>
  <c r="U213" i="15"/>
  <c r="I41" i="7" s="1"/>
  <c r="AB211" i="15"/>
  <c r="Z211" i="15"/>
  <c r="X211" i="15"/>
  <c r="T211" i="15"/>
  <c r="T213" i="15" s="1"/>
  <c r="AG22" i="17"/>
  <c r="W211" i="15"/>
  <c r="AA211" i="15"/>
  <c r="O81" i="17"/>
  <c r="O35" i="17" s="1"/>
  <c r="I178" i="15"/>
  <c r="F178" i="15"/>
  <c r="G178" i="15"/>
  <c r="M178" i="15"/>
  <c r="H178" i="15"/>
  <c r="J178" i="15"/>
  <c r="N11" i="17"/>
  <c r="K178" i="15"/>
  <c r="L178" i="15"/>
  <c r="D178" i="15"/>
  <c r="E180" i="15"/>
  <c r="I8" i="7" s="1"/>
  <c r="J179" i="17"/>
  <c r="L179" i="17" s="1"/>
  <c r="Q179" i="17" s="1"/>
  <c r="W138" i="17"/>
  <c r="J182" i="17"/>
  <c r="L182" i="17" s="1"/>
  <c r="Q182" i="17" s="1"/>
  <c r="J183" i="17"/>
  <c r="L183" i="17" s="1"/>
  <c r="Q183" i="17" s="1"/>
  <c r="J189" i="17"/>
  <c r="L189" i="17" s="1"/>
  <c r="Q189" i="17" s="1"/>
  <c r="Z136" i="17"/>
  <c r="AC167" i="17"/>
  <c r="AE167" i="17" s="1"/>
  <c r="AJ167" i="17" s="1"/>
  <c r="AC154" i="17"/>
  <c r="AE154" i="17" s="1"/>
  <c r="AJ154" i="17" s="1"/>
  <c r="AC62" i="17"/>
  <c r="AE62" i="17" s="1"/>
  <c r="AJ62" i="17" s="1"/>
  <c r="Y39" i="17"/>
  <c r="AB34" i="17"/>
  <c r="AC68" i="17"/>
  <c r="AE68" i="17" s="1"/>
  <c r="AJ68" i="17" s="1"/>
  <c r="Y45" i="17"/>
  <c r="W42" i="17"/>
  <c r="AB44" i="17"/>
  <c r="Z38" i="17"/>
  <c r="J88" i="17"/>
  <c r="L88" i="17" s="1"/>
  <c r="T194" i="15"/>
  <c r="Y194" i="15"/>
  <c r="Z194" i="15"/>
  <c r="W194" i="15"/>
  <c r="AB194" i="15"/>
  <c r="AC194" i="15"/>
  <c r="X194" i="15"/>
  <c r="AG115" i="17" s="1"/>
  <c r="AA194" i="15"/>
  <c r="AG118" i="17"/>
  <c r="AA203" i="15"/>
  <c r="X203" i="15"/>
  <c r="AC203" i="15"/>
  <c r="Z203" i="15"/>
  <c r="T203" i="15"/>
  <c r="V203" i="15"/>
  <c r="W203" i="15"/>
  <c r="Y203" i="15"/>
  <c r="AB203" i="15"/>
  <c r="O79" i="17"/>
  <c r="O33" i="17" s="1"/>
  <c r="F34" i="17"/>
  <c r="J57" i="17"/>
  <c r="L57" i="17" s="1"/>
  <c r="Q57" i="17" s="1"/>
  <c r="G33" i="17"/>
  <c r="D36" i="17"/>
  <c r="G42" i="17"/>
  <c r="I38" i="17"/>
  <c r="J65" i="17"/>
  <c r="F42" i="17"/>
  <c r="H46" i="17"/>
  <c r="G45" i="17"/>
  <c r="I46" i="17"/>
  <c r="Y209" i="15"/>
  <c r="AB209" i="15"/>
  <c r="T209" i="15"/>
  <c r="X209" i="15"/>
  <c r="AG120" i="17" s="1"/>
  <c r="AC209" i="15"/>
  <c r="Z209" i="15"/>
  <c r="AA209" i="15"/>
  <c r="W209" i="15"/>
  <c r="O135" i="17"/>
  <c r="I140" i="17"/>
  <c r="G140" i="17"/>
  <c r="O142" i="17"/>
  <c r="G131" i="17"/>
  <c r="D131" i="17"/>
  <c r="O136" i="17"/>
  <c r="Z202" i="15"/>
  <c r="W202" i="15"/>
  <c r="V202" i="15"/>
  <c r="AB202" i="15"/>
  <c r="AG19" i="17"/>
  <c r="Y202" i="15"/>
  <c r="X202" i="15"/>
  <c r="T202" i="15"/>
  <c r="U204" i="15"/>
  <c r="I38" i="7" s="1"/>
  <c r="AA202" i="15"/>
  <c r="AC202" i="15"/>
  <c r="L194" i="15"/>
  <c r="H194" i="15"/>
  <c r="F194" i="15"/>
  <c r="K194" i="15"/>
  <c r="N115" i="17"/>
  <c r="D194" i="15"/>
  <c r="I194" i="15"/>
  <c r="G194" i="15"/>
  <c r="J194" i="15"/>
  <c r="M194" i="15"/>
  <c r="G188" i="15"/>
  <c r="L188" i="15"/>
  <c r="H188" i="15"/>
  <c r="N113" i="17" s="1"/>
  <c r="I188" i="15"/>
  <c r="J188" i="15"/>
  <c r="K188" i="15"/>
  <c r="F188" i="15"/>
  <c r="D188" i="15"/>
  <c r="M188" i="15"/>
  <c r="Y35" i="17"/>
  <c r="AC58" i="17"/>
  <c r="AE58" i="17" s="1"/>
  <c r="AJ58" i="17" s="1"/>
  <c r="Y37" i="17"/>
  <c r="AC60" i="17"/>
  <c r="AE60" i="17" s="1"/>
  <c r="AJ60" i="17" s="1"/>
  <c r="W36" i="17"/>
  <c r="G211" i="15"/>
  <c r="H211" i="15"/>
  <c r="D211" i="15"/>
  <c r="I211" i="15"/>
  <c r="J211" i="15"/>
  <c r="F211" i="15"/>
  <c r="M211" i="15"/>
  <c r="E213" i="15"/>
  <c r="K211" i="15"/>
  <c r="L211" i="15"/>
  <c r="AC166" i="17"/>
  <c r="AE166" i="17" s="1"/>
  <c r="AJ166" i="17" s="1"/>
  <c r="AA35" i="17"/>
  <c r="AB36" i="17"/>
  <c r="J89" i="17"/>
  <c r="L89" i="17" s="1"/>
  <c r="O87" i="17"/>
  <c r="O41" i="17" s="1"/>
  <c r="D34" i="17"/>
  <c r="D46" i="17"/>
  <c r="L203" i="15"/>
  <c r="I203" i="15"/>
  <c r="D203" i="15"/>
  <c r="G203" i="15"/>
  <c r="M203" i="15"/>
  <c r="K203" i="15"/>
  <c r="H203" i="15"/>
  <c r="N118" i="17" s="1"/>
  <c r="F203" i="15"/>
  <c r="J203" i="15"/>
  <c r="Y193" i="15"/>
  <c r="Z193" i="15"/>
  <c r="W193" i="15"/>
  <c r="X193" i="15"/>
  <c r="AG16" i="17" s="1"/>
  <c r="T193" i="15"/>
  <c r="AB193" i="15"/>
  <c r="AA193" i="15"/>
  <c r="V193" i="15"/>
  <c r="U195" i="15"/>
  <c r="AC193" i="15"/>
  <c r="Y38" i="17"/>
  <c r="AC61" i="17"/>
  <c r="AE61" i="17" s="1"/>
  <c r="AJ61" i="17" s="1"/>
  <c r="AB45" i="17"/>
  <c r="AA38" i="17"/>
  <c r="V175" i="15"/>
  <c r="U177" i="15"/>
  <c r="I29" i="7" s="1"/>
  <c r="Z175" i="15"/>
  <c r="AA175" i="15"/>
  <c r="AG10" i="17"/>
  <c r="Y175" i="15"/>
  <c r="T175" i="15"/>
  <c r="W175" i="15"/>
  <c r="AC175" i="15"/>
  <c r="AB175" i="15"/>
  <c r="X175" i="15"/>
  <c r="D37" i="17"/>
  <c r="H32" i="17"/>
  <c r="AC87" i="17"/>
  <c r="AE87" i="17" s="1"/>
  <c r="AJ87" i="17" s="1"/>
  <c r="F47" i="17"/>
  <c r="J70" i="17"/>
  <c r="L70" i="17" s="1"/>
  <c r="Q70" i="17" s="1"/>
  <c r="G184" i="15"/>
  <c r="D184" i="15"/>
  <c r="N13" i="17"/>
  <c r="E186" i="15"/>
  <c r="I10" i="7" s="1"/>
  <c r="I184" i="15"/>
  <c r="L184" i="15"/>
  <c r="H184" i="15"/>
  <c r="M184" i="15"/>
  <c r="K184" i="15"/>
  <c r="F184" i="15"/>
  <c r="J184" i="15"/>
  <c r="AA179" i="15"/>
  <c r="X179" i="15"/>
  <c r="T179" i="15"/>
  <c r="Z179" i="15"/>
  <c r="AC179" i="15"/>
  <c r="Y179" i="15"/>
  <c r="V179" i="15"/>
  <c r="AB179" i="15"/>
  <c r="AG110" i="17"/>
  <c r="W179" i="15"/>
  <c r="AB173" i="15"/>
  <c r="AC173" i="15"/>
  <c r="T173" i="15"/>
  <c r="AA173" i="15"/>
  <c r="X173" i="15"/>
  <c r="AG108" i="17"/>
  <c r="Z173" i="15"/>
  <c r="Y173" i="15"/>
  <c r="W173" i="15"/>
  <c r="V173" i="15"/>
  <c r="J188" i="17"/>
  <c r="L188" i="17" s="1"/>
  <c r="Q188" i="17" s="1"/>
  <c r="J185" i="17"/>
  <c r="L185" i="17" s="1"/>
  <c r="Q185" i="17" s="1"/>
  <c r="J192" i="17"/>
  <c r="L192" i="17" s="1"/>
  <c r="Q192" i="17" s="1"/>
  <c r="AA139" i="17"/>
  <c r="T176" i="15"/>
  <c r="AG109" i="17"/>
  <c r="AA176" i="15"/>
  <c r="X176" i="15"/>
  <c r="V176" i="15"/>
  <c r="Z176" i="15"/>
  <c r="W176" i="15"/>
  <c r="Y176" i="15"/>
  <c r="AB176" i="15"/>
  <c r="AC176" i="15"/>
  <c r="AH42" i="17"/>
  <c r="Z36" i="17"/>
  <c r="W41" i="17"/>
  <c r="AA33" i="17"/>
  <c r="AA42" i="17"/>
  <c r="AC67" i="17"/>
  <c r="AE67" i="17" s="1"/>
  <c r="AJ67" i="17" s="1"/>
  <c r="Y44" i="17"/>
  <c r="Z37" i="17"/>
  <c r="AA45" i="17"/>
  <c r="Z35" i="17"/>
  <c r="W34" i="17"/>
  <c r="J86" i="17"/>
  <c r="L86" i="17" s="1"/>
  <c r="H187" i="15"/>
  <c r="L187" i="15"/>
  <c r="J187" i="15"/>
  <c r="I187" i="15"/>
  <c r="D187" i="15"/>
  <c r="M187" i="15"/>
  <c r="G187" i="15"/>
  <c r="F187" i="15"/>
  <c r="K187" i="15"/>
  <c r="E189" i="15"/>
  <c r="D205" i="15"/>
  <c r="H205" i="15"/>
  <c r="I205" i="15"/>
  <c r="L205" i="15"/>
  <c r="G205" i="15"/>
  <c r="N20" i="17"/>
  <c r="E207" i="15"/>
  <c r="I17" i="7" s="1"/>
  <c r="M205" i="15"/>
  <c r="K205" i="15"/>
  <c r="F205" i="15"/>
  <c r="J205" i="15"/>
  <c r="Z182" i="15"/>
  <c r="T182" i="15"/>
  <c r="V182" i="15"/>
  <c r="AB182" i="15"/>
  <c r="AA182" i="15"/>
  <c r="W182" i="15"/>
  <c r="AG111" i="17"/>
  <c r="Y182" i="15"/>
  <c r="X182" i="15"/>
  <c r="AC182" i="15"/>
  <c r="K209" i="15"/>
  <c r="M209" i="15"/>
  <c r="H209" i="15"/>
  <c r="F209" i="15"/>
  <c r="N120" i="17"/>
  <c r="J209" i="15"/>
  <c r="D209" i="15"/>
  <c r="I209" i="15"/>
  <c r="G209" i="15"/>
  <c r="L209" i="15"/>
  <c r="I37" i="17"/>
  <c r="D35" i="17"/>
  <c r="I36" i="17"/>
  <c r="D41" i="17"/>
  <c r="H36" i="17"/>
  <c r="G39" i="17"/>
  <c r="F39" i="17"/>
  <c r="J62" i="17"/>
  <c r="L62" i="17" s="1"/>
  <c r="Q62" i="17" s="1"/>
  <c r="D32" i="17"/>
  <c r="F33" i="17"/>
  <c r="J56" i="17"/>
  <c r="L56" i="17" s="1"/>
  <c r="Q56" i="17" s="1"/>
  <c r="G34" i="17"/>
  <c r="AC88" i="17"/>
  <c r="AE88" i="17" s="1"/>
  <c r="AJ88" i="17" s="1"/>
  <c r="AC83" i="17"/>
  <c r="AE83" i="17" s="1"/>
  <c r="AJ83" i="17" s="1"/>
  <c r="H44" i="17"/>
  <c r="G46" i="17"/>
  <c r="AC84" i="17"/>
  <c r="AE84" i="17" s="1"/>
  <c r="AJ84" i="17" s="1"/>
  <c r="Z190" i="15"/>
  <c r="AB190" i="15"/>
  <c r="X190" i="15"/>
  <c r="W190" i="15"/>
  <c r="AC190" i="15"/>
  <c r="U192" i="15"/>
  <c r="I34" i="7" s="1"/>
  <c r="AA190" i="15"/>
  <c r="AA192" i="15" s="1"/>
  <c r="V190" i="15"/>
  <c r="V192" i="15" s="1"/>
  <c r="Y190" i="15"/>
  <c r="AG15" i="17"/>
  <c r="T190" i="15"/>
  <c r="F208" i="15"/>
  <c r="D208" i="15"/>
  <c r="M208" i="15"/>
  <c r="L208" i="15"/>
  <c r="G208" i="15"/>
  <c r="J208" i="15"/>
  <c r="E210" i="15"/>
  <c r="I18" i="7" s="1"/>
  <c r="K208" i="15"/>
  <c r="N21" i="17"/>
  <c r="H208" i="15"/>
  <c r="I208" i="15"/>
  <c r="H138" i="17"/>
  <c r="O92" i="17"/>
  <c r="O46" i="17" s="1"/>
  <c r="N117" i="17"/>
  <c r="J200" i="15"/>
  <c r="L200" i="15"/>
  <c r="H200" i="15"/>
  <c r="I200" i="15"/>
  <c r="M200" i="15"/>
  <c r="F200" i="15"/>
  <c r="G200" i="15"/>
  <c r="D200" i="15"/>
  <c r="K200" i="15"/>
  <c r="X200" i="15"/>
  <c r="X201" i="15" s="1"/>
  <c r="K37" i="7" s="1"/>
  <c r="W200" i="15"/>
  <c r="AA200" i="15"/>
  <c r="Y200" i="15"/>
  <c r="AC200" i="15"/>
  <c r="T200" i="15"/>
  <c r="T201" i="15" s="1"/>
  <c r="H37" i="7" s="1"/>
  <c r="I37" i="7" s="1"/>
  <c r="AB200" i="15"/>
  <c r="Z200" i="15"/>
  <c r="D197" i="15"/>
  <c r="H197" i="15"/>
  <c r="J197" i="15"/>
  <c r="F197" i="15"/>
  <c r="L197" i="15"/>
  <c r="M197" i="15"/>
  <c r="G197" i="15"/>
  <c r="N116" i="17"/>
  <c r="K197" i="15"/>
  <c r="I197" i="15"/>
  <c r="D218" i="15"/>
  <c r="H218" i="15"/>
  <c r="G218" i="15"/>
  <c r="J218" i="15"/>
  <c r="I218" i="15"/>
  <c r="L218" i="15"/>
  <c r="K218" i="15"/>
  <c r="F218" i="15"/>
  <c r="N123" i="17"/>
  <c r="M218" i="15"/>
  <c r="H39" i="17"/>
  <c r="H41" i="17"/>
  <c r="X205" i="15"/>
  <c r="AG20" i="17" s="1"/>
  <c r="Z205" i="15"/>
  <c r="AB205" i="15"/>
  <c r="Y205" i="15"/>
  <c r="T205" i="15"/>
  <c r="W205" i="15"/>
  <c r="AC205" i="15"/>
  <c r="U207" i="15"/>
  <c r="V205" i="15"/>
  <c r="AA205" i="15"/>
  <c r="J191" i="17"/>
  <c r="L191" i="17" s="1"/>
  <c r="Q191" i="17" s="1"/>
  <c r="AC157" i="17"/>
  <c r="AE157" i="17" s="1"/>
  <c r="AJ157" i="17" s="1"/>
  <c r="J81" i="17"/>
  <c r="L81" i="17" s="1"/>
  <c r="W35" i="17"/>
  <c r="D215" i="15"/>
  <c r="N122" i="17"/>
  <c r="G215" i="15"/>
  <c r="G216" i="15" s="1"/>
  <c r="L215" i="15"/>
  <c r="K215" i="15"/>
  <c r="M215" i="15"/>
  <c r="J215" i="15"/>
  <c r="F215" i="15"/>
  <c r="H215" i="15"/>
  <c r="I215" i="15"/>
  <c r="F38" i="17"/>
  <c r="J61" i="17"/>
  <c r="L61" i="17" s="1"/>
  <c r="Q61" i="17" s="1"/>
  <c r="H33" i="17"/>
  <c r="H34" i="17"/>
  <c r="E216" i="15"/>
  <c r="I20" i="7" s="1"/>
  <c r="AC156" i="17"/>
  <c r="AE156" i="17" s="1"/>
  <c r="AJ156" i="17" s="1"/>
  <c r="Y32" i="17"/>
  <c r="AC55" i="17"/>
  <c r="AE55" i="17" s="1"/>
  <c r="AJ55" i="17" s="1"/>
  <c r="W45" i="17"/>
  <c r="L206" i="15"/>
  <c r="D206" i="15"/>
  <c r="K206" i="15"/>
  <c r="H206" i="15"/>
  <c r="J206" i="15"/>
  <c r="M206" i="15"/>
  <c r="N119" i="17"/>
  <c r="G206" i="15"/>
  <c r="F206" i="15"/>
  <c r="I206" i="15"/>
  <c r="D44" i="17"/>
  <c r="D38" i="17"/>
  <c r="G36" i="17"/>
  <c r="H47" i="17"/>
  <c r="J176" i="15"/>
  <c r="L176" i="15"/>
  <c r="I176" i="15"/>
  <c r="G176" i="15"/>
  <c r="M176" i="15"/>
  <c r="K176" i="15"/>
  <c r="H176" i="15"/>
  <c r="F176" i="15"/>
  <c r="N109" i="17"/>
  <c r="D176" i="15"/>
  <c r="L217" i="15"/>
  <c r="D217" i="15"/>
  <c r="N24" i="17"/>
  <c r="K217" i="15"/>
  <c r="G217" i="15"/>
  <c r="G219" i="15" s="1"/>
  <c r="F217" i="15"/>
  <c r="E219" i="15"/>
  <c r="I21" i="7" s="1"/>
  <c r="M217" i="15"/>
  <c r="I217" i="15"/>
  <c r="J217" i="15"/>
  <c r="H217" i="15"/>
  <c r="J180" i="17"/>
  <c r="L180" i="17" s="1"/>
  <c r="Q180" i="17" s="1"/>
  <c r="Y140" i="17"/>
  <c r="AC163" i="17"/>
  <c r="AE163" i="17" s="1"/>
  <c r="AJ163" i="17" s="1"/>
  <c r="J178" i="17"/>
  <c r="L178" i="17" s="1"/>
  <c r="Q178" i="17" s="1"/>
  <c r="W133" i="17"/>
  <c r="AC162" i="17"/>
  <c r="AE162" i="17" s="1"/>
  <c r="AJ162" i="17" s="1"/>
  <c r="AC158" i="17"/>
  <c r="AE158" i="17" s="1"/>
  <c r="AJ158" i="17" s="1"/>
  <c r="J90" i="17"/>
  <c r="L90" i="17" s="1"/>
  <c r="W39" i="17"/>
  <c r="W33" i="17"/>
  <c r="J92" i="17"/>
  <c r="L92" i="17" s="1"/>
  <c r="W43" i="17"/>
  <c r="Y42" i="17"/>
  <c r="AC65" i="17"/>
  <c r="AE65" i="17" s="1"/>
  <c r="AJ65" i="17" s="1"/>
  <c r="AH38" i="17"/>
  <c r="J87" i="17"/>
  <c r="L87" i="17" s="1"/>
  <c r="W38" i="17"/>
  <c r="AA43" i="17"/>
  <c r="O89" i="17"/>
  <c r="O43" i="17" s="1"/>
  <c r="O88" i="17"/>
  <c r="O42" i="17" s="1"/>
  <c r="X188" i="15"/>
  <c r="X189" i="15" s="1"/>
  <c r="W188" i="15"/>
  <c r="W189" i="15" s="1"/>
  <c r="T188" i="15"/>
  <c r="AC188" i="15"/>
  <c r="AB188" i="15"/>
  <c r="AB189" i="15" s="1"/>
  <c r="AG113" i="17"/>
  <c r="Y188" i="15"/>
  <c r="Y189" i="15" s="1"/>
  <c r="V188" i="15"/>
  <c r="V189" i="15" s="1"/>
  <c r="AA188" i="15"/>
  <c r="AA189" i="15" s="1"/>
  <c r="Z188" i="15"/>
  <c r="F36" i="17"/>
  <c r="J59" i="17"/>
  <c r="L59" i="17" s="1"/>
  <c r="Q59" i="17" s="1"/>
  <c r="F37" i="17"/>
  <c r="J60" i="17"/>
  <c r="L60" i="17" s="1"/>
  <c r="Q60" i="17" s="1"/>
  <c r="F35" i="17"/>
  <c r="J58" i="17"/>
  <c r="L58" i="17" s="1"/>
  <c r="Q58" i="17" s="1"/>
  <c r="I34" i="17"/>
  <c r="I43" i="17"/>
  <c r="I33" i="17"/>
  <c r="G43" i="17"/>
  <c r="D40" i="17"/>
  <c r="H45" i="17"/>
  <c r="I185" i="15"/>
  <c r="L185" i="15"/>
  <c r="F185" i="15"/>
  <c r="J185" i="15"/>
  <c r="N112" i="17"/>
  <c r="H185" i="15"/>
  <c r="K185" i="15"/>
  <c r="D185" i="15"/>
  <c r="M185" i="15"/>
  <c r="G185" i="15"/>
  <c r="I199" i="15"/>
  <c r="L199" i="15"/>
  <c r="D199" i="15"/>
  <c r="H199" i="15"/>
  <c r="F199" i="15"/>
  <c r="N18" i="17"/>
  <c r="K199" i="15"/>
  <c r="E201" i="15"/>
  <c r="I15" i="7" s="1"/>
  <c r="J199" i="15"/>
  <c r="M199" i="15"/>
  <c r="G199" i="15"/>
  <c r="D140" i="17"/>
  <c r="F144" i="17"/>
  <c r="E174" i="15"/>
  <c r="L172" i="15"/>
  <c r="D172" i="15"/>
  <c r="G172" i="15"/>
  <c r="J172" i="15"/>
  <c r="I172" i="15"/>
  <c r="K172" i="15"/>
  <c r="F172" i="15"/>
  <c r="M172" i="15"/>
  <c r="H172" i="15"/>
  <c r="N9" i="17"/>
  <c r="I173" i="15"/>
  <c r="M173" i="15"/>
  <c r="D173" i="15"/>
  <c r="F173" i="15"/>
  <c r="J173" i="15"/>
  <c r="L173" i="15"/>
  <c r="H173" i="15"/>
  <c r="N108" i="17" s="1"/>
  <c r="K173" i="15"/>
  <c r="G173" i="15"/>
  <c r="L182" i="15"/>
  <c r="I182" i="15"/>
  <c r="D182" i="15"/>
  <c r="H182" i="15"/>
  <c r="N111" i="17" s="1"/>
  <c r="J182" i="15"/>
  <c r="G182" i="15"/>
  <c r="K182" i="15"/>
  <c r="F182" i="15"/>
  <c r="M182" i="15"/>
  <c r="Y141" i="17"/>
  <c r="AC164" i="17"/>
  <c r="AE164" i="17" s="1"/>
  <c r="AJ164" i="17" s="1"/>
  <c r="Y33" i="17"/>
  <c r="AC56" i="17"/>
  <c r="AE56" i="17" s="1"/>
  <c r="AJ56" i="17" s="1"/>
  <c r="U174" i="15"/>
  <c r="I28" i="7" s="1"/>
  <c r="W172" i="15"/>
  <c r="W174" i="15" s="1"/>
  <c r="Z172" i="15"/>
  <c r="AG9" i="17"/>
  <c r="T172" i="15"/>
  <c r="Y172" i="15"/>
  <c r="AC172" i="15"/>
  <c r="AB172" i="15"/>
  <c r="V172" i="15"/>
  <c r="AA172" i="15"/>
  <c r="X172" i="15"/>
  <c r="N114" i="17"/>
  <c r="L191" i="15"/>
  <c r="K191" i="15"/>
  <c r="F191" i="15"/>
  <c r="D191" i="15"/>
  <c r="G191" i="15"/>
  <c r="H191" i="15"/>
  <c r="J191" i="15"/>
  <c r="I191" i="15"/>
  <c r="M191" i="15"/>
  <c r="AC81" i="17"/>
  <c r="AE81" i="17" s="1"/>
  <c r="AJ81" i="17" s="1"/>
  <c r="AC161" i="17"/>
  <c r="AE161" i="17" s="1"/>
  <c r="AJ161" i="17" s="1"/>
  <c r="O84" i="17"/>
  <c r="O38" i="17" s="1"/>
  <c r="AC165" i="17"/>
  <c r="AE165" i="17" s="1"/>
  <c r="AJ165" i="17" s="1"/>
  <c r="W208" i="15"/>
  <c r="X208" i="15"/>
  <c r="AG21" i="17" s="1"/>
  <c r="Y208" i="15"/>
  <c r="Z208" i="15"/>
  <c r="V208" i="15"/>
  <c r="AC208" i="15"/>
  <c r="U210" i="15"/>
  <c r="AA208" i="15"/>
  <c r="AB208" i="15"/>
  <c r="AB210" i="15" s="1"/>
  <c r="M40" i="7" s="1"/>
  <c r="T208" i="15"/>
  <c r="D43" i="17"/>
  <c r="L65" i="17"/>
  <c r="Q65" i="17" s="1"/>
  <c r="D42" i="17"/>
  <c r="I40" i="17"/>
  <c r="F43" i="17"/>
  <c r="J66" i="17"/>
  <c r="L66" i="17" s="1"/>
  <c r="Q66" i="17" s="1"/>
  <c r="AC82" i="17"/>
  <c r="AE82" i="17" s="1"/>
  <c r="AJ82" i="17" s="1"/>
  <c r="Y206" i="15"/>
  <c r="AB206" i="15"/>
  <c r="X206" i="15"/>
  <c r="AG119" i="17" s="1"/>
  <c r="Z206" i="15"/>
  <c r="T206" i="15"/>
  <c r="AA206" i="15"/>
  <c r="W206" i="15"/>
  <c r="AC206" i="15"/>
  <c r="J91" i="17"/>
  <c r="L91" i="17" s="1"/>
  <c r="AH40" i="17"/>
  <c r="J93" i="17"/>
  <c r="L93" i="17" s="1"/>
  <c r="O93" i="17"/>
  <c r="O47" i="17" s="1"/>
  <c r="I196" i="15"/>
  <c r="G196" i="15"/>
  <c r="D196" i="15"/>
  <c r="N17" i="17"/>
  <c r="E198" i="15"/>
  <c r="I14" i="7" s="1"/>
  <c r="J196" i="15"/>
  <c r="H196" i="15"/>
  <c r="M196" i="15"/>
  <c r="F196" i="15"/>
  <c r="L196" i="15"/>
  <c r="K196" i="15"/>
  <c r="H38" i="17"/>
  <c r="J69" i="17"/>
  <c r="L69" i="17" s="1"/>
  <c r="Q69" i="17" s="1"/>
  <c r="F46" i="17"/>
  <c r="L181" i="15"/>
  <c r="J181" i="15"/>
  <c r="I181" i="15"/>
  <c r="G181" i="15"/>
  <c r="D181" i="15"/>
  <c r="M181" i="15"/>
  <c r="K181" i="15"/>
  <c r="H181" i="15"/>
  <c r="N12" i="17" s="1"/>
  <c r="F181" i="15"/>
  <c r="E183" i="15"/>
  <c r="F179" i="15"/>
  <c r="D179" i="15"/>
  <c r="I179" i="15"/>
  <c r="H179" i="15"/>
  <c r="N110" i="17"/>
  <c r="K179" i="15"/>
  <c r="L179" i="15"/>
  <c r="M179" i="15"/>
  <c r="J179" i="15"/>
  <c r="G179" i="15"/>
  <c r="AB134" i="17"/>
  <c r="AC159" i="17"/>
  <c r="AE159" i="17" s="1"/>
  <c r="AJ159" i="17" s="1"/>
  <c r="AB140" i="17"/>
  <c r="J184" i="17"/>
  <c r="L184" i="17" s="1"/>
  <c r="Q184" i="17" s="1"/>
  <c r="Z131" i="17"/>
  <c r="AC160" i="17"/>
  <c r="AE160" i="17" s="1"/>
  <c r="AJ160" i="17" s="1"/>
  <c r="W140" i="17"/>
  <c r="W40" i="17"/>
  <c r="AB32" i="17"/>
  <c r="J84" i="17"/>
  <c r="L84" i="17" s="1"/>
  <c r="J79" i="17"/>
  <c r="L79" i="17" s="1"/>
  <c r="Q79" i="17" s="1"/>
  <c r="Y34" i="17"/>
  <c r="AC57" i="17"/>
  <c r="AE57" i="17" s="1"/>
  <c r="AJ57" i="17" s="1"/>
  <c r="W44" i="17"/>
  <c r="AH44" i="17"/>
  <c r="Y41" i="17"/>
  <c r="AC64" i="17"/>
  <c r="AE64" i="17" s="1"/>
  <c r="AJ64" i="17" s="1"/>
  <c r="AC63" i="17"/>
  <c r="AE63" i="17" s="1"/>
  <c r="AJ63" i="17" s="1"/>
  <c r="Y40" i="17"/>
  <c r="Y43" i="17"/>
  <c r="AC66" i="17"/>
  <c r="AE66" i="17" s="1"/>
  <c r="AJ66" i="17" s="1"/>
  <c r="W32" i="17"/>
  <c r="Z185" i="15"/>
  <c r="AG112" i="17"/>
  <c r="V185" i="15"/>
  <c r="X185" i="15"/>
  <c r="W185" i="15"/>
  <c r="W186" i="15" s="1"/>
  <c r="T185" i="15"/>
  <c r="AB185" i="15"/>
  <c r="Y185" i="15"/>
  <c r="AA185" i="15"/>
  <c r="AC185" i="15"/>
  <c r="AA178" i="15"/>
  <c r="W178" i="15"/>
  <c r="AB178" i="15"/>
  <c r="X178" i="15"/>
  <c r="AG11" i="17"/>
  <c r="U180" i="15"/>
  <c r="I30" i="7" s="1"/>
  <c r="Z178" i="15"/>
  <c r="V178" i="15"/>
  <c r="AC178" i="15"/>
  <c r="Y178" i="15"/>
  <c r="T178" i="15"/>
  <c r="O78" i="17"/>
  <c r="O32" i="17" s="1"/>
  <c r="L202" i="15"/>
  <c r="I202" i="15"/>
  <c r="D202" i="15"/>
  <c r="H202" i="15"/>
  <c r="J202" i="15"/>
  <c r="G202" i="15"/>
  <c r="K202" i="15"/>
  <c r="E204" i="15"/>
  <c r="M202" i="15"/>
  <c r="M204" i="15" s="1"/>
  <c r="F202" i="15"/>
  <c r="H212" i="15"/>
  <c r="N121" i="17" s="1"/>
  <c r="D212" i="15"/>
  <c r="I212" i="15"/>
  <c r="F212" i="15"/>
  <c r="J212" i="15"/>
  <c r="M212" i="15"/>
  <c r="K212" i="15"/>
  <c r="L212" i="15"/>
  <c r="G212" i="15"/>
  <c r="I39" i="17"/>
  <c r="G32" i="17"/>
  <c r="I35" i="17"/>
  <c r="AC91" i="17"/>
  <c r="AE91" i="17" s="1"/>
  <c r="AJ91" i="17" s="1"/>
  <c r="I32" i="17"/>
  <c r="AC78" i="17"/>
  <c r="AE78" i="17" s="1"/>
  <c r="AJ78" i="17" s="1"/>
  <c r="G44" i="17"/>
  <c r="AC90" i="17"/>
  <c r="AE90" i="17" s="1"/>
  <c r="AJ90" i="17" s="1"/>
  <c r="H43" i="17"/>
  <c r="D33" i="17"/>
  <c r="G41" i="17"/>
  <c r="O82" i="17"/>
  <c r="O36" i="17" s="1"/>
  <c r="G135" i="17"/>
  <c r="D134" i="17"/>
  <c r="K175" i="15"/>
  <c r="M175" i="15"/>
  <c r="H175" i="15"/>
  <c r="J175" i="15"/>
  <c r="N10" i="17"/>
  <c r="D175" i="15"/>
  <c r="F175" i="15"/>
  <c r="E177" i="15"/>
  <c r="I7" i="7" s="1"/>
  <c r="I175" i="15"/>
  <c r="G175" i="15"/>
  <c r="L175" i="15"/>
  <c r="O83" i="17"/>
  <c r="O37" i="17" s="1"/>
  <c r="T189" i="15" l="1"/>
  <c r="K183" i="15"/>
  <c r="Z180" i="15"/>
  <c r="V174" i="15"/>
  <c r="Q85" i="17"/>
  <c r="Y186" i="15"/>
  <c r="K189" i="15"/>
  <c r="AC182" i="17"/>
  <c r="J162" i="17"/>
  <c r="L162" i="17" s="1"/>
  <c r="L177" i="15"/>
  <c r="AC186" i="17"/>
  <c r="J160" i="17"/>
  <c r="L160" i="17" s="1"/>
  <c r="Q160" i="17" s="1"/>
  <c r="T35" i="7"/>
  <c r="AB201" i="15"/>
  <c r="M37" i="7" s="1"/>
  <c r="X213" i="15"/>
  <c r="AE182" i="17"/>
  <c r="AJ182" i="17" s="1"/>
  <c r="R33" i="7" s="1"/>
  <c r="AC177" i="17"/>
  <c r="AE177" i="17" s="1"/>
  <c r="AJ177" i="17" s="1"/>
  <c r="R28" i="7" s="1"/>
  <c r="Q87" i="17"/>
  <c r="R15" i="7" s="1"/>
  <c r="F177" i="15"/>
  <c r="D216" i="15"/>
  <c r="J165" i="17"/>
  <c r="L165" i="17" s="1"/>
  <c r="Q165" i="17" s="1"/>
  <c r="J159" i="17"/>
  <c r="L159" i="17" s="1"/>
  <c r="Q159" i="17" s="1"/>
  <c r="Q11" i="7" s="1"/>
  <c r="D204" i="15"/>
  <c r="H16" i="7" s="1"/>
  <c r="I16" i="7" s="1"/>
  <c r="AA210" i="15"/>
  <c r="J168" i="17"/>
  <c r="L168" i="17" s="1"/>
  <c r="Q168" i="17" s="1"/>
  <c r="J154" i="17"/>
  <c r="L154" i="17" s="1"/>
  <c r="Q154" i="17" s="1"/>
  <c r="Q6" i="7" s="1"/>
  <c r="J155" i="17"/>
  <c r="L155" i="17" s="1"/>
  <c r="Q155" i="17" s="1"/>
  <c r="Q7" i="7" s="1"/>
  <c r="F204" i="15"/>
  <c r="X204" i="15"/>
  <c r="AC213" i="15"/>
  <c r="J156" i="17"/>
  <c r="L156" i="17" s="1"/>
  <c r="Q156" i="17" s="1"/>
  <c r="Q8" i="7" s="1"/>
  <c r="F142" i="17"/>
  <c r="J142" i="17" s="1"/>
  <c r="L142" i="17" s="1"/>
  <c r="Q142" i="17" s="1"/>
  <c r="F137" i="17"/>
  <c r="AC179" i="17"/>
  <c r="AE179" i="17" s="1"/>
  <c r="AJ179" i="17" s="1"/>
  <c r="R30" i="7" s="1"/>
  <c r="Y180" i="15"/>
  <c r="J164" i="17"/>
  <c r="L164" i="17" s="1"/>
  <c r="Q164" i="17" s="1"/>
  <c r="Q16" i="7" s="1"/>
  <c r="I133" i="17"/>
  <c r="AC189" i="15"/>
  <c r="G145" i="17"/>
  <c r="I174" i="15"/>
  <c r="O6" i="7" s="1"/>
  <c r="Z189" i="15"/>
  <c r="AB195" i="15"/>
  <c r="M35" i="7" s="1"/>
  <c r="T19" i="7"/>
  <c r="U19" i="7" s="1"/>
  <c r="J158" i="17"/>
  <c r="L158" i="17" s="1"/>
  <c r="Q158" i="17" s="1"/>
  <c r="Q10" i="7" s="1"/>
  <c r="AC187" i="17"/>
  <c r="AE187" i="17" s="1"/>
  <c r="AJ187" i="17" s="1"/>
  <c r="R38" i="7" s="1"/>
  <c r="AC178" i="17"/>
  <c r="AE178" i="17" s="1"/>
  <c r="AJ178" i="17" s="1"/>
  <c r="R29" i="7" s="1"/>
  <c r="Q91" i="17"/>
  <c r="R19" i="7" s="1"/>
  <c r="X174" i="15"/>
  <c r="J167" i="17"/>
  <c r="L167" i="17" s="1"/>
  <c r="Q167" i="17" s="1"/>
  <c r="G201" i="15"/>
  <c r="G139" i="17"/>
  <c r="J139" i="17" s="1"/>
  <c r="L139" i="17" s="1"/>
  <c r="Q139" i="17" s="1"/>
  <c r="H216" i="15"/>
  <c r="J166" i="17"/>
  <c r="L166" i="17" s="1"/>
  <c r="Q166" i="17" s="1"/>
  <c r="Q18" i="7" s="1"/>
  <c r="J169" i="17"/>
  <c r="L169" i="17" s="1"/>
  <c r="Q169" i="17" s="1"/>
  <c r="AC184" i="17"/>
  <c r="AE184" i="17" s="1"/>
  <c r="AJ184" i="17" s="1"/>
  <c r="R35" i="7" s="1"/>
  <c r="H177" i="15"/>
  <c r="Q88" i="17"/>
  <c r="Q162" i="17"/>
  <c r="Q14" i="7" s="1"/>
  <c r="W192" i="15"/>
  <c r="R7" i="7"/>
  <c r="AA141" i="17"/>
  <c r="AB192" i="15"/>
  <c r="I189" i="15"/>
  <c r="O11" i="7" s="1"/>
  <c r="J163" i="17"/>
  <c r="L163" i="17" s="1"/>
  <c r="Q163" i="17" s="1"/>
  <c r="Q15" i="7" s="1"/>
  <c r="T9" i="7"/>
  <c r="U9" i="7" s="1"/>
  <c r="V198" i="15"/>
  <c r="AE186" i="17"/>
  <c r="AJ186" i="17" s="1"/>
  <c r="R37" i="7" s="1"/>
  <c r="AC189" i="17"/>
  <c r="AE189" i="17" s="1"/>
  <c r="AJ189" i="17" s="1"/>
  <c r="AC181" i="17"/>
  <c r="AE181" i="17" s="1"/>
  <c r="AJ181" i="17" s="1"/>
  <c r="R32" i="7" s="1"/>
  <c r="F141" i="17"/>
  <c r="J141" i="17" s="1"/>
  <c r="L141" i="17" s="1"/>
  <c r="Q141" i="17" s="1"/>
  <c r="Y192" i="15"/>
  <c r="Z192" i="15"/>
  <c r="AC44" i="17"/>
  <c r="AE44" i="17" s="1"/>
  <c r="AJ44" i="17" s="1"/>
  <c r="J157" i="17"/>
  <c r="L157" i="17" s="1"/>
  <c r="Q157" i="17" s="1"/>
  <c r="Q9" i="7" s="1"/>
  <c r="V206" i="15"/>
  <c r="V207" i="15" s="1"/>
  <c r="F132" i="17"/>
  <c r="J132" i="17" s="1"/>
  <c r="L132" i="17" s="1"/>
  <c r="Q132" i="17" s="1"/>
  <c r="AC192" i="15"/>
  <c r="AA180" i="15"/>
  <c r="I183" i="15"/>
  <c r="O9" i="7" s="1"/>
  <c r="W213" i="15"/>
  <c r="AC183" i="17"/>
  <c r="AE183" i="17" s="1"/>
  <c r="AJ183" i="17" s="1"/>
  <c r="R34" i="7" s="1"/>
  <c r="AC190" i="17"/>
  <c r="AE190" i="17" s="1"/>
  <c r="AJ190" i="17" s="1"/>
  <c r="R41" i="7" s="1"/>
  <c r="AC136" i="17"/>
  <c r="Z186" i="15"/>
  <c r="Y137" i="17"/>
  <c r="AC137" i="17" s="1"/>
  <c r="AE137" i="17" s="1"/>
  <c r="AJ137" i="17" s="1"/>
  <c r="F135" i="17"/>
  <c r="J135" i="17" s="1"/>
  <c r="L135" i="17" s="1"/>
  <c r="Q135" i="17" s="1"/>
  <c r="G189" i="15"/>
  <c r="J11" i="7" s="1"/>
  <c r="AC188" i="17"/>
  <c r="AE188" i="17" s="1"/>
  <c r="AJ188" i="17" s="1"/>
  <c r="R39" i="7" s="1"/>
  <c r="J216" i="15"/>
  <c r="T11" i="7"/>
  <c r="U11" i="7" s="1"/>
  <c r="F136" i="17"/>
  <c r="J136" i="17" s="1"/>
  <c r="L136" i="17" s="1"/>
  <c r="Q136" i="17" s="1"/>
  <c r="X186" i="15"/>
  <c r="Y210" i="15"/>
  <c r="O40" i="7" s="1"/>
  <c r="Y135" i="17"/>
  <c r="AC135" i="17" s="1"/>
  <c r="AB133" i="17"/>
  <c r="AC133" i="17" s="1"/>
  <c r="AE133" i="17" s="1"/>
  <c r="AJ133" i="17" s="1"/>
  <c r="Y143" i="17"/>
  <c r="AC143" i="17" s="1"/>
  <c r="AE143" i="17" s="1"/>
  <c r="AJ143" i="17" s="1"/>
  <c r="AC204" i="15"/>
  <c r="Q80" i="17"/>
  <c r="R8" i="7" s="1"/>
  <c r="AC144" i="17"/>
  <c r="AE144" i="17" s="1"/>
  <c r="AJ144" i="17" s="1"/>
  <c r="Q38" i="7"/>
  <c r="AB132" i="17"/>
  <c r="AC132" i="17" s="1"/>
  <c r="AC180" i="15"/>
  <c r="T210" i="15"/>
  <c r="H40" i="7" s="1"/>
  <c r="I40" i="7" s="1"/>
  <c r="V200" i="15"/>
  <c r="V201" i="15" s="1"/>
  <c r="T192" i="15"/>
  <c r="X192" i="15"/>
  <c r="Z177" i="15"/>
  <c r="AC195" i="15"/>
  <c r="AA204" i="15"/>
  <c r="V209" i="15"/>
  <c r="T40" i="7"/>
  <c r="U40" i="7" s="1"/>
  <c r="AC180" i="17"/>
  <c r="AE180" i="17" s="1"/>
  <c r="AJ180" i="17" s="1"/>
  <c r="R31" i="7" s="1"/>
  <c r="V195" i="15"/>
  <c r="AC185" i="17"/>
  <c r="AE185" i="17" s="1"/>
  <c r="AJ185" i="17" s="1"/>
  <c r="Z140" i="17"/>
  <c r="AC140" i="17" s="1"/>
  <c r="AC174" i="15"/>
  <c r="H201" i="15"/>
  <c r="AB131" i="17"/>
  <c r="K219" i="15"/>
  <c r="AA201" i="15"/>
  <c r="G177" i="15"/>
  <c r="Q29" i="7"/>
  <c r="J161" i="17"/>
  <c r="L161" i="17" s="1"/>
  <c r="Q161" i="17" s="1"/>
  <c r="Q13" i="7" s="1"/>
  <c r="T6" i="7"/>
  <c r="G183" i="15"/>
  <c r="J9" i="7" s="1"/>
  <c r="K198" i="15"/>
  <c r="D198" i="15"/>
  <c r="Z201" i="15"/>
  <c r="L37" i="7" s="1"/>
  <c r="J39" i="17"/>
  <c r="Q86" i="17"/>
  <c r="R14" i="7" s="1"/>
  <c r="T195" i="15"/>
  <c r="H35" i="7" s="1"/>
  <c r="I35" i="7" s="1"/>
  <c r="Z213" i="15"/>
  <c r="H195" i="15"/>
  <c r="AC201" i="15"/>
  <c r="AC40" i="17"/>
  <c r="AE40" i="17" s="1"/>
  <c r="AJ40" i="17" s="1"/>
  <c r="AC142" i="17"/>
  <c r="AE142" i="17" s="1"/>
  <c r="AJ142" i="17" s="1"/>
  <c r="J204" i="15"/>
  <c r="L16" i="7" s="1"/>
  <c r="Q31" i="7"/>
  <c r="K192" i="15"/>
  <c r="AA186" i="15"/>
  <c r="AC32" i="17"/>
  <c r="AE32" i="17" s="1"/>
  <c r="AJ32" i="17" s="1"/>
  <c r="K213" i="15"/>
  <c r="AC39" i="17"/>
  <c r="AE39" i="17" s="1"/>
  <c r="AJ39" i="17" s="1"/>
  <c r="J44" i="17"/>
  <c r="L44" i="17" s="1"/>
  <c r="Q44" i="17" s="1"/>
  <c r="J192" i="15"/>
  <c r="K195" i="15"/>
  <c r="Q83" i="17"/>
  <c r="R11" i="7" s="1"/>
  <c r="K216" i="15"/>
  <c r="I201" i="15"/>
  <c r="L216" i="15"/>
  <c r="K210" i="15"/>
  <c r="V213" i="15"/>
  <c r="Z198" i="15"/>
  <c r="J177" i="15"/>
  <c r="G204" i="15"/>
  <c r="J16" i="7" s="1"/>
  <c r="Q36" i="7"/>
  <c r="Q84" i="17"/>
  <c r="R12" i="7" s="1"/>
  <c r="AC33" i="17"/>
  <c r="AE33" i="17" s="1"/>
  <c r="AJ33" i="17" s="1"/>
  <c r="H174" i="15"/>
  <c r="K6" i="7" s="1"/>
  <c r="N6" i="7" s="1"/>
  <c r="T16" i="7"/>
  <c r="U16" i="7" s="1"/>
  <c r="I216" i="15"/>
  <c r="Y201" i="15"/>
  <c r="O37" i="7" s="1"/>
  <c r="P37" i="7" s="1"/>
  <c r="Q78" i="17"/>
  <c r="R6" i="7" s="1"/>
  <c r="G180" i="15"/>
  <c r="M216" i="15"/>
  <c r="V186" i="15"/>
  <c r="M174" i="15"/>
  <c r="J219" i="15"/>
  <c r="AC186" i="15"/>
  <c r="AC41" i="17"/>
  <c r="AE41" i="17" s="1"/>
  <c r="AJ41" i="17" s="1"/>
  <c r="M198" i="15"/>
  <c r="T174" i="15"/>
  <c r="F201" i="15"/>
  <c r="W201" i="15"/>
  <c r="J37" i="7" s="1"/>
  <c r="Z204" i="15"/>
  <c r="J195" i="15"/>
  <c r="Q40" i="7"/>
  <c r="I177" i="15"/>
  <c r="R40" i="7"/>
  <c r="H204" i="15"/>
  <c r="K16" i="7" s="1"/>
  <c r="N16" i="7" s="1"/>
  <c r="V180" i="15"/>
  <c r="W210" i="15"/>
  <c r="J40" i="7" s="1"/>
  <c r="F174" i="15"/>
  <c r="AC42" i="17"/>
  <c r="AE42" i="17" s="1"/>
  <c r="AJ42" i="17" s="1"/>
  <c r="Q90" i="17"/>
  <c r="R18" i="7" s="1"/>
  <c r="Q81" i="17"/>
  <c r="R9" i="7" s="1"/>
  <c r="Z207" i="15"/>
  <c r="L39" i="7" s="1"/>
  <c r="K207" i="15"/>
  <c r="D207" i="15"/>
  <c r="X177" i="15"/>
  <c r="W195" i="15"/>
  <c r="J35" i="7" s="1"/>
  <c r="L213" i="15"/>
  <c r="M19" i="7" s="1"/>
  <c r="Q41" i="7"/>
  <c r="W198" i="15"/>
  <c r="X183" i="15"/>
  <c r="AB174" i="15"/>
  <c r="D201" i="15"/>
  <c r="J37" i="17"/>
  <c r="L37" i="17" s="1"/>
  <c r="Q37" i="17" s="1"/>
  <c r="D219" i="15"/>
  <c r="J210" i="15"/>
  <c r="F189" i="15"/>
  <c r="L198" i="15"/>
  <c r="M186" i="15"/>
  <c r="AB186" i="15"/>
  <c r="I198" i="15"/>
  <c r="T186" i="15"/>
  <c r="J46" i="17"/>
  <c r="L46" i="17" s="1"/>
  <c r="Q46" i="17" s="1"/>
  <c r="V210" i="15"/>
  <c r="Q92" i="17"/>
  <c r="AC139" i="17"/>
  <c r="AE139" i="17" s="1"/>
  <c r="AJ139" i="17" s="1"/>
  <c r="I219" i="15"/>
  <c r="L219" i="15"/>
  <c r="W207" i="15"/>
  <c r="J39" i="7" s="1"/>
  <c r="G210" i="15"/>
  <c r="G207" i="15"/>
  <c r="T177" i="15"/>
  <c r="AA195" i="15"/>
  <c r="Q89" i="17"/>
  <c r="R17" i="7" s="1"/>
  <c r="F213" i="15"/>
  <c r="AB204" i="15"/>
  <c r="J42" i="17"/>
  <c r="L42" i="17" s="1"/>
  <c r="Q42" i="17" s="1"/>
  <c r="AA213" i="15"/>
  <c r="Y213" i="15"/>
  <c r="T39" i="7"/>
  <c r="U39" i="7" s="1"/>
  <c r="R16" i="7"/>
  <c r="K186" i="15"/>
  <c r="G186" i="15"/>
  <c r="AB177" i="15"/>
  <c r="J183" i="15"/>
  <c r="L9" i="7" s="1"/>
  <c r="H189" i="15"/>
  <c r="K11" i="7" s="1"/>
  <c r="N11" i="7" s="1"/>
  <c r="AB213" i="15"/>
  <c r="I195" i="15"/>
  <c r="L204" i="15"/>
  <c r="M16" i="7" s="1"/>
  <c r="Q30" i="7"/>
  <c r="M183" i="15"/>
  <c r="H198" i="15"/>
  <c r="Z210" i="15"/>
  <c r="L40" i="7" s="1"/>
  <c r="Y174" i="15"/>
  <c r="J201" i="15"/>
  <c r="T207" i="15"/>
  <c r="H39" i="7" s="1"/>
  <c r="L210" i="15"/>
  <c r="I186" i="15"/>
  <c r="V204" i="15"/>
  <c r="Y198" i="15"/>
  <c r="AC183" i="15"/>
  <c r="L195" i="15"/>
  <c r="Q37" i="7"/>
  <c r="Q19" i="7"/>
  <c r="N37" i="7"/>
  <c r="Q34" i="7"/>
  <c r="Q39" i="7"/>
  <c r="Q12" i="7"/>
  <c r="M207" i="15"/>
  <c r="J189" i="15"/>
  <c r="L11" i="7" s="1"/>
  <c r="J140" i="17"/>
  <c r="L140" i="17" s="1"/>
  <c r="Q140" i="17" s="1"/>
  <c r="Z195" i="15"/>
  <c r="L35" i="7" s="1"/>
  <c r="H213" i="15"/>
  <c r="K19" i="7" s="1"/>
  <c r="AC35" i="17"/>
  <c r="AE35" i="17" s="1"/>
  <c r="AJ35" i="17" s="1"/>
  <c r="T204" i="15"/>
  <c r="J180" i="15"/>
  <c r="Q33" i="7"/>
  <c r="M177" i="15"/>
  <c r="D183" i="15"/>
  <c r="H9" i="7" s="1"/>
  <c r="I9" i="7" s="1"/>
  <c r="J198" i="15"/>
  <c r="K174" i="15"/>
  <c r="J144" i="17"/>
  <c r="L144" i="17" s="1"/>
  <c r="Q144" i="17" s="1"/>
  <c r="J137" i="17"/>
  <c r="L137" i="17" s="1"/>
  <c r="Q137" i="17" s="1"/>
  <c r="K201" i="15"/>
  <c r="V34" i="7"/>
  <c r="W34" i="7" s="1"/>
  <c r="H219" i="15"/>
  <c r="J38" i="17"/>
  <c r="Y207" i="15"/>
  <c r="O39" i="7" s="1"/>
  <c r="AG117" i="17"/>
  <c r="L189" i="15"/>
  <c r="M11" i="7" s="1"/>
  <c r="J143" i="17"/>
  <c r="H186" i="15"/>
  <c r="J47" i="17"/>
  <c r="L47" i="17" s="1"/>
  <c r="Q47" i="17" s="1"/>
  <c r="AC177" i="15"/>
  <c r="V177" i="15"/>
  <c r="Y195" i="15"/>
  <c r="O35" i="7" s="1"/>
  <c r="G213" i="15"/>
  <c r="J19" i="7" s="1"/>
  <c r="AC45" i="17"/>
  <c r="AE45" i="17" s="1"/>
  <c r="AJ45" i="17" s="1"/>
  <c r="H180" i="15"/>
  <c r="AB183" i="15"/>
  <c r="AA183" i="15"/>
  <c r="J32" i="17"/>
  <c r="L32" i="17" s="1"/>
  <c r="Q32" i="17" s="1"/>
  <c r="L192" i="15"/>
  <c r="G195" i="15"/>
  <c r="D195" i="15"/>
  <c r="Q93" i="17"/>
  <c r="I204" i="15"/>
  <c r="O16" i="7" s="1"/>
  <c r="AC210" i="15"/>
  <c r="J36" i="17"/>
  <c r="L36" i="17" s="1"/>
  <c r="Q36" i="17" s="1"/>
  <c r="J146" i="17"/>
  <c r="L146" i="17" s="1"/>
  <c r="Q146" i="17" s="1"/>
  <c r="L186" i="15"/>
  <c r="W177" i="15"/>
  <c r="M213" i="15"/>
  <c r="Q32" i="7"/>
  <c r="AC131" i="17"/>
  <c r="AE131" i="17" s="1"/>
  <c r="AJ131" i="17" s="1"/>
  <c r="M180" i="15"/>
  <c r="L39" i="17"/>
  <c r="Q39" i="17" s="1"/>
  <c r="AE135" i="17"/>
  <c r="AJ135" i="17" s="1"/>
  <c r="V28" i="7"/>
  <c r="X180" i="15"/>
  <c r="Z174" i="15"/>
  <c r="AC141" i="17"/>
  <c r="G174" i="15"/>
  <c r="J6" i="7" s="1"/>
  <c r="M219" i="15"/>
  <c r="X207" i="15"/>
  <c r="K39" i="7" s="1"/>
  <c r="I210" i="15"/>
  <c r="M210" i="15"/>
  <c r="J33" i="17"/>
  <c r="V15" i="7"/>
  <c r="W15" i="7" s="1"/>
  <c r="L207" i="15"/>
  <c r="M189" i="15"/>
  <c r="Y177" i="15"/>
  <c r="AE136" i="17"/>
  <c r="AJ136" i="17" s="1"/>
  <c r="N22" i="17"/>
  <c r="J145" i="17"/>
  <c r="L145" i="17" s="1"/>
  <c r="Q145" i="17" s="1"/>
  <c r="Q82" i="17"/>
  <c r="R10" i="7" s="1"/>
  <c r="D180" i="15"/>
  <c r="F180" i="15"/>
  <c r="J131" i="17"/>
  <c r="L131" i="17" s="1"/>
  <c r="Q131" i="17" s="1"/>
  <c r="AC198" i="15"/>
  <c r="Z183" i="15"/>
  <c r="J40" i="17"/>
  <c r="I192" i="15"/>
  <c r="F195" i="15"/>
  <c r="K177" i="15"/>
  <c r="N19" i="17"/>
  <c r="Q28" i="7"/>
  <c r="Y204" i="15"/>
  <c r="V183" i="15"/>
  <c r="M192" i="15"/>
  <c r="V7" i="7"/>
  <c r="W7" i="7" s="1"/>
  <c r="AC134" i="17"/>
  <c r="AE134" i="17" s="1"/>
  <c r="AJ134" i="17" s="1"/>
  <c r="J34" i="17"/>
  <c r="L34" i="17" s="1"/>
  <c r="Q34" i="17" s="1"/>
  <c r="AB198" i="15"/>
  <c r="T183" i="15"/>
  <c r="J45" i="17"/>
  <c r="L45" i="17" s="1"/>
  <c r="Q45" i="17" s="1"/>
  <c r="D177" i="15"/>
  <c r="K204" i="15"/>
  <c r="T180" i="15"/>
  <c r="AB180" i="15"/>
  <c r="AC43" i="17"/>
  <c r="AE43" i="17" s="1"/>
  <c r="AJ43" i="17" s="1"/>
  <c r="F183" i="15"/>
  <c r="G198" i="15"/>
  <c r="AA174" i="15"/>
  <c r="D174" i="15"/>
  <c r="H6" i="7" s="1"/>
  <c r="Q35" i="7"/>
  <c r="H210" i="15"/>
  <c r="D210" i="15"/>
  <c r="J207" i="15"/>
  <c r="I207" i="15"/>
  <c r="N14" i="17"/>
  <c r="J134" i="17"/>
  <c r="L134" i="17" s="1"/>
  <c r="Q134" i="17" s="1"/>
  <c r="J186" i="15"/>
  <c r="AC38" i="17"/>
  <c r="J213" i="15"/>
  <c r="L19" i="7" s="1"/>
  <c r="AC37" i="17"/>
  <c r="X33" i="7" s="1"/>
  <c r="Y33" i="7" s="1"/>
  <c r="L180" i="15"/>
  <c r="I180" i="15"/>
  <c r="J133" i="17"/>
  <c r="L133" i="17" s="1"/>
  <c r="Q133" i="17" s="1"/>
  <c r="AA198" i="15"/>
  <c r="X198" i="15"/>
  <c r="Y183" i="15"/>
  <c r="F192" i="15"/>
  <c r="G192" i="15"/>
  <c r="V37" i="7"/>
  <c r="W37" i="7" s="1"/>
  <c r="D213" i="15"/>
  <c r="H19" i="7" s="1"/>
  <c r="I19" i="7" s="1"/>
  <c r="U35" i="7"/>
  <c r="Q17" i="7"/>
  <c r="AB207" i="15"/>
  <c r="M39" i="7" s="1"/>
  <c r="R13" i="7"/>
  <c r="J174" i="15"/>
  <c r="L6" i="7" s="1"/>
  <c r="V18" i="7"/>
  <c r="W18" i="7" s="1"/>
  <c r="AA207" i="15"/>
  <c r="J138" i="17"/>
  <c r="L138" i="17" s="1"/>
  <c r="Q138" i="17" s="1"/>
  <c r="W180" i="15"/>
  <c r="AC34" i="17"/>
  <c r="H183" i="15"/>
  <c r="K9" i="7" s="1"/>
  <c r="L183" i="15"/>
  <c r="M9" i="7" s="1"/>
  <c r="F198" i="15"/>
  <c r="J43" i="17"/>
  <c r="X210" i="15"/>
  <c r="K40" i="7" s="1"/>
  <c r="AC138" i="17"/>
  <c r="AE138" i="17" s="1"/>
  <c r="AJ138" i="17" s="1"/>
  <c r="L174" i="15"/>
  <c r="M6" i="7" s="1"/>
  <c r="M201" i="15"/>
  <c r="L201" i="15"/>
  <c r="J35" i="17"/>
  <c r="L35" i="17" s="1"/>
  <c r="Q35" i="17" s="1"/>
  <c r="F219" i="15"/>
  <c r="V31" i="7"/>
  <c r="W31" i="7" s="1"/>
  <c r="AC207" i="15"/>
  <c r="F210" i="15"/>
  <c r="V6" i="7"/>
  <c r="F207" i="15"/>
  <c r="H207" i="15"/>
  <c r="D189" i="15"/>
  <c r="H11" i="7" s="1"/>
  <c r="I11" i="7" s="1"/>
  <c r="V30" i="7"/>
  <c r="W30" i="7" s="1"/>
  <c r="F186" i="15"/>
  <c r="D186" i="15"/>
  <c r="AA177" i="15"/>
  <c r="X195" i="15"/>
  <c r="K35" i="7" s="1"/>
  <c r="R36" i="7"/>
  <c r="I213" i="15"/>
  <c r="O19" i="7" s="1"/>
  <c r="W204" i="15"/>
  <c r="K180" i="15"/>
  <c r="T198" i="15"/>
  <c r="W183" i="15"/>
  <c r="H192" i="15"/>
  <c r="D192" i="15"/>
  <c r="M195" i="15"/>
  <c r="AC36" i="17"/>
  <c r="X32" i="7" s="1"/>
  <c r="Y32" i="7" s="1"/>
  <c r="J41" i="17"/>
  <c r="X15" i="7" s="1"/>
  <c r="Y15" i="7" s="1"/>
  <c r="M48" i="7" l="1"/>
  <c r="X29" i="7"/>
  <c r="Y29" i="7" s="1"/>
  <c r="X18" i="7"/>
  <c r="Y18" i="7" s="1"/>
  <c r="J48" i="7"/>
  <c r="X7" i="7"/>
  <c r="Y7" i="7" s="1"/>
  <c r="X30" i="7"/>
  <c r="Y30" i="7" s="1"/>
  <c r="H48" i="7"/>
  <c r="I48" i="7" s="1"/>
  <c r="T26" i="7"/>
  <c r="P11" i="7"/>
  <c r="L143" i="17"/>
  <c r="Q143" i="17" s="1"/>
  <c r="S18" i="7" s="1"/>
  <c r="Z18" i="7" s="1"/>
  <c r="X37" i="7"/>
  <c r="Y37" i="7" s="1"/>
  <c r="AE140" i="17"/>
  <c r="AJ140" i="17" s="1"/>
  <c r="S37" i="7" s="1"/>
  <c r="Z37" i="7" s="1"/>
  <c r="I39" i="7"/>
  <c r="U6" i="7"/>
  <c r="U26" i="7" s="1"/>
  <c r="AD6" i="7" s="1"/>
  <c r="AE36" i="17"/>
  <c r="AJ36" i="17" s="1"/>
  <c r="S32" i="7" s="1"/>
  <c r="Z32" i="7" s="1"/>
  <c r="J26" i="7"/>
  <c r="O48" i="7"/>
  <c r="X41" i="7"/>
  <c r="Y41" i="7" s="1"/>
  <c r="X34" i="7"/>
  <c r="Y34" i="7" s="1"/>
  <c r="P16" i="7"/>
  <c r="S35" i="7"/>
  <c r="Z35" i="7" s="1"/>
  <c r="X28" i="7"/>
  <c r="Y28" i="7" s="1"/>
  <c r="S10" i="7"/>
  <c r="Z10" i="7" s="1"/>
  <c r="P6" i="7"/>
  <c r="X36" i="7"/>
  <c r="Y36" i="7" s="1"/>
  <c r="L48" i="7"/>
  <c r="S36" i="7"/>
  <c r="Z36" i="7" s="1"/>
  <c r="X13" i="7"/>
  <c r="Y13" i="7" s="1"/>
  <c r="X12" i="7"/>
  <c r="Y12" i="7" s="1"/>
  <c r="S41" i="7"/>
  <c r="Z41" i="7" s="1"/>
  <c r="K26" i="7"/>
  <c r="N26" i="7" s="1"/>
  <c r="AE132" i="17"/>
  <c r="AJ132" i="17" s="1"/>
  <c r="R26" i="7"/>
  <c r="AB9" i="7" s="1"/>
  <c r="X10" i="7"/>
  <c r="Y10" i="7" s="1"/>
  <c r="O26" i="7"/>
  <c r="S16" i="7"/>
  <c r="Z16" i="7" s="1"/>
  <c r="H26" i="7"/>
  <c r="I26" i="7" s="1"/>
  <c r="T48" i="7"/>
  <c r="L33" i="17"/>
  <c r="Q33" i="17" s="1"/>
  <c r="S7" i="7" s="1"/>
  <c r="Z7" i="7" s="1"/>
  <c r="X14" i="7"/>
  <c r="Y14" i="7" s="1"/>
  <c r="X38" i="7"/>
  <c r="Y38" i="7" s="1"/>
  <c r="R48" i="7"/>
  <c r="AB39" i="7" s="1"/>
  <c r="S11" i="7"/>
  <c r="Z11" i="7" s="1"/>
  <c r="S9" i="7"/>
  <c r="Z9" i="7" s="1"/>
  <c r="X17" i="7"/>
  <c r="Y17" i="7" s="1"/>
  <c r="X16" i="7"/>
  <c r="Y16" i="7" s="1"/>
  <c r="S28" i="7"/>
  <c r="Z28" i="7" s="1"/>
  <c r="S8" i="7"/>
  <c r="Z8" i="7" s="1"/>
  <c r="S13" i="7"/>
  <c r="Z13" i="7" s="1"/>
  <c r="S39" i="7"/>
  <c r="Z39" i="7" s="1"/>
  <c r="N35" i="7"/>
  <c r="P35" i="7"/>
  <c r="K48" i="7"/>
  <c r="N48" i="7" s="1"/>
  <c r="S31" i="7"/>
  <c r="Z31" i="7" s="1"/>
  <c r="U48" i="7"/>
  <c r="AD35" i="7" s="1"/>
  <c r="N39" i="7"/>
  <c r="P39" i="7"/>
  <c r="X6" i="7"/>
  <c r="AE38" i="17"/>
  <c r="AJ38" i="17" s="1"/>
  <c r="S34" i="7" s="1"/>
  <c r="Z34" i="7" s="1"/>
  <c r="X31" i="7"/>
  <c r="Y31" i="7" s="1"/>
  <c r="M26" i="7"/>
  <c r="L43" i="17"/>
  <c r="Q43" i="17" s="1"/>
  <c r="S17" i="7" s="1"/>
  <c r="Z17" i="7" s="1"/>
  <c r="AE141" i="17"/>
  <c r="AJ141" i="17" s="1"/>
  <c r="S38" i="7" s="1"/>
  <c r="Z38" i="7" s="1"/>
  <c r="N19" i="7"/>
  <c r="P19" i="7"/>
  <c r="S6" i="7"/>
  <c r="W6" i="7"/>
  <c r="V26" i="7"/>
  <c r="S29" i="7"/>
  <c r="Z29" i="7" s="1"/>
  <c r="AE34" i="17"/>
  <c r="AJ34" i="17" s="1"/>
  <c r="S30" i="7" s="1"/>
  <c r="Z30" i="7" s="1"/>
  <c r="X8" i="7"/>
  <c r="Y8" i="7" s="1"/>
  <c r="S40" i="7"/>
  <c r="Z40" i="7" s="1"/>
  <c r="AE37" i="17"/>
  <c r="AJ37" i="17" s="1"/>
  <c r="S33" i="7" s="1"/>
  <c r="Z33" i="7" s="1"/>
  <c r="L41" i="17"/>
  <c r="Q41" i="17" s="1"/>
  <c r="S15" i="7" s="1"/>
  <c r="Z15" i="7" s="1"/>
  <c r="L38" i="17"/>
  <c r="Q38" i="17" s="1"/>
  <c r="S12" i="7" s="1"/>
  <c r="Z12" i="7" s="1"/>
  <c r="L40" i="17"/>
  <c r="Q40" i="17" s="1"/>
  <c r="S14" i="7" s="1"/>
  <c r="Z14" i="7" s="1"/>
  <c r="W28" i="7"/>
  <c r="V48" i="7"/>
  <c r="L26" i="7"/>
  <c r="Q26" i="7"/>
  <c r="N9" i="7"/>
  <c r="P9" i="7"/>
  <c r="Q48" i="7"/>
  <c r="I6" i="7"/>
  <c r="P40" i="7"/>
  <c r="N40" i="7"/>
  <c r="S19" i="7"/>
  <c r="Z19" i="7" s="1"/>
  <c r="AB25" i="7" l="1"/>
  <c r="AB18" i="7"/>
  <c r="AB35" i="7"/>
  <c r="AB13" i="7"/>
  <c r="AB44" i="7"/>
  <c r="AB37" i="7"/>
  <c r="AB29" i="7"/>
  <c r="AB21" i="7"/>
  <c r="AB22" i="7"/>
  <c r="AB6" i="7"/>
  <c r="AB38" i="7"/>
  <c r="AB40" i="7"/>
  <c r="AB7" i="7"/>
  <c r="AB15" i="7"/>
  <c r="AB11" i="7"/>
  <c r="AB46" i="7"/>
  <c r="AB32" i="7"/>
  <c r="AB45" i="7"/>
  <c r="AB8" i="7"/>
  <c r="AB23" i="7"/>
  <c r="P26" i="7"/>
  <c r="AB47" i="7"/>
  <c r="AB33" i="7"/>
  <c r="AB28" i="7"/>
  <c r="AB10" i="7"/>
  <c r="AB20" i="7"/>
  <c r="AB42" i="7"/>
  <c r="AB43" i="7"/>
  <c r="AB34" i="7"/>
  <c r="AB17" i="7"/>
  <c r="AB12" i="7"/>
  <c r="AB41" i="7"/>
  <c r="AB30" i="7"/>
  <c r="AB31" i="7"/>
  <c r="AB14" i="7"/>
  <c r="AB16" i="7"/>
  <c r="AB36" i="7"/>
  <c r="AB19" i="7"/>
  <c r="AB24" i="7"/>
  <c r="AA25" i="7"/>
  <c r="AC25" i="7" s="1"/>
  <c r="AA12" i="7"/>
  <c r="AA14" i="7"/>
  <c r="AA22" i="7"/>
  <c r="AC22" i="7" s="1"/>
  <c r="AA16" i="7"/>
  <c r="AC16" i="7" s="1"/>
  <c r="AA20" i="7"/>
  <c r="AC20" i="7" s="1"/>
  <c r="AA19" i="7"/>
  <c r="AC19" i="7" s="1"/>
  <c r="AA17" i="7"/>
  <c r="AA6" i="7"/>
  <c r="AA10" i="7"/>
  <c r="AC10" i="7" s="1"/>
  <c r="AA7" i="7"/>
  <c r="AA9" i="7"/>
  <c r="AC9" i="7" s="1"/>
  <c r="AA23" i="7"/>
  <c r="AC23" i="7" s="1"/>
  <c r="AA8" i="7"/>
  <c r="AC8" i="7" s="1"/>
  <c r="AA11" i="7"/>
  <c r="AA21" i="7"/>
  <c r="AC21" i="7" s="1"/>
  <c r="AA24" i="7"/>
  <c r="AC24" i="7" s="1"/>
  <c r="AA15" i="7"/>
  <c r="AA18" i="7"/>
  <c r="AC18" i="7" s="1"/>
  <c r="AA13" i="7"/>
  <c r="W26" i="7"/>
  <c r="AE6" i="7" s="1"/>
  <c r="AA39" i="7"/>
  <c r="AC39" i="7" s="1"/>
  <c r="AA40" i="7"/>
  <c r="AA36" i="7"/>
  <c r="AA43" i="7"/>
  <c r="AC43" i="7" s="1"/>
  <c r="AA30" i="7"/>
  <c r="AC30" i="7" s="1"/>
  <c r="AA34" i="7"/>
  <c r="AA47" i="7"/>
  <c r="AC47" i="7" s="1"/>
  <c r="AA45" i="7"/>
  <c r="AC45" i="7" s="1"/>
  <c r="AA44" i="7"/>
  <c r="AC44" i="7" s="1"/>
  <c r="AA42" i="7"/>
  <c r="AC42" i="7" s="1"/>
  <c r="AA32" i="7"/>
  <c r="AA37" i="7"/>
  <c r="AA35" i="7"/>
  <c r="AA41" i="7"/>
  <c r="AA38" i="7"/>
  <c r="AC38" i="7" s="1"/>
  <c r="AA46" i="7"/>
  <c r="AC46" i="7" s="1"/>
  <c r="AA31" i="7"/>
  <c r="AA33" i="7"/>
  <c r="AA28" i="7"/>
  <c r="AA29" i="7"/>
  <c r="Z6" i="7"/>
  <c r="S26" i="7"/>
  <c r="Y6" i="7"/>
  <c r="X26" i="7"/>
  <c r="P48" i="7"/>
  <c r="AD19" i="7"/>
  <c r="AD16" i="7"/>
  <c r="AD11" i="7"/>
  <c r="AD9" i="7"/>
  <c r="X48" i="7"/>
  <c r="S48" i="7"/>
  <c r="Y48" i="7"/>
  <c r="AF28" i="7" s="1"/>
  <c r="W48" i="7"/>
  <c r="AE28" i="7" s="1"/>
  <c r="Z48" i="7"/>
  <c r="AG28" i="7" s="1"/>
  <c r="AD37" i="7"/>
  <c r="AD39" i="7"/>
  <c r="AD40" i="7"/>
  <c r="AC35" i="7" l="1"/>
  <c r="AC41" i="7"/>
  <c r="AC13" i="7"/>
  <c r="AC14" i="7"/>
  <c r="AC33" i="7"/>
  <c r="AC12" i="7"/>
  <c r="AC11" i="7"/>
  <c r="AG29" i="7"/>
  <c r="AC29" i="7"/>
  <c r="AG39" i="7"/>
  <c r="AC31" i="7"/>
  <c r="AC34" i="7"/>
  <c r="AG30" i="7"/>
  <c r="AC7" i="7"/>
  <c r="AC15" i="7"/>
  <c r="AC37" i="7"/>
  <c r="AC6" i="7"/>
  <c r="AC28" i="7"/>
  <c r="AC32" i="7"/>
  <c r="AC36" i="7"/>
  <c r="AC17" i="7"/>
  <c r="AC40" i="7"/>
  <c r="AG44" i="7"/>
  <c r="AG45" i="7"/>
  <c r="AG42" i="7"/>
  <c r="AG43" i="7"/>
  <c r="AG46" i="7"/>
  <c r="AG47" i="7"/>
  <c r="AG35" i="7"/>
  <c r="AG41" i="7"/>
  <c r="AG37" i="7"/>
  <c r="AG36" i="7"/>
  <c r="AG32" i="7"/>
  <c r="Y26" i="7"/>
  <c r="AF6" i="7" s="1"/>
  <c r="Z26" i="7"/>
  <c r="AG6" i="7" s="1"/>
  <c r="AG31" i="7"/>
  <c r="AE18" i="7"/>
  <c r="AE7" i="7"/>
  <c r="AE15" i="7"/>
  <c r="AF31" i="7"/>
  <c r="AE34" i="7"/>
  <c r="AE30" i="7"/>
  <c r="AE31" i="7"/>
  <c r="AE37" i="7"/>
  <c r="AG34" i="7"/>
  <c r="AG33" i="7"/>
  <c r="AG38" i="7"/>
  <c r="AG40" i="7"/>
  <c r="AF34" i="7"/>
  <c r="AF30" i="7"/>
  <c r="AF41" i="7"/>
  <c r="AF29" i="7"/>
  <c r="AF33" i="7"/>
  <c r="AF36" i="7"/>
  <c r="AF32" i="7"/>
  <c r="AF37" i="7"/>
  <c r="AF38" i="7"/>
  <c r="AG20" i="7" l="1"/>
  <c r="AG25" i="7"/>
  <c r="AG22" i="7"/>
  <c r="AG23" i="7"/>
  <c r="AG24" i="7"/>
  <c r="AG21" i="7"/>
  <c r="AG7" i="7"/>
  <c r="AG18" i="7"/>
  <c r="AG9" i="7"/>
  <c r="AG10" i="7"/>
  <c r="AG16" i="7"/>
  <c r="AG11" i="7"/>
  <c r="AG15" i="7"/>
  <c r="AG19" i="7"/>
  <c r="AG12" i="7"/>
  <c r="AG17" i="7"/>
  <c r="AG13" i="7"/>
  <c r="AG8" i="7"/>
  <c r="AG14" i="7"/>
  <c r="AF10" i="7"/>
  <c r="AF17" i="7"/>
  <c r="AF13" i="7"/>
  <c r="AF18" i="7"/>
  <c r="AF16" i="7"/>
  <c r="AF12" i="7"/>
  <c r="AF15" i="7"/>
  <c r="AF7" i="7"/>
  <c r="AF14" i="7"/>
  <c r="AF8" i="7"/>
</calcChain>
</file>

<file path=xl/comments1.xml><?xml version="1.0" encoding="utf-8"?>
<comments xmlns="http://schemas.openxmlformats.org/spreadsheetml/2006/main">
  <authors>
    <author/>
    <author>Anon</author>
  </authors>
  <commentList>
    <comment ref="K3" authorId="0">
      <text>
        <r>
          <rPr>
            <sz val="10"/>
            <rFont val="Arial"/>
            <family val="2"/>
          </rPr>
          <t>Hint:
Use this for doubleheaders or multi-game events. It will print on stats sheets. If you use A or B it will format team names especially for A/B doubleheaders.</t>
        </r>
      </text>
    </comment>
    <comment ref="B5" authorId="0">
      <text>
        <r>
          <rPr>
            <sz val="10"/>
            <rFont val="Arial"/>
            <family val="2"/>
          </rPr>
          <t>Hint:
Enter date here in yyyy-mm-dd format, and it will be displayed on all pages.</t>
        </r>
      </text>
    </comment>
    <comment ref="B11" authorId="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8" authorId="1">
      <text>
        <r>
          <rPr>
            <sz val="9"/>
            <color indexed="81"/>
            <rFont val="Arial"/>
            <family val="2"/>
          </rPr>
          <t>Total penalties must include any Non-Skater Expulsions, too.</t>
        </r>
      </text>
    </comment>
    <comment ref="J38" authorId="1">
      <text>
        <r>
          <rPr>
            <sz val="9"/>
            <color indexed="81"/>
            <rFont val="Arial"/>
            <family val="2"/>
          </rPr>
          <t>Total penalties must include any Non-Skater Expulsions, too.</t>
        </r>
      </text>
    </comment>
  </commentList>
</comments>
</file>

<file path=xl/comments2.xml><?xml version="1.0" encoding="utf-8"?>
<comments xmlns="http://schemas.openxmlformats.org/spreadsheetml/2006/main">
  <authors>
    <author/>
    <author>S. David McKinstry</author>
  </authors>
  <commentList>
    <comment ref="A4" authorId="0">
      <text>
        <r>
          <rPr>
            <sz val="10"/>
            <rFont val="Arial"/>
            <family val="2"/>
          </rPr>
          <t>Hint:
Write in jam number as you go, and make sure to add SP for star pass lines.</t>
        </r>
      </text>
    </comment>
    <comment ref="B4" authorId="0">
      <text>
        <r>
          <rPr>
            <sz val="10"/>
            <rFont val="Arial"/>
            <family val="2"/>
          </rPr>
          <t>Hint:
Skater NUMBER, not name.</t>
        </r>
      </text>
    </comment>
    <comment ref="C4" authorId="0">
      <text>
        <r>
          <rPr>
            <sz val="10"/>
            <rFont val="Arial"/>
            <family val="2"/>
          </rPr>
          <t>Hint:
Mark with an "X" if jammer lost eligibility for lead jammer, first pass or afterward.</t>
        </r>
      </text>
    </comment>
    <comment ref="D4" authorId="0">
      <text>
        <r>
          <rPr>
            <sz val="10"/>
            <rFont val="Arial"/>
            <family val="2"/>
          </rPr>
          <t xml:space="preserve">Hint:
Use "X" rather than 1. If the jammer isn't lead,  leave blank or enter a hyphen. </t>
        </r>
      </text>
    </comment>
    <comment ref="E4" authorId="0">
      <text>
        <r>
          <rPr>
            <sz val="10"/>
            <rFont val="Arial"/>
            <family val="2"/>
          </rPr>
          <t>Hint:
Mark with "X" if when the listed jammer successfully calls off the jam before jam time runs out, legal call off or not.</t>
        </r>
      </text>
    </comment>
    <comment ref="F4" authorId="0">
      <text>
        <r>
          <rPr>
            <sz val="10"/>
            <rFont val="Arial"/>
            <family val="2"/>
          </rPr>
          <t>Hint:
Mark with an "X" if jam ended for injury to anyone.</t>
        </r>
      </text>
    </comment>
    <comment ref="G4" authorId="0">
      <text>
        <r>
          <rPr>
            <sz val="10"/>
            <rFont val="Arial"/>
            <family val="2"/>
          </rPr>
          <t>Hint:
Mark with an "X" if jammer never completed inital pass.</t>
        </r>
      </text>
    </comment>
    <comment ref="U4" authorId="1">
      <text>
        <r>
          <rPr>
            <b/>
            <sz val="9"/>
            <color indexed="81"/>
            <rFont val="Tahoma"/>
            <charset val="1"/>
          </rPr>
          <t>S. David McKinstry:</t>
        </r>
        <r>
          <rPr>
            <sz val="9"/>
            <color indexed="81"/>
            <rFont val="Tahoma"/>
            <charset val="1"/>
          </rPr>
          <t xml:space="preserve">
This is correct.  They did not field a jammer.</t>
        </r>
      </text>
    </comment>
  </commentList>
</comments>
</file>

<file path=xl/comments3.xml><?xml version="1.0" encoding="utf-8"?>
<comments xmlns="http://schemas.openxmlformats.org/spreadsheetml/2006/main">
  <authors>
    <author>Katie</author>
  </authors>
  <commentList>
    <comment ref="A4" authorId="0">
      <text>
        <r>
          <rPr>
            <sz val="9"/>
            <color indexed="81"/>
            <rFont val="Tahoma"/>
            <family val="2"/>
          </rPr>
          <t>Tip:
Write in jam number as you go. For Star Passes,  write SP on next line and rewrite the lineup with Jammer and Pivot swapped.</t>
        </r>
      </text>
    </comment>
    <comment ref="B4" authorId="0">
      <text>
        <r>
          <rPr>
            <sz val="9"/>
            <color indexed="81"/>
            <rFont val="Tahoma"/>
            <family val="2"/>
          </rPr>
          <t>Put an "X" in this box if the team did not field a pivot for this jam.</t>
        </r>
      </text>
    </comment>
    <comment ref="C4" authorId="0">
      <text>
        <r>
          <rPr>
            <sz val="9"/>
            <color indexed="81"/>
            <rFont val="Tahoma"/>
            <family val="2"/>
          </rPr>
          <t>Jammer numbers arrive here from the Score sheet. Make any corrections on the Score sheet.  Always double check your jams played on the "Bout Summary" page when done.</t>
        </r>
      </text>
    </comment>
    <comment ref="W4" authorId="0">
      <text>
        <r>
          <rPr>
            <sz val="9"/>
            <color indexed="81"/>
            <rFont val="Tahoma"/>
            <family val="2"/>
          </rPr>
          <t>This column exists to allow blocker/pivot +/- data to be calculated</t>
        </r>
      </text>
    </comment>
    <comment ref="AW4" authorId="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authors>
    <author/>
  </authors>
  <commentList>
    <comment ref="AA4" authorId="0">
      <text>
        <r>
          <rPr>
            <sz val="10"/>
            <rFont val="Arial"/>
            <family val="2"/>
          </rPr>
          <t>VTAR: "Versus Team Average Rating"
Skater's stats as compared to their team's average in that category</t>
        </r>
      </text>
    </comment>
    <comment ref="AD5" authorId="0">
      <text>
        <r>
          <rPr>
            <sz val="10"/>
            <rFont val="Arial"/>
            <family val="2"/>
          </rPr>
          <t>Hint:
Performance in comparison to team's other jammers</t>
        </r>
      </text>
    </comment>
    <comment ref="AE5" authorId="0">
      <text>
        <r>
          <rPr>
            <sz val="10"/>
            <rFont val="Arial"/>
            <family val="2"/>
          </rPr>
          <t>Hint:
Performance in comparison to team's other pivots</t>
        </r>
      </text>
    </comment>
    <comment ref="AF5" authorId="0">
      <text>
        <r>
          <rPr>
            <sz val="10"/>
            <rFont val="Arial"/>
            <family val="2"/>
          </rPr>
          <t>Hint:
Performance in comparison to team's other blockers</t>
        </r>
      </text>
    </comment>
    <comment ref="AL5" authorId="0">
      <text>
        <r>
          <rPr>
            <sz val="10"/>
            <rFont val="Arial"/>
            <family val="2"/>
          </rPr>
          <t>Hint:
Block clears or defends a path for the jammer, one per opponent affected</t>
        </r>
      </text>
    </comment>
    <comment ref="AM5" authorId="0">
      <text>
        <r>
          <rPr>
            <sz val="10"/>
            <rFont val="Arial"/>
            <family val="2"/>
          </rPr>
          <t>Hint:
Knockdown clears or defends a path for the jammer, one per opponent affected</t>
        </r>
      </text>
    </comment>
    <comment ref="AN5" authorId="0">
      <text>
        <r>
          <rPr>
            <sz val="10"/>
            <rFont val="Arial"/>
            <family val="2"/>
          </rPr>
          <t>Hint:
One for each opponent passed</t>
        </r>
      </text>
    </comment>
    <comment ref="AO5" authorId="0">
      <text>
        <r>
          <rPr>
            <sz val="10"/>
            <rFont val="Arial"/>
            <family val="2"/>
          </rPr>
          <t>Hint:
One for each opponent passed</t>
        </r>
      </text>
    </comment>
    <comment ref="AP5" authorId="0">
      <text>
        <r>
          <rPr>
            <sz val="10"/>
            <rFont val="Arial"/>
            <family val="2"/>
          </rPr>
          <t>Hint:
One for each opponent passed</t>
        </r>
      </text>
    </comment>
    <comment ref="AR5" authorId="0">
      <text>
        <r>
          <rPr>
            <sz val="10"/>
            <rFont val="Arial"/>
            <family val="2"/>
          </rPr>
          <t>Hint:
Positional blocked jammer for 1/4 track or more</t>
        </r>
      </text>
    </comment>
    <comment ref="AS5" authorId="0">
      <text>
        <r>
          <rPr>
            <sz val="10"/>
            <rFont val="Arial"/>
            <family val="2"/>
          </rPr>
          <t>Hint:
Lean Jammer back in pack/out of position</t>
        </r>
      </text>
    </comment>
    <comment ref="AT5" authorId="0">
      <text>
        <r>
          <rPr>
            <sz val="10"/>
            <rFont val="Arial"/>
            <family val="2"/>
          </rPr>
          <t>Hint:
JAMMER HIT - Stops forward progress, knocks back in pack or out</t>
        </r>
      </text>
    </comment>
    <comment ref="AV5" authorId="0">
      <text>
        <r>
          <rPr>
            <sz val="10"/>
            <rFont val="Arial"/>
            <family val="2"/>
          </rPr>
          <t>Hint:
Helping a teammate into the jammer resulting in Defensive Manuever</t>
        </r>
      </text>
    </comment>
    <comment ref="BA5" authorId="0">
      <text>
        <r>
          <rPr>
            <sz val="10"/>
            <rFont val="Arial"/>
            <family val="2"/>
          </rPr>
          <t>Hint:
This skater's percentage of the entire team's assists.</t>
        </r>
      </text>
    </comment>
    <comment ref="BC5" authorId="0">
      <text>
        <r>
          <rPr>
            <sz val="10"/>
            <rFont val="Arial"/>
            <family val="2"/>
          </rPr>
          <t>Hint:
This skater's percentage of the entire team's attacks.</t>
        </r>
      </text>
    </comment>
    <comment ref="BF5" authorId="0">
      <text>
        <r>
          <rPr>
            <sz val="10"/>
            <rFont val="Arial"/>
            <family val="2"/>
          </rPr>
          <t>Hint:
Blocker faked out by opposing jammer.</t>
        </r>
      </text>
    </comment>
    <comment ref="BG5" authorId="0">
      <text>
        <r>
          <rPr>
            <sz val="10"/>
            <rFont val="Arial"/>
            <family val="2"/>
          </rPr>
          <t>Hint:
When a skater misses a Hit on Jammer (no juke)</t>
        </r>
      </text>
    </comment>
    <comment ref="BH5" authorId="0">
      <text>
        <r>
          <rPr>
            <sz val="10"/>
            <rFont val="Arial"/>
            <family val="2"/>
          </rPr>
          <t>Hint:
INEFFECTIVE HIT - Hit lands, but does not result in Hit on Jammer, ForceOut or Jammer Knockdown</t>
        </r>
      </text>
    </comment>
    <comment ref="BI5" authorId="0">
      <text>
        <r>
          <rPr>
            <sz val="10"/>
            <rFont val="Arial"/>
            <family val="2"/>
          </rPr>
          <t>Hint:
Skater lands hit (may be ineffective) but falls as a result</t>
        </r>
      </text>
    </comment>
    <comment ref="BJ5" authorId="0">
      <text>
        <r>
          <rPr>
            <sz val="10"/>
            <rFont val="Arial"/>
            <family val="2"/>
          </rPr>
          <t>Hint:
Skater is knocked down (off or def)</t>
        </r>
      </text>
    </comment>
    <comment ref="BO5" authorId="0">
      <text>
        <r>
          <rPr>
            <sz val="10"/>
            <rFont val="Arial"/>
            <family val="2"/>
          </rPr>
          <t>Hint:
Offensive Blocker Assist (by jammer)</t>
        </r>
      </text>
    </comment>
    <comment ref="BP5" authorId="0">
      <text>
        <r>
          <rPr>
            <sz val="10"/>
            <rFont val="Arial"/>
            <family val="2"/>
          </rPr>
          <t>Hint:
Jammer fakes out an opposing blocker.</t>
        </r>
      </text>
    </comment>
    <comment ref="BQ5" authorId="0">
      <text>
        <r>
          <rPr>
            <sz val="10"/>
            <rFont val="Arial"/>
            <family val="2"/>
          </rPr>
          <t>Hint:
Jammer jumps past skater or cross track</t>
        </r>
      </text>
    </comment>
    <comment ref="BR5" authorId="0">
      <text>
        <r>
          <rPr>
            <sz val="10"/>
            <rFont val="Arial"/>
            <family val="2"/>
          </rPr>
          <t>Hint:
Roll off of opposing blocker</t>
        </r>
      </text>
    </comment>
    <comment ref="BS5" authorId="0">
      <text>
        <r>
          <rPr>
            <sz val="10"/>
            <rFont val="Arial"/>
            <family val="2"/>
          </rPr>
          <t>Hint:
Jammer assists herself with a hip whip/belt whip</t>
        </r>
      </text>
    </comment>
  </commentList>
</comments>
</file>

<file path=xl/comments5.xml><?xml version="1.0" encoding="utf-8"?>
<comments xmlns="http://schemas.openxmlformats.org/spreadsheetml/2006/main">
  <authors>
    <author/>
    <author>Anon</author>
  </authors>
  <commentList>
    <comment ref="X3" authorId="0">
      <text>
        <r>
          <rPr>
            <sz val="10"/>
            <rFont val="Arial"/>
            <family val="2"/>
          </rPr>
          <t>Hint:
Smaller is better</t>
        </r>
      </text>
    </comment>
    <comment ref="V25" authorId="1">
      <text>
        <r>
          <rPr>
            <sz val="9"/>
            <color indexed="81"/>
            <rFont val="Arial"/>
            <family val="2"/>
          </rPr>
          <t xml:space="preserve">This total includes bench staff expulsions.
</t>
        </r>
      </text>
    </comment>
    <comment ref="V27" authorId="1">
      <text>
        <r>
          <rPr>
            <sz val="9"/>
            <color indexed="81"/>
            <rFont val="Arial"/>
            <family val="2"/>
          </rPr>
          <t>This total includes bench staff expulsions.</t>
        </r>
      </text>
    </comment>
    <comment ref="X32" authorId="0">
      <text>
        <r>
          <rPr>
            <sz val="10"/>
            <rFont val="Arial"/>
            <family val="2"/>
          </rPr>
          <t>Hint:
Smaller is better</t>
        </r>
      </text>
    </comment>
  </commentList>
</comments>
</file>

<file path=xl/sharedStrings.xml><?xml version="1.0" encoding="utf-8"?>
<sst xmlns="http://schemas.openxmlformats.org/spreadsheetml/2006/main" count="3476" uniqueCount="763">
  <si>
    <t>Pass 9</t>
    <phoneticPr fontId="8" type="noConversion"/>
  </si>
  <si>
    <t>Pass 10</t>
    <phoneticPr fontId="8" type="noConversion"/>
  </si>
  <si>
    <t>(Jammer numbers are populated from Score; double-check them.)</t>
    <phoneticPr fontId="8" type="noConversion"/>
  </si>
  <si>
    <t>Pos</t>
  </si>
  <si>
    <t>In</t>
  </si>
  <si>
    <t>Stand</t>
  </si>
  <si>
    <t>Done</t>
  </si>
  <si>
    <t>Stopwatch at End of Jam</t>
  </si>
  <si>
    <t>Jam #</t>
  </si>
  <si>
    <t>Penalty Codes</t>
  </si>
  <si>
    <t>Blocking to the Back</t>
  </si>
  <si>
    <t>Block with the Head</t>
  </si>
  <si>
    <t>Cutting the Track</t>
  </si>
  <si>
    <t>Forearms / Hands</t>
  </si>
  <si>
    <t>Multi-Player Block</t>
  </si>
  <si>
    <t>Out of Bounds Blocking</t>
  </si>
  <si>
    <t>Skating out of Bounds</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</si>
  <si>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</si>
  <si>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</si>
  <si>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</si>
  <si>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</si>
  <si>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</si>
  <si>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</si>
  <si>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</si>
  <si>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</si>
  <si>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</si>
  <si>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</si>
  <si>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</si>
  <si>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</si>
  <si>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</si>
  <si>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</si>
  <si>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</si>
  <si>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</si>
  <si>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</si>
  <si>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</si>
  <si>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</si>
  <si>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</si>
  <si>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</si>
  <si>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</si>
  <si>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</si>
  <si>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</si>
  <si>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</si>
  <si>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</si>
  <si>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</si>
  <si>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</si>
  <si>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</si>
  <si>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</si>
  <si>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</si>
  <si>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</si>
  <si>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</si>
  <si>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</si>
  <si>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</si>
  <si>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</si>
  <si>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</si>
  <si>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</si>
  <si>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</si>
  <si>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</si>
  <si>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</si>
  <si>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</si>
  <si>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</si>
  <si>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</si>
  <si>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</si>
  <si>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</si>
  <si>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</si>
  <si>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</si>
  <si>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</si>
  <si>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</si>
  <si>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t xml:space="preserve">Other EVENTs: </t>
  </si>
  <si>
    <t>Team</t>
  </si>
  <si>
    <t>Forearms &amp; Hands</t>
  </si>
  <si>
    <t>Block w/ Head</t>
  </si>
  <si>
    <t>OOB Blocking</t>
  </si>
  <si>
    <t>Direction of Gameplay</t>
  </si>
  <si>
    <t>Skating OOB</t>
  </si>
  <si>
    <t>Illegal Procedure</t>
  </si>
  <si>
    <t>Insubordination</t>
  </si>
  <si>
    <t xml:space="preserve">TOTAL </t>
  </si>
  <si>
    <t>Jams Skated</t>
  </si>
  <si>
    <t>Total Expulsions</t>
  </si>
  <si>
    <t>… vs opponent:</t>
  </si>
  <si>
    <t>1/4 TRACK
JAMMER BLOCK</t>
  </si>
  <si>
    <t>JAMMER
FORCE-OUT</t>
  </si>
  <si>
    <t>HIT ON JAMMER</t>
  </si>
  <si>
    <t>JAMMER KNOCKDOWN</t>
  </si>
  <si>
    <t>BLOCK ASSIST</t>
  </si>
  <si>
    <t>OFFENSIVE BLOCK</t>
  </si>
  <si>
    <t>OFFENSIVE KNOCKDOWN</t>
  </si>
  <si>
    <t>BULLDOZER</t>
  </si>
  <si>
    <t>INEFFECTIVE HIT</t>
  </si>
  <si>
    <t>HIT AND FALL</t>
  </si>
  <si>
    <t>KNOCKED DOWN</t>
  </si>
  <si>
    <t>OFF BLK ASSIST</t>
  </si>
  <si>
    <t>W F T D A    R E Q U I R E D    S T A N D A R D I Z E D   S T A T S</t>
  </si>
  <si>
    <t>W F T D A    E X T R A    C R E D I T   S T A T S</t>
  </si>
  <si>
    <t>ROSTERS</t>
  </si>
  <si>
    <t>JAMS PLAYED</t>
  </si>
  <si>
    <t>POINTS</t>
  </si>
  <si>
    <t>LEAD JAMMER</t>
  </si>
  <si>
    <t>POINTS FOR/AGAINST &amp; PLUS/MINUS</t>
  </si>
  <si>
    <t>V.T.A.R.</t>
  </si>
  <si>
    <t>PENALTIES</t>
  </si>
  <si>
    <t>PER JAM &amp; PERCENTAGE</t>
  </si>
  <si>
    <t>ERRORS</t>
  </si>
  <si>
    <t>JAMMER ACTIONS</t>
  </si>
  <si>
    <t>JAMMER</t>
  </si>
  <si>
    <t>PIVOT</t>
  </si>
  <si>
    <t>BLOCKER</t>
  </si>
  <si>
    <t>TOTAL</t>
  </si>
  <si>
    <t>%  JAMS SKATED</t>
  </si>
  <si>
    <t>PPJ</t>
  </si>
  <si>
    <t>CALLED</t>
  </si>
  <si>
    <t>NO  PASS</t>
  </si>
  <si>
    <t>LEAD %</t>
  </si>
  <si>
    <t>LEAD +/-</t>
  </si>
  <si>
    <t>AVERAGE LEAD +/-</t>
  </si>
  <si>
    <t>PTS  FOR</t>
  </si>
  <si>
    <t>PTS AGAINST</t>
  </si>
  <si>
    <t>TOTAL +/-</t>
  </si>
  <si>
    <t>JAMMER +/-</t>
  </si>
  <si>
    <t>AVERAGE JAMMER +/-</t>
  </si>
  <si>
    <t>PIVOT +/-</t>
  </si>
  <si>
    <t>AVERAGE PIVOT +/-</t>
  </si>
  <si>
    <t>BLOCK +/-</t>
  </si>
  <si>
    <t>AVERAGE BLOCKER +/-</t>
  </si>
  <si>
    <t>AVG +/-</t>
  </si>
  <si>
    <t>VTAR      PTS FOR</t>
  </si>
  <si>
    <t>VTAR  PTS AGAINST</t>
  </si>
  <si>
    <t>VTAR  TOTAL +/-</t>
  </si>
  <si>
    <t>VTAR JAMMER AVG +/-</t>
  </si>
  <si>
    <t>VTAR PIVOT AVG +/-</t>
  </si>
  <si>
    <t>VTAR BLOCKER AVG +/-</t>
  </si>
  <si>
    <t>TOTAL VTAR AVG +/-</t>
  </si>
  <si>
    <t>OFF.  BLK</t>
  </si>
  <si>
    <t>OFF.  KD</t>
  </si>
  <si>
    <t>WHIP</t>
  </si>
  <si>
    <t>PUSH</t>
  </si>
  <si>
    <t>DOZER</t>
  </si>
  <si>
    <t>ASSISTS</t>
  </si>
  <si>
    <t>1/4 TRACK</t>
  </si>
  <si>
    <t>FORCEOUT</t>
  </si>
  <si>
    <t>JAMMER HIT</t>
  </si>
  <si>
    <t>Jammer KD</t>
  </si>
  <si>
    <t>Block Assist</t>
  </si>
  <si>
    <t>ATTACKS</t>
  </si>
  <si>
    <t>KD's</t>
  </si>
  <si>
    <t>ASST/JAM</t>
  </si>
  <si>
    <t>ASSIST %</t>
  </si>
  <si>
    <t>ATT/JAM</t>
  </si>
  <si>
    <t>ATTACK %</t>
  </si>
  <si>
    <t>Action/Jam</t>
  </si>
  <si>
    <t>ACTION %</t>
  </si>
  <si>
    <t>JUKED</t>
  </si>
  <si>
    <t>MISSED HIT</t>
  </si>
  <si>
    <t>INEFFECTIVE</t>
  </si>
  <si>
    <t>HIT &amp; FALL</t>
  </si>
  <si>
    <t>KNOCKED DN</t>
  </si>
  <si>
    <t>HITTING ACCURACY</t>
  </si>
  <si>
    <t>EFFECTIVE HITTING</t>
  </si>
  <si>
    <t>EFFECTIVE BLOCKING</t>
  </si>
  <si>
    <t>O.B.A.</t>
  </si>
  <si>
    <t>JUKE</t>
  </si>
  <si>
    <t>JUMP</t>
  </si>
  <si>
    <t>ROLLOFF</t>
  </si>
  <si>
    <t>HIP WHIP</t>
  </si>
  <si>
    <t>TEAM SUMMARIES</t>
  </si>
  <si>
    <t>N/A</t>
  </si>
  <si>
    <t>VTAR       AVG +/-</t>
  </si>
  <si>
    <t>JAMMER KD</t>
  </si>
  <si>
    <t>AST/JAM</t>
  </si>
  <si>
    <t>NO IMPACT</t>
  </si>
  <si>
    <t>P E N A L T I E S   S U M M A R Y</t>
  </si>
  <si>
    <t>EXTRAPOLATED</t>
  </si>
  <si>
    <t>SKATER</t>
  </si>
  <si>
    <t>Misconduct</t>
  </si>
  <si>
    <t>Team:</t>
  </si>
  <si>
    <t>Pivot</t>
  </si>
  <si>
    <t>Blocker</t>
  </si>
  <si>
    <t>Jammer</t>
  </si>
  <si>
    <t>Game Date:</t>
  </si>
  <si>
    <t>Pass 5</t>
  </si>
  <si>
    <t>Pass 6</t>
  </si>
  <si>
    <t>Pass 7</t>
  </si>
  <si>
    <t>Pass 8</t>
  </si>
  <si>
    <t>Jam Total</t>
  </si>
  <si>
    <t>Game Total</t>
  </si>
  <si>
    <t>Passes</t>
  </si>
  <si>
    <t>PERIOD TOTALS</t>
  </si>
  <si>
    <t>#</t>
  </si>
  <si>
    <t>FO/EXP</t>
  </si>
  <si>
    <t>B</t>
  </si>
  <si>
    <t>Back Block</t>
  </si>
  <si>
    <t>H</t>
  </si>
  <si>
    <t>Blk w/ Head</t>
  </si>
  <si>
    <t>X</t>
  </si>
  <si>
    <t>Cut Track</t>
  </si>
  <si>
    <t>C</t>
  </si>
  <si>
    <t>Dir of Play</t>
  </si>
  <si>
    <t>E</t>
  </si>
  <si>
    <t>Elbows</t>
  </si>
  <si>
    <t>F</t>
  </si>
  <si>
    <t>Forearms</t>
  </si>
  <si>
    <t>A</t>
  </si>
  <si>
    <t>High Block</t>
  </si>
  <si>
    <t>I</t>
  </si>
  <si>
    <t>L</t>
  </si>
  <si>
    <t>Low Block</t>
  </si>
  <si>
    <t>M</t>
  </si>
  <si>
    <t>Multi-Player</t>
  </si>
  <si>
    <t>O</t>
  </si>
  <si>
    <t>OOB Block</t>
  </si>
  <si>
    <t>P</t>
  </si>
  <si>
    <t>Out of Play</t>
  </si>
  <si>
    <t>S</t>
  </si>
  <si>
    <t>Skate OOB</t>
  </si>
  <si>
    <t>Expulsion</t>
  </si>
  <si>
    <t>N</t>
  </si>
  <si>
    <t>Insubord'n</t>
  </si>
  <si>
    <t>G</t>
  </si>
  <si>
    <t>(Gross)</t>
  </si>
  <si>
    <t>Please do not abbreviate your league or team when naming documents for sanctioning.</t>
  </si>
  <si>
    <t>Location:</t>
  </si>
  <si>
    <t>VENUE NAME</t>
  </si>
  <si>
    <t>CITY</t>
  </si>
  <si>
    <t>ST/PRV</t>
  </si>
  <si>
    <t>Date:</t>
  </si>
  <si>
    <t>Start Time:</t>
  </si>
  <si>
    <t>End Time:</t>
  </si>
  <si>
    <t>H O M E    T E A M</t>
  </si>
  <si>
    <t>V I S I T I N G    T E A M</t>
  </si>
  <si>
    <t>LEAGUE</t>
  </si>
  <si>
    <t>TEAM</t>
  </si>
  <si>
    <t># of players</t>
  </si>
  <si>
    <t>Skater #</t>
  </si>
  <si>
    <t>Skater Name</t>
  </si>
  <si>
    <t>Referee Name</t>
  </si>
  <si>
    <t>Position</t>
  </si>
  <si>
    <t>League</t>
  </si>
  <si>
    <t>Cert.</t>
  </si>
  <si>
    <t>HOME TEAM</t>
  </si>
  <si>
    <t>VISITING TEAM</t>
  </si>
  <si>
    <t>Period 1</t>
  </si>
  <si>
    <t>Points</t>
  </si>
  <si>
    <t>Period 2</t>
  </si>
  <si>
    <t>PENALTIES:</t>
  </si>
  <si>
    <t>TOTAL POINTS:</t>
  </si>
  <si>
    <t>Expulsion/suspension notes:</t>
  </si>
  <si>
    <t>Home Team Captain</t>
  </si>
  <si>
    <t>Visiting Team Captain</t>
  </si>
  <si>
    <t>Skate Name:</t>
  </si>
  <si>
    <t>Legal Name:</t>
  </si>
  <si>
    <t xml:space="preserve">Signature: </t>
  </si>
  <si>
    <t>Head Referee</t>
  </si>
  <si>
    <t>Head NSO/Scorekeeper</t>
  </si>
  <si>
    <t>LIST OF NON-SKATING OFFICIALS/STAT TRACKERS</t>
  </si>
  <si>
    <t>Official/Tracker's Name</t>
  </si>
  <si>
    <t>Non-Skating Official Position</t>
  </si>
  <si>
    <t>Certification</t>
  </si>
  <si>
    <t>JAM</t>
  </si>
  <si>
    <t>Jammer's Number</t>
  </si>
  <si>
    <t>LOST</t>
  </si>
  <si>
    <t>LEAD</t>
  </si>
  <si>
    <t>CALL</t>
  </si>
  <si>
    <t>INJ.</t>
  </si>
  <si>
    <t>NP</t>
  </si>
  <si>
    <t>Pass 2</t>
  </si>
  <si>
    <t xml:space="preserve"> Pass 3</t>
  </si>
  <si>
    <t>Pass 4</t>
  </si>
  <si>
    <t>2.</t>
  </si>
  <si>
    <t>Score</t>
  </si>
  <si>
    <t>(four sheets, two for each team)</t>
  </si>
  <si>
    <t>3.</t>
  </si>
  <si>
    <t>Penalties</t>
  </si>
  <si>
    <t>4.</t>
  </si>
  <si>
    <t>Lineup</t>
  </si>
  <si>
    <t>5.</t>
  </si>
  <si>
    <t>Expulsion-</t>
  </si>
  <si>
    <t>Suspension form</t>
  </si>
  <si>
    <t>Actions</t>
  </si>
  <si>
    <t>(four sheets, opposite teams covered)</t>
  </si>
  <si>
    <t>Errors</t>
  </si>
  <si>
    <t>(two sheets, opposite teams covered)</t>
  </si>
  <si>
    <t>Score P.1 &amp; 2</t>
  </si>
  <si>
    <t>Penalties P.1 &amp; 2</t>
  </si>
  <si>
    <t>Lineup P.1 &amp; 2</t>
  </si>
  <si>
    <t>Actions P.1 &amp; 2 (if used)</t>
  </si>
  <si>
    <t>6.</t>
  </si>
  <si>
    <t>Errors P.1 &amp; 2 (if used)</t>
  </si>
  <si>
    <t>*NOTE: THERE ARE INSTRUCTIONAL COMMENTS IN CELLS &amp; AT THE BOTTOM OF EACH SHEET*</t>
  </si>
  <si>
    <t>Tabs in Aqua are not required but when filled out will complete the Game Summary tab and provide more detailed stats information.</t>
  </si>
  <si>
    <t>Women's Flat Track Derby Association</t>
  </si>
  <si>
    <t>Instructions</t>
  </si>
  <si>
    <t>Naming Convention</t>
  </si>
  <si>
    <t>Workbook Instructions</t>
  </si>
  <si>
    <t>1.</t>
  </si>
  <si>
    <t>Note: The directions on what pages to print are not needed if you use Excel or viewer to print.</t>
  </si>
  <si>
    <t>Period</t>
  </si>
  <si>
    <t xml:space="preserve">usage; otherwise the forms will print out as "Home Team vs Away Team" with no dates (so the </t>
  </si>
  <si>
    <t>sheets may be used for scrimmages).</t>
  </si>
  <si>
    <t>FO/Expel</t>
  </si>
  <si>
    <t>For any empty spots in either roster, input "-" in Skater # and Skater Name columns.</t>
  </si>
  <si>
    <t xml:space="preserve">Fill out the Roster, in order (0-9, a-z) before printing sheets. It will populate the entire workbook. </t>
  </si>
  <si>
    <t>Official Reviews</t>
  </si>
  <si>
    <t>Details:</t>
  </si>
  <si>
    <t>Time:</t>
  </si>
  <si>
    <t>Jam:</t>
  </si>
  <si>
    <t>Result:</t>
  </si>
  <si>
    <t>(one sheet, two pages)</t>
  </si>
  <si>
    <t>PENALTY / JAM #</t>
  </si>
  <si>
    <t>Codes</t>
  </si>
  <si>
    <t>Delay of</t>
  </si>
  <si>
    <t>Game</t>
  </si>
  <si>
    <t xml:space="preserve"> </t>
  </si>
  <si>
    <t>Delay of Game</t>
  </si>
  <si>
    <t>Z</t>
  </si>
  <si>
    <t>PENALTY / Jam #: Enter codes for penalties in the upper row and jam # in the lower row for each skater.</t>
  </si>
  <si>
    <t>(two sheets, one for each period)</t>
  </si>
  <si>
    <t>NOTT</t>
  </si>
  <si>
    <t>Lap Points</t>
  </si>
  <si>
    <t>NOTT B</t>
  </si>
  <si>
    <t>NOTT J</t>
  </si>
  <si>
    <t>NOTT N</t>
  </si>
  <si>
    <t>NOTT O</t>
  </si>
  <si>
    <t>NOTT NOTT</t>
  </si>
  <si>
    <t/>
  </si>
  <si>
    <t>Pass 9</t>
  </si>
  <si>
    <t>Pass 10</t>
  </si>
  <si>
    <t>JAM: Write in jam number starting from 1.  If there is a star pass move to the next line and indicate with SP in the Jam # column.</t>
  </si>
  <si>
    <t>LEAD TRACKING: Lost = When a jammer loses the ability to become lead jammer or loses lead jammer status itself. Do not check this box if the jammer is eligible but the opposing jammer is assigned lead jammer status first.</t>
  </si>
  <si>
    <t>Lead = Lead Jammer.     Call = Called Jam, when the listed jammer successfully calls off the jam before jam time runs out.  This is checked whether or not the jam was called legally.</t>
  </si>
  <si>
    <t>INJ = Called For Injury before the natural end of the jam.           NP = First pass is not completed by the end of the jam (No Pass).      ALL of the Lead and Call categories should be marked with an X.</t>
  </si>
  <si>
    <t>NOTT CODES:        B - Blocker in the Box,   J - Jammer in the Box,   L - jammer Lap point,   O - Out of play point(s) awarded,   N - Not on the track</t>
  </si>
  <si>
    <t xml:space="preserve">Suspension Recommended: </t>
  </si>
  <si>
    <t>Comments:</t>
  </si>
  <si>
    <t>NOTES</t>
  </si>
  <si>
    <t>(two sheets, for use by Period Timer)</t>
  </si>
  <si>
    <t>TOTAL PENALTIES FOR PERIOD:</t>
  </si>
  <si>
    <t>All data should be entered on the pink tabs, whether or not you use the Blue "Print Only" tabs.</t>
  </si>
  <si>
    <t>Tabs in Grey can be printed out and shared with coaches and skaters. Definitions of the stats are noted in the comments of the cells on these worksheets to help skaters and coaches understand their statistics.</t>
  </si>
  <si>
    <t>TOTAL: At the end of each period, add the number of penalties for each skater for that period and put it in the "TOTAL" column.</t>
  </si>
  <si>
    <t xml:space="preserve">CARRY OVER: Before period 2, transfer the penalties from period 1 by shading in the equivalent number of boxes. </t>
  </si>
  <si>
    <t>Scorekeeper</t>
  </si>
  <si>
    <t>Penalty Tracker</t>
  </si>
  <si>
    <t>Lineup Tracker</t>
  </si>
  <si>
    <t>Team Roster</t>
  </si>
  <si>
    <t>Jammer Ref / Color</t>
  </si>
  <si>
    <t>Penalty Box Timer</t>
  </si>
  <si>
    <t>Period Timer</t>
  </si>
  <si>
    <t>VTAR PTS FOR</t>
  </si>
  <si>
    <t>Action Tracker</t>
  </si>
  <si>
    <t>Following Jammer from</t>
  </si>
  <si>
    <t>Error Tracker</t>
  </si>
  <si>
    <t>Color</t>
  </si>
  <si>
    <t>noPivot</t>
  </si>
  <si>
    <r>
      <t>INJ</t>
    </r>
    <r>
      <rPr>
        <sz val="10"/>
        <rFont val="Calibri"/>
        <family val="2"/>
        <scheme val="minor"/>
      </rPr>
      <t xml:space="preserve"> = Called For Injury before the natural end of the jam.           </t>
    </r>
    <r>
      <rPr>
        <b/>
        <sz val="10"/>
        <rFont val="Calibri"/>
        <family val="2"/>
        <scheme val="minor"/>
      </rPr>
      <t>NP</t>
    </r>
    <r>
      <rPr>
        <sz val="10"/>
        <rFont val="Calibri"/>
        <family val="2"/>
        <scheme val="minor"/>
      </rPr>
      <t xml:space="preserve"> = First pass is not completed by the end of the jam (No Pass).     </t>
    </r>
  </si>
  <si>
    <t>Jammer Ref</t>
  </si>
  <si>
    <t>Date</t>
  </si>
  <si>
    <r>
      <t>BEST PRACTICE</t>
    </r>
    <r>
      <rPr>
        <sz val="8"/>
        <rFont val="Calibri"/>
        <family val="2"/>
        <scheme val="minor"/>
      </rPr>
      <t>:  Focus on the Offensive team's jammer and be aware of what stops her and helps her through, especially holes opened up in front of her.</t>
    </r>
  </si>
  <si>
    <r>
      <t>1/4 TRACK</t>
    </r>
    <r>
      <rPr>
        <sz val="8"/>
        <rFont val="Calibri"/>
        <family val="2"/>
        <scheme val="minor"/>
      </rPr>
      <t xml:space="preserve"> - Positional blocking/cumulative. </t>
    </r>
    <r>
      <rPr>
        <b/>
        <sz val="8"/>
        <rFont val="Calibri"/>
        <family val="2"/>
        <scheme val="minor"/>
      </rPr>
      <t>FORCEOUT</t>
    </r>
    <r>
      <rPr>
        <sz val="8"/>
        <rFont val="Calibri"/>
        <family val="2"/>
        <scheme val="minor"/>
      </rPr>
      <t xml:space="preserve"> - Lean Jammer back in pack/out of position. </t>
    </r>
    <r>
      <rPr>
        <b/>
        <sz val="8"/>
        <rFont val="Calibri"/>
        <family val="2"/>
        <scheme val="minor"/>
      </rPr>
      <t>JAMMER HIT</t>
    </r>
    <r>
      <rPr>
        <sz val="8"/>
        <rFont val="Calibri"/>
        <family val="2"/>
        <scheme val="minor"/>
      </rPr>
      <t xml:space="preserve"> - Stops forward progress, knocks back in pack or out</t>
    </r>
  </si>
  <si>
    <r>
      <t>BLOCK ASSIST</t>
    </r>
    <r>
      <rPr>
        <sz val="8"/>
        <rFont val="Calibri"/>
        <family val="2"/>
        <scheme val="minor"/>
      </rPr>
      <t xml:space="preserve"> - Helping a teammate get Force-Out, Jammer Hit, or Knockdown.</t>
    </r>
    <r>
      <rPr>
        <b/>
        <sz val="8"/>
        <rFont val="Calibri"/>
        <family val="2"/>
        <scheme val="minor"/>
      </rPr>
      <t xml:space="preserve"> KNOCKDOWN </t>
    </r>
    <r>
      <rPr>
        <sz val="8"/>
        <rFont val="Calibri"/>
        <family val="2"/>
        <scheme val="minor"/>
      </rPr>
      <t>- Hit knocks jammer to the ground (at least 1 knee)</t>
    </r>
  </si>
  <si>
    <r>
      <t>WHIP, PUSH, BULLDOZER</t>
    </r>
    <r>
      <rPr>
        <sz val="8"/>
        <rFont val="Calibri"/>
        <family val="2"/>
        <scheme val="minor"/>
      </rPr>
      <t xml:space="preserve"> - one for each opponent passed. </t>
    </r>
    <r>
      <rPr>
        <b/>
        <sz val="8"/>
        <rFont val="Calibri"/>
        <family val="2"/>
        <scheme val="minor"/>
      </rPr>
      <t>OFFENSIVE BLOCK/KNOCKDOWN</t>
    </r>
    <r>
      <rPr>
        <sz val="8"/>
        <rFont val="Calibri"/>
        <family val="2"/>
        <scheme val="minor"/>
      </rPr>
      <t xml:space="preserve"> - Clears or defends a path for the jammer, one per opponent. </t>
    </r>
  </si>
  <si>
    <r>
      <t>JUKED</t>
    </r>
    <r>
      <rPr>
        <sz val="8"/>
        <rFont val="Calibri"/>
        <family val="2"/>
        <scheme val="minor"/>
      </rPr>
      <t xml:space="preserve"> - Skater is faked out by the Jammer, causing them to lose positional advantage or miss a hit. </t>
    </r>
    <r>
      <rPr>
        <b/>
        <sz val="8"/>
        <rFont val="Calibri"/>
        <family val="2"/>
        <scheme val="minor"/>
      </rPr>
      <t>MISSED HIT</t>
    </r>
    <r>
      <rPr>
        <sz val="8"/>
        <rFont val="Calibri"/>
        <family val="2"/>
        <scheme val="minor"/>
      </rPr>
      <t xml:space="preserve"> - When a skater misses a Hit on Jammer (no juke)</t>
    </r>
  </si>
  <si>
    <r>
      <t>INEFFECTIVE HIT</t>
    </r>
    <r>
      <rPr>
        <sz val="8"/>
        <rFont val="Calibri"/>
        <family val="2"/>
        <scheme val="minor"/>
      </rPr>
      <t xml:space="preserve"> - Hit lands, but does not result in Force-Out, Jammer Hit, or Knockdown. </t>
    </r>
    <r>
      <rPr>
        <b/>
        <sz val="8"/>
        <rFont val="Calibri"/>
        <family val="2"/>
        <scheme val="minor"/>
      </rPr>
      <t>KNOCKED DOWN</t>
    </r>
    <r>
      <rPr>
        <sz val="8"/>
        <rFont val="Calibri"/>
        <family val="2"/>
        <scheme val="minor"/>
      </rPr>
      <t xml:space="preserve"> - Skater is knocked down (at least 1 knee)</t>
    </r>
  </si>
  <si>
    <r>
      <t>HIT &amp; FALL</t>
    </r>
    <r>
      <rPr>
        <sz val="8"/>
        <rFont val="Calibri"/>
        <family val="2"/>
        <scheme val="minor"/>
      </rPr>
      <t xml:space="preserve"> - Skater lands hit (may be ineffective) but falls as a result. </t>
    </r>
    <r>
      <rPr>
        <b/>
        <sz val="8"/>
        <rFont val="Calibri"/>
        <family val="2"/>
        <scheme val="minor"/>
      </rPr>
      <t>HIP WHIP</t>
    </r>
    <r>
      <rPr>
        <sz val="8"/>
        <rFont val="Calibri"/>
        <family val="2"/>
        <scheme val="minor"/>
      </rPr>
      <t xml:space="preserve"> - Jammer self-whip off teammate. </t>
    </r>
    <r>
      <rPr>
        <b/>
        <sz val="8"/>
        <rFont val="Calibri"/>
        <family val="2"/>
        <scheme val="minor"/>
      </rPr>
      <t>OFF BLK ASSIST</t>
    </r>
    <r>
      <rPr>
        <sz val="8"/>
        <rFont val="Calibri"/>
        <family val="2"/>
        <scheme val="minor"/>
      </rPr>
      <t xml:space="preserve"> - Assist a teammate into an Off Blk</t>
    </r>
  </si>
  <si>
    <r>
      <t>JUKE</t>
    </r>
    <r>
      <rPr>
        <sz val="8"/>
        <rFont val="Calibri"/>
        <family val="2"/>
        <scheme val="minor"/>
      </rPr>
      <t xml:space="preserve"> - Fake out, allows Jammer to gain positional advantage or dodge. </t>
    </r>
    <r>
      <rPr>
        <b/>
        <sz val="8"/>
        <rFont val="Calibri"/>
        <family val="2"/>
        <scheme val="minor"/>
      </rPr>
      <t>JUMP</t>
    </r>
    <r>
      <rPr>
        <sz val="8"/>
        <rFont val="Calibri"/>
        <family val="2"/>
        <scheme val="minor"/>
      </rPr>
      <t xml:space="preserve"> - Jammer jumps past skater or cross track. </t>
    </r>
    <r>
      <rPr>
        <b/>
        <sz val="8"/>
        <rFont val="Calibri"/>
        <family val="2"/>
        <scheme val="minor"/>
      </rPr>
      <t>ROLLOFF</t>
    </r>
    <r>
      <rPr>
        <sz val="8"/>
        <rFont val="Calibri"/>
        <family val="2"/>
        <scheme val="minor"/>
      </rPr>
      <t xml:space="preserve"> - Roll off of opposing blocker</t>
    </r>
  </si>
  <si>
    <t>Home:</t>
  </si>
  <si>
    <t>Away:</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</si>
  <si>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t>
    </r>
  </si>
  <si>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t>
    </r>
    <r>
      <rPr>
        <sz val="10"/>
        <rFont val="Calibri"/>
        <family val="2"/>
        <scheme val="minor"/>
      </rPr>
      <t xml:space="preserve"> for expulsion, indicate skater color &amp; number.</t>
    </r>
  </si>
  <si>
    <r>
      <t xml:space="preserve">Record </t>
    </r>
    <r>
      <rPr>
        <b/>
        <sz val="10"/>
        <rFont val="Calibri"/>
        <family val="2"/>
        <scheme val="minor"/>
      </rPr>
      <t>OFF</t>
    </r>
    <r>
      <rPr>
        <sz val="10"/>
        <rFont val="Calibri"/>
        <family val="2"/>
        <scheme val="minor"/>
      </rPr>
      <t xml:space="preserve"> for any other official timeout. </t>
    </r>
  </si>
  <si>
    <t>OOB Assist</t>
  </si>
  <si>
    <t>Clockwise …</t>
  </si>
  <si>
    <t>Stopped …</t>
  </si>
  <si>
    <t>Failure …</t>
  </si>
  <si>
    <t>False Start</t>
  </si>
  <si>
    <t>… Violation</t>
  </si>
  <si>
    <t>Illegal (Proc)</t>
  </si>
  <si>
    <t>Tracked By</t>
  </si>
  <si>
    <t>Head Ref:</t>
  </si>
  <si>
    <t>Signature:</t>
  </si>
  <si>
    <t>The WFTDA</t>
  </si>
  <si>
    <t>For more information about membership in the WFTDA, visit wftda.com.</t>
  </si>
  <si>
    <t>WFTDA Board of Directors</t>
  </si>
  <si>
    <t>WFTDA Officers and Managers</t>
  </si>
  <si>
    <t>President</t>
  </si>
  <si>
    <t>Vice President</t>
  </si>
  <si>
    <t>Alyssa Hoppe "Lorna Boom"</t>
  </si>
  <si>
    <t>Treasurer</t>
  </si>
  <si>
    <t>Amy Hodge "Siouxsicide Bomb"</t>
  </si>
  <si>
    <t>Secretary</t>
  </si>
  <si>
    <t>Ex Officio</t>
  </si>
  <si>
    <t>Destroying</t>
  </si>
  <si>
    <t>Anna Krajcik "Grace Killy"</t>
  </si>
  <si>
    <t>Leanne Terpak "Tamarra Neverdyes"</t>
  </si>
  <si>
    <t>Marketing Officer</t>
  </si>
  <si>
    <t>Heather Watson "Ms. D'Fiant"</t>
  </si>
  <si>
    <t>Games Officer</t>
  </si>
  <si>
    <t>Amy Spears</t>
  </si>
  <si>
    <t>Membership Officer</t>
  </si>
  <si>
    <t>Cassandra McNeil "Parker Poison"</t>
  </si>
  <si>
    <t>Regulatory Officer</t>
  </si>
  <si>
    <t>Nicole Williams "Bonnie Thunders"</t>
  </si>
  <si>
    <t>Brian Gadell "Umpire Strikes Back"</t>
  </si>
  <si>
    <t>WFTDA Staff</t>
  </si>
  <si>
    <t>StatsBook Working Group</t>
  </si>
  <si>
    <t>Juliana Gonzales</t>
  </si>
  <si>
    <t>Executive Director</t>
  </si>
  <si>
    <t>Karen Kuhn "Bones"</t>
  </si>
  <si>
    <t>Managing Director of Games</t>
  </si>
  <si>
    <t>Don Mynatt "Pantichrist"</t>
  </si>
  <si>
    <t>Officiating Education Director</t>
  </si>
  <si>
    <t>Evelynn Dronberger "Evie McSkeevy"</t>
  </si>
  <si>
    <t>Stats Committee Chair</t>
  </si>
  <si>
    <t>Michael Gorman "Sho'Nuff"</t>
  </si>
  <si>
    <t>Jill Jaracz "Intejill"</t>
  </si>
  <si>
    <t>Jason Proctor "Ian Fluenza"</t>
  </si>
  <si>
    <t>Katie Wearne "Stabby McNeedles"</t>
  </si>
  <si>
    <t>Ryan Zulkiewicz "Cleveland"</t>
  </si>
  <si>
    <t>"FN Zebra"</t>
  </si>
  <si>
    <t>USA</t>
  </si>
  <si>
    <t>Austin, TX  78761</t>
  </si>
  <si>
    <t>P.O. Box 14100</t>
  </si>
  <si>
    <t>Correspondence for any of the above individuals should be addressed to:</t>
  </si>
  <si>
    <t>Advice for Printing</t>
  </si>
  <si>
    <t>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bouts in duplicates of that file. Always check the Preview again before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</si>
  <si>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</si>
  <si>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</si>
  <si>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</si>
  <si>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</si>
  <si>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</si>
  <si>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</si>
  <si>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</si>
  <si>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</si>
  <si>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</si>
  <si>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</si>
  <si>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</si>
  <si>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</si>
  <si>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</si>
  <si>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</si>
  <si>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</si>
  <si>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The verbal cue hints with the penalty codes on the Penalties tab are missing “Illegal Return” (an Out of Play penalty) and several of the Illegal Procedure cues.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</si>
  <si>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</si>
  <si>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</si>
  <si>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</si>
  <si>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</si>
  <si>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</si>
  <si>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</si>
  <si>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</si>
  <si>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</si>
  <si>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</si>
  <si>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</si>
  <si>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</si>
  <si>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</si>
  <si>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</si>
  <si>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</si>
  <si>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</si>
  <si>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</si>
  <si>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</si>
  <si>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</si>
  <si>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</si>
  <si>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</si>
  <si>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</si>
  <si>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</si>
  <si>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</si>
  <si>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</si>
  <si>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</si>
  <si>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</si>
  <si>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</si>
  <si>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</si>
  <si>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</si>
  <si>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</si>
  <si>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</si>
  <si>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</si>
  <si>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</si>
  <si>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r>
      <t xml:space="preserve">Print Only Tabs </t>
    </r>
    <r>
      <rPr>
        <b/>
        <sz val="10"/>
        <color rgb="FF0000FF"/>
        <rFont val="Calibri"/>
        <family val="2"/>
        <scheme val="minor"/>
      </rPr>
      <t>(BLUE)</t>
    </r>
  </si>
  <si>
    <r>
      <t xml:space="preserve">Extra Credit </t>
    </r>
    <r>
      <rPr>
        <b/>
        <sz val="10"/>
        <color rgb="FF00B0F0"/>
        <rFont val="Calibri"/>
        <family val="2"/>
        <scheme val="minor"/>
      </rPr>
      <t>(AQUA)</t>
    </r>
  </si>
  <si>
    <r>
      <t xml:space="preserve">Stats Summary Pages </t>
    </r>
    <r>
      <rPr>
        <b/>
        <sz val="10"/>
        <color theme="0" tint="-0.499984740745262"/>
        <rFont val="Calibri"/>
        <family val="2"/>
        <scheme val="minor"/>
      </rPr>
      <t>(GREY)</t>
    </r>
  </si>
  <si>
    <t>Pen Min</t>
  </si>
  <si>
    <t>Principal Editors: FN Zebra and Stabby McNeedles</t>
  </si>
  <si>
    <r>
      <t xml:space="preserve">Please name your Stats doc: </t>
    </r>
    <r>
      <rPr>
        <b/>
        <sz val="10"/>
        <rFont val="Calibri"/>
        <family val="2"/>
        <scheme val="minor"/>
      </rPr>
      <t>STATS-YYYY-MM-DD_HostLeague_vs_VisitorLeague.</t>
    </r>
  </si>
  <si>
    <t>Example: "STATS-2008-02-16_TucsonRollerDerby_vs_TexasRollergirls.xlsx"</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</si>
  <si>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</si>
  <si>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</si>
  <si>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OFFENSIVE / DEFENSIVE ACTIONS</t>
  </si>
  <si>
    <t>The Women's Flat Track Derby Association was formed in 2005, and is a volunteer-run amateur sports organization. The mission of the WFTDA is to "promote and foster the sport of women's flat track roller derby by facilitating the development of athletic ability, sportswomanship, and goodwill among member leagues."</t>
  </si>
  <si>
    <t>The governing philosophy of the WFTDA is "by the skaters, for the skaters." Skaters from the member leagues are primary owners, managers, and operators of each member league and of the association.</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</si>
  <si>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</si>
  <si>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</si>
  <si>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</si>
  <si>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</si>
  <si>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</si>
  <si>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</si>
  <si>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</si>
  <si>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Game Competition Manager</t>
  </si>
  <si>
    <t>Game Officiating Manager</t>
  </si>
  <si>
    <t>Stacie Traylor "Teenie Meanie"</t>
  </si>
  <si>
    <t>Games Information Manager</t>
  </si>
  <si>
    <t>Alisha Campbell</t>
  </si>
  <si>
    <t>Tournament Director</t>
  </si>
  <si>
    <t>Jam</t>
  </si>
  <si>
    <t>Box</t>
  </si>
  <si>
    <t>/</t>
  </si>
  <si>
    <t>$</t>
  </si>
  <si>
    <t>If jam is called for injury, indicate it with an 3 in the BOX column of the injured skater. Note any box time carrying over from first period onto the period 2 sheet before turning in period 1 sheet.</t>
  </si>
  <si>
    <t>Box Column Notations</t>
  </si>
  <si>
    <t>Jam was called off due to this skater's injury.</t>
  </si>
  <si>
    <t>Teams Participating:</t>
  </si>
  <si>
    <t xml:space="preserve">Suspension Recommended Below: </t>
  </si>
  <si>
    <t>Meeting Results (if held):</t>
  </si>
  <si>
    <t xml:space="preserve">Official Witnessing the Action Name:  </t>
  </si>
  <si>
    <t>League Affiliation:</t>
  </si>
  <si>
    <t xml:space="preserve">Head Referee Name:  </t>
  </si>
  <si>
    <t xml:space="preserve">Expelled Skater:  </t>
  </si>
  <si>
    <t>FOR TOURNAMENT PLAY</t>
  </si>
  <si>
    <t xml:space="preserve">Tournament Head Referee Name:  </t>
  </si>
  <si>
    <t xml:space="preserve">Games Official Name (if present):  </t>
  </si>
  <si>
    <t xml:space="preserve">Home/Dark Team Captain Name:  </t>
  </si>
  <si>
    <t xml:space="preserve">Visitor/Light Team Captain Name:  </t>
  </si>
  <si>
    <t>Keep Review?</t>
  </si>
  <si>
    <t>Yes / No</t>
  </si>
  <si>
    <t>Section 1. VENUE &amp; ROSTERS (Complete BEFORE the game)</t>
  </si>
  <si>
    <t>Section 2. SCORE (Complete DURING or IMMEDIATELY AFTER game)</t>
  </si>
  <si>
    <t>Section 3. CERTIFICATION (Complete IMMEDIATELY AFTER game)</t>
  </si>
  <si>
    <t>GAME A/B</t>
  </si>
  <si>
    <r>
      <t xml:space="preserve">DUE: </t>
    </r>
    <r>
      <rPr>
        <sz val="10"/>
        <rFont val="Calibri"/>
        <family val="2"/>
        <scheme val="minor"/>
      </rPr>
      <t>2 weeks after game date</t>
    </r>
  </si>
  <si>
    <t>Enter the game date and the team names before printing, to populate the other sheets for game</t>
  </si>
  <si>
    <t>Print out the following tabs (PINK) for use DURING the game:</t>
  </si>
  <si>
    <t>(Print a few to be on hand during the game in case of Expulsion/Suspension).</t>
  </si>
  <si>
    <t>Print out the following "Extra Credit" tabs (AQUA) for use DURING the game (if possible):</t>
  </si>
  <si>
    <t>After the game, transcribe the information from the sheets IN THIS ORDER:</t>
  </si>
  <si>
    <t>Cutting</t>
  </si>
  <si>
    <t>Failure to Yield</t>
  </si>
  <si>
    <t>Non-Skater Expulsions</t>
  </si>
  <si>
    <t xml:space="preserve">FO/EXP: Foul Outs (FO) for accumulated penalties should be marked as FO. Expulsions (EXP) should be listed by the appropriate penalty code. </t>
  </si>
  <si>
    <t xml:space="preserve"> PENALTY / JAM #</t>
  </si>
  <si>
    <t>HR Contact Information:</t>
  </si>
  <si>
    <t>Official's Contact Information:</t>
  </si>
  <si>
    <t>Skater's Contact Information:</t>
  </si>
  <si>
    <t>Captain's Contact Information:</t>
  </si>
  <si>
    <t>THR Contact Information:</t>
  </si>
  <si>
    <t>GO's Contact Information:</t>
  </si>
  <si>
    <t>Enter expelled bench staff name here</t>
  </si>
  <si>
    <t>PENALTY TOTALS</t>
  </si>
  <si>
    <t>Avg Penalties / Jam:</t>
  </si>
  <si>
    <t>FO</t>
  </si>
  <si>
    <t>Non Skater Expulsions</t>
  </si>
  <si>
    <t>For use with March 1, 2014 rules</t>
  </si>
  <si>
    <t>Amanda Hull "Alassin Sane"</t>
  </si>
  <si>
    <t>January 3, 2013 -- Major Changes since October 17, 2012</t>
  </si>
  <si>
    <t>March 8, 2013 -- Major Changes since January 3, 2013</t>
  </si>
  <si>
    <t>This version is designed for use with the WFTDA Rules published March 1, 2014.</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</si>
  <si>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</si>
  <si>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</si>
  <si>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</si>
  <si>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</si>
  <si>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</si>
  <si>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</si>
  <si>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</si>
  <si>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populate on the Lineups sheet. Teams colors populate from this sheet.</t>
  </si>
  <si>
    <t>Excel 2003/2004 no longer officially supported.</t>
  </si>
  <si>
    <t>Excel 2003 (for Windows) and 2004 (for Mac) may not support the new colors, or very complex formulas.</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</si>
  <si>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</si>
  <si>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</si>
  <si>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</si>
  <si>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</si>
  <si>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</si>
  <si>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</si>
  <si>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</si>
  <si>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Some computers have had problems opening the document in OpenOffice 3.4.1. Use LibreOffice 4.2.1 or newer.</t>
  </si>
  <si>
    <t>Sat in the box this jam.</t>
  </si>
  <si>
    <t>Started from the box this jam.</t>
  </si>
  <si>
    <t>Sat &amp; finished that penalty time this jam.</t>
  </si>
  <si>
    <t>Started from the box &amp; finished that penalty time this jam.</t>
  </si>
  <si>
    <t>WFTDA Interleague Game Reporting Form (IGRF)</t>
  </si>
  <si>
    <t>IGRF &amp; Standardized Stats Calculator</t>
  </si>
  <si>
    <t>Please name your scanned IGRF: IGRF-YYYY-MM-DD_HostLeague_vs_VisitorLeague.</t>
  </si>
  <si>
    <t>Example: "IGRF-2008-02-16_TucsonRollerDerby_vs_TexasRollergirls.pdf"</t>
  </si>
  <si>
    <t>IGRF usage:</t>
  </si>
  <si>
    <t>IGRF</t>
  </si>
  <si>
    <t>Blue tabs are optional sheets for printing to track information that you may find useful. Do not input data onto these tabs. Use the pink tabs so that the data automatically transfers to the summary pages. The "Dual Trackers" tab is for use with two Penalty Trackers. It puts both periods of penalties for one team on a single sheet. The "Penalty Box" tab helps Penalty Box staff keep track of skater trips to the penalty box. The "Whiteboards" tab is a handy reference with rosters for Scorekeepers, Lineup Trackers and Announcers. "NOTT Score" is a scoring sheet with room to track Not On The Track (NOTT) points. If using this sheet, you must also fill in the score on the pink "Score" tab because the pink tab calculations are tied to the IGRF and summary tabs.</t>
  </si>
  <si>
    <t xml:space="preserve"> A scanned IGRF with signatures and the completed stats are due within 2 weeks of game date to: sanctioning@wftda.com 
Scores are required within 24 hours after the game at scores.wftda.com</t>
  </si>
  <si>
    <t xml:space="preserve"> A scanned IGRF with signatures and the completed stats are due within 2 weeks of game date to: sanctioning@wftda.com</t>
  </si>
  <si>
    <t>TEAM ROSTERS - List in order of skater number</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</si>
  <si>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</si>
  <si>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</si>
  <si>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The Game Summary and tabs in Pink are the only required stats forms.</t>
  </si>
  <si>
    <t>Tabs in Pink will populate the gray Game Summary form.</t>
  </si>
  <si>
    <t>Tabs in Aqua are not required, but encouraged, and will populate the gray Game Summary form.</t>
  </si>
  <si>
    <t>Game Summary</t>
  </si>
  <si>
    <t xml:space="preserve">Game Summary and tabs in pink (listed below) are the mandatory pieces of the stats workbook required for Sanctioning.  </t>
  </si>
  <si>
    <t>DO NO MANUAL ENTRY on the Game Summary; it is populated by the other sheets in the workbook.</t>
  </si>
  <si>
    <t>The Game Summary sections "Offensive/Defensive Actions", "Per Jam &amp; Percentage", "Errors", and "Jammer Actions" do not have to be filled in as they depend on information from the extra credit workbook tabs.</t>
  </si>
  <si>
    <t>You don't need to print Read Me, Game Summary, or Penalty Summary tabs before the game.</t>
  </si>
  <si>
    <t>Game Clock</t>
  </si>
  <si>
    <t>Game Clock P.1 &amp; P.2 (if used)</t>
  </si>
  <si>
    <t>Total Penalties</t>
  </si>
  <si>
    <t>of Game Total Penalties</t>
  </si>
  <si>
    <t>Team Total Penalties as % of Game Total:</t>
  </si>
  <si>
    <t>Penalty Count</t>
  </si>
  <si>
    <t>Major Changes since March 7, 2014</t>
  </si>
  <si>
    <t>Penalties Per Jam</t>
  </si>
  <si>
    <t>Fully GAME compliant now; no more bouts.</t>
  </si>
  <si>
    <t>David McKinstry “Reed d'Rulz”</t>
  </si>
  <si>
    <t>Skater +/- calculations fixed.</t>
  </si>
  <si>
    <t>Jams Played Totals on Game Summary now reflects Star Passes properly, again.</t>
  </si>
  <si>
    <t xml:space="preserve">FO/EXP: Foul Outs (FO) for penalty trips should be marked as FO. Expulsions (EXP) should be listed by the appropriate penalty code. </t>
  </si>
  <si>
    <t>Penalties by Skaters</t>
  </si>
  <si>
    <t>Total penalties</t>
  </si>
  <si>
    <t>TOTAL: At the end of each period, add the number of penalties for each skater for that period and put it in the "TOTAL" column. The team's total penalties for the period should include Non-Skater Expulsions in the count.</t>
  </si>
  <si>
    <t>SKATERS PENALTY COUNT</t>
  </si>
  <si>
    <t>Non-skater expulsions now counted toward team total penalties, but not skater totals</t>
  </si>
  <si>
    <t>PENALTY / Jam #: Enter codes for penalties in the upper row and jam # in the lower row for each skater.  Any penalty past the dark line should result in a Foul Out.</t>
  </si>
  <si>
    <t>Michael Wehrman</t>
  </si>
  <si>
    <t>March 7, 2013 -- Major Changes since March 8, 2013</t>
  </si>
  <si>
    <t xml:space="preserve">Fill in the Score sheet first. Jam numbers (and SP/SP*) entered on the Score sheet automatically
</t>
  </si>
  <si>
    <t>Write the jam number, starting from 1 each period, in the JAM column as each jam happens. Enter skater numbers by position. If no Pivot is fielded, enter an "X" in the noPivot box.</t>
  </si>
  <si>
    <t>When a skater sits in the penalty box, enter a / in the next unmarked BOX column, or an S if the skater starts the jam in the box. When the skater completes the penalty time, mark exit in same</t>
  </si>
  <si>
    <r>
      <t xml:space="preserve">column (if same jam, make the / an X or the S an $). If that skater sits again in the penalty box during same jam, move to the next column under BOX. In case of star pass, </t>
    </r>
    <r>
      <rPr>
        <b/>
        <sz val="10.5"/>
        <rFont val="Calibri"/>
        <family val="2"/>
        <scheme val="minor"/>
      </rPr>
      <t>both teams</t>
    </r>
    <r>
      <rPr>
        <sz val="10.5"/>
        <rFont val="Calibri"/>
        <family val="2"/>
        <scheme val="minor"/>
      </rPr>
      <t xml:space="preserve"> enter SP in the</t>
    </r>
  </si>
  <si>
    <t>Jam column on a new row. Update star passing team with Jammer and Pivot reversed (mark noPivot) and the same Blockers. Mark all box exits/entries after a star pass in rows with current Jammer.</t>
  </si>
  <si>
    <r>
      <t>LEAD</t>
    </r>
    <r>
      <rPr>
        <sz val="10"/>
        <rFont val="Calibri"/>
        <family val="2"/>
        <scheme val="minor"/>
      </rPr>
      <t xml:space="preserve"> = Lead Jammer.     </t>
    </r>
    <r>
      <rPr>
        <b/>
        <sz val="10"/>
        <rFont val="Calibri"/>
        <family val="2"/>
        <scheme val="minor"/>
      </rPr>
      <t>CALL</t>
    </r>
    <r>
      <rPr>
        <sz val="10"/>
        <rFont val="Calibri"/>
        <family val="2"/>
        <scheme val="minor"/>
      </rPr>
      <t xml:space="preserve"> = Called Jam off, when the listed jammer successfully calls off the jam before jam time ends  This is marked whether or not the jam was called off legally.</t>
    </r>
  </si>
  <si>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</si>
  <si>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</si>
  <si>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</si>
  <si>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</si>
  <si>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</si>
  <si>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</si>
  <si>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r>
      <t xml:space="preserve"> LOST</t>
    </r>
    <r>
      <rPr>
        <sz val="10"/>
        <rFont val="Calibri"/>
        <family val="2"/>
        <scheme val="minor"/>
      </rPr>
      <t xml:space="preserve"> = When a jammer loses the ability to become lead jammer or loses lead jammer status itself. Do not mark this box if the jammer is eligible but the opposing jammer is assigned lead jammer status first.</t>
    </r>
  </si>
  <si>
    <r>
      <rPr>
        <sz val="10.199999999999999"/>
        <rFont val="Calibri"/>
        <family val="2"/>
        <scheme val="minor"/>
      </rPr>
      <t xml:space="preserve">If your team </t>
    </r>
    <r>
      <rPr>
        <b/>
        <i/>
        <sz val="10.199999999999999"/>
        <rFont val="Calibri"/>
        <family val="2"/>
        <scheme val="minor"/>
      </rPr>
      <t>did not</t>
    </r>
    <r>
      <rPr>
        <sz val="10.199999999999999"/>
        <rFont val="Calibri"/>
        <family val="2"/>
        <scheme val="minor"/>
      </rPr>
      <t xml:space="preserve"> star pass during jam with a star pass: at end of jam, move to next row and write "SP*" in the Jam # column, leaving rest of row blank.  </t>
    </r>
    <r>
      <rPr>
        <b/>
        <sz val="10.199999999999999"/>
        <rFont val="Calibri"/>
        <family val="2"/>
        <scheme val="minor"/>
      </rPr>
      <t>Tracking:</t>
    </r>
    <r>
      <rPr>
        <sz val="10.199999999999999"/>
        <rFont val="Calibri"/>
        <family val="2"/>
        <scheme val="minor"/>
      </rPr>
      <t xml:space="preserve">  ALL of the Lead and Call categories should be marked with an X.</t>
    </r>
  </si>
  <si>
    <t>In Game (on paper)</t>
  </si>
  <si>
    <t>Score sheet</t>
  </si>
  <si>
    <t>Post-game (data entry)</t>
  </si>
  <si>
    <t>Fill in the Score sheet data, using SP and SP* as needed, to indicate which team passed the star during a given jam.</t>
  </si>
  <si>
    <t>Lineups sheet</t>
  </si>
  <si>
    <t>Star passes present a number of challenges for both recording data accurately during a game, and post-game data entry. And sometimes both teams will perform a Star Pass in the same jam.</t>
  </si>
  <si>
    <t>NOTE: The current Standard Practice is to record points only when the Jammer Referee has signaled points at the end of a Jammer's pass. This means all points scored on a scoring pass of a Star Pass should be recorded for the new Jammer.</t>
  </si>
  <si>
    <r>
      <t>JAM</t>
    </r>
    <r>
      <rPr>
        <sz val="10"/>
        <rFont val="Calibri"/>
        <family val="2"/>
        <scheme val="minor"/>
      </rPr>
      <t>: Write in the jam number jam by jam, starting from 1. If case of star pass: move to the next row, write "SP" in the Jam # column, put in the new Jammer's number and pick up the scoring where the previous jammer left off.</t>
    </r>
  </si>
  <si>
    <t>NOTE: Use of the SP* code is important. It indicates the non-Star Passing team on other sheets, also, and will not adversely impact formula calculations.</t>
  </si>
  <si>
    <t>Fill in the Lineups sheet data. The Jam numbers (and SP or SP*) will have been populated from the Score sheet. Carefully enter data for jams with Star Passes, per the Standard Practice.</t>
  </si>
  <si>
    <t>The Lineup Tracker for the Star Passing team should move to the next row, write "SP" in the Jam column, and update the Star Passing team's new lineup with the Jammer and Pivot numbers reversed (also mark the noPivot column) and the same Blockers' numbers. Mark all skater Penalty Box exits/entries which occur after a Star Pass in the row with the new Jammer, using the appropriate Box Column Notations.</t>
  </si>
  <si>
    <t>This version of the StatsBook will accurately record the data of Star Passes, if the following conditions are met.</t>
  </si>
  <si>
    <t>Both Scorekeepers will write in two rows in a jam which has a Star Pass.</t>
  </si>
  <si>
    <t>Both Lineup Trackers will write in two rows in a jam which has a Star Pass.</t>
  </si>
  <si>
    <t>NOTE: The current Standard Practice for Lineup Trackers is to mark the Penalty Box entries and exits on the row of the current Jammer. If only one team makes a Star Pass, each team's post-Star Pass Penalty Box entries and exits will be recorded on different rows (new row for Star Passing team, original jam row for NON-Star Passing team). However, both Lineup Trackers will still indicate that a Star Pass has occurred in that jam by writing SP in the Jam column.</t>
  </si>
  <si>
    <t>(two sheets)</t>
  </si>
  <si>
    <t>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t>
  </si>
  <si>
    <t>Official April 2014 Release</t>
  </si>
  <si>
    <t>The Scorekeeper for the Star Passing team should move to the next row, write "SP" in the Jam # column. Write the new Jammer's number in the Jammer's Number column, and pick up the scoring where the previous jammer left off, following the Standard Practice.</t>
  </si>
  <si>
    <r>
      <t xml:space="preserve">The Scorekeeper for the NON-Star Passing team should wait to see if their team performs a Star Pass, also. If that team did </t>
    </r>
    <r>
      <rPr>
        <b/>
        <sz val="10"/>
        <rFont val="Calibri"/>
        <family val="2"/>
        <scheme val="minor"/>
      </rPr>
      <t>not</t>
    </r>
    <r>
      <rPr>
        <sz val="10"/>
        <rFont val="Calibri"/>
        <family val="2"/>
        <scheme val="minor"/>
      </rPr>
      <t xml:space="preserve"> Star Pass during jam with a Star Pass, at end of the jam, move to the next row and write "SP*" in the Jam # column, leaving the rest of that row intentionally blank.</t>
    </r>
  </si>
  <si>
    <r>
      <t xml:space="preserve">The Lineup Tracker for the NON-Star Passing team should wait to see if their team also performs a Star Pass. Mark all skater Penalty Box exits/entries which occur after a Star Pass in the row with the team's current Jammer, using the appropriate Box Column Notations. At the end of the jam, if that team did </t>
    </r>
    <r>
      <rPr>
        <b/>
        <sz val="10"/>
        <rFont val="Calibri"/>
        <family val="2"/>
        <scheme val="minor"/>
      </rPr>
      <t>not</t>
    </r>
    <r>
      <rPr>
        <sz val="10"/>
        <rFont val="Calibri"/>
        <family val="2"/>
        <scheme val="minor"/>
      </rPr>
      <t xml:space="preserve"> Star Pass during jam with a Star Pass, move to the next row and write "SP" in the Jam # column, leaving the rest of that row intentionally blank. On paper Lineups sheets, that SP and an otherwise blank row will indicate that team did not perform a Star Pass during that jam. </t>
    </r>
  </si>
  <si>
    <t>NOTE: For data-entry in Excel (Windows), enter " '/ " (single quote+/) for a "/". Or you may want to change an Excel setting, to make entering "/" easier. In Excel's Ribbon, select File tab &gt; Options &gt; Advanced, then scroll all the way down. There is a section named "Lotus compatibility", which has a "Microsoft Excel menu key:" field. Delete the "/" from that field, leaving it empty, and then click OK. Now you may just enter "/" without it getting hijacked by the Ribbon. Excel for MacOS users do not need to make any Preferences changes to enter "/".</t>
  </si>
  <si>
    <t>IGRF must be signed and the original copy scanned.  Scanned IGRF and completed required StatsBook sheets must be emailed to sanctioning@wftda.com within two weeks of the game date. 
Scores are required within 24 hours after the game at http://scores.wftda.com</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</si>
  <si>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</si>
  <si>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The Current revision of the StatsBook is dated April 21, 2014.</t>
  </si>
  <si>
    <t>IGRF Rev. 140421 © 2014 Women's Flat Track Derby Association (WFTDA)</t>
  </si>
  <si>
    <t>Rev 140421 © 2014 WFTDA</t>
  </si>
  <si>
    <t>Rev. 140421 © 2014 WFTDA</t>
  </si>
  <si>
    <t>Kane Strous "K'lick K'lick Boom"</t>
  </si>
  <si>
    <t>Jessica Cope "Jess of the D'Erbykills"</t>
  </si>
  <si>
    <t>Sarah Wilkins</t>
  </si>
  <si>
    <t>WA</t>
  </si>
  <si>
    <t>Rat City Rollergirls</t>
  </si>
  <si>
    <t>HR/IPR</t>
  </si>
  <si>
    <t>IPR</t>
  </si>
  <si>
    <t>JR</t>
  </si>
  <si>
    <t>OPR</t>
  </si>
  <si>
    <t>HNSO</t>
  </si>
  <si>
    <t>SK</t>
  </si>
  <si>
    <t>SO</t>
  </si>
  <si>
    <t>LT</t>
  </si>
  <si>
    <t>PT</t>
  </si>
  <si>
    <t>EIWB</t>
  </si>
  <si>
    <t>PBM</t>
  </si>
  <si>
    <t>PBT</t>
  </si>
  <si>
    <t>JT</t>
  </si>
  <si>
    <t>Key Arena</t>
  </si>
  <si>
    <t>Seattle</t>
  </si>
  <si>
    <t>16</t>
  </si>
  <si>
    <t>12</t>
  </si>
  <si>
    <t>123</t>
  </si>
  <si>
    <t>51</t>
  </si>
  <si>
    <t>All-Stars</t>
  </si>
  <si>
    <t>Houston</t>
  </si>
  <si>
    <t>0</t>
  </si>
  <si>
    <t>Enurgizer Bunny</t>
  </si>
  <si>
    <t>Carmen Getsome</t>
  </si>
  <si>
    <t>Nelson</t>
  </si>
  <si>
    <t>14</t>
  </si>
  <si>
    <t>Shorty Ounce</t>
  </si>
  <si>
    <t>1618</t>
  </si>
  <si>
    <t>Sintripital Force</t>
  </si>
  <si>
    <t>22</t>
  </si>
  <si>
    <t>Sami Automatic</t>
  </si>
  <si>
    <t>23</t>
  </si>
  <si>
    <t>LeBrawn Maimes</t>
  </si>
  <si>
    <t>321</t>
  </si>
  <si>
    <t>Missile America</t>
  </si>
  <si>
    <t>4</t>
  </si>
  <si>
    <t>Belle Tolls</t>
  </si>
  <si>
    <t>505</t>
  </si>
  <si>
    <t>Teddy Rupp</t>
  </si>
  <si>
    <t>53</t>
  </si>
  <si>
    <t>Raven Seaward</t>
  </si>
  <si>
    <t>761</t>
  </si>
  <si>
    <t>Rawkhell SqWelch</t>
  </si>
  <si>
    <t>808</t>
  </si>
  <si>
    <t>Kendle Bjelland</t>
  </si>
  <si>
    <t>88</t>
  </si>
  <si>
    <t>Ophelia Melons</t>
  </si>
  <si>
    <t>9</t>
  </si>
  <si>
    <t>P. Wilhelm</t>
  </si>
  <si>
    <t>911</t>
  </si>
  <si>
    <t>Luna Negra</t>
  </si>
  <si>
    <t>112</t>
  </si>
  <si>
    <t>Singapore Rogue</t>
  </si>
  <si>
    <t>1542</t>
  </si>
  <si>
    <t>Mary Queen of Skates</t>
  </si>
  <si>
    <t>Mistilla</t>
  </si>
  <si>
    <t>19</t>
  </si>
  <si>
    <t>Betty Watchett</t>
  </si>
  <si>
    <t>2000</t>
  </si>
  <si>
    <t>Lisa Lava</t>
  </si>
  <si>
    <t>201</t>
  </si>
  <si>
    <t>Dutch Destroyer</t>
  </si>
  <si>
    <t>21</t>
  </si>
  <si>
    <t>Jekyll &amp; Heidi</t>
  </si>
  <si>
    <t>Freight Train</t>
  </si>
  <si>
    <t>312</t>
  </si>
  <si>
    <t>2x Force</t>
  </si>
  <si>
    <t>Bustin’ Beaver</t>
  </si>
  <si>
    <t>5309</t>
  </si>
  <si>
    <t>Toxic Assets</t>
  </si>
  <si>
    <t>69</t>
  </si>
  <si>
    <t>Death By Chocolate</t>
  </si>
  <si>
    <t>Big Bad Voodoo Dollie</t>
  </si>
  <si>
    <t>93</t>
  </si>
  <si>
    <t>Erma Gerd</t>
  </si>
  <si>
    <t>Houston Roller Derby</t>
  </si>
  <si>
    <t>Wizard of Laws</t>
  </si>
  <si>
    <t>Mary Tyler Score</t>
  </si>
  <si>
    <t>Sweetie Todd</t>
  </si>
  <si>
    <t>Mr. Annyong</t>
  </si>
  <si>
    <t>Izzy Pop</t>
  </si>
  <si>
    <t>Suzann-X</t>
  </si>
  <si>
    <t>Nine Inch Wheels</t>
  </si>
  <si>
    <t>Chiro-Fracture</t>
  </si>
  <si>
    <t>Reed d'Rulz</t>
  </si>
  <si>
    <t>marki markitup</t>
  </si>
  <si>
    <t>Tenacious D Cup</t>
  </si>
  <si>
    <t>Rat City</t>
  </si>
  <si>
    <t>Mark Dresner</t>
  </si>
  <si>
    <t>Mike Hammer</t>
  </si>
  <si>
    <t>Mike McClure</t>
  </si>
  <si>
    <t>Eric RAWK</t>
  </si>
  <si>
    <t>Corbin Cojones</t>
  </si>
  <si>
    <t>Steven Evatt</t>
  </si>
  <si>
    <t>Hunter S. Toss'em</t>
  </si>
  <si>
    <t>Seymoure Carnage</t>
  </si>
  <si>
    <t>Green</t>
  </si>
  <si>
    <t>White</t>
  </si>
  <si>
    <t>Sir Osis</t>
  </si>
  <si>
    <t>Dolemout/Wizard of Laws</t>
  </si>
  <si>
    <t>2/2</t>
  </si>
  <si>
    <t>SP</t>
  </si>
  <si>
    <t>SP*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</si>
</sst>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AM/PM;@"/>
    <numFmt numFmtId="165" formatCode="0.0"/>
    <numFmt numFmtId="166" formatCode="0.0%"/>
    <numFmt numFmtId="167" formatCode="yyyy\-mm\-dd"/>
  </numFmts>
  <fonts count="8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color theme="1"/>
      <name val="Calibri"/>
      <family val="2"/>
      <scheme val="minor"/>
    </font>
    <font>
      <sz val="10"/>
      <name val="Calibri"/>
      <family val="2"/>
      <scheme val="minor"/>
    </font>
    <font>
      <b/>
      <sz val="24"/>
      <color theme="0"/>
      <name val="Calibri"/>
      <family val="2"/>
      <scheme val="minor"/>
    </font>
    <font>
      <sz val="8"/>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sz val="24"/>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10"/>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sz val="7"/>
      <color indexed="9"/>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0"/>
      <color rgb="FF0000FF"/>
      <name val="Calibri"/>
      <family val="2"/>
      <scheme val="minor"/>
    </font>
    <font>
      <b/>
      <sz val="9"/>
      <color theme="5"/>
      <name val="Calibri"/>
      <family val="2"/>
      <scheme val="minor"/>
    </font>
    <font>
      <b/>
      <sz val="10"/>
      <color theme="5"/>
      <name val="Calibri"/>
      <family val="2"/>
      <scheme val="minor"/>
    </font>
    <font>
      <b/>
      <sz val="10"/>
      <color rgb="FF00B0F0"/>
      <name val="Calibri"/>
      <family val="2"/>
      <scheme val="minor"/>
    </font>
    <font>
      <b/>
      <sz val="10"/>
      <color theme="0" tint="-0.499984740745262"/>
      <name val="Calibri"/>
      <family val="2"/>
      <scheme val="minor"/>
    </font>
    <font>
      <b/>
      <sz val="18"/>
      <color theme="1" tint="0.499984740745262"/>
      <name val="Cambria"/>
      <family val="1"/>
      <scheme val="major"/>
    </font>
    <font>
      <sz val="10"/>
      <name val="Calibri"/>
      <family val="2"/>
    </font>
    <font>
      <b/>
      <sz val="9"/>
      <color indexed="9"/>
      <name val="Calibri"/>
      <family val="2"/>
      <scheme val="minor"/>
    </font>
    <font>
      <b/>
      <sz val="8"/>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name val="Calibri"/>
      <family val="2"/>
      <scheme val="minor"/>
    </font>
    <font>
      <sz val="11"/>
      <color indexed="8"/>
      <name val="Calibri"/>
      <family val="2"/>
      <scheme val="minor"/>
    </font>
    <font>
      <b/>
      <sz val="8"/>
      <color rgb="FF000000"/>
      <name val="Calibri"/>
      <family val="2"/>
      <scheme val="minor"/>
    </font>
    <font>
      <b/>
      <sz val="11"/>
      <color rgb="FF000000"/>
      <name val="Calibri"/>
      <family val="2"/>
      <scheme val="minor"/>
    </font>
    <font>
      <sz val="9"/>
      <name val="Calibri"/>
      <family val="2"/>
      <scheme val="minor"/>
    </font>
    <font>
      <sz val="11"/>
      <color rgb="FF000000"/>
      <name val="Calibri"/>
      <family val="2"/>
      <scheme val="minor"/>
    </font>
    <font>
      <b/>
      <sz val="12"/>
      <name val="Calibri"/>
      <family val="2"/>
      <scheme val="minor"/>
    </font>
    <font>
      <sz val="11"/>
      <color indexed="8"/>
      <name val="Calibri"/>
      <family val="2"/>
      <scheme val="minor"/>
    </font>
    <font>
      <sz val="11"/>
      <color rgb="FF000000"/>
      <name val="Calibri"/>
      <family val="2"/>
      <scheme val="minor"/>
    </font>
    <font>
      <sz val="6"/>
      <name val="Calibri"/>
      <family val="2"/>
      <scheme val="minor"/>
    </font>
    <font>
      <sz val="9"/>
      <color indexed="81"/>
      <name val="Arial"/>
      <family val="2"/>
    </font>
    <font>
      <b/>
      <sz val="10.5"/>
      <name val="Calibri"/>
      <family val="2"/>
      <scheme val="minor"/>
    </font>
    <font>
      <b/>
      <sz val="10.199999999999999"/>
      <name val="Calibri"/>
      <family val="2"/>
      <scheme val="minor"/>
    </font>
    <font>
      <sz val="10.199999999999999"/>
      <name val="Calibri"/>
      <family val="2"/>
      <scheme val="minor"/>
    </font>
    <font>
      <b/>
      <i/>
      <sz val="10.199999999999999"/>
      <name val="Calibri"/>
      <family val="2"/>
      <scheme val="minor"/>
    </font>
    <font>
      <b/>
      <sz val="16"/>
      <name val="Calibri"/>
      <family val="2"/>
      <scheme val="minor"/>
    </font>
    <font>
      <sz val="9"/>
      <color indexed="81"/>
      <name val="Tahoma"/>
      <charset val="1"/>
    </font>
    <font>
      <b/>
      <sz val="9"/>
      <color indexed="81"/>
      <name val="Tahoma"/>
      <charset val="1"/>
    </font>
  </fonts>
  <fills count="72">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9"/>
        <bgColor indexed="45"/>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rgb="FFCC00CC"/>
        <bgColor indexed="64"/>
      </patternFill>
    </fill>
    <fill>
      <patternFill patternType="solid">
        <fgColor theme="6" tint="0.39997558519241921"/>
        <bgColor indexed="45"/>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7" tint="0.79998168889431442"/>
        <bgColor indexed="9"/>
      </patternFill>
    </fill>
    <fill>
      <patternFill patternType="solid">
        <fgColor theme="7" tint="0.59999389629810485"/>
        <bgColor indexed="45"/>
      </patternFill>
    </fill>
    <fill>
      <patternFill patternType="solid">
        <fgColor theme="7" tint="-0.249977111117893"/>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0"/>
        <bgColor indexed="26"/>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s>
  <borders count="311">
    <border>
      <left/>
      <right/>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top style="medium">
        <color indexed="8"/>
      </top>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medium">
        <color indexed="8"/>
      </left>
      <right style="medium">
        <color indexed="8"/>
      </right>
      <top style="medium">
        <color indexed="8"/>
      </top>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thin">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style="medium">
        <color indexed="8"/>
      </left>
      <right style="medium">
        <color indexed="8"/>
      </right>
      <top/>
      <bottom/>
      <diagonal/>
    </border>
    <border>
      <left style="thin">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style="thin">
        <color indexed="8"/>
      </left>
      <right/>
      <top style="medium">
        <color indexed="8"/>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thin">
        <color indexed="8"/>
      </left>
      <right/>
      <top/>
      <bottom/>
      <diagonal/>
    </border>
    <border>
      <left style="medium">
        <color indexed="8"/>
      </left>
      <right/>
      <top style="thin">
        <color indexed="8"/>
      </top>
      <bottom style="thin">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indexed="8"/>
      </right>
      <top style="thin">
        <color indexed="8"/>
      </top>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indexed="8"/>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style="medium">
        <color indexed="8"/>
      </left>
      <right style="medium">
        <color indexed="8"/>
      </right>
      <top/>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auto="1"/>
      </left>
      <right/>
      <top/>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thin">
        <color auto="1"/>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right/>
      <top style="thin">
        <color indexed="8"/>
      </top>
      <bottom style="medium">
        <color indexed="8"/>
      </bottom>
      <diagonal/>
    </border>
    <border>
      <left style="thin">
        <color indexed="8"/>
      </left>
      <right style="thin">
        <color indexed="8"/>
      </right>
      <top style="medium">
        <color auto="1"/>
      </top>
      <bottom style="thin">
        <color auto="1"/>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right style="thin">
        <color indexed="8"/>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thin">
        <color indexed="8"/>
      </left>
      <right style="thin">
        <color indexed="8"/>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style="thin">
        <color indexed="8"/>
      </right>
      <top/>
      <bottom style="medium">
        <color indexed="8"/>
      </bottom>
      <diagonal/>
    </border>
    <border>
      <left style="medium">
        <color indexed="8"/>
      </left>
      <right/>
      <top/>
      <bottom style="medium">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style="medium">
        <color auto="1"/>
      </left>
      <right style="medium">
        <color auto="1"/>
      </right>
      <top style="thin">
        <color indexed="8"/>
      </top>
      <bottom/>
      <diagonal/>
    </border>
    <border>
      <left style="thin">
        <color indexed="8"/>
      </left>
      <right style="medium">
        <color indexed="8"/>
      </right>
      <top/>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medium">
        <color indexed="8"/>
      </right>
      <top/>
      <bottom style="medium">
        <color auto="1"/>
      </bottom>
      <diagonal/>
    </border>
    <border>
      <left style="medium">
        <color indexed="8"/>
      </left>
      <right style="thin">
        <color indexed="8"/>
      </right>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thin">
        <color indexed="8"/>
      </right>
      <top/>
      <bottom/>
      <diagonal/>
    </border>
    <border>
      <left style="thick">
        <color indexed="8"/>
      </left>
      <right style="medium">
        <color indexed="8"/>
      </right>
      <top style="medium">
        <color indexed="8"/>
      </top>
      <bottom/>
      <diagonal/>
    </border>
    <border>
      <left style="medium">
        <color auto="1"/>
      </left>
      <right style="medium">
        <color indexed="8"/>
      </right>
      <top style="medium">
        <color auto="1"/>
      </top>
      <bottom/>
      <diagonal/>
    </border>
    <border>
      <left style="medium">
        <color indexed="8"/>
      </left>
      <right style="medium">
        <color indexed="8"/>
      </right>
      <top style="medium">
        <color auto="1"/>
      </top>
      <bottom/>
      <diagonal/>
    </border>
    <border>
      <left style="medium">
        <color indexed="8"/>
      </left>
      <right style="medium">
        <color auto="1"/>
      </right>
      <top style="medium">
        <color auto="1"/>
      </top>
      <bottom/>
      <diagonal/>
    </border>
    <border>
      <left style="medium">
        <color auto="1"/>
      </left>
      <right style="medium">
        <color indexed="8"/>
      </right>
      <top/>
      <bottom/>
      <diagonal/>
    </border>
    <border>
      <left style="medium">
        <color indexed="8"/>
      </left>
      <right style="medium">
        <color auto="1"/>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medium">
        <color auto="1"/>
      </right>
      <top style="hair">
        <color auto="1"/>
      </top>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indexed="8"/>
      </top>
      <bottom style="thin">
        <color indexed="8"/>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thin">
        <color auto="1"/>
      </right>
      <top style="thin">
        <color auto="1"/>
      </top>
      <bottom/>
      <diagonal/>
    </border>
    <border>
      <left/>
      <right style="medium">
        <color auto="1"/>
      </right>
      <top style="thin">
        <color indexed="8"/>
      </top>
      <bottom/>
      <diagonal/>
    </border>
    <border>
      <left/>
      <right/>
      <top/>
      <bottom style="thin">
        <color auto="1"/>
      </bottom>
      <diagonal/>
    </border>
    <border>
      <left style="medium">
        <color auto="1"/>
      </left>
      <right style="medium">
        <color indexed="8"/>
      </right>
      <top/>
      <bottom style="thin">
        <color auto="1"/>
      </bottom>
      <diagonal/>
    </border>
    <border>
      <left style="medium">
        <color indexed="8"/>
      </left>
      <right style="medium">
        <color indexed="8"/>
      </right>
      <top/>
      <bottom style="thin">
        <color auto="1"/>
      </bottom>
      <diagonal/>
    </border>
    <border>
      <left style="medium">
        <color indexed="8"/>
      </left>
      <right style="medium">
        <color auto="1"/>
      </right>
      <top/>
      <bottom style="thin">
        <color auto="1"/>
      </bottom>
      <diagonal/>
    </border>
    <border>
      <left style="thin">
        <color auto="1"/>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62">
    <xf numFmtId="0" fontId="0" fillId="0" borderId="0"/>
    <xf numFmtId="0" fontId="7" fillId="0" borderId="0"/>
    <xf numFmtId="0" fontId="5" fillId="0" borderId="0"/>
    <xf numFmtId="0" fontId="7" fillId="0" borderId="0"/>
    <xf numFmtId="0" fontId="7" fillId="0" borderId="0"/>
    <xf numFmtId="0" fontId="9" fillId="0" borderId="0"/>
    <xf numFmtId="0" fontId="3" fillId="0" borderId="0"/>
    <xf numFmtId="0" fontId="4" fillId="0" borderId="0"/>
    <xf numFmtId="0" fontId="4" fillId="0" borderId="0"/>
    <xf numFmtId="0" fontId="4" fillId="0" borderId="0"/>
    <xf numFmtId="0" fontId="4" fillId="0" borderId="0"/>
    <xf numFmtId="0" fontId="3"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0" fillId="0" borderId="0">
      <alignment horizontal="left" vertical="center" indent="1"/>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400">
    <xf numFmtId="0" fontId="0" fillId="0" borderId="0" xfId="0"/>
    <xf numFmtId="0" fontId="16" fillId="20" borderId="0" xfId="1" applyFont="1" applyFill="1" applyBorder="1" applyAlignment="1">
      <alignment horizontal="center" vertical="center" shrinkToFit="1"/>
    </xf>
    <xf numFmtId="0" fontId="17" fillId="0" borderId="0" xfId="1" applyFont="1" applyAlignment="1">
      <alignment shrinkToFit="1"/>
    </xf>
    <xf numFmtId="0" fontId="17" fillId="0" borderId="0" xfId="1" applyFont="1"/>
    <xf numFmtId="0" fontId="19" fillId="20" borderId="109" xfId="1" applyFont="1" applyFill="1" applyBorder="1" applyAlignment="1">
      <alignment horizontal="center" vertical="center" shrinkToFit="1"/>
    </xf>
    <xf numFmtId="0" fontId="20" fillId="5" borderId="39" xfId="1" applyFont="1" applyFill="1" applyBorder="1" applyAlignment="1">
      <alignment horizontal="center" vertical="center" wrapText="1"/>
    </xf>
    <xf numFmtId="0" fontId="17" fillId="0" borderId="0" xfId="1" applyFont="1" applyAlignment="1">
      <alignment vertical="center"/>
    </xf>
    <xf numFmtId="0" fontId="24" fillId="0" borderId="0" xfId="1" applyFont="1" applyBorder="1" applyAlignment="1">
      <alignment horizontal="center"/>
    </xf>
    <xf numFmtId="0" fontId="17" fillId="0" borderId="0" xfId="1" applyFont="1" applyBorder="1"/>
    <xf numFmtId="0" fontId="24" fillId="0" borderId="44" xfId="1" applyFont="1" applyBorder="1" applyAlignment="1">
      <alignment horizontal="center"/>
    </xf>
    <xf numFmtId="0" fontId="24" fillId="0" borderId="19" xfId="1" applyFont="1" applyBorder="1" applyAlignment="1">
      <alignment horizontal="center"/>
    </xf>
    <xf numFmtId="0" fontId="13" fillId="14" borderId="139" xfId="1" applyFont="1" applyFill="1" applyBorder="1" applyAlignment="1">
      <alignment horizontal="center" vertical="center" wrapText="1"/>
    </xf>
    <xf numFmtId="0" fontId="13" fillId="14" borderId="199" xfId="1" applyFont="1" applyFill="1" applyBorder="1" applyAlignment="1">
      <alignment horizontal="center" wrapText="1"/>
    </xf>
    <xf numFmtId="0" fontId="20" fillId="5" borderId="80" xfId="1" applyFont="1" applyFill="1" applyBorder="1" applyAlignment="1">
      <alignment horizontal="center" vertical="center" wrapText="1"/>
    </xf>
    <xf numFmtId="0" fontId="24" fillId="0" borderId="37" xfId="1" applyFont="1" applyBorder="1" applyAlignment="1">
      <alignment horizontal="center"/>
    </xf>
    <xf numFmtId="14" fontId="15" fillId="12" borderId="65" xfId="1" applyNumberFormat="1" applyFont="1" applyFill="1" applyBorder="1" applyAlignment="1">
      <alignment horizontal="center" vertical="center" shrinkToFit="1"/>
    </xf>
    <xf numFmtId="0" fontId="17" fillId="0" borderId="0" xfId="0" applyFont="1"/>
    <xf numFmtId="0" fontId="25" fillId="9" borderId="0" xfId="0" applyFont="1" applyFill="1" applyBorder="1" applyAlignment="1">
      <alignment vertical="center"/>
    </xf>
    <xf numFmtId="0" fontId="17" fillId="7" borderId="89" xfId="8" applyFont="1" applyFill="1" applyBorder="1" applyAlignment="1">
      <alignment horizontal="center" vertical="center"/>
    </xf>
    <xf numFmtId="0" fontId="17" fillId="0" borderId="0" xfId="0" applyFont="1" applyBorder="1" applyAlignment="1">
      <alignment vertical="center"/>
    </xf>
    <xf numFmtId="0" fontId="18" fillId="0" borderId="88" xfId="8" applyFont="1" applyFill="1" applyBorder="1" applyAlignment="1">
      <alignment horizontal="center" vertical="center"/>
    </xf>
    <xf numFmtId="0" fontId="23" fillId="0" borderId="94" xfId="0" applyFont="1" applyBorder="1" applyAlignment="1">
      <alignment horizontal="center" vertical="center"/>
    </xf>
    <xf numFmtId="0" fontId="23" fillId="0" borderId="192" xfId="8" applyFont="1" applyFill="1" applyBorder="1" applyAlignment="1">
      <alignment horizontal="center" vertical="center"/>
    </xf>
    <xf numFmtId="0" fontId="23" fillId="0" borderId="87" xfId="8" applyFont="1" applyFill="1" applyBorder="1" applyAlignment="1">
      <alignment horizontal="center" vertical="center"/>
    </xf>
    <xf numFmtId="0" fontId="23" fillId="0" borderId="175" xfId="8" applyFont="1" applyFill="1" applyBorder="1" applyAlignment="1">
      <alignment horizontal="center" vertical="center"/>
    </xf>
    <xf numFmtId="0" fontId="18" fillId="0" borderId="87" xfId="8" applyFont="1" applyFill="1" applyBorder="1" applyAlignment="1">
      <alignment horizontal="center" vertical="center"/>
    </xf>
    <xf numFmtId="0" fontId="18" fillId="0" borderId="87" xfId="8" applyFont="1" applyFill="1" applyBorder="1" applyAlignment="1">
      <alignment horizontal="center" vertical="center" wrapText="1"/>
    </xf>
    <xf numFmtId="0" fontId="17" fillId="0" borderId="0" xfId="0" applyFont="1" applyAlignment="1">
      <alignment vertical="center"/>
    </xf>
    <xf numFmtId="0" fontId="17" fillId="0" borderId="0" xfId="0" applyFont="1" applyBorder="1" applyAlignment="1"/>
    <xf numFmtId="0" fontId="17" fillId="0" borderId="0" xfId="0" applyFont="1" applyBorder="1"/>
    <xf numFmtId="0" fontId="17" fillId="0" borderId="0" xfId="0" applyFont="1" applyAlignment="1">
      <alignment horizontal="center" vertical="center"/>
    </xf>
    <xf numFmtId="0" fontId="17" fillId="0" borderId="0" xfId="0" applyFont="1" applyAlignment="1">
      <alignment horizontal="center"/>
    </xf>
    <xf numFmtId="0" fontId="25" fillId="9" borderId="0" xfId="0" applyFont="1" applyFill="1" applyBorder="1" applyAlignment="1">
      <alignment horizontal="center" vertical="center"/>
    </xf>
    <xf numFmtId="0" fontId="17" fillId="30" borderId="0" xfId="1" applyFont="1" applyFill="1" applyAlignment="1">
      <alignment horizontal="center" shrinkToFit="1"/>
    </xf>
    <xf numFmtId="0" fontId="25" fillId="33" borderId="0" xfId="1" applyFont="1" applyFill="1" applyAlignment="1">
      <alignment horizontal="center" shrinkToFit="1"/>
    </xf>
    <xf numFmtId="0" fontId="17" fillId="31" borderId="8" xfId="1" applyFont="1" applyFill="1" applyBorder="1" applyAlignment="1">
      <alignment horizontal="center" shrinkToFit="1"/>
    </xf>
    <xf numFmtId="0" fontId="17" fillId="31" borderId="30" xfId="1" applyFont="1" applyFill="1" applyBorder="1" applyAlignment="1">
      <alignment horizontal="center"/>
    </xf>
    <xf numFmtId="0" fontId="17" fillId="3" borderId="8" xfId="1" applyFont="1" applyFill="1" applyBorder="1" applyAlignment="1">
      <alignment horizontal="center"/>
    </xf>
    <xf numFmtId="0" fontId="17" fillId="3" borderId="29" xfId="1" applyFont="1" applyFill="1" applyBorder="1" applyAlignment="1">
      <alignment horizontal="center"/>
    </xf>
    <xf numFmtId="0" fontId="17" fillId="3" borderId="30" xfId="1" applyFont="1" applyFill="1" applyBorder="1" applyAlignment="1">
      <alignment horizontal="center"/>
    </xf>
    <xf numFmtId="0" fontId="17" fillId="32" borderId="9" xfId="1" applyFont="1" applyFill="1" applyBorder="1" applyAlignment="1">
      <alignment horizontal="center" shrinkToFit="1"/>
    </xf>
    <xf numFmtId="0" fontId="17" fillId="32" borderId="27" xfId="1" applyFont="1" applyFill="1" applyBorder="1" applyAlignment="1">
      <alignment horizontal="center"/>
    </xf>
    <xf numFmtId="0" fontId="17" fillId="31" borderId="9" xfId="1" applyFont="1" applyFill="1" applyBorder="1" applyAlignment="1">
      <alignment horizontal="center"/>
    </xf>
    <xf numFmtId="0" fontId="17" fillId="31" borderId="5" xfId="1" applyFont="1" applyFill="1" applyBorder="1" applyAlignment="1">
      <alignment horizontal="center"/>
    </xf>
    <xf numFmtId="0" fontId="17" fillId="31" borderId="27" xfId="1" applyFont="1" applyFill="1" applyBorder="1" applyAlignment="1">
      <alignment horizontal="center"/>
    </xf>
    <xf numFmtId="0" fontId="17" fillId="0" borderId="0" xfId="1" applyFont="1" applyAlignment="1">
      <alignment horizontal="center"/>
    </xf>
    <xf numFmtId="0" fontId="17" fillId="4" borderId="158" xfId="1" applyFont="1" applyFill="1" applyBorder="1" applyAlignment="1">
      <alignment horizontal="center" vertical="center"/>
    </xf>
    <xf numFmtId="0" fontId="23" fillId="0" borderId="40" xfId="1" applyFont="1" applyBorder="1" applyAlignment="1">
      <alignment horizontal="center" vertical="center"/>
    </xf>
    <xf numFmtId="0" fontId="23" fillId="0" borderId="6" xfId="1" applyFont="1" applyBorder="1" applyAlignment="1">
      <alignment horizontal="center" vertical="center"/>
    </xf>
    <xf numFmtId="0" fontId="17" fillId="0" borderId="0" xfId="1" applyFont="1" applyAlignment="1">
      <alignment horizontal="center" vertical="center"/>
    </xf>
    <xf numFmtId="0" fontId="23" fillId="0" borderId="227" xfId="1" applyFont="1" applyBorder="1" applyAlignment="1">
      <alignment horizontal="center" vertical="center"/>
    </xf>
    <xf numFmtId="0" fontId="17" fillId="0" borderId="228" xfId="1" applyNumberFormat="1" applyFont="1" applyBorder="1" applyAlignment="1">
      <alignment horizontal="center" vertical="center"/>
    </xf>
    <xf numFmtId="0" fontId="17" fillId="0" borderId="228" xfId="1" applyFont="1" applyBorder="1" applyAlignment="1">
      <alignment horizontal="center" vertical="center"/>
    </xf>
    <xf numFmtId="2" fontId="17" fillId="35" borderId="228" xfId="1" applyNumberFormat="1" applyFont="1" applyFill="1" applyBorder="1" applyAlignment="1">
      <alignment horizontal="center" vertical="center"/>
    </xf>
    <xf numFmtId="2" fontId="17" fillId="35" borderId="229" xfId="1" applyNumberFormat="1" applyFont="1" applyFill="1" applyBorder="1" applyAlignment="1">
      <alignment horizontal="center" vertical="center"/>
    </xf>
    <xf numFmtId="0" fontId="23" fillId="24" borderId="183" xfId="1" applyFont="1" applyFill="1" applyBorder="1" applyAlignment="1">
      <alignment horizontal="center" vertical="center"/>
    </xf>
    <xf numFmtId="0" fontId="17" fillId="24" borderId="114" xfId="1" applyNumberFormat="1" applyFont="1" applyFill="1" applyBorder="1" applyAlignment="1">
      <alignment horizontal="center" vertical="center"/>
    </xf>
    <xf numFmtId="0" fontId="17" fillId="24" borderId="114" xfId="1" applyFont="1" applyFill="1" applyBorder="1" applyAlignment="1">
      <alignment horizontal="center" vertical="center"/>
    </xf>
    <xf numFmtId="2" fontId="17" fillId="34" borderId="114" xfId="1" applyNumberFormat="1" applyFont="1" applyFill="1" applyBorder="1" applyAlignment="1">
      <alignment horizontal="center" vertical="center"/>
    </xf>
    <xf numFmtId="2" fontId="17" fillId="34" borderId="184" xfId="1" applyNumberFormat="1" applyFont="1" applyFill="1" applyBorder="1" applyAlignment="1">
      <alignment horizontal="center" vertical="center"/>
    </xf>
    <xf numFmtId="0" fontId="17" fillId="0" borderId="211" xfId="1" applyFont="1" applyBorder="1" applyAlignment="1"/>
    <xf numFmtId="0" fontId="17" fillId="0" borderId="212" xfId="1" applyFont="1" applyBorder="1" applyAlignment="1"/>
    <xf numFmtId="0" fontId="17" fillId="0" borderId="213" xfId="1" applyFont="1" applyBorder="1" applyAlignment="1"/>
    <xf numFmtId="0" fontId="17" fillId="0" borderId="214" xfId="1" applyFont="1" applyBorder="1" applyAlignment="1"/>
    <xf numFmtId="0" fontId="17" fillId="0" borderId="0" xfId="1" applyFont="1" applyBorder="1" applyAlignment="1"/>
    <xf numFmtId="0" fontId="17" fillId="0" borderId="89" xfId="1" applyFont="1" applyBorder="1" applyAlignment="1"/>
    <xf numFmtId="0" fontId="17" fillId="0" borderId="196" xfId="1" applyFont="1" applyBorder="1" applyAlignment="1"/>
    <xf numFmtId="0" fontId="17" fillId="0" borderId="109" xfId="1" applyFont="1" applyBorder="1"/>
    <xf numFmtId="0" fontId="17" fillId="0" borderId="109" xfId="1" applyFont="1" applyBorder="1" applyAlignment="1"/>
    <xf numFmtId="0" fontId="17" fillId="0" borderId="110" xfId="1" applyFont="1" applyBorder="1"/>
    <xf numFmtId="0" fontId="20" fillId="4" borderId="187" xfId="1" applyFont="1" applyFill="1" applyBorder="1" applyAlignment="1">
      <alignment horizontal="center" vertical="center"/>
    </xf>
    <xf numFmtId="0" fontId="20" fillId="4" borderId="188" xfId="1" applyFont="1" applyFill="1" applyBorder="1" applyAlignment="1">
      <alignment horizontal="center" vertical="center"/>
    </xf>
    <xf numFmtId="0" fontId="20" fillId="4" borderId="189" xfId="1" applyFont="1" applyFill="1" applyBorder="1" applyAlignment="1">
      <alignment horizontal="center" vertical="center"/>
    </xf>
    <xf numFmtId="0" fontId="23" fillId="0" borderId="185" xfId="1" applyFont="1" applyBorder="1" applyAlignment="1">
      <alignment horizontal="center" vertical="center"/>
    </xf>
    <xf numFmtId="0" fontId="17" fillId="0" borderId="29" xfId="1" applyNumberFormat="1" applyFont="1" applyBorder="1" applyAlignment="1">
      <alignment horizontal="center" vertical="center"/>
    </xf>
    <xf numFmtId="0" fontId="17" fillId="0" borderId="29" xfId="1" applyFont="1" applyBorder="1" applyAlignment="1">
      <alignment horizontal="center" vertical="center"/>
    </xf>
    <xf numFmtId="2" fontId="17" fillId="35" borderId="29" xfId="1" applyNumberFormat="1" applyFont="1" applyFill="1" applyBorder="1" applyAlignment="1">
      <alignment horizontal="center" vertical="center"/>
    </xf>
    <xf numFmtId="2" fontId="17" fillId="35" borderId="182" xfId="1" applyNumberFormat="1" applyFont="1" applyFill="1" applyBorder="1" applyAlignment="1">
      <alignment horizontal="center" vertical="center"/>
    </xf>
    <xf numFmtId="0" fontId="20" fillId="4" borderId="223" xfId="1" applyFont="1" applyFill="1" applyBorder="1" applyAlignment="1">
      <alignment horizontal="center" vertical="center"/>
    </xf>
    <xf numFmtId="0" fontId="20" fillId="4" borderId="57" xfId="1" applyFont="1" applyFill="1" applyBorder="1" applyAlignment="1">
      <alignment horizontal="center" vertical="center"/>
    </xf>
    <xf numFmtId="0" fontId="20" fillId="4" borderId="224" xfId="1" applyFont="1" applyFill="1" applyBorder="1" applyAlignment="1">
      <alignment horizontal="center" vertical="center"/>
    </xf>
    <xf numFmtId="0" fontId="17" fillId="0" borderId="0" xfId="1" applyFont="1" applyBorder="1" applyAlignment="1">
      <alignment horizontal="center" vertical="center"/>
    </xf>
    <xf numFmtId="0" fontId="17" fillId="0" borderId="0" xfId="1" applyFont="1" applyBorder="1" applyAlignment="1">
      <alignment horizontal="right" vertical="center" shrinkToFit="1"/>
    </xf>
    <xf numFmtId="0" fontId="20" fillId="4" borderId="206"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1" applyFont="1" applyFill="1" applyBorder="1" applyAlignment="1">
      <alignment horizontal="center" vertical="center"/>
    </xf>
    <xf numFmtId="0" fontId="17" fillId="19" borderId="181" xfId="1" applyFont="1" applyFill="1" applyBorder="1" applyAlignment="1">
      <alignment horizontal="center" vertical="center"/>
    </xf>
    <xf numFmtId="0" fontId="17" fillId="24" borderId="185" xfId="1" applyFont="1" applyFill="1" applyBorder="1" applyAlignment="1">
      <alignment horizontal="center" vertical="center"/>
    </xf>
    <xf numFmtId="0" fontId="17" fillId="24" borderId="29" xfId="1" applyFont="1" applyFill="1" applyBorder="1" applyAlignment="1">
      <alignment horizontal="center" vertical="center"/>
    </xf>
    <xf numFmtId="0" fontId="17" fillId="0" borderId="29" xfId="1" applyFont="1" applyBorder="1" applyAlignment="1">
      <alignment vertical="center"/>
    </xf>
    <xf numFmtId="0" fontId="17" fillId="0" borderId="182" xfId="1" applyFont="1" applyBorder="1" applyAlignment="1">
      <alignment horizontal="center" vertical="center"/>
    </xf>
    <xf numFmtId="0" fontId="17" fillId="0" borderId="0" xfId="1" applyFont="1" applyFill="1" applyBorder="1"/>
    <xf numFmtId="0" fontId="17" fillId="0" borderId="181" xfId="1" applyFont="1" applyFill="1" applyBorder="1" applyAlignment="1">
      <alignment horizontal="center" vertical="center"/>
    </xf>
    <xf numFmtId="0" fontId="17" fillId="36" borderId="118" xfId="1" applyFont="1" applyFill="1" applyBorder="1" applyAlignment="1">
      <alignment horizontal="center" vertical="center"/>
    </xf>
    <xf numFmtId="0" fontId="17" fillId="36" borderId="114" xfId="1" applyFont="1" applyFill="1" applyBorder="1" applyAlignment="1">
      <alignment horizontal="center" vertical="center"/>
    </xf>
    <xf numFmtId="0" fontId="17" fillId="24" borderId="114" xfId="1" applyFont="1" applyFill="1" applyBorder="1" applyAlignment="1">
      <alignment vertical="center"/>
    </xf>
    <xf numFmtId="0" fontId="17" fillId="24" borderId="184" xfId="1" applyFont="1" applyFill="1" applyBorder="1" applyAlignment="1">
      <alignment horizontal="center" vertical="center"/>
    </xf>
    <xf numFmtId="0" fontId="17" fillId="0" borderId="0" xfId="1" applyFont="1" applyFill="1"/>
    <xf numFmtId="0" fontId="23" fillId="0" borderId="0" xfId="1" applyFont="1" applyAlignment="1">
      <alignment horizontal="center"/>
    </xf>
    <xf numFmtId="0" fontId="17" fillId="36" borderId="79" xfId="1" applyFont="1" applyFill="1" applyBorder="1" applyAlignment="1">
      <alignment horizontal="center" vertical="center"/>
    </xf>
    <xf numFmtId="0" fontId="17" fillId="36" borderId="160" xfId="1" applyFont="1" applyFill="1" applyBorder="1" applyAlignment="1">
      <alignment horizontal="center" vertical="center"/>
    </xf>
    <xf numFmtId="0" fontId="17" fillId="24" borderId="160" xfId="1" applyFont="1" applyFill="1" applyBorder="1" applyAlignment="1">
      <alignment horizontal="center" vertical="center"/>
    </xf>
    <xf numFmtId="0" fontId="17" fillId="24" borderId="160" xfId="1" applyFont="1" applyFill="1" applyBorder="1" applyAlignment="1">
      <alignment vertical="center"/>
    </xf>
    <xf numFmtId="0" fontId="17" fillId="24" borderId="186" xfId="1" applyFont="1" applyFill="1" applyBorder="1" applyAlignment="1">
      <alignment horizontal="center" vertical="center"/>
    </xf>
    <xf numFmtId="0" fontId="25" fillId="9" borderId="121" xfId="0" applyFont="1" applyFill="1" applyBorder="1" applyAlignment="1">
      <alignment horizontal="center" vertical="center"/>
    </xf>
    <xf numFmtId="0" fontId="25" fillId="9" borderId="88" xfId="0" applyFont="1" applyFill="1" applyBorder="1" applyAlignment="1">
      <alignment horizontal="center" vertical="center"/>
    </xf>
    <xf numFmtId="0" fontId="17" fillId="7" borderId="93" xfId="8" applyFont="1" applyFill="1" applyBorder="1" applyAlignment="1">
      <alignment horizontal="center" vertical="center"/>
    </xf>
    <xf numFmtId="0" fontId="17" fillId="0" borderId="111" xfId="0" applyFont="1" applyBorder="1" applyAlignment="1"/>
    <xf numFmtId="0" fontId="17" fillId="0" borderId="0" xfId="1" applyFont="1" applyAlignment="1"/>
    <xf numFmtId="0" fontId="20" fillId="4" borderId="144" xfId="8" applyFont="1" applyFill="1" applyBorder="1" applyAlignment="1">
      <alignment horizontal="center" vertical="center"/>
    </xf>
    <xf numFmtId="0" fontId="20" fillId="4" borderId="145" xfId="8" applyFont="1" applyFill="1" applyBorder="1" applyAlignment="1">
      <alignment horizontal="center" vertical="center" wrapText="1"/>
    </xf>
    <xf numFmtId="0" fontId="21" fillId="4" borderId="146" xfId="8" applyFont="1" applyFill="1" applyBorder="1" applyAlignment="1">
      <alignment horizontal="center" vertical="center" textRotation="90"/>
    </xf>
    <xf numFmtId="0" fontId="21" fillId="4" borderId="147" xfId="8" applyFont="1" applyFill="1" applyBorder="1" applyAlignment="1">
      <alignment horizontal="center" vertical="center" textRotation="90"/>
    </xf>
    <xf numFmtId="0" fontId="21" fillId="4" borderId="148" xfId="8" applyFont="1" applyFill="1" applyBorder="1" applyAlignment="1">
      <alignment horizontal="center" vertical="center" textRotation="90"/>
    </xf>
    <xf numFmtId="0" fontId="20" fillId="4" borderId="134" xfId="8" applyFont="1" applyFill="1" applyBorder="1" applyAlignment="1">
      <alignment horizontal="center" vertical="center"/>
    </xf>
    <xf numFmtId="0" fontId="20" fillId="4" borderId="147" xfId="8" applyFont="1" applyFill="1" applyBorder="1" applyAlignment="1">
      <alignment horizontal="center" vertical="center"/>
    </xf>
    <xf numFmtId="0" fontId="20" fillId="4" borderId="141" xfId="8" applyFont="1" applyFill="1" applyBorder="1" applyAlignment="1">
      <alignment horizontal="center" vertical="center" wrapText="1"/>
    </xf>
    <xf numFmtId="0" fontId="20" fillId="4" borderId="142" xfId="8" applyFont="1" applyFill="1" applyBorder="1" applyAlignment="1">
      <alignment horizontal="center" vertical="center" wrapText="1"/>
    </xf>
    <xf numFmtId="0" fontId="20" fillId="5" borderId="150" xfId="8" applyFont="1" applyFill="1" applyBorder="1" applyAlignment="1">
      <alignment horizontal="center" vertical="center" wrapText="1"/>
    </xf>
    <xf numFmtId="0" fontId="20" fillId="5" borderId="151" xfId="8" applyFont="1" applyFill="1" applyBorder="1" applyAlignment="1">
      <alignment horizontal="center" vertical="center" wrapText="1"/>
    </xf>
    <xf numFmtId="0" fontId="20" fillId="5" borderId="152" xfId="8" applyFont="1" applyFill="1" applyBorder="1" applyAlignment="1">
      <alignment horizontal="center" vertical="center" wrapText="1"/>
    </xf>
    <xf numFmtId="0" fontId="20" fillId="5" borderId="153" xfId="8" applyFont="1" applyFill="1" applyBorder="1" applyAlignment="1">
      <alignment horizontal="center" vertical="center" wrapText="1"/>
    </xf>
    <xf numFmtId="0" fontId="20" fillId="5" borderId="141" xfId="8" applyFont="1" applyFill="1" applyBorder="1" applyAlignment="1">
      <alignment horizontal="center" vertical="center" wrapText="1"/>
    </xf>
    <xf numFmtId="0" fontId="15" fillId="0" borderId="152" xfId="8" applyFont="1" applyFill="1" applyBorder="1" applyAlignment="1">
      <alignment horizontal="center" vertical="center"/>
    </xf>
    <xf numFmtId="0" fontId="15" fillId="22" borderId="152" xfId="8" applyFont="1" applyFill="1" applyBorder="1" applyAlignment="1">
      <alignment horizontal="center" vertical="center"/>
    </xf>
    <xf numFmtId="0" fontId="15" fillId="0" borderId="114" xfId="8" applyFont="1" applyFill="1" applyBorder="1" applyAlignment="1">
      <alignment horizontal="center" vertical="center"/>
    </xf>
    <xf numFmtId="0" fontId="15" fillId="22" borderId="114" xfId="8" applyFont="1" applyFill="1" applyBorder="1" applyAlignment="1">
      <alignment horizontal="center" vertical="center"/>
    </xf>
    <xf numFmtId="0" fontId="15" fillId="13" borderId="114" xfId="8" applyFont="1" applyFill="1" applyBorder="1" applyAlignment="1">
      <alignment horizontal="center" vertical="center"/>
    </xf>
    <xf numFmtId="0" fontId="14" fillId="22" borderId="29" xfId="8" applyFont="1" applyFill="1" applyBorder="1" applyAlignment="1">
      <alignment horizontal="center" vertical="center"/>
    </xf>
    <xf numFmtId="0" fontId="14" fillId="22" borderId="43" xfId="8" applyFont="1" applyFill="1" applyBorder="1" applyAlignment="1">
      <alignment horizontal="center" vertical="center"/>
    </xf>
    <xf numFmtId="0" fontId="14" fillId="22" borderId="126" xfId="8" applyFont="1" applyFill="1" applyBorder="1" applyAlignment="1">
      <alignment horizontal="center" vertical="center"/>
    </xf>
    <xf numFmtId="0" fontId="14" fillId="22" borderId="127" xfId="8" applyFont="1" applyFill="1" applyBorder="1" applyAlignment="1">
      <alignment horizontal="center" vertical="center"/>
    </xf>
    <xf numFmtId="0" fontId="24" fillId="0" borderId="0" xfId="8" applyFont="1" applyBorder="1" applyAlignment="1">
      <alignment horizontal="center"/>
    </xf>
    <xf numFmtId="0" fontId="24" fillId="0" borderId="44" xfId="8" applyFont="1" applyBorder="1" applyAlignment="1">
      <alignment horizontal="center"/>
    </xf>
    <xf numFmtId="0" fontId="24" fillId="0" borderId="129" xfId="8" applyFont="1" applyBorder="1" applyAlignment="1">
      <alignment horizontal="center"/>
    </xf>
    <xf numFmtId="0" fontId="13" fillId="22" borderId="143" xfId="8" applyFont="1" applyFill="1" applyBorder="1" applyAlignment="1">
      <alignment horizontal="center" vertical="center" wrapText="1"/>
    </xf>
    <xf numFmtId="0" fontId="20" fillId="5" borderId="135" xfId="8" applyFont="1" applyFill="1" applyBorder="1" applyAlignment="1">
      <alignment horizontal="center" vertical="center" wrapText="1"/>
    </xf>
    <xf numFmtId="0" fontId="13" fillId="22" borderId="150" xfId="8" applyFont="1" applyFill="1" applyBorder="1" applyAlignment="1">
      <alignment horizontal="center" wrapText="1"/>
    </xf>
    <xf numFmtId="0" fontId="13" fillId="5" borderId="140" xfId="8" applyFont="1" applyFill="1" applyBorder="1" applyAlignment="1">
      <alignment horizontal="center"/>
    </xf>
    <xf numFmtId="0" fontId="14" fillId="22" borderId="57" xfId="8" applyFont="1" applyFill="1" applyBorder="1" applyAlignment="1">
      <alignment horizontal="center" vertical="center"/>
    </xf>
    <xf numFmtId="0" fontId="14" fillId="22" borderId="130" xfId="8" applyFont="1" applyFill="1" applyBorder="1" applyAlignment="1">
      <alignment horizontal="center" vertical="center"/>
    </xf>
    <xf numFmtId="0" fontId="13" fillId="5" borderId="157" xfId="8" applyFont="1" applyFill="1" applyBorder="1" applyAlignment="1">
      <alignment horizontal="center"/>
    </xf>
    <xf numFmtId="0" fontId="14" fillId="22" borderId="136" xfId="8" applyFont="1" applyFill="1" applyBorder="1" applyAlignment="1">
      <alignment horizontal="center" vertical="center"/>
    </xf>
    <xf numFmtId="0" fontId="24" fillId="0" borderId="141" xfId="8" applyFont="1" applyBorder="1" applyAlignment="1">
      <alignment horizontal="center"/>
    </xf>
    <xf numFmtId="0" fontId="17" fillId="2" borderId="0" xfId="1" applyFont="1" applyFill="1"/>
    <xf numFmtId="0" fontId="17" fillId="3" borderId="3" xfId="1" applyFont="1" applyFill="1" applyBorder="1" applyAlignment="1">
      <alignment horizontal="right" wrapText="1"/>
    </xf>
    <xf numFmtId="0" fontId="23" fillId="3" borderId="0" xfId="1" applyFont="1" applyFill="1" applyBorder="1" applyAlignment="1">
      <alignment horizontal="center" wrapText="1"/>
    </xf>
    <xf numFmtId="0" fontId="17" fillId="3" borderId="0" xfId="1" applyFont="1" applyFill="1" applyBorder="1"/>
    <xf numFmtId="0" fontId="23" fillId="3" borderId="0" xfId="1" applyFont="1" applyFill="1" applyBorder="1" applyAlignment="1">
      <alignment horizontal="left" wrapText="1"/>
    </xf>
    <xf numFmtId="0" fontId="17" fillId="3" borderId="0" xfId="1" applyFont="1" applyFill="1" applyBorder="1" applyAlignment="1">
      <alignment horizontal="center"/>
    </xf>
    <xf numFmtId="0" fontId="38" fillId="3" borderId="0" xfId="2" applyNumberFormat="1" applyFont="1" applyFill="1" applyBorder="1" applyAlignment="1" applyProtection="1"/>
    <xf numFmtId="0" fontId="17" fillId="3" borderId="0" xfId="1" applyFont="1" applyFill="1" applyBorder="1" applyAlignment="1">
      <alignment wrapText="1"/>
    </xf>
    <xf numFmtId="0" fontId="17" fillId="3" borderId="0" xfId="1" applyFont="1" applyFill="1" applyBorder="1" applyAlignment="1">
      <alignment horizontal="left"/>
    </xf>
    <xf numFmtId="0" fontId="17" fillId="3" borderId="0" xfId="1" applyFont="1" applyFill="1" applyBorder="1" applyAlignment="1"/>
    <xf numFmtId="0" fontId="17" fillId="3" borderId="0" xfId="1" applyFont="1" applyFill="1" applyBorder="1" applyAlignment="1">
      <alignment horizontal="center" wrapText="1"/>
    </xf>
    <xf numFmtId="0" fontId="17" fillId="3" borderId="0" xfId="3" applyFont="1" applyFill="1" applyAlignment="1">
      <alignment vertical="center" wrapText="1"/>
    </xf>
    <xf numFmtId="0" fontId="17" fillId="0" borderId="0" xfId="3" applyFont="1" applyAlignment="1">
      <alignment vertical="center" wrapText="1"/>
    </xf>
    <xf numFmtId="0" fontId="17" fillId="3" borderId="0" xfId="3" applyFont="1" applyFill="1"/>
    <xf numFmtId="0" fontId="17" fillId="0" borderId="0" xfId="3" applyFont="1"/>
    <xf numFmtId="0" fontId="18" fillId="3" borderId="0" xfId="3" applyFont="1" applyFill="1" applyAlignment="1">
      <alignment vertical="top"/>
    </xf>
    <xf numFmtId="0" fontId="18" fillId="0" borderId="0" xfId="3" applyFont="1" applyAlignment="1">
      <alignment vertical="top"/>
    </xf>
    <xf numFmtId="0" fontId="17" fillId="3" borderId="0" xfId="3" applyFont="1" applyFill="1" applyBorder="1"/>
    <xf numFmtId="0" fontId="17" fillId="0" borderId="0" xfId="3" applyFont="1" applyBorder="1"/>
    <xf numFmtId="0" fontId="17" fillId="3" borderId="13" xfId="9" applyFont="1" applyFill="1" applyBorder="1" applyAlignment="1">
      <alignment horizontal="left"/>
    </xf>
    <xf numFmtId="0" fontId="17" fillId="3" borderId="14" xfId="9" applyFont="1" applyFill="1" applyBorder="1" applyAlignment="1">
      <alignment horizontal="left"/>
    </xf>
    <xf numFmtId="0" fontId="17" fillId="3" borderId="76" xfId="9" applyFont="1" applyFill="1" applyBorder="1" applyAlignment="1">
      <alignment horizontal="left"/>
    </xf>
    <xf numFmtId="0" fontId="17" fillId="3" borderId="77" xfId="9" applyFont="1" applyFill="1" applyBorder="1" applyAlignment="1">
      <alignment horizontal="left"/>
    </xf>
    <xf numFmtId="0" fontId="24" fillId="3" borderId="0" xfId="3" applyFont="1" applyFill="1"/>
    <xf numFmtId="0" fontId="17" fillId="3" borderId="116" xfId="9" applyFont="1" applyFill="1" applyBorder="1" applyAlignment="1">
      <alignment horizontal="left"/>
    </xf>
    <xf numFmtId="0" fontId="17" fillId="3" borderId="117" xfId="9" applyFont="1" applyFill="1" applyBorder="1" applyAlignment="1">
      <alignment horizontal="left"/>
    </xf>
    <xf numFmtId="0" fontId="17" fillId="3" borderId="119" xfId="9" applyFont="1" applyFill="1" applyBorder="1" applyAlignment="1">
      <alignment horizontal="left"/>
    </xf>
    <xf numFmtId="0" fontId="17" fillId="3" borderId="120" xfId="9" applyFont="1" applyFill="1" applyBorder="1" applyAlignment="1">
      <alignment horizontal="left"/>
    </xf>
    <xf numFmtId="0" fontId="17" fillId="3" borderId="44" xfId="3" applyFont="1" applyFill="1" applyBorder="1" applyAlignment="1"/>
    <xf numFmtId="0" fontId="17" fillId="3" borderId="66" xfId="3" applyFont="1" applyFill="1" applyBorder="1" applyAlignment="1"/>
    <xf numFmtId="0" fontId="17" fillId="3" borderId="13" xfId="3" applyFont="1" applyFill="1" applyBorder="1" applyAlignment="1"/>
    <xf numFmtId="0" fontId="17" fillId="3" borderId="14" xfId="3" applyFont="1" applyFill="1" applyBorder="1" applyAlignment="1"/>
    <xf numFmtId="0" fontId="17" fillId="3" borderId="16" xfId="3" applyFont="1" applyFill="1" applyBorder="1" applyAlignment="1"/>
    <xf numFmtId="0" fontId="17" fillId="3" borderId="17" xfId="3" applyFont="1" applyFill="1" applyBorder="1" applyAlignment="1"/>
    <xf numFmtId="0" fontId="17" fillId="3" borderId="19" xfId="3" applyFont="1" applyFill="1" applyBorder="1" applyAlignment="1"/>
    <xf numFmtId="0" fontId="17" fillId="3" borderId="20" xfId="3" applyFont="1" applyFill="1" applyBorder="1" applyAlignment="1"/>
    <xf numFmtId="0" fontId="24" fillId="0" borderId="0" xfId="3" applyFont="1"/>
    <xf numFmtId="0" fontId="23" fillId="3" borderId="5" xfId="3" applyFont="1" applyFill="1" applyBorder="1" applyAlignment="1">
      <alignment horizontal="center" vertical="center"/>
    </xf>
    <xf numFmtId="0" fontId="17" fillId="0" borderId="0" xfId="8" applyFont="1"/>
    <xf numFmtId="0" fontId="21" fillId="4" borderId="32" xfId="1" applyFont="1" applyFill="1" applyBorder="1" applyAlignment="1">
      <alignment horizontal="center"/>
    </xf>
    <xf numFmtId="0" fontId="20" fillId="4" borderId="46" xfId="1" applyFont="1" applyFill="1" applyBorder="1" applyAlignment="1">
      <alignment horizontal="center"/>
    </xf>
    <xf numFmtId="0" fontId="20" fillId="4" borderId="32" xfId="1" applyFont="1" applyFill="1" applyBorder="1" applyAlignment="1">
      <alignment horizontal="center"/>
    </xf>
    <xf numFmtId="9" fontId="20" fillId="4" borderId="32" xfId="1" applyNumberFormat="1" applyFont="1" applyFill="1" applyBorder="1" applyAlignment="1">
      <alignment horizontal="center"/>
    </xf>
    <xf numFmtId="0" fontId="21" fillId="4" borderId="22" xfId="1" applyFont="1" applyFill="1" applyBorder="1" applyAlignment="1">
      <alignment horizontal="center" vertical="center" textRotation="90" shrinkToFit="1"/>
    </xf>
    <xf numFmtId="0" fontId="21" fillId="4" borderId="37" xfId="1" applyFont="1" applyFill="1" applyBorder="1" applyAlignment="1">
      <alignment horizontal="center" vertical="center" textRotation="90" wrapText="1"/>
    </xf>
    <xf numFmtId="0" fontId="21" fillId="4" borderId="21" xfId="1" applyFont="1" applyFill="1" applyBorder="1" applyAlignment="1">
      <alignment horizontal="center" vertical="center" textRotation="90" shrinkToFit="1"/>
    </xf>
    <xf numFmtId="0" fontId="21" fillId="4" borderId="35" xfId="1" applyFont="1" applyFill="1" applyBorder="1" applyAlignment="1">
      <alignment horizontal="center" vertical="center" textRotation="90" shrinkToFit="1"/>
    </xf>
    <xf numFmtId="0" fontId="21" fillId="4" borderId="58" xfId="1" applyFont="1" applyFill="1" applyBorder="1" applyAlignment="1">
      <alignment horizontal="center" vertical="center" textRotation="90" shrinkToFit="1"/>
    </xf>
    <xf numFmtId="165" fontId="21" fillId="4" borderId="21" xfId="1" applyNumberFormat="1" applyFont="1" applyFill="1" applyBorder="1" applyAlignment="1">
      <alignment horizontal="center" vertical="center" textRotation="90" wrapText="1" shrinkToFit="1"/>
    </xf>
    <xf numFmtId="2" fontId="21" fillId="4" borderId="22" xfId="1" applyNumberFormat="1" applyFont="1" applyFill="1" applyBorder="1" applyAlignment="1">
      <alignment horizontal="center" vertical="center" textRotation="90" wrapText="1" shrinkToFit="1"/>
    </xf>
    <xf numFmtId="0" fontId="21" fillId="4" borderId="23" xfId="1" applyFont="1" applyFill="1" applyBorder="1" applyAlignment="1">
      <alignment horizontal="center" vertical="center" textRotation="90" shrinkToFit="1"/>
    </xf>
    <xf numFmtId="0" fontId="21" fillId="4" borderId="24" xfId="1" applyFont="1" applyFill="1" applyBorder="1" applyAlignment="1">
      <alignment horizontal="center" vertical="center" textRotation="90" shrinkToFit="1"/>
    </xf>
    <xf numFmtId="165" fontId="21" fillId="4" borderId="23" xfId="1" applyNumberFormat="1" applyFont="1" applyFill="1" applyBorder="1" applyAlignment="1">
      <alignment horizontal="center" vertical="center" textRotation="90" shrinkToFit="1"/>
    </xf>
    <xf numFmtId="9" fontId="21" fillId="4" borderId="24" xfId="1" applyNumberFormat="1" applyFont="1" applyFill="1" applyBorder="1" applyAlignment="1">
      <alignment horizontal="center" vertical="center" textRotation="90" shrinkToFit="1"/>
    </xf>
    <xf numFmtId="9" fontId="21" fillId="4" borderId="23" xfId="1" applyNumberFormat="1" applyFont="1" applyFill="1" applyBorder="1" applyAlignment="1">
      <alignment horizontal="center" vertical="center" textRotation="90" wrapText="1" shrinkToFit="1"/>
    </xf>
    <xf numFmtId="9" fontId="21" fillId="4" borderId="24" xfId="1" applyNumberFormat="1" applyFont="1" applyFill="1" applyBorder="1" applyAlignment="1">
      <alignment horizontal="center" vertical="center" textRotation="90" wrapText="1" shrinkToFit="1"/>
    </xf>
    <xf numFmtId="9" fontId="21" fillId="4" borderId="32" xfId="1" applyNumberFormat="1" applyFont="1" applyFill="1" applyBorder="1" applyAlignment="1">
      <alignment horizontal="center" vertical="center" textRotation="90" wrapText="1" shrinkToFit="1"/>
    </xf>
    <xf numFmtId="0" fontId="20" fillId="4" borderId="24" xfId="1" applyFont="1" applyFill="1" applyBorder="1" applyAlignment="1">
      <alignment horizontal="center" vertical="center" textRotation="90"/>
    </xf>
    <xf numFmtId="0" fontId="22" fillId="0" borderId="25" xfId="1" applyFont="1" applyBorder="1" applyAlignment="1">
      <alignment shrinkToFit="1"/>
    </xf>
    <xf numFmtId="0" fontId="22" fillId="3" borderId="25" xfId="1" applyFont="1" applyFill="1" applyBorder="1" applyAlignment="1"/>
    <xf numFmtId="0" fontId="22" fillId="0" borderId="41" xfId="1" applyFont="1" applyBorder="1" applyAlignment="1">
      <alignment shrinkToFit="1"/>
    </xf>
    <xf numFmtId="0" fontId="22" fillId="0" borderId="5" xfId="1" applyFont="1" applyBorder="1" applyAlignment="1">
      <alignment shrinkToFit="1"/>
    </xf>
    <xf numFmtId="0" fontId="22" fillId="3" borderId="5" xfId="1" applyFont="1" applyFill="1" applyBorder="1" applyAlignment="1"/>
    <xf numFmtId="0" fontId="22" fillId="3" borderId="115" xfId="1" applyFont="1" applyFill="1" applyBorder="1" applyAlignment="1"/>
    <xf numFmtId="0" fontId="22" fillId="0" borderId="12" xfId="1" applyFont="1" applyBorder="1" applyAlignment="1">
      <alignment shrinkToFit="1"/>
    </xf>
    <xf numFmtId="49" fontId="17" fillId="0" borderId="0" xfId="1" applyNumberFormat="1" applyFont="1" applyAlignment="1">
      <alignment horizontal="center"/>
    </xf>
    <xf numFmtId="1" fontId="17" fillId="0" borderId="0" xfId="1" applyNumberFormat="1" applyFont="1"/>
    <xf numFmtId="165" fontId="17" fillId="0" borderId="0" xfId="1" applyNumberFormat="1" applyFont="1"/>
    <xf numFmtId="2" fontId="17" fillId="0" borderId="0" xfId="1" applyNumberFormat="1" applyFont="1"/>
    <xf numFmtId="49" fontId="17" fillId="0" borderId="0" xfId="1" applyNumberFormat="1" applyFont="1"/>
    <xf numFmtId="9" fontId="17" fillId="0" borderId="0" xfId="1" applyNumberFormat="1" applyFont="1"/>
    <xf numFmtId="0" fontId="14" fillId="0" borderId="31" xfId="1" applyFont="1" applyBorder="1"/>
    <xf numFmtId="0" fontId="14" fillId="0" borderId="37" xfId="1" applyFont="1" applyBorder="1"/>
    <xf numFmtId="0" fontId="14" fillId="0" borderId="38" xfId="1" applyFont="1" applyBorder="1"/>
    <xf numFmtId="0" fontId="14" fillId="0" borderId="0" xfId="1" applyFont="1"/>
    <xf numFmtId="0" fontId="14" fillId="0" borderId="1" xfId="1" applyFont="1" applyBorder="1"/>
    <xf numFmtId="0" fontId="14" fillId="0" borderId="2" xfId="1" applyFont="1" applyBorder="1"/>
    <xf numFmtId="0" fontId="30" fillId="0" borderId="0" xfId="1" applyFont="1" applyBorder="1" applyAlignment="1">
      <alignment horizontal="center"/>
    </xf>
    <xf numFmtId="49" fontId="30" fillId="0" borderId="0" xfId="1" applyNumberFormat="1" applyFont="1" applyBorder="1"/>
    <xf numFmtId="0" fontId="14" fillId="0" borderId="0" xfId="1" applyFont="1" applyBorder="1" applyAlignment="1">
      <alignment shrinkToFit="1"/>
    </xf>
    <xf numFmtId="0" fontId="14" fillId="0" borderId="0" xfId="1" applyFont="1" applyAlignment="1">
      <alignment horizontal="center"/>
    </xf>
    <xf numFmtId="0" fontId="14" fillId="0" borderId="0" xfId="1" applyFont="1" applyBorder="1" applyAlignment="1"/>
    <xf numFmtId="0" fontId="14" fillId="0" borderId="3" xfId="1" applyFont="1" applyBorder="1"/>
    <xf numFmtId="0" fontId="14" fillId="0" borderId="65" xfId="1" applyFont="1" applyBorder="1"/>
    <xf numFmtId="0" fontId="14" fillId="0" borderId="56" xfId="1" applyFont="1" applyBorder="1"/>
    <xf numFmtId="0" fontId="17" fillId="0" borderId="0" xfId="1" applyFont="1" applyBorder="1" applyAlignment="1">
      <alignment vertical="center"/>
    </xf>
    <xf numFmtId="49" fontId="17" fillId="0" borderId="0" xfId="1" applyNumberFormat="1" applyFont="1" applyBorder="1" applyAlignment="1">
      <alignment horizontal="center" vertical="center"/>
    </xf>
    <xf numFmtId="0" fontId="17" fillId="0" borderId="0" xfId="1" applyFont="1" applyFill="1" applyBorder="1" applyAlignment="1">
      <alignment vertical="center"/>
    </xf>
    <xf numFmtId="0" fontId="23" fillId="0" borderId="0" xfId="1" applyFont="1" applyBorder="1" applyAlignment="1">
      <alignment horizontal="center" vertical="center"/>
    </xf>
    <xf numFmtId="49" fontId="17" fillId="0" borderId="0" xfId="1" applyNumberFormat="1" applyFont="1" applyBorder="1" applyAlignment="1">
      <alignment vertical="center"/>
    </xf>
    <xf numFmtId="0" fontId="17" fillId="0" borderId="0" xfId="1" applyFont="1" applyFill="1" applyAlignment="1">
      <alignment horizontal="center"/>
    </xf>
    <xf numFmtId="0" fontId="23" fillId="0" borderId="0" xfId="1" applyFont="1"/>
    <xf numFmtId="0" fontId="17" fillId="4" borderId="0" xfId="1" applyFont="1" applyFill="1"/>
    <xf numFmtId="0" fontId="18" fillId="0" borderId="210" xfId="8" applyFont="1" applyFill="1" applyBorder="1" applyAlignment="1">
      <alignment horizontal="center" vertical="center"/>
    </xf>
    <xf numFmtId="0" fontId="18" fillId="0" borderId="210" xfId="0" applyFont="1" applyBorder="1" applyAlignment="1">
      <alignment horizontal="center" vertical="center"/>
    </xf>
    <xf numFmtId="0" fontId="18" fillId="0" borderId="88" xfId="0" applyFont="1" applyBorder="1" applyAlignment="1">
      <alignment horizontal="center" vertical="center"/>
    </xf>
    <xf numFmtId="0" fontId="46" fillId="0" borderId="210" xfId="8" applyFont="1" applyFill="1" applyBorder="1" applyAlignment="1">
      <alignment horizontal="center" vertical="center"/>
    </xf>
    <xf numFmtId="0" fontId="18" fillId="0" borderId="88" xfId="8" applyFont="1" applyFill="1" applyBorder="1" applyAlignment="1">
      <alignment horizontal="center" vertical="top" wrapText="1"/>
    </xf>
    <xf numFmtId="0" fontId="47" fillId="4" borderId="201" xfId="1" applyFont="1" applyFill="1" applyBorder="1" applyAlignment="1">
      <alignment horizontal="center" vertical="center" wrapText="1"/>
    </xf>
    <xf numFmtId="0" fontId="47" fillId="4" borderId="57" xfId="1" applyFont="1" applyFill="1" applyBorder="1" applyAlignment="1">
      <alignment horizontal="center" vertical="center" wrapText="1"/>
    </xf>
    <xf numFmtId="0" fontId="47" fillId="4" borderId="176" xfId="1" applyFont="1" applyFill="1" applyBorder="1" applyAlignment="1">
      <alignment horizontal="center" vertical="center" wrapText="1"/>
    </xf>
    <xf numFmtId="0" fontId="17" fillId="10" borderId="0" xfId="0" applyFont="1" applyFill="1" applyAlignment="1">
      <alignment horizontal="right"/>
    </xf>
    <xf numFmtId="0" fontId="17" fillId="10" borderId="212" xfId="0" applyFont="1" applyFill="1" applyBorder="1" applyAlignment="1">
      <alignment horizontal="right"/>
    </xf>
    <xf numFmtId="0" fontId="15" fillId="0" borderId="231" xfId="0" applyFont="1" applyBorder="1" applyAlignment="1">
      <alignment shrinkToFit="1"/>
    </xf>
    <xf numFmtId="0" fontId="17" fillId="10" borderId="214" xfId="0" applyFont="1" applyFill="1" applyBorder="1" applyAlignment="1">
      <alignment horizontal="right" vertical="top"/>
    </xf>
    <xf numFmtId="0" fontId="17" fillId="10" borderId="0" xfId="0" applyFont="1" applyFill="1" applyBorder="1" applyAlignment="1">
      <alignment horizontal="right"/>
    </xf>
    <xf numFmtId="0" fontId="17" fillId="10" borderId="196" xfId="0" applyFont="1" applyFill="1" applyBorder="1" applyAlignment="1">
      <alignment horizontal="right" vertical="top"/>
    </xf>
    <xf numFmtId="0" fontId="16" fillId="37" borderId="211" xfId="0" applyFont="1" applyFill="1" applyBorder="1" applyAlignment="1">
      <alignment horizontal="center"/>
    </xf>
    <xf numFmtId="0" fontId="17" fillId="10" borderId="96" xfId="0" applyFont="1" applyFill="1" applyBorder="1" applyAlignment="1">
      <alignment horizontal="right"/>
    </xf>
    <xf numFmtId="0" fontId="17" fillId="10" borderId="197" xfId="1" applyFont="1" applyFill="1" applyBorder="1" applyAlignment="1">
      <alignment horizontal="center" vertical="top" shrinkToFit="1"/>
    </xf>
    <xf numFmtId="0" fontId="19" fillId="37" borderId="109" xfId="1" applyFont="1" applyFill="1" applyBorder="1" applyAlignment="1">
      <alignment horizontal="center" vertical="center" shrinkToFit="1"/>
    </xf>
    <xf numFmtId="0" fontId="27" fillId="0" borderId="0" xfId="0" applyFont="1"/>
    <xf numFmtId="0" fontId="49" fillId="0" borderId="0" xfId="0" applyFont="1" applyAlignment="1">
      <alignment vertical="center"/>
    </xf>
    <xf numFmtId="0" fontId="29" fillId="0" borderId="210" xfId="0" applyFont="1" applyBorder="1" applyAlignment="1">
      <alignment horizontal="center" vertical="center"/>
    </xf>
    <xf numFmtId="0" fontId="27" fillId="0" borderId="0" xfId="0" applyFont="1" applyAlignment="1"/>
    <xf numFmtId="0" fontId="27" fillId="0" borderId="0" xfId="0" quotePrefix="1" applyFont="1" applyAlignment="1">
      <alignment horizontal="right"/>
    </xf>
    <xf numFmtId="0" fontId="27" fillId="0" borderId="0" xfId="0" quotePrefix="1" applyFont="1" applyAlignment="1">
      <alignment horizontal="right" vertical="top"/>
    </xf>
    <xf numFmtId="0" fontId="27" fillId="0" borderId="0" xfId="0" applyFont="1" applyAlignment="1">
      <alignment horizontal="left"/>
    </xf>
    <xf numFmtId="17" fontId="48" fillId="0" borderId="0" xfId="0" applyNumberFormat="1" applyFont="1" applyAlignment="1">
      <alignment horizontal="left"/>
    </xf>
    <xf numFmtId="14" fontId="27" fillId="0" borderId="0" xfId="0" applyNumberFormat="1" applyFont="1" applyAlignment="1">
      <alignment horizontal="center"/>
    </xf>
    <xf numFmtId="0" fontId="33" fillId="24" borderId="29" xfId="3" applyFont="1" applyFill="1" applyBorder="1" applyAlignment="1">
      <alignment horizontal="center" vertical="top"/>
    </xf>
    <xf numFmtId="0" fontId="36" fillId="36" borderId="6" xfId="3" applyFont="1" applyFill="1" applyBorder="1" applyAlignment="1">
      <alignment horizontal="center"/>
    </xf>
    <xf numFmtId="0" fontId="36" fillId="36" borderId="7" xfId="3" applyFont="1" applyFill="1" applyBorder="1" applyAlignment="1">
      <alignment horizontal="center"/>
    </xf>
    <xf numFmtId="0" fontId="36" fillId="24" borderId="8" xfId="3" applyFont="1" applyFill="1" applyBorder="1" applyAlignment="1">
      <alignment horizontal="center"/>
    </xf>
    <xf numFmtId="0" fontId="36" fillId="24" borderId="9" xfId="3" applyFont="1" applyFill="1" applyBorder="1" applyAlignment="1">
      <alignment horizontal="center"/>
    </xf>
    <xf numFmtId="0" fontId="33" fillId="36" borderId="9" xfId="3" applyFont="1" applyFill="1" applyBorder="1" applyAlignment="1">
      <alignment horizontal="center"/>
    </xf>
    <xf numFmtId="0" fontId="36" fillId="36" borderId="5" xfId="3" applyFont="1" applyFill="1" applyBorder="1" applyAlignment="1">
      <alignment horizontal="center"/>
    </xf>
    <xf numFmtId="0" fontId="37" fillId="24" borderId="9" xfId="3" applyFont="1" applyFill="1" applyBorder="1" applyAlignment="1">
      <alignment horizontal="center"/>
    </xf>
    <xf numFmtId="0" fontId="37" fillId="24" borderId="11"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6" fillId="24" borderId="9" xfId="3" applyFont="1" applyFill="1" applyBorder="1"/>
    <xf numFmtId="0" fontId="24" fillId="24" borderId="5" xfId="3" applyFont="1" applyFill="1" applyBorder="1"/>
    <xf numFmtId="0" fontId="24" fillId="24" borderId="5" xfId="3" applyFont="1" applyFill="1" applyBorder="1" applyAlignment="1">
      <alignment horizontal="center"/>
    </xf>
    <xf numFmtId="0" fontId="36" fillId="24" borderId="5" xfId="3" applyFont="1" applyFill="1" applyBorder="1"/>
    <xf numFmtId="0" fontId="33" fillId="36" borderId="6" xfId="3" applyFont="1" applyFill="1" applyBorder="1" applyAlignment="1">
      <alignment horizontal="center"/>
    </xf>
    <xf numFmtId="0" fontId="23" fillId="36" borderId="18" xfId="3" applyFont="1" applyFill="1" applyBorder="1" applyAlignment="1">
      <alignment horizontal="center" vertical="center"/>
    </xf>
    <xf numFmtId="0" fontId="33" fillId="36" borderId="7" xfId="3" applyFont="1" applyFill="1" applyBorder="1" applyAlignment="1"/>
    <xf numFmtId="0" fontId="36" fillId="36" borderId="21" xfId="3" applyFont="1" applyFill="1" applyBorder="1" applyAlignment="1"/>
    <xf numFmtId="0" fontId="36" fillId="36" borderId="22" xfId="3" applyFont="1" applyFill="1" applyBorder="1" applyAlignment="1"/>
    <xf numFmtId="0" fontId="36" fillId="36" borderId="23" xfId="3" applyFont="1" applyFill="1" applyBorder="1" applyAlignment="1"/>
    <xf numFmtId="0" fontId="36" fillId="36" borderId="24" xfId="3" applyFont="1" applyFill="1" applyBorder="1" applyAlignment="1"/>
    <xf numFmtId="49" fontId="22" fillId="24" borderId="40" xfId="1" applyNumberFormat="1" applyFont="1" applyFill="1" applyBorder="1" applyAlignment="1">
      <alignment horizontal="center" shrinkToFit="1"/>
    </xf>
    <xf numFmtId="49" fontId="22" fillId="24" borderId="9" xfId="1" applyNumberFormat="1" applyFont="1" applyFill="1" applyBorder="1" applyAlignment="1">
      <alignment horizontal="center" shrinkToFit="1"/>
    </xf>
    <xf numFmtId="0" fontId="22" fillId="24" borderId="27" xfId="1" applyFont="1" applyFill="1" applyBorder="1" applyAlignment="1"/>
    <xf numFmtId="0" fontId="22" fillId="24" borderId="55" xfId="1" applyFont="1" applyFill="1" applyBorder="1" applyAlignment="1"/>
    <xf numFmtId="0" fontId="22" fillId="24" borderId="26" xfId="1" applyFont="1" applyFill="1" applyBorder="1" applyAlignment="1"/>
    <xf numFmtId="49" fontId="15" fillId="38" borderId="36" xfId="1" applyNumberFormat="1" applyFont="1" applyFill="1" applyBorder="1" applyAlignment="1">
      <alignment horizontal="center"/>
    </xf>
    <xf numFmtId="0" fontId="22" fillId="38" borderId="21" xfId="1" applyFont="1" applyFill="1" applyBorder="1" applyAlignment="1">
      <alignment horizontal="center" wrapText="1"/>
    </xf>
    <xf numFmtId="0" fontId="24" fillId="38" borderId="34" xfId="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shrinkToFit="1"/>
    </xf>
    <xf numFmtId="0" fontId="24" fillId="38" borderId="33" xfId="1" applyFont="1" applyFill="1" applyBorder="1" applyAlignment="1">
      <alignment horizontal="center" vertical="center" textRotation="90" shrinkToFit="1"/>
    </xf>
    <xf numFmtId="0" fontId="24" fillId="38" borderId="23" xfId="1" applyFont="1" applyFill="1" applyBorder="1" applyAlignment="1">
      <alignment horizontal="center" vertical="center" textRotation="90" shrinkToFit="1"/>
    </xf>
    <xf numFmtId="0" fontId="24" fillId="38" borderId="24" xfId="1" applyFont="1" applyFill="1" applyBorder="1" applyAlignment="1">
      <alignment horizontal="center" vertical="center" textRotation="90" wrapText="1"/>
    </xf>
    <xf numFmtId="0" fontId="24" fillId="38" borderId="34" xfId="1" applyFont="1" applyFill="1" applyBorder="1" applyAlignment="1">
      <alignment horizontal="center" vertical="center" textRotation="90" wrapText="1" shrinkToFit="1"/>
    </xf>
    <xf numFmtId="1" fontId="24" fillId="38" borderId="57" xfId="1" applyNumberFormat="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wrapText="1" shrinkToFit="1"/>
    </xf>
    <xf numFmtId="1" fontId="24" fillId="38" borderId="21" xfId="1" applyNumberFormat="1" applyFont="1" applyFill="1" applyBorder="1" applyAlignment="1">
      <alignment horizontal="center" vertical="center" textRotation="90" shrinkToFit="1"/>
    </xf>
    <xf numFmtId="165" fontId="24" fillId="38" borderId="21" xfId="1" applyNumberFormat="1" applyFont="1" applyFill="1" applyBorder="1" applyAlignment="1">
      <alignment horizontal="center" vertical="center" textRotation="90" wrapText="1" shrinkToFit="1"/>
    </xf>
    <xf numFmtId="2" fontId="24" fillId="38" borderId="21" xfId="1" applyNumberFormat="1" applyFont="1" applyFill="1" applyBorder="1" applyAlignment="1">
      <alignment horizontal="center" vertical="center" textRotation="90" wrapText="1" shrinkToFit="1"/>
    </xf>
    <xf numFmtId="49" fontId="15" fillId="38" borderId="33" xfId="1" applyNumberFormat="1" applyFont="1" applyFill="1" applyBorder="1" applyAlignment="1">
      <alignment horizontal="center"/>
    </xf>
    <xf numFmtId="0" fontId="22" fillId="38" borderId="59" xfId="1" applyFont="1" applyFill="1" applyBorder="1" applyAlignment="1">
      <alignment horizontal="center" wrapText="1"/>
    </xf>
    <xf numFmtId="0" fontId="24" fillId="38" borderId="24" xfId="1" applyFont="1" applyFill="1" applyBorder="1" applyAlignment="1">
      <alignment horizontal="center" vertical="center" textRotation="90" shrinkToFit="1"/>
    </xf>
    <xf numFmtId="165" fontId="24" fillId="38" borderId="33" xfId="1" applyNumberFormat="1" applyFont="1" applyFill="1" applyBorder="1" applyAlignment="1">
      <alignment horizontal="center" vertical="center" textRotation="90" shrinkToFit="1"/>
    </xf>
    <xf numFmtId="9" fontId="24" fillId="38" borderId="23" xfId="1" applyNumberFormat="1" applyFont="1" applyFill="1" applyBorder="1" applyAlignment="1">
      <alignment horizontal="center" vertical="center" textRotation="90" shrinkToFit="1"/>
    </xf>
    <xf numFmtId="165" fontId="24" fillId="38" borderId="23" xfId="1" applyNumberFormat="1" applyFont="1" applyFill="1" applyBorder="1" applyAlignment="1">
      <alignment horizontal="center" vertical="center" textRotation="90" shrinkToFit="1"/>
    </xf>
    <xf numFmtId="0" fontId="22" fillId="38" borderId="23" xfId="1" applyFont="1" applyFill="1" applyBorder="1" applyAlignment="1">
      <alignment vertical="center"/>
    </xf>
    <xf numFmtId="9" fontId="22" fillId="38" borderId="47" xfId="1" applyNumberFormat="1" applyFont="1" applyFill="1" applyBorder="1" applyAlignment="1">
      <alignment vertical="center"/>
    </xf>
    <xf numFmtId="2" fontId="22" fillId="38" borderId="24" xfId="1" applyNumberFormat="1" applyFont="1" applyFill="1" applyBorder="1" applyAlignment="1">
      <alignment vertical="center"/>
    </xf>
    <xf numFmtId="0" fontId="22" fillId="38" borderId="33" xfId="1" applyFont="1" applyFill="1" applyBorder="1" applyAlignment="1">
      <alignment vertical="center"/>
    </xf>
    <xf numFmtId="9" fontId="22" fillId="38" borderId="23" xfId="1" applyNumberFormat="1" applyFont="1" applyFill="1" applyBorder="1" applyAlignment="1">
      <alignment vertical="center"/>
    </xf>
    <xf numFmtId="2" fontId="22" fillId="38" borderId="61" xfId="1" applyNumberFormat="1" applyFont="1" applyFill="1" applyBorder="1" applyAlignment="1">
      <alignment vertical="center"/>
    </xf>
    <xf numFmtId="1" fontId="22" fillId="38" borderId="33" xfId="1" applyNumberFormat="1" applyFont="1" applyFill="1" applyBorder="1" applyAlignment="1">
      <alignment vertical="center"/>
    </xf>
    <xf numFmtId="1" fontId="22" fillId="38" borderId="61" xfId="1" applyNumberFormat="1" applyFont="1" applyFill="1" applyBorder="1" applyAlignment="1">
      <alignment vertical="center"/>
    </xf>
    <xf numFmtId="1" fontId="22" fillId="38" borderId="23" xfId="1" applyNumberFormat="1" applyFont="1" applyFill="1" applyBorder="1" applyAlignment="1">
      <alignment vertical="center"/>
    </xf>
    <xf numFmtId="165" fontId="22" fillId="38" borderId="33" xfId="1" applyNumberFormat="1" applyFont="1" applyFill="1" applyBorder="1" applyAlignment="1">
      <alignment horizontal="center" vertical="center"/>
    </xf>
    <xf numFmtId="165" fontId="22" fillId="38" borderId="23" xfId="1" applyNumberFormat="1" applyFont="1" applyFill="1" applyBorder="1" applyAlignment="1">
      <alignment horizontal="center" vertical="center"/>
    </xf>
    <xf numFmtId="2" fontId="22" fillId="38" borderId="24" xfId="1" applyNumberFormat="1" applyFont="1" applyFill="1" applyBorder="1" applyAlignment="1">
      <alignment horizontal="center" vertical="center"/>
    </xf>
    <xf numFmtId="0" fontId="22" fillId="38" borderId="24" xfId="1" applyFont="1" applyFill="1" applyBorder="1" applyAlignment="1">
      <alignment vertical="center"/>
    </xf>
    <xf numFmtId="0" fontId="22" fillId="38" borderId="61" xfId="1" applyFont="1" applyFill="1" applyBorder="1" applyAlignment="1">
      <alignment vertical="center"/>
    </xf>
    <xf numFmtId="165" fontId="22" fillId="38" borderId="61" xfId="1" applyNumberFormat="1" applyFont="1" applyFill="1" applyBorder="1" applyAlignment="1">
      <alignment vertical="center"/>
    </xf>
    <xf numFmtId="9" fontId="22" fillId="38" borderId="61" xfId="1" applyNumberFormat="1" applyFont="1" applyFill="1" applyBorder="1" applyAlignment="1">
      <alignment vertical="center"/>
    </xf>
    <xf numFmtId="165" fontId="22" fillId="38" borderId="23" xfId="1" applyNumberFormat="1" applyFont="1" applyFill="1" applyBorder="1" applyAlignment="1">
      <alignment vertical="center"/>
    </xf>
    <xf numFmtId="9" fontId="22" fillId="38" borderId="24" xfId="1" applyNumberFormat="1" applyFont="1" applyFill="1" applyBorder="1" applyAlignment="1">
      <alignment vertical="center"/>
    </xf>
    <xf numFmtId="0" fontId="15" fillId="0" borderId="238" xfId="0" applyFont="1" applyBorder="1" applyAlignment="1">
      <alignment horizontal="center" vertical="center"/>
    </xf>
    <xf numFmtId="0" fontId="17" fillId="0" borderId="0" xfId="1" applyFont="1" applyBorder="1" applyAlignment="1">
      <alignment horizontal="center" vertical="center"/>
    </xf>
    <xf numFmtId="49" fontId="17" fillId="0" borderId="0" xfId="1" applyNumberFormat="1" applyFont="1" applyBorder="1" applyAlignment="1">
      <alignment horizontal="center" vertical="center"/>
    </xf>
    <xf numFmtId="0" fontId="17" fillId="0" borderId="0" xfId="1" applyFont="1" applyBorder="1" applyAlignment="1">
      <alignment vertical="center"/>
    </xf>
    <xf numFmtId="0" fontId="35" fillId="27" borderId="0" xfId="1" applyFont="1" applyFill="1" applyBorder="1" applyAlignment="1">
      <alignment horizontal="center" vertical="center" shrinkToFit="1"/>
    </xf>
    <xf numFmtId="0" fontId="17" fillId="41" borderId="0" xfId="1" applyFont="1" applyFill="1" applyAlignment="1">
      <alignment horizontal="center"/>
    </xf>
    <xf numFmtId="49" fontId="17" fillId="41" borderId="0" xfId="1" applyNumberFormat="1" applyFont="1" applyFill="1"/>
    <xf numFmtId="0" fontId="17" fillId="41" borderId="0" xfId="1" applyNumberFormat="1" applyFont="1" applyFill="1"/>
    <xf numFmtId="0" fontId="17" fillId="24" borderId="0" xfId="1" applyFont="1" applyFill="1"/>
    <xf numFmtId="0" fontId="17" fillId="43" borderId="0" xfId="1" applyFont="1" applyFill="1"/>
    <xf numFmtId="0" fontId="17" fillId="39" borderId="0" xfId="1" applyFont="1" applyFill="1" applyAlignment="1">
      <alignment horizontal="center"/>
    </xf>
    <xf numFmtId="0" fontId="17" fillId="45" borderId="0" xfId="1" applyFont="1" applyFill="1" applyAlignment="1">
      <alignment horizontal="center"/>
    </xf>
    <xf numFmtId="0" fontId="17" fillId="46" borderId="0" xfId="1" applyFont="1" applyFill="1" applyAlignment="1">
      <alignment horizontal="center"/>
    </xf>
    <xf numFmtId="0" fontId="17" fillId="47" borderId="0" xfId="1" applyFont="1" applyFill="1"/>
    <xf numFmtId="0" fontId="17" fillId="48" borderId="0" xfId="1" applyFont="1" applyFill="1"/>
    <xf numFmtId="0" fontId="17" fillId="50" borderId="0" xfId="1" applyFont="1" applyFill="1" applyAlignment="1">
      <alignment horizontal="center"/>
    </xf>
    <xf numFmtId="0" fontId="17" fillId="49" borderId="0" xfId="1" applyFont="1" applyFill="1"/>
    <xf numFmtId="0" fontId="23" fillId="39" borderId="0" xfId="1" applyFont="1" applyFill="1" applyBorder="1" applyAlignment="1">
      <alignment horizontal="center" vertical="center"/>
    </xf>
    <xf numFmtId="0" fontId="45" fillId="39" borderId="0" xfId="1" applyFont="1" applyFill="1" applyBorder="1" applyAlignment="1">
      <alignment horizontal="center" vertical="center"/>
    </xf>
    <xf numFmtId="0" fontId="17" fillId="39" borderId="0" xfId="1" applyFont="1" applyFill="1" applyBorder="1" applyAlignment="1">
      <alignment horizontal="center" vertical="center"/>
    </xf>
    <xf numFmtId="0" fontId="17" fillId="61" borderId="0" xfId="1" applyFont="1" applyFill="1" applyBorder="1" applyAlignment="1">
      <alignment horizontal="center" vertical="center"/>
    </xf>
    <xf numFmtId="0" fontId="17" fillId="57" borderId="0" xfId="1" applyFont="1" applyFill="1" applyBorder="1" applyAlignment="1">
      <alignment horizontal="center" vertical="center"/>
    </xf>
    <xf numFmtId="0" fontId="17" fillId="52" borderId="0" xfId="1" applyFont="1" applyFill="1" applyBorder="1" applyAlignment="1">
      <alignment vertical="center"/>
    </xf>
    <xf numFmtId="0" fontId="17" fillId="52" borderId="0" xfId="1" applyFont="1" applyFill="1" applyBorder="1" applyAlignment="1">
      <alignment horizontal="center" vertical="center"/>
    </xf>
    <xf numFmtId="49" fontId="17" fillId="52" borderId="0" xfId="1" applyNumberFormat="1" applyFont="1" applyFill="1" applyBorder="1" applyAlignment="1">
      <alignment horizontal="center" vertical="center"/>
    </xf>
    <xf numFmtId="0" fontId="17" fillId="62" borderId="0" xfId="1" applyFont="1" applyFill="1" applyBorder="1" applyAlignment="1">
      <alignment horizontal="center" vertical="center"/>
    </xf>
    <xf numFmtId="0" fontId="17" fillId="62" borderId="0" xfId="1" applyFont="1" applyFill="1" applyBorder="1" applyAlignment="1">
      <alignment horizontal="center"/>
    </xf>
    <xf numFmtId="0" fontId="17" fillId="53" borderId="0" xfId="1" applyFont="1" applyFill="1" applyBorder="1" applyAlignment="1">
      <alignment horizontal="center" vertical="center"/>
    </xf>
    <xf numFmtId="0" fontId="17" fillId="63" borderId="0" xfId="1" applyFont="1" applyFill="1" applyBorder="1" applyAlignment="1">
      <alignment horizontal="center" vertical="center"/>
    </xf>
    <xf numFmtId="0" fontId="45" fillId="44" borderId="0" xfId="1" applyFont="1" applyFill="1" applyBorder="1" applyAlignment="1">
      <alignment horizontal="center" vertical="center"/>
    </xf>
    <xf numFmtId="0" fontId="17" fillId="44" borderId="0" xfId="1" applyFont="1" applyFill="1" applyBorder="1" applyAlignment="1">
      <alignment horizontal="center" vertical="center"/>
    </xf>
    <xf numFmtId="0" fontId="17" fillId="17" borderId="0" xfId="1" applyFont="1" applyFill="1" applyBorder="1" applyAlignment="1">
      <alignment horizontal="center" vertical="center"/>
    </xf>
    <xf numFmtId="0" fontId="17" fillId="50" borderId="0" xfId="1" applyFont="1" applyFill="1" applyBorder="1" applyAlignment="1">
      <alignment horizontal="center" vertical="center"/>
    </xf>
    <xf numFmtId="0" fontId="17" fillId="39" borderId="0" xfId="1" applyFont="1" applyFill="1" applyBorder="1" applyAlignment="1">
      <alignment vertical="center"/>
    </xf>
    <xf numFmtId="0" fontId="17" fillId="50" borderId="0" xfId="1" applyFont="1" applyFill="1" applyBorder="1" applyAlignment="1">
      <alignment vertical="center"/>
    </xf>
    <xf numFmtId="0" fontId="17" fillId="44" borderId="0" xfId="1" applyFont="1" applyFill="1" applyBorder="1" applyAlignment="1">
      <alignment horizontal="center"/>
    </xf>
    <xf numFmtId="0" fontId="17" fillId="42" borderId="0" xfId="1" applyFont="1" applyFill="1" applyBorder="1" applyAlignment="1">
      <alignment horizontal="center" vertical="center"/>
    </xf>
    <xf numFmtId="0" fontId="17" fillId="13" borderId="0" xfId="1" applyFont="1" applyFill="1" applyBorder="1" applyAlignment="1">
      <alignment horizontal="center" vertical="center"/>
    </xf>
    <xf numFmtId="167" fontId="15" fillId="12" borderId="44" xfId="1" applyNumberFormat="1" applyFont="1" applyFill="1" applyBorder="1" applyAlignment="1">
      <alignment horizontal="center" shrinkToFit="1"/>
    </xf>
    <xf numFmtId="0" fontId="17" fillId="3" borderId="0" xfId="1" applyFont="1" applyFill="1" applyBorder="1" applyAlignment="1">
      <alignment horizontal="left" wrapText="1"/>
    </xf>
    <xf numFmtId="0" fontId="17" fillId="3" borderId="0" xfId="1" applyFont="1" applyFill="1" applyBorder="1" applyAlignment="1">
      <alignment horizontal="left" vertical="center" wrapText="1"/>
    </xf>
    <xf numFmtId="0" fontId="17" fillId="2" borderId="0" xfId="1" applyFont="1" applyFill="1" applyBorder="1"/>
    <xf numFmtId="0" fontId="23" fillId="65" borderId="0" xfId="1" applyFont="1" applyFill="1" applyBorder="1" applyAlignment="1"/>
    <xf numFmtId="0" fontId="17" fillId="64" borderId="0" xfId="1" applyFont="1" applyFill="1" applyBorder="1"/>
    <xf numFmtId="0" fontId="17" fillId="3" borderId="1" xfId="1" quotePrefix="1" applyFont="1" applyFill="1" applyBorder="1" applyAlignment="1">
      <alignment horizontal="right" wrapText="1"/>
    </xf>
    <xf numFmtId="0" fontId="17" fillId="3" borderId="141" xfId="1" applyFont="1" applyFill="1" applyBorder="1" applyAlignment="1">
      <alignment horizontal="center" vertical="center" wrapText="1"/>
    </xf>
    <xf numFmtId="0" fontId="23" fillId="3" borderId="0" xfId="1" applyFont="1" applyFill="1" applyBorder="1"/>
    <xf numFmtId="49" fontId="17" fillId="3" borderId="0" xfId="1" applyNumberFormat="1" applyFont="1" applyFill="1" applyBorder="1" applyAlignment="1">
      <alignment horizontal="right" wrapText="1"/>
    </xf>
    <xf numFmtId="0" fontId="23" fillId="3" borderId="0" xfId="2" applyNumberFormat="1" applyFont="1" applyFill="1" applyBorder="1" applyAlignment="1" applyProtection="1"/>
    <xf numFmtId="0" fontId="17" fillId="38" borderId="33" xfId="1" applyFont="1" applyFill="1" applyBorder="1" applyAlignment="1">
      <alignment horizontal="center" vertical="center" textRotation="90"/>
    </xf>
    <xf numFmtId="0" fontId="17" fillId="38" borderId="23" xfId="1" applyFont="1" applyFill="1" applyBorder="1" applyAlignment="1">
      <alignment horizontal="center" vertical="center" textRotation="90"/>
    </xf>
    <xf numFmtId="49" fontId="17" fillId="65" borderId="0" xfId="1" applyNumberFormat="1" applyFont="1" applyFill="1" applyBorder="1" applyAlignment="1">
      <alignment horizontal="right" wrapText="1"/>
    </xf>
    <xf numFmtId="0" fontId="17" fillId="65" borderId="0" xfId="1" applyFont="1" applyFill="1" applyBorder="1" applyAlignment="1"/>
    <xf numFmtId="0" fontId="38" fillId="65" borderId="0" xfId="2" applyNumberFormat="1" applyFont="1" applyFill="1" applyBorder="1" applyAlignment="1" applyProtection="1"/>
    <xf numFmtId="0" fontId="23" fillId="64" borderId="0" xfId="1" applyFont="1" applyFill="1" applyBorder="1"/>
    <xf numFmtId="0" fontId="17" fillId="65" borderId="0" xfId="1" applyFont="1" applyFill="1" applyBorder="1"/>
    <xf numFmtId="0" fontId="17" fillId="65" borderId="0" xfId="1" applyFont="1" applyFill="1" applyBorder="1" applyAlignment="1">
      <alignment wrapText="1"/>
    </xf>
    <xf numFmtId="0" fontId="17" fillId="65" borderId="0" xfId="2" applyNumberFormat="1" applyFont="1" applyFill="1" applyBorder="1" applyAlignment="1" applyProtection="1"/>
    <xf numFmtId="0" fontId="17" fillId="65" borderId="0" xfId="1" applyFont="1" applyFill="1" applyBorder="1" applyAlignment="1">
      <alignment horizontal="left" wrapText="1"/>
    </xf>
    <xf numFmtId="49" fontId="17" fillId="65" borderId="0" xfId="2" applyNumberFormat="1" applyFont="1" applyFill="1" applyBorder="1" applyAlignment="1" applyProtection="1">
      <alignment horizontal="right"/>
    </xf>
    <xf numFmtId="0" fontId="23" fillId="65" borderId="0" xfId="2" applyNumberFormat="1" applyFont="1" applyFill="1" applyBorder="1" applyAlignment="1" applyProtection="1"/>
    <xf numFmtId="14" fontId="17" fillId="64" borderId="0" xfId="1" applyNumberFormat="1" applyFont="1" applyFill="1" applyBorder="1" applyAlignment="1">
      <alignment horizontal="left"/>
    </xf>
    <xf numFmtId="14" fontId="17" fillId="64" borderId="109" xfId="1" applyNumberFormat="1" applyFont="1" applyFill="1" applyBorder="1" applyAlignment="1">
      <alignment horizontal="center"/>
    </xf>
    <xf numFmtId="0" fontId="23" fillId="3" borderId="0" xfId="1" applyFont="1" applyFill="1" applyBorder="1" applyAlignment="1">
      <alignment horizontal="left"/>
    </xf>
    <xf numFmtId="0" fontId="27" fillId="64" borderId="0" xfId="0" applyFont="1" applyFill="1"/>
    <xf numFmtId="0" fontId="50" fillId="64" borderId="0" xfId="0" applyFont="1" applyFill="1" applyAlignment="1">
      <alignment horizontal="right"/>
    </xf>
    <xf numFmtId="0" fontId="27" fillId="64" borderId="0" xfId="0" applyFont="1" applyFill="1" applyAlignment="1">
      <alignment horizontal="left"/>
    </xf>
    <xf numFmtId="0" fontId="49" fillId="64" borderId="0" xfId="0" applyFont="1" applyFill="1" applyAlignment="1">
      <alignment vertical="center"/>
    </xf>
    <xf numFmtId="0" fontId="27" fillId="64" borderId="0" xfId="0" applyFont="1" applyFill="1" applyAlignment="1"/>
    <xf numFmtId="0" fontId="57" fillId="64" borderId="0" xfId="0" applyFont="1" applyFill="1" applyAlignment="1"/>
    <xf numFmtId="0" fontId="17" fillId="0" borderId="78" xfId="3" applyFont="1" applyFill="1" applyBorder="1" applyAlignment="1" applyProtection="1">
      <alignment horizontal="center"/>
      <protection locked="0"/>
    </xf>
    <xf numFmtId="49" fontId="17" fillId="3" borderId="5" xfId="1" applyNumberFormat="1" applyFont="1" applyFill="1" applyBorder="1" applyAlignment="1" applyProtection="1">
      <alignment horizontal="center" wrapText="1" shrinkToFit="1"/>
      <protection locked="0"/>
    </xf>
    <xf numFmtId="0" fontId="17" fillId="3" borderId="12" xfId="9" applyFont="1" applyFill="1" applyBorder="1" applyAlignment="1" applyProtection="1">
      <alignment horizontal="left"/>
      <protection locked="0"/>
    </xf>
    <xf numFmtId="49" fontId="17" fillId="3" borderId="10" xfId="3" applyNumberFormat="1" applyFont="1" applyFill="1" applyBorder="1" applyAlignment="1" applyProtection="1">
      <alignment horizontal="center" wrapText="1" shrinkToFit="1"/>
      <protection locked="0"/>
    </xf>
    <xf numFmtId="49" fontId="17" fillId="3" borderId="5" xfId="3" applyNumberFormat="1" applyFont="1" applyFill="1" applyBorder="1" applyAlignment="1" applyProtection="1">
      <alignment horizontal="center" wrapText="1" shrinkToFit="1"/>
      <protection locked="0"/>
    </xf>
    <xf numFmtId="49" fontId="17" fillId="3" borderId="114" xfId="3" applyNumberFormat="1" applyFont="1" applyFill="1" applyBorder="1" applyAlignment="1" applyProtection="1">
      <alignment horizontal="center" wrapText="1" shrinkToFit="1"/>
      <protection locked="0"/>
    </xf>
    <xf numFmtId="49" fontId="17" fillId="3" borderId="29" xfId="3" applyNumberFormat="1" applyFont="1" applyFill="1" applyBorder="1" applyAlignment="1" applyProtection="1">
      <alignment horizontal="center" wrapText="1" shrinkToFit="1"/>
      <protection locked="0"/>
    </xf>
    <xf numFmtId="49" fontId="17" fillId="3" borderId="12" xfId="3" applyNumberFormat="1" applyFont="1" applyFill="1" applyBorder="1" applyAlignment="1" applyProtection="1">
      <alignment horizontal="center" wrapText="1" shrinkToFit="1"/>
      <protection locked="0"/>
    </xf>
    <xf numFmtId="0" fontId="17" fillId="3" borderId="75" xfId="9" applyFont="1" applyFill="1" applyBorder="1" applyAlignment="1" applyProtection="1">
      <alignment horizontal="left"/>
      <protection locked="0"/>
    </xf>
    <xf numFmtId="49" fontId="17" fillId="3" borderId="15" xfId="3" applyNumberFormat="1" applyFont="1" applyFill="1" applyBorder="1" applyAlignment="1" applyProtection="1">
      <alignment horizontal="center" wrapText="1" shrinkToFit="1"/>
      <protection locked="0"/>
    </xf>
    <xf numFmtId="49" fontId="17" fillId="3" borderId="115" xfId="3" applyNumberFormat="1" applyFont="1" applyFill="1" applyBorder="1" applyAlignment="1" applyProtection="1">
      <alignment horizontal="center" wrapText="1" shrinkToFit="1"/>
      <protection locked="0"/>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7" fillId="24" borderId="26" xfId="3" applyFont="1" applyFill="1" applyBorder="1" applyAlignment="1" applyProtection="1">
      <alignment horizontal="center"/>
      <protection locked="0"/>
    </xf>
    <xf numFmtId="0" fontId="17" fillId="24" borderId="27" xfId="3" applyFont="1" applyFill="1" applyBorder="1" applyAlignment="1" applyProtection="1">
      <alignment horizontal="center"/>
      <protection locked="0"/>
    </xf>
    <xf numFmtId="0" fontId="17" fillId="24" borderId="28" xfId="3" applyFont="1" applyFill="1" applyBorder="1" applyAlignment="1" applyProtection="1">
      <alignment horizontal="center"/>
      <protection locked="0"/>
    </xf>
    <xf numFmtId="0" fontId="17" fillId="0" borderId="95" xfId="0" applyFont="1" applyBorder="1" applyAlignment="1" applyProtection="1">
      <alignment horizontal="center" vertical="center"/>
      <protection locked="0"/>
    </xf>
    <xf numFmtId="0" fontId="17" fillId="0" borderId="96" xfId="0" applyFont="1" applyBorder="1" applyAlignment="1" applyProtection="1">
      <alignment horizontal="center" vertical="center"/>
      <protection locked="0"/>
    </xf>
    <xf numFmtId="0" fontId="17" fillId="0" borderId="97" xfId="0" applyFont="1" applyBorder="1" applyAlignment="1" applyProtection="1">
      <alignment horizontal="center" vertical="center"/>
      <protection locked="0"/>
    </xf>
    <xf numFmtId="0" fontId="17" fillId="26" borderId="98" xfId="0" applyFont="1" applyFill="1" applyBorder="1" applyAlignment="1" applyProtection="1">
      <alignment horizontal="center" vertical="center"/>
      <protection locked="0"/>
    </xf>
    <xf numFmtId="0" fontId="17" fillId="0" borderId="169" xfId="0" applyFont="1" applyBorder="1" applyAlignment="1" applyProtection="1">
      <alignment horizontal="center" vertical="center"/>
      <protection locked="0"/>
    </xf>
    <xf numFmtId="0" fontId="17" fillId="0" borderId="170" xfId="0" applyFont="1" applyBorder="1" applyAlignment="1" applyProtection="1">
      <alignment horizontal="center" vertical="center"/>
      <protection locked="0"/>
    </xf>
    <xf numFmtId="0" fontId="17" fillId="0" borderId="171" xfId="0" applyFont="1" applyBorder="1" applyAlignment="1" applyProtection="1">
      <alignment horizontal="center" vertical="center"/>
      <protection locked="0"/>
    </xf>
    <xf numFmtId="0" fontId="17" fillId="26" borderId="99" xfId="0" applyFont="1" applyFill="1" applyBorder="1" applyAlignment="1" applyProtection="1">
      <alignment horizontal="center" vertical="center"/>
      <protection locked="0"/>
    </xf>
    <xf numFmtId="0" fontId="17" fillId="24" borderId="102" xfId="8" applyFont="1" applyFill="1" applyBorder="1" applyAlignment="1" applyProtection="1">
      <alignment horizontal="center" vertical="center"/>
      <protection locked="0"/>
    </xf>
    <xf numFmtId="0" fontId="17" fillId="24" borderId="103" xfId="8" applyFont="1" applyFill="1" applyBorder="1" applyAlignment="1" applyProtection="1">
      <alignment horizontal="center" vertical="center"/>
      <protection locked="0"/>
    </xf>
    <xf numFmtId="0" fontId="17" fillId="24" borderId="104" xfId="8" applyFont="1" applyFill="1" applyBorder="1" applyAlignment="1" applyProtection="1">
      <alignment horizontal="center" vertical="center"/>
      <protection locked="0"/>
    </xf>
    <xf numFmtId="0" fontId="17" fillId="24" borderId="105" xfId="8" applyFont="1" applyFill="1" applyBorder="1" applyAlignment="1" applyProtection="1">
      <alignment horizontal="center" vertical="center"/>
      <protection locked="0"/>
    </xf>
    <xf numFmtId="0" fontId="17" fillId="24" borderId="191" xfId="8" applyFont="1" applyFill="1" applyBorder="1" applyAlignment="1" applyProtection="1">
      <alignment horizontal="center" vertical="center"/>
      <protection locked="0"/>
    </xf>
    <xf numFmtId="0" fontId="17" fillId="24" borderId="106" xfId="8" applyFont="1" applyFill="1" applyBorder="1" applyAlignment="1" applyProtection="1">
      <alignment horizontal="center" vertical="center"/>
      <protection locked="0"/>
    </xf>
    <xf numFmtId="0" fontId="17" fillId="24" borderId="161" xfId="8" applyFont="1" applyFill="1" applyBorder="1" applyAlignment="1" applyProtection="1">
      <alignment horizontal="center" vertical="center"/>
      <protection locked="0"/>
    </xf>
    <xf numFmtId="0" fontId="17" fillId="24" borderId="160" xfId="8" applyFont="1" applyFill="1" applyBorder="1" applyAlignment="1" applyProtection="1">
      <alignment horizontal="center" vertical="center"/>
      <protection locked="0"/>
    </xf>
    <xf numFmtId="0" fontId="17" fillId="24" borderId="159" xfId="8" applyFont="1" applyFill="1" applyBorder="1" applyAlignment="1" applyProtection="1">
      <alignment horizontal="center" vertical="center"/>
      <protection locked="0"/>
    </xf>
    <xf numFmtId="0" fontId="17" fillId="24" borderId="186" xfId="8" applyFont="1" applyFill="1" applyBorder="1" applyAlignment="1" applyProtection="1">
      <alignment horizontal="center" vertical="center"/>
      <protection locked="0"/>
    </xf>
    <xf numFmtId="0" fontId="17" fillId="26" borderId="226" xfId="0" applyFont="1" applyFill="1" applyBorder="1" applyAlignment="1" applyProtection="1">
      <alignment horizontal="center" vertical="center"/>
      <protection locked="0"/>
    </xf>
    <xf numFmtId="0" fontId="40" fillId="4" borderId="33" xfId="1" applyFont="1" applyFill="1" applyBorder="1" applyAlignment="1">
      <alignment horizontal="center" vertical="center"/>
    </xf>
    <xf numFmtId="0" fontId="40" fillId="4" borderId="24" xfId="1" applyFont="1" applyFill="1" applyBorder="1" applyAlignment="1">
      <alignment horizontal="center" vertical="center" wrapText="1"/>
    </xf>
    <xf numFmtId="0" fontId="58" fillId="4" borderId="34" xfId="1" applyFont="1" applyFill="1" applyBorder="1" applyAlignment="1">
      <alignment horizontal="center" vertical="center" textRotation="90"/>
    </xf>
    <xf numFmtId="0" fontId="58" fillId="4" borderId="21" xfId="1" applyFont="1" applyFill="1" applyBorder="1" applyAlignment="1">
      <alignment horizontal="center" vertical="center" textRotation="90"/>
    </xf>
    <xf numFmtId="0" fontId="58" fillId="4" borderId="35" xfId="1" applyFont="1" applyFill="1" applyBorder="1" applyAlignment="1">
      <alignment horizontal="center" vertical="center" textRotation="90"/>
    </xf>
    <xf numFmtId="0" fontId="40" fillId="4" borderId="36" xfId="1" applyFont="1" applyFill="1" applyBorder="1" applyAlignment="1">
      <alignment horizontal="center" vertical="center"/>
    </xf>
    <xf numFmtId="0" fontId="40" fillId="4" borderId="21" xfId="1" applyFont="1" applyFill="1" applyBorder="1" applyAlignment="1">
      <alignment horizontal="center" vertical="center"/>
    </xf>
    <xf numFmtId="0" fontId="40" fillId="4" borderId="37" xfId="1" applyFont="1" applyFill="1" applyBorder="1" applyAlignment="1">
      <alignment horizontal="center" vertical="center" wrapText="1"/>
    </xf>
    <xf numFmtId="0" fontId="40" fillId="4" borderId="38" xfId="1" applyFont="1" applyFill="1" applyBorder="1" applyAlignment="1">
      <alignment horizontal="center" vertical="center" wrapText="1"/>
    </xf>
    <xf numFmtId="0" fontId="19" fillId="9" borderId="0" xfId="0" applyFont="1" applyFill="1" applyBorder="1" applyAlignment="1">
      <alignment vertical="center"/>
    </xf>
    <xf numFmtId="0" fontId="59" fillId="4" borderId="201" xfId="1" applyFont="1" applyFill="1" applyBorder="1" applyAlignment="1">
      <alignment horizontal="center" vertical="center" wrapText="1"/>
    </xf>
    <xf numFmtId="0" fontId="59" fillId="4" borderId="57" xfId="1" applyFont="1" applyFill="1" applyBorder="1" applyAlignment="1">
      <alignment horizontal="center" vertical="center" wrapText="1"/>
    </xf>
    <xf numFmtId="0" fontId="59" fillId="4" borderId="176" xfId="1" applyFont="1" applyFill="1" applyBorder="1" applyAlignment="1">
      <alignment horizontal="center" vertical="center" wrapText="1"/>
    </xf>
    <xf numFmtId="0" fontId="59" fillId="4" borderId="215" xfId="1" applyFont="1" applyFill="1" applyBorder="1" applyAlignment="1">
      <alignment horizontal="center" vertical="center" wrapText="1"/>
    </xf>
    <xf numFmtId="0" fontId="59" fillId="4" borderId="62" xfId="1" applyFont="1" applyFill="1" applyBorder="1" applyAlignment="1">
      <alignment horizontal="center" vertical="center" wrapText="1"/>
    </xf>
    <xf numFmtId="0" fontId="59" fillId="4" borderId="112" xfId="1" applyFont="1" applyFill="1" applyBorder="1" applyAlignment="1">
      <alignment horizontal="center" vertical="center" wrapText="1"/>
    </xf>
    <xf numFmtId="0" fontId="27" fillId="0" borderId="0" xfId="0" applyFont="1" applyAlignment="1">
      <alignment horizontal="left"/>
    </xf>
    <xf numFmtId="0" fontId="17" fillId="0" borderId="0" xfId="0" applyFont="1" applyAlignment="1">
      <alignment horizontal="left"/>
    </xf>
    <xf numFmtId="0" fontId="17" fillId="7" borderId="239" xfId="8" applyFont="1" applyFill="1" applyBorder="1" applyAlignment="1">
      <alignment horizontal="center" vertical="center"/>
    </xf>
    <xf numFmtId="0" fontId="17" fillId="3" borderId="123" xfId="3" applyFont="1" applyFill="1" applyBorder="1" applyAlignment="1" applyProtection="1">
      <protection locked="0"/>
    </xf>
    <xf numFmtId="0" fontId="17" fillId="3" borderId="116" xfId="3" applyFont="1" applyFill="1" applyBorder="1" applyAlignment="1" applyProtection="1">
      <protection locked="0"/>
    </xf>
    <xf numFmtId="0" fontId="17" fillId="3" borderId="60" xfId="3" applyFont="1" applyFill="1" applyBorder="1" applyAlignment="1" applyProtection="1">
      <protection locked="0"/>
    </xf>
    <xf numFmtId="0" fontId="17" fillId="3" borderId="123" xfId="3" applyFont="1" applyFill="1" applyBorder="1" applyAlignment="1" applyProtection="1">
      <alignment vertical="center"/>
      <protection locked="0"/>
    </xf>
    <xf numFmtId="0" fontId="17" fillId="3" borderId="116" xfId="3" applyFont="1" applyFill="1" applyBorder="1" applyAlignment="1" applyProtection="1">
      <alignment vertical="center"/>
      <protection locked="0"/>
    </xf>
    <xf numFmtId="0" fontId="17" fillId="3" borderId="60" xfId="3" applyFont="1" applyFill="1" applyBorder="1" applyAlignment="1" applyProtection="1">
      <alignment vertical="center"/>
      <protection locked="0"/>
    </xf>
    <xf numFmtId="0" fontId="17" fillId="3" borderId="50" xfId="3" applyFont="1" applyFill="1" applyBorder="1" applyAlignment="1" applyProtection="1">
      <protection locked="0"/>
    </xf>
    <xf numFmtId="0" fontId="17" fillId="3" borderId="129" xfId="3" applyFont="1" applyFill="1" applyBorder="1" applyAlignment="1" applyProtection="1">
      <protection locked="0"/>
    </xf>
    <xf numFmtId="0" fontId="17" fillId="3" borderId="49" xfId="3" applyFont="1" applyFill="1" applyBorder="1" applyAlignment="1" applyProtection="1">
      <protection locked="0"/>
    </xf>
    <xf numFmtId="0" fontId="17" fillId="3" borderId="115" xfId="3" applyFont="1" applyFill="1" applyBorder="1" applyAlignment="1" applyProtection="1">
      <protection locked="0"/>
    </xf>
    <xf numFmtId="0" fontId="17" fillId="3" borderId="115" xfId="3" applyFont="1" applyFill="1" applyBorder="1" applyAlignment="1" applyProtection="1">
      <alignment vertical="center"/>
      <protection locked="0"/>
    </xf>
    <xf numFmtId="0" fontId="17" fillId="3" borderId="174" xfId="3" applyFont="1" applyFill="1" applyBorder="1" applyAlignment="1" applyProtection="1">
      <protection locked="0"/>
    </xf>
    <xf numFmtId="0" fontId="17" fillId="3" borderId="115" xfId="3" applyFont="1" applyFill="1" applyBorder="1" applyAlignment="1" applyProtection="1">
      <alignment shrinkToFit="1"/>
      <protection locked="0"/>
    </xf>
    <xf numFmtId="0" fontId="17" fillId="3" borderId="60" xfId="3" applyFont="1" applyFill="1" applyBorder="1" applyAlignment="1" applyProtection="1">
      <alignment shrinkToFit="1"/>
      <protection locked="0"/>
    </xf>
    <xf numFmtId="0" fontId="17" fillId="3" borderId="174" xfId="3" applyFont="1" applyFill="1" applyBorder="1" applyAlignment="1" applyProtection="1">
      <alignment shrinkToFit="1"/>
      <protection locked="0"/>
    </xf>
    <xf numFmtId="0" fontId="17" fillId="3" borderId="49" xfId="3" applyFont="1" applyFill="1" applyBorder="1" applyAlignment="1" applyProtection="1">
      <alignment shrinkToFit="1"/>
      <protection locked="0"/>
    </xf>
    <xf numFmtId="0" fontId="17" fillId="3" borderId="117" xfId="3" applyFont="1" applyFill="1" applyBorder="1" applyAlignment="1" applyProtection="1">
      <protection locked="0"/>
    </xf>
    <xf numFmtId="0" fontId="17" fillId="3" borderId="20" xfId="3" applyFont="1" applyFill="1" applyBorder="1" applyAlignment="1" applyProtection="1">
      <protection locked="0"/>
    </xf>
    <xf numFmtId="49" fontId="17" fillId="0" borderId="0" xfId="0" quotePrefix="1" applyNumberFormat="1" applyFont="1" applyAlignment="1">
      <alignment horizontal="right"/>
    </xf>
    <xf numFmtId="0" fontId="17" fillId="3" borderId="155" xfId="3" applyFont="1" applyFill="1" applyBorder="1" applyAlignment="1" applyProtection="1">
      <protection locked="0"/>
    </xf>
    <xf numFmtId="0" fontId="17" fillId="3" borderId="155" xfId="1" applyFont="1" applyFill="1" applyBorder="1" applyAlignment="1" applyProtection="1">
      <protection locked="0"/>
    </xf>
    <xf numFmtId="0" fontId="17" fillId="3" borderId="123" xfId="1" applyFont="1" applyFill="1" applyBorder="1" applyAlignment="1" applyProtection="1">
      <protection locked="0"/>
    </xf>
    <xf numFmtId="0" fontId="17" fillId="3" borderId="50" xfId="1" applyFont="1" applyFill="1" applyBorder="1" applyAlignment="1" applyProtection="1">
      <protection locked="0"/>
    </xf>
    <xf numFmtId="0" fontId="17" fillId="3" borderId="4" xfId="3" applyFont="1" applyFill="1" applyBorder="1" applyAlignment="1" applyProtection="1">
      <protection locked="0"/>
    </xf>
    <xf numFmtId="0" fontId="17" fillId="3" borderId="240" xfId="1" applyFont="1" applyFill="1" applyBorder="1" applyAlignment="1" applyProtection="1">
      <protection locked="0"/>
    </xf>
    <xf numFmtId="0" fontId="17" fillId="3" borderId="4" xfId="1" applyFont="1" applyFill="1" applyBorder="1" applyAlignment="1" applyProtection="1">
      <protection locked="0"/>
    </xf>
    <xf numFmtId="0" fontId="17" fillId="3" borderId="116" xfId="1" applyFont="1" applyFill="1" applyBorder="1" applyAlignment="1" applyProtection="1">
      <protection locked="0"/>
    </xf>
    <xf numFmtId="0" fontId="17" fillId="3" borderId="60" xfId="1" applyFont="1" applyFill="1" applyBorder="1" applyAlignment="1" applyProtection="1">
      <protection locked="0"/>
    </xf>
    <xf numFmtId="0" fontId="17" fillId="3" borderId="129" xfId="1" applyFont="1" applyFill="1" applyBorder="1" applyAlignment="1" applyProtection="1">
      <protection locked="0"/>
    </xf>
    <xf numFmtId="0" fontId="17" fillId="3" borderId="49" xfId="1" applyFont="1" applyFill="1" applyBorder="1" applyAlignment="1" applyProtection="1">
      <protection locked="0"/>
    </xf>
    <xf numFmtId="0" fontId="17" fillId="64" borderId="0" xfId="0" applyFont="1" applyFill="1" applyAlignment="1">
      <alignment horizontal="left"/>
    </xf>
    <xf numFmtId="0" fontId="27" fillId="64" borderId="0" xfId="0" applyFont="1" applyFill="1" applyAlignment="1">
      <alignment horizontal="left"/>
    </xf>
    <xf numFmtId="0" fontId="17" fillId="64" borderId="0" xfId="0" applyFont="1" applyFill="1"/>
    <xf numFmtId="0" fontId="27" fillId="64" borderId="0" xfId="0" applyFont="1" applyFill="1" applyBorder="1"/>
    <xf numFmtId="0" fontId="17" fillId="24" borderId="172" xfId="8" applyFont="1" applyFill="1" applyBorder="1" applyAlignment="1" applyProtection="1">
      <alignment horizontal="center" vertical="center"/>
      <protection locked="0"/>
    </xf>
    <xf numFmtId="0" fontId="17" fillId="24" borderId="173" xfId="8" applyFont="1" applyFill="1" applyBorder="1" applyAlignment="1" applyProtection="1">
      <alignment horizontal="center" vertical="center"/>
      <protection locked="0"/>
    </xf>
    <xf numFmtId="0" fontId="17" fillId="24" borderId="193" xfId="8" applyFont="1" applyFill="1" applyBorder="1" applyAlignment="1" applyProtection="1">
      <alignment horizontal="center" vertical="center"/>
      <protection locked="0"/>
    </xf>
    <xf numFmtId="0" fontId="13" fillId="13" borderId="5" xfId="1" applyFont="1" applyFill="1" applyBorder="1" applyAlignment="1" applyProtection="1">
      <alignment horizontal="center"/>
      <protection locked="0"/>
    </xf>
    <xf numFmtId="0" fontId="13" fillId="13" borderId="115" xfId="1" applyFont="1" applyFill="1" applyBorder="1" applyAlignment="1" applyProtection="1">
      <alignment horizontal="center"/>
      <protection locked="0"/>
    </xf>
    <xf numFmtId="0" fontId="13" fillId="13" borderId="167" xfId="1" applyFont="1" applyFill="1" applyBorder="1" applyAlignment="1">
      <alignment horizontal="center"/>
    </xf>
    <xf numFmtId="0" fontId="13" fillId="14" borderId="64" xfId="1" applyFont="1" applyFill="1" applyBorder="1" applyAlignment="1">
      <alignment horizontal="center"/>
    </xf>
    <xf numFmtId="0" fontId="13" fillId="7" borderId="64" xfId="1" applyFont="1" applyFill="1" applyBorder="1" applyAlignment="1">
      <alignment horizontal="center"/>
    </xf>
    <xf numFmtId="1" fontId="13" fillId="14" borderId="9" xfId="1" applyNumberFormat="1" applyFont="1" applyFill="1" applyBorder="1" applyAlignment="1" applyProtection="1">
      <alignment horizontal="center"/>
      <protection locked="0"/>
    </xf>
    <xf numFmtId="49" fontId="13" fillId="13" borderId="27" xfId="1" applyNumberFormat="1" applyFont="1" applyFill="1" applyBorder="1" applyAlignment="1" applyProtection="1">
      <alignment horizontal="center"/>
      <protection locked="0"/>
    </xf>
    <xf numFmtId="0" fontId="13" fillId="14" borderId="9" xfId="1" applyFont="1" applyFill="1" applyBorder="1" applyAlignment="1" applyProtection="1">
      <alignment horizontal="center"/>
      <protection locked="0"/>
    </xf>
    <xf numFmtId="0" fontId="13" fillId="14" borderId="5" xfId="1" applyFont="1" applyFill="1" applyBorder="1" applyAlignment="1" applyProtection="1">
      <alignment horizontal="center"/>
      <protection locked="0"/>
    </xf>
    <xf numFmtId="0" fontId="13" fillId="14" borderId="27" xfId="1" applyFont="1" applyFill="1" applyBorder="1" applyAlignment="1" applyProtection="1">
      <alignment horizontal="center"/>
      <protection locked="0"/>
    </xf>
    <xf numFmtId="0" fontId="13" fillId="13" borderId="9" xfId="1" applyFont="1" applyFill="1" applyBorder="1" applyAlignment="1" applyProtection="1">
      <alignment horizontal="center"/>
      <protection locked="0"/>
    </xf>
    <xf numFmtId="0" fontId="13" fillId="0" borderId="5" xfId="1" applyFont="1" applyFill="1" applyBorder="1" applyAlignment="1" applyProtection="1">
      <alignment horizontal="center"/>
      <protection locked="0"/>
    </xf>
    <xf numFmtId="0" fontId="13" fillId="0" borderId="115" xfId="1" applyFont="1" applyFill="1" applyBorder="1" applyAlignment="1" applyProtection="1">
      <alignment horizontal="center"/>
      <protection locked="0"/>
    </xf>
    <xf numFmtId="0" fontId="13" fillId="0" borderId="166" xfId="1" applyFont="1" applyFill="1" applyBorder="1" applyAlignment="1">
      <alignment horizontal="center"/>
    </xf>
    <xf numFmtId="0" fontId="13" fillId="0" borderId="164" xfId="1" applyFont="1" applyFill="1" applyBorder="1" applyAlignment="1">
      <alignment horizontal="center"/>
    </xf>
    <xf numFmtId="0" fontId="13" fillId="13" borderId="27" xfId="1" applyFont="1" applyFill="1" applyBorder="1" applyAlignment="1" applyProtection="1">
      <alignment horizontal="center"/>
      <protection locked="0"/>
    </xf>
    <xf numFmtId="0" fontId="13" fillId="0" borderId="9" xfId="1" applyFont="1" applyBorder="1" applyAlignment="1" applyProtection="1">
      <alignment horizontal="center"/>
      <protection locked="0"/>
    </xf>
    <xf numFmtId="1" fontId="13" fillId="13" borderId="9" xfId="1" applyNumberFormat="1" applyFont="1" applyFill="1" applyBorder="1" applyAlignment="1" applyProtection="1">
      <alignment horizontal="center"/>
      <protection locked="0"/>
    </xf>
    <xf numFmtId="49" fontId="13" fillId="0" borderId="27" xfId="1" applyNumberFormat="1" applyFont="1" applyBorder="1" applyAlignment="1" applyProtection="1">
      <alignment horizontal="center"/>
      <protection locked="0"/>
    </xf>
    <xf numFmtId="0" fontId="13" fillId="13" borderId="165" xfId="1" applyFont="1" applyFill="1" applyBorder="1" applyAlignment="1">
      <alignment horizontal="center"/>
    </xf>
    <xf numFmtId="0" fontId="13" fillId="0" borderId="168" xfId="1" applyFont="1" applyFill="1" applyBorder="1" applyAlignment="1">
      <alignment horizontal="center"/>
    </xf>
    <xf numFmtId="0" fontId="13" fillId="13" borderId="8" xfId="1" applyFont="1" applyFill="1" applyBorder="1" applyAlignment="1" applyProtection="1">
      <alignment horizontal="center"/>
      <protection locked="0"/>
    </xf>
    <xf numFmtId="0" fontId="13" fillId="13" borderId="40" xfId="1" applyFont="1" applyFill="1" applyBorder="1" applyAlignment="1" applyProtection="1">
      <alignment horizontal="center"/>
      <protection locked="0"/>
    </xf>
    <xf numFmtId="0" fontId="13" fillId="0" borderId="160" xfId="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3" borderId="198"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0" borderId="198" xfId="1" applyFont="1" applyFill="1" applyBorder="1" applyAlignment="1" applyProtection="1">
      <alignment horizontal="center"/>
      <protection locked="0"/>
    </xf>
    <xf numFmtId="0" fontId="13" fillId="0" borderId="161" xfId="1" applyFont="1" applyBorder="1" applyAlignment="1" applyProtection="1">
      <alignment horizontal="center"/>
      <protection locked="0"/>
    </xf>
    <xf numFmtId="0" fontId="13" fillId="14" borderId="124" xfId="1" applyFont="1" applyFill="1" applyBorder="1" applyAlignment="1" applyProtection="1">
      <alignment horizontal="center"/>
      <protection locked="0"/>
    </xf>
    <xf numFmtId="0" fontId="13" fillId="13" borderId="113" xfId="1" applyFont="1" applyFill="1" applyBorder="1" applyAlignment="1" applyProtection="1">
      <alignment horizontal="center"/>
      <protection locked="0"/>
    </xf>
    <xf numFmtId="0" fontId="13" fillId="13" borderId="114" xfId="1" applyFont="1" applyFill="1" applyBorder="1" applyAlignment="1" applyProtection="1">
      <alignment horizontal="center"/>
      <protection locked="0"/>
    </xf>
    <xf numFmtId="0" fontId="13" fillId="0" borderId="113" xfId="1" applyFont="1" applyBorder="1" applyAlignment="1" applyProtection="1">
      <alignment horizontal="center"/>
      <protection locked="0"/>
    </xf>
    <xf numFmtId="0" fontId="13" fillId="0" borderId="114" xfId="1" applyFont="1" applyFill="1" applyBorder="1" applyAlignment="1" applyProtection="1">
      <alignment horizontal="center"/>
      <protection locked="0"/>
    </xf>
    <xf numFmtId="0" fontId="13" fillId="0" borderId="167" xfId="1" applyFont="1" applyFill="1" applyBorder="1" applyAlignment="1">
      <alignment horizontal="center"/>
    </xf>
    <xf numFmtId="49" fontId="13" fillId="0" borderId="162" xfId="1" applyNumberFormat="1" applyFont="1" applyBorder="1" applyAlignment="1" applyProtection="1">
      <alignment horizontal="center"/>
      <protection locked="0"/>
    </xf>
    <xf numFmtId="0" fontId="13" fillId="13" borderId="162"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4" borderId="113" xfId="1" applyFont="1" applyFill="1" applyBorder="1" applyAlignment="1" applyProtection="1">
      <alignment horizontal="center"/>
      <protection locked="0"/>
    </xf>
    <xf numFmtId="49" fontId="13" fillId="13" borderId="124" xfId="1" applyNumberFormat="1" applyFont="1" applyFill="1" applyBorder="1" applyAlignment="1" applyProtection="1">
      <alignment horizontal="center" wrapText="1"/>
      <protection locked="0"/>
    </xf>
    <xf numFmtId="0" fontId="13" fillId="14" borderId="114" xfId="1" applyFont="1" applyFill="1" applyBorder="1" applyAlignment="1" applyProtection="1">
      <alignment horizontal="center"/>
      <protection locked="0"/>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22" xfId="1" applyFont="1" applyFill="1" applyBorder="1" applyAlignment="1">
      <alignment horizontal="center"/>
    </xf>
    <xf numFmtId="0" fontId="13" fillId="13" borderId="124" xfId="1" applyFont="1" applyFill="1" applyBorder="1" applyAlignment="1" applyProtection="1">
      <alignment horizontal="center"/>
      <protection locked="0"/>
    </xf>
    <xf numFmtId="49" fontId="13" fillId="0" borderId="124" xfId="1" applyNumberFormat="1" applyFont="1" applyBorder="1" applyAlignment="1" applyProtection="1">
      <alignment horizontal="center" wrapText="1"/>
      <protection locked="0"/>
    </xf>
    <xf numFmtId="0" fontId="14" fillId="14" borderId="203" xfId="1" applyFont="1" applyFill="1" applyBorder="1" applyAlignment="1">
      <alignment horizontal="center" vertical="center"/>
    </xf>
    <xf numFmtId="0" fontId="14" fillId="14" borderId="205" xfId="1" applyFont="1" applyFill="1" applyBorder="1" applyAlignment="1">
      <alignment horizontal="center" vertical="center"/>
    </xf>
    <xf numFmtId="0" fontId="13" fillId="5" borderId="177" xfId="1" applyFont="1" applyFill="1" applyBorder="1" applyAlignment="1">
      <alignment horizontal="center"/>
    </xf>
    <xf numFmtId="0" fontId="14" fillId="14" borderId="202" xfId="1" applyFont="1" applyFill="1" applyBorder="1" applyAlignment="1">
      <alignment horizontal="center" vertical="center"/>
    </xf>
    <xf numFmtId="0" fontId="22" fillId="14" borderId="204" xfId="1" applyFont="1" applyFill="1" applyBorder="1" applyAlignment="1">
      <alignment horizontal="center" vertical="center" wrapText="1"/>
    </xf>
    <xf numFmtId="0" fontId="13" fillId="15" borderId="131" xfId="1" applyFont="1" applyFill="1" applyBorder="1" applyAlignment="1">
      <alignment horizontal="center"/>
    </xf>
    <xf numFmtId="0" fontId="13" fillId="14" borderId="162" xfId="1" applyFont="1" applyFill="1" applyBorder="1" applyAlignment="1" applyProtection="1">
      <alignment horizontal="center"/>
      <protection locked="0"/>
    </xf>
    <xf numFmtId="0" fontId="14" fillId="14" borderId="163" xfId="1" applyFont="1" applyFill="1" applyBorder="1" applyAlignment="1">
      <alignment horizontal="center" vertical="center"/>
    </xf>
    <xf numFmtId="0" fontId="14" fillId="14" borderId="143" xfId="1" applyFont="1" applyFill="1" applyBorder="1" applyAlignment="1">
      <alignment horizontal="center" vertical="center"/>
    </xf>
    <xf numFmtId="49" fontId="13" fillId="0" borderId="26" xfId="1" applyNumberFormat="1" applyFont="1" applyBorder="1" applyAlignment="1" applyProtection="1">
      <alignment horizontal="center"/>
      <protection locked="0"/>
    </xf>
    <xf numFmtId="0" fontId="13" fillId="13" borderId="25" xfId="1" applyFont="1" applyFill="1" applyBorder="1" applyAlignment="1" applyProtection="1">
      <alignment horizontal="center"/>
      <protection locked="0"/>
    </xf>
    <xf numFmtId="0" fontId="13" fillId="0" borderId="25" xfId="1" applyFont="1" applyFill="1" applyBorder="1" applyAlignment="1" applyProtection="1">
      <alignment horizontal="center"/>
      <protection locked="0"/>
    </xf>
    <xf numFmtId="0" fontId="13" fillId="0" borderId="153" xfId="1" applyFont="1" applyFill="1" applyBorder="1" applyAlignment="1" applyProtection="1">
      <alignment horizontal="center"/>
      <protection locked="0"/>
    </xf>
    <xf numFmtId="0" fontId="13" fillId="13" borderId="26" xfId="1" applyFont="1" applyFill="1" applyBorder="1" applyAlignment="1" applyProtection="1">
      <alignment horizontal="center"/>
      <protection locked="0"/>
    </xf>
    <xf numFmtId="0" fontId="13" fillId="0" borderId="40" xfId="1" applyFont="1" applyBorder="1" applyAlignment="1" applyProtection="1">
      <alignment horizontal="center"/>
      <protection locked="0"/>
    </xf>
    <xf numFmtId="0" fontId="13" fillId="5" borderId="177" xfId="1" applyFont="1" applyFill="1" applyBorder="1" applyAlignment="1">
      <alignment horizontal="center" vertical="center"/>
    </xf>
    <xf numFmtId="0" fontId="13" fillId="14" borderId="52" xfId="1" applyFont="1" applyFill="1" applyBorder="1" applyAlignment="1">
      <alignment horizontal="center"/>
    </xf>
    <xf numFmtId="1" fontId="13" fillId="13" borderId="40" xfId="1" applyNumberFormat="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13" borderId="165" xfId="1" applyFont="1" applyFill="1" applyBorder="1" applyAlignment="1">
      <alignment horizontal="center"/>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62" xfId="1" applyFont="1" applyFill="1" applyBorder="1" applyAlignment="1" applyProtection="1">
      <alignment horizontal="center"/>
      <protection locked="0"/>
    </xf>
    <xf numFmtId="0" fontId="13" fillId="14" borderId="53" xfId="1" applyFont="1" applyFill="1" applyBorder="1" applyAlignment="1">
      <alignment horizontal="center"/>
    </xf>
    <xf numFmtId="1" fontId="13" fillId="14" borderId="161" xfId="1" applyNumberFormat="1" applyFont="1" applyFill="1" applyBorder="1" applyAlignment="1" applyProtection="1">
      <alignment horizontal="center"/>
      <protection locked="0"/>
    </xf>
    <xf numFmtId="0" fontId="13" fillId="13" borderId="159" xfId="1" applyFont="1" applyFill="1" applyBorder="1" applyAlignment="1" applyProtection="1">
      <alignment horizontal="center"/>
      <protection locked="0"/>
    </xf>
    <xf numFmtId="0" fontId="17" fillId="24" borderId="114" xfId="1" applyFont="1" applyFill="1" applyBorder="1" applyAlignment="1">
      <alignment vertical="center"/>
    </xf>
    <xf numFmtId="0" fontId="20" fillId="4" borderId="57" xfId="1" applyFont="1" applyFill="1" applyBorder="1" applyAlignment="1">
      <alignment horizontal="center" vertical="center"/>
    </xf>
    <xf numFmtId="0" fontId="17" fillId="0" borderId="29" xfId="1" applyFont="1" applyBorder="1" applyAlignment="1">
      <alignment vertical="center"/>
    </xf>
    <xf numFmtId="0" fontId="17" fillId="0" borderId="181"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0" applyFont="1" applyFill="1"/>
    <xf numFmtId="0" fontId="17" fillId="0" borderId="0" xfId="0" applyFont="1" applyFill="1" applyAlignment="1">
      <alignment horizontal="center"/>
    </xf>
    <xf numFmtId="0" fontId="17" fillId="0" borderId="89" xfId="0" applyFont="1" applyBorder="1"/>
    <xf numFmtId="0" fontId="19" fillId="9" borderId="242" xfId="0" applyFont="1" applyFill="1" applyBorder="1" applyAlignment="1">
      <alignment horizontal="center"/>
    </xf>
    <xf numFmtId="0" fontId="19" fillId="9" borderId="243" xfId="0" quotePrefix="1" applyFont="1" applyFill="1" applyBorder="1" applyAlignment="1">
      <alignment horizontal="center"/>
    </xf>
    <xf numFmtId="0" fontId="19" fillId="9" borderId="243" xfId="0" applyFont="1" applyFill="1" applyBorder="1" applyAlignment="1">
      <alignment horizontal="center"/>
    </xf>
    <xf numFmtId="0" fontId="31" fillId="0" borderId="214" xfId="0" applyFont="1" applyBorder="1" applyAlignment="1">
      <alignment horizontal="center" vertical="center"/>
    </xf>
    <xf numFmtId="0" fontId="31" fillId="0" borderId="196" xfId="0" applyFont="1" applyBorder="1" applyAlignment="1">
      <alignment horizontal="center" vertical="center"/>
    </xf>
    <xf numFmtId="0" fontId="61" fillId="0" borderId="214" xfId="0" applyFont="1" applyBorder="1" applyAlignment="1">
      <alignment horizontal="center" vertical="center"/>
    </xf>
    <xf numFmtId="0" fontId="30" fillId="16" borderId="242" xfId="0" applyFont="1" applyFill="1" applyBorder="1" applyAlignment="1">
      <alignment horizontal="center" vertical="center"/>
    </xf>
    <xf numFmtId="0" fontId="30" fillId="18" borderId="242" xfId="0" applyFont="1" applyFill="1" applyBorder="1" applyAlignment="1">
      <alignment horizontal="center" vertical="center"/>
    </xf>
    <xf numFmtId="0" fontId="14" fillId="0" borderId="243" xfId="0" applyFont="1" applyBorder="1" applyAlignment="1">
      <alignment horizontal="center" vertical="center"/>
    </xf>
    <xf numFmtId="0" fontId="14" fillId="16" borderId="243" xfId="0" applyFont="1" applyFill="1" applyBorder="1" applyAlignment="1">
      <alignment horizontal="center" vertical="center"/>
    </xf>
    <xf numFmtId="0" fontId="30" fillId="16" borderId="243" xfId="0" applyFont="1" applyFill="1" applyBorder="1" applyAlignment="1">
      <alignment horizontal="center" vertical="center"/>
    </xf>
    <xf numFmtId="0" fontId="30" fillId="18" borderId="243" xfId="0" applyFont="1" applyFill="1" applyBorder="1" applyAlignment="1">
      <alignment horizontal="center" vertical="center"/>
    </xf>
    <xf numFmtId="0" fontId="31" fillId="0" borderId="248" xfId="0" quotePrefix="1" applyFont="1" applyBorder="1" applyAlignment="1">
      <alignment horizontal="center" vertical="center"/>
    </xf>
    <xf numFmtId="0" fontId="13" fillId="13" borderId="134" xfId="1" applyFont="1" applyFill="1" applyBorder="1" applyAlignment="1" applyProtection="1">
      <alignment horizontal="center"/>
      <protection locked="0"/>
    </xf>
    <xf numFmtId="49" fontId="13" fillId="0" borderId="149" xfId="1" applyNumberFormat="1" applyFont="1" applyBorder="1" applyAlignment="1" applyProtection="1">
      <alignment horizontal="center" wrapText="1"/>
      <protection locked="0"/>
    </xf>
    <xf numFmtId="0" fontId="13" fillId="13" borderId="179" xfId="1" applyFont="1" applyFill="1" applyBorder="1" applyAlignment="1" applyProtection="1">
      <alignment horizontal="center"/>
      <protection locked="0"/>
    </xf>
    <xf numFmtId="0" fontId="13" fillId="13" borderId="149" xfId="1" applyFont="1" applyFill="1" applyBorder="1" applyAlignment="1" applyProtection="1">
      <alignment horizontal="center"/>
      <protection locked="0"/>
    </xf>
    <xf numFmtId="0" fontId="13" fillId="0" borderId="134" xfId="1" applyFont="1" applyBorder="1" applyAlignment="1" applyProtection="1">
      <alignment horizontal="center"/>
      <protection locked="0"/>
    </xf>
    <xf numFmtId="0" fontId="13" fillId="0" borderId="179" xfId="1" applyFont="1" applyFill="1" applyBorder="1" applyAlignment="1" applyProtection="1">
      <alignment horizontal="center"/>
      <protection locked="0"/>
    </xf>
    <xf numFmtId="0" fontId="13" fillId="0" borderId="251" xfId="1" applyFont="1" applyFill="1" applyBorder="1" applyAlignment="1" applyProtection="1">
      <alignment horizontal="center"/>
      <protection locked="0"/>
    </xf>
    <xf numFmtId="0" fontId="13" fillId="0" borderId="216" xfId="1" applyFont="1" applyFill="1" applyBorder="1" applyAlignment="1">
      <alignment horizontal="center"/>
    </xf>
    <xf numFmtId="0" fontId="13" fillId="14" borderId="135" xfId="1" applyFont="1" applyFill="1" applyBorder="1" applyAlignment="1">
      <alignment horizontal="center"/>
    </xf>
    <xf numFmtId="0" fontId="13" fillId="7" borderId="53" xfId="1" applyFont="1" applyFill="1" applyBorder="1" applyAlignment="1">
      <alignment horizontal="center"/>
    </xf>
    <xf numFmtId="49" fontId="13" fillId="0" borderId="149" xfId="1" applyNumberFormat="1" applyFont="1" applyBorder="1" applyAlignment="1" applyProtection="1">
      <alignment horizontal="center"/>
      <protection locked="0"/>
    </xf>
    <xf numFmtId="0" fontId="62" fillId="0" borderId="0" xfId="0" applyFont="1"/>
    <xf numFmtId="49" fontId="14" fillId="66" borderId="243" xfId="0" applyNumberFormat="1" applyFont="1" applyFill="1" applyBorder="1" applyAlignment="1">
      <alignment horizontal="center" vertical="center"/>
    </xf>
    <xf numFmtId="49" fontId="14" fillId="0" borderId="243" xfId="0" applyNumberFormat="1" applyFont="1" applyBorder="1" applyAlignment="1">
      <alignment horizontal="center" vertical="center"/>
    </xf>
    <xf numFmtId="49" fontId="14" fillId="66" borderId="247" xfId="0" applyNumberFormat="1" applyFont="1" applyFill="1" applyBorder="1" applyAlignment="1">
      <alignment horizontal="center" vertical="center"/>
    </xf>
    <xf numFmtId="49" fontId="14" fillId="16" borderId="243" xfId="0" applyNumberFormat="1" applyFont="1" applyFill="1" applyBorder="1" applyAlignment="1">
      <alignment horizontal="center" vertical="center"/>
    </xf>
    <xf numFmtId="0" fontId="64" fillId="0" borderId="0" xfId="8" applyFont="1" applyAlignment="1">
      <alignment horizontal="left" wrapText="1"/>
    </xf>
    <xf numFmtId="0" fontId="1" fillId="0" borderId="0" xfId="0" applyFont="1" applyAlignment="1">
      <alignment horizontal="left" wrapText="1"/>
    </xf>
    <xf numFmtId="0" fontId="65" fillId="0" borderId="0" xfId="8" applyFont="1" applyBorder="1" applyAlignment="1">
      <alignment vertical="top" wrapText="1"/>
    </xf>
    <xf numFmtId="0" fontId="17" fillId="0" borderId="0" xfId="8" applyFont="1" applyBorder="1"/>
    <xf numFmtId="0" fontId="41" fillId="10" borderId="95" xfId="8" applyFont="1" applyFill="1" applyBorder="1" applyAlignment="1">
      <alignment horizontal="right" vertical="center" wrapText="1"/>
    </xf>
    <xf numFmtId="0" fontId="41" fillId="10" borderId="96" xfId="8" applyFont="1" applyFill="1" applyBorder="1" applyAlignment="1">
      <alignment horizontal="right" vertical="center" wrapText="1"/>
    </xf>
    <xf numFmtId="0" fontId="41" fillId="10" borderId="169" xfId="8" applyFont="1" applyFill="1" applyBorder="1" applyAlignment="1">
      <alignment horizontal="right" vertical="center" wrapText="1"/>
    </xf>
    <xf numFmtId="14" fontId="41" fillId="0" borderId="170" xfId="8" applyNumberFormat="1" applyFont="1" applyBorder="1" applyAlignment="1" applyProtection="1">
      <alignment horizontal="center" vertical="center" wrapText="1"/>
      <protection locked="0"/>
    </xf>
    <xf numFmtId="0" fontId="41" fillId="10" borderId="170" xfId="8" applyFont="1" applyFill="1" applyBorder="1" applyAlignment="1">
      <alignment horizontal="right" vertical="center" wrapText="1"/>
    </xf>
    <xf numFmtId="0" fontId="65" fillId="10" borderId="96" xfId="8" applyFont="1" applyFill="1" applyBorder="1" applyAlignment="1">
      <alignment horizontal="right" vertical="center" wrapText="1"/>
    </xf>
    <xf numFmtId="0" fontId="65" fillId="10" borderId="253" xfId="8" applyFont="1" applyFill="1" applyBorder="1" applyAlignment="1">
      <alignment horizontal="right" vertical="center" wrapText="1"/>
    </xf>
    <xf numFmtId="0" fontId="65" fillId="10" borderId="181" xfId="8" applyFont="1" applyFill="1" applyBorder="1" applyAlignment="1">
      <alignment horizontal="right" vertical="center" wrapText="1"/>
    </xf>
    <xf numFmtId="14" fontId="67" fillId="0" borderId="254" xfId="0" applyNumberFormat="1" applyFont="1" applyBorder="1" applyAlignment="1" applyProtection="1">
      <alignment horizontal="center" vertical="center" wrapText="1"/>
      <protection locked="0"/>
    </xf>
    <xf numFmtId="0" fontId="68" fillId="0" borderId="0" xfId="8" applyFont="1" applyBorder="1" applyAlignment="1" applyProtection="1">
      <alignment vertical="top" wrapText="1"/>
      <protection locked="0"/>
    </xf>
    <xf numFmtId="0" fontId="65" fillId="10" borderId="97" xfId="8" applyFont="1" applyFill="1" applyBorder="1" applyAlignment="1">
      <alignment horizontal="center" vertical="center" wrapText="1"/>
    </xf>
    <xf numFmtId="14" fontId="41" fillId="0" borderId="255" xfId="8" applyNumberFormat="1" applyFont="1" applyBorder="1" applyAlignment="1" applyProtection="1">
      <alignment horizontal="center" vertical="center" wrapText="1"/>
      <protection locked="0"/>
    </xf>
    <xf numFmtId="0" fontId="67" fillId="67" borderId="95" xfId="0" applyFont="1" applyFill="1" applyBorder="1" applyAlignment="1">
      <alignment horizontal="right" vertical="center" wrapText="1"/>
    </xf>
    <xf numFmtId="0" fontId="67" fillId="0" borderId="256" xfId="0" applyFont="1" applyBorder="1" applyAlignment="1" applyProtection="1">
      <alignment vertical="top" wrapText="1"/>
      <protection locked="0"/>
    </xf>
    <xf numFmtId="0" fontId="69" fillId="67" borderId="257" xfId="0" applyFont="1" applyFill="1" applyBorder="1" applyAlignment="1">
      <alignment horizontal="right" vertical="center" wrapText="1"/>
    </xf>
    <xf numFmtId="0" fontId="69" fillId="67" borderId="258" xfId="0" applyFont="1" applyFill="1" applyBorder="1" applyAlignment="1">
      <alignment horizontal="right" vertical="center" wrapText="1"/>
    </xf>
    <xf numFmtId="0" fontId="69" fillId="67" borderId="252" xfId="0" applyFont="1" applyFill="1" applyBorder="1" applyAlignment="1">
      <alignment horizontal="center" vertical="center" wrapText="1"/>
    </xf>
    <xf numFmtId="0" fontId="70" fillId="0" borderId="0" xfId="8" applyFont="1" applyBorder="1" applyAlignment="1" applyProtection="1">
      <alignment vertical="top" wrapText="1"/>
      <protection locked="0"/>
    </xf>
    <xf numFmtId="0" fontId="72" fillId="0" borderId="258" xfId="0" applyFont="1" applyBorder="1" applyAlignment="1" applyProtection="1">
      <alignment vertical="center" wrapText="1"/>
      <protection locked="0"/>
    </xf>
    <xf numFmtId="0" fontId="67" fillId="0" borderId="256" xfId="0" applyFont="1" applyBorder="1" applyAlignment="1" applyProtection="1">
      <alignment vertical="center" wrapText="1"/>
      <protection locked="0"/>
    </xf>
    <xf numFmtId="0" fontId="67" fillId="0" borderId="259" xfId="0" applyFont="1" applyBorder="1" applyAlignment="1" applyProtection="1">
      <alignment vertical="center" wrapText="1"/>
      <protection locked="0"/>
    </xf>
    <xf numFmtId="0" fontId="67" fillId="0" borderId="258" xfId="0" applyFont="1" applyBorder="1" applyAlignment="1" applyProtection="1">
      <alignment vertical="center" wrapText="1"/>
      <protection locked="0"/>
    </xf>
    <xf numFmtId="0" fontId="41" fillId="0" borderId="96" xfId="8" applyFont="1" applyBorder="1" applyAlignment="1" applyProtection="1">
      <alignment vertical="center" wrapText="1"/>
      <protection locked="0"/>
    </xf>
    <xf numFmtId="0" fontId="41" fillId="0" borderId="181" xfId="8" applyFont="1" applyBorder="1" applyAlignment="1" applyProtection="1">
      <alignment vertical="center" wrapText="1"/>
      <protection locked="0"/>
    </xf>
    <xf numFmtId="0" fontId="67" fillId="0" borderId="234" xfId="0" applyFont="1" applyBorder="1" applyAlignment="1" applyProtection="1">
      <alignment vertical="center" wrapText="1"/>
      <protection locked="0"/>
    </xf>
    <xf numFmtId="0" fontId="14" fillId="26" borderId="0" xfId="0" applyNumberFormat="1" applyFont="1" applyFill="1" applyBorder="1" applyAlignment="1">
      <alignment horizontal="center" vertical="center"/>
    </xf>
    <xf numFmtId="0" fontId="28" fillId="0" borderId="0" xfId="1" applyNumberFormat="1" applyFont="1" applyFill="1" applyBorder="1" applyAlignment="1">
      <alignment horizontal="center" vertical="center" shrinkToFit="1"/>
    </xf>
    <xf numFmtId="0" fontId="19" fillId="0" borderId="109" xfId="0" applyNumberFormat="1" applyFont="1" applyFill="1" applyBorder="1" applyAlignment="1">
      <alignment horizontal="center" vertical="center"/>
    </xf>
    <xf numFmtId="0" fontId="19" fillId="9" borderId="244" xfId="0" applyNumberFormat="1" applyFont="1" applyFill="1" applyBorder="1" applyAlignment="1">
      <alignment horizontal="center"/>
    </xf>
    <xf numFmtId="0" fontId="17" fillId="0" borderId="0" xfId="0" applyNumberFormat="1" applyFont="1"/>
    <xf numFmtId="0" fontId="17" fillId="0" borderId="262" xfId="1" applyFont="1" applyBorder="1"/>
    <xf numFmtId="0" fontId="20" fillId="4" borderId="212" xfId="1" applyFont="1" applyFill="1" applyBorder="1" applyAlignment="1">
      <alignment horizontal="center" vertical="center"/>
    </xf>
    <xf numFmtId="0" fontId="14" fillId="14" borderId="278" xfId="1" applyFont="1" applyFill="1" applyBorder="1" applyAlignment="1">
      <alignment horizontal="center" vertical="center" shrinkToFit="1"/>
    </xf>
    <xf numFmtId="0" fontId="14" fillId="14" borderId="279" xfId="1" applyFont="1" applyFill="1" applyBorder="1" applyAlignment="1">
      <alignment horizontal="center" vertical="center" shrinkToFit="1"/>
    </xf>
    <xf numFmtId="0" fontId="14" fillId="14" borderId="280" xfId="1" applyFont="1" applyFill="1" applyBorder="1" applyAlignment="1">
      <alignment horizontal="center" vertical="center" shrinkToFit="1"/>
    </xf>
    <xf numFmtId="0" fontId="13" fillId="5" borderId="281" xfId="1" applyFont="1" applyFill="1" applyBorder="1" applyAlignment="1">
      <alignment horizontal="center" vertical="center"/>
    </xf>
    <xf numFmtId="49" fontId="13" fillId="13" borderId="162" xfId="1" applyNumberFormat="1" applyFont="1" applyFill="1" applyBorder="1" applyAlignment="1" applyProtection="1">
      <alignment horizontal="center" wrapText="1"/>
      <protection locked="0"/>
    </xf>
    <xf numFmtId="0" fontId="14" fillId="14" borderId="282" xfId="1" applyFont="1" applyFill="1" applyBorder="1" applyAlignment="1">
      <alignment horizontal="center" vertical="center"/>
    </xf>
    <xf numFmtId="0" fontId="22" fillId="14" borderId="239" xfId="1" applyFont="1" applyFill="1" applyBorder="1" applyAlignment="1">
      <alignment horizontal="center" vertical="center" wrapText="1"/>
    </xf>
    <xf numFmtId="0" fontId="14" fillId="14" borderId="283" xfId="1" applyFont="1" applyFill="1" applyBorder="1" applyAlignment="1">
      <alignment horizontal="center" vertical="center" shrinkToFit="1"/>
    </xf>
    <xf numFmtId="0" fontId="14" fillId="14" borderId="284" xfId="1" applyFont="1" applyFill="1" applyBorder="1" applyAlignment="1">
      <alignment horizontal="center" vertical="center"/>
    </xf>
    <xf numFmtId="0" fontId="14" fillId="14" borderId="279" xfId="1" applyFont="1" applyFill="1" applyBorder="1" applyAlignment="1">
      <alignment horizontal="center" vertical="center"/>
    </xf>
    <xf numFmtId="0" fontId="14" fillId="14" borderId="285" xfId="1" applyFont="1" applyFill="1" applyBorder="1" applyAlignment="1">
      <alignment horizontal="center" vertical="center"/>
    </xf>
    <xf numFmtId="0" fontId="14" fillId="14" borderId="286" xfId="1" applyFont="1" applyFill="1" applyBorder="1" applyAlignment="1">
      <alignment horizontal="center" vertical="center"/>
    </xf>
    <xf numFmtId="0" fontId="14" fillId="14" borderId="287" xfId="1" applyFont="1" applyFill="1" applyBorder="1" applyAlignment="1">
      <alignment horizontal="center" vertical="center"/>
    </xf>
    <xf numFmtId="0" fontId="14" fillId="14" borderId="239" xfId="1" applyFont="1" applyFill="1" applyBorder="1" applyAlignment="1">
      <alignment horizontal="center" vertical="center"/>
    </xf>
    <xf numFmtId="0" fontId="14" fillId="14" borderId="288" xfId="1" applyFont="1" applyFill="1" applyBorder="1" applyAlignment="1">
      <alignment horizontal="center" vertical="center" shrinkToFit="1"/>
    </xf>
    <xf numFmtId="0" fontId="14" fillId="14" borderId="288" xfId="1" applyFont="1" applyFill="1" applyBorder="1" applyAlignment="1">
      <alignment horizontal="center" vertical="center"/>
    </xf>
    <xf numFmtId="0" fontId="14" fillId="14" borderId="280" xfId="1" applyFont="1" applyFill="1" applyBorder="1" applyAlignment="1">
      <alignment horizontal="center" vertical="center"/>
    </xf>
    <xf numFmtId="0" fontId="14" fillId="14" borderId="245" xfId="1" applyFont="1" applyFill="1" applyBorder="1" applyAlignment="1">
      <alignment horizontal="center" vertical="center"/>
    </xf>
    <xf numFmtId="0" fontId="14" fillId="14" borderId="289" xfId="1" applyFont="1" applyFill="1" applyBorder="1" applyAlignment="1">
      <alignment horizontal="center" vertical="center"/>
    </xf>
    <xf numFmtId="0" fontId="14" fillId="14" borderId="290" xfId="1" applyFont="1" applyFill="1" applyBorder="1" applyAlignment="1">
      <alignment horizontal="center" vertical="center"/>
    </xf>
    <xf numFmtId="0" fontId="22" fillId="14" borderId="289" xfId="1" applyFont="1" applyFill="1" applyBorder="1" applyAlignment="1">
      <alignment horizontal="center" vertical="center" wrapText="1"/>
    </xf>
    <xf numFmtId="0" fontId="14" fillId="14" borderId="291" xfId="1" applyFont="1" applyFill="1" applyBorder="1" applyAlignment="1">
      <alignment horizontal="center" vertical="center"/>
    </xf>
    <xf numFmtId="0" fontId="14" fillId="14" borderId="292" xfId="1" applyFont="1" applyFill="1" applyBorder="1" applyAlignment="1">
      <alignment horizontal="center" vertical="center"/>
    </xf>
    <xf numFmtId="0" fontId="15" fillId="0" borderId="293" xfId="0" applyFont="1" applyBorder="1" applyAlignment="1">
      <alignment shrinkToFit="1"/>
    </xf>
    <xf numFmtId="0" fontId="17" fillId="10" borderId="212" xfId="0" applyFont="1" applyFill="1" applyBorder="1" applyAlignment="1">
      <alignment horizontal="right" vertical="center" wrapText="1"/>
    </xf>
    <xf numFmtId="0" fontId="15" fillId="0" borderId="232" xfId="0" applyFont="1" applyBorder="1" applyAlignment="1">
      <alignment horizontal="center" shrinkToFit="1"/>
    </xf>
    <xf numFmtId="0" fontId="17" fillId="0" borderId="89" xfId="0" applyFont="1" applyBorder="1" applyAlignment="1">
      <alignment horizontal="left"/>
    </xf>
    <xf numFmtId="0" fontId="19" fillId="9" borderId="0" xfId="0" applyFont="1" applyFill="1" applyBorder="1" applyAlignment="1">
      <alignment horizontal="center" vertical="center"/>
    </xf>
    <xf numFmtId="0" fontId="19" fillId="9" borderId="214" xfId="0" applyFont="1" applyFill="1" applyBorder="1" applyAlignment="1">
      <alignment horizontal="center" vertical="center"/>
    </xf>
    <xf numFmtId="0" fontId="16" fillId="27" borderId="0" xfId="8" applyFont="1" applyFill="1" applyAlignment="1">
      <alignment horizontal="center" vertical="center" shrinkToFit="1"/>
    </xf>
    <xf numFmtId="0" fontId="19" fillId="27" borderId="0" xfId="8" applyFont="1" applyFill="1" applyBorder="1" applyAlignment="1">
      <alignment horizontal="center" vertical="center" shrinkToFit="1"/>
    </xf>
    <xf numFmtId="0" fontId="17" fillId="0" borderId="293" xfId="0" applyFont="1" applyBorder="1" applyAlignment="1" applyProtection="1">
      <alignment horizontal="center" vertical="center"/>
      <protection locked="0"/>
    </xf>
    <xf numFmtId="0" fontId="17" fillId="0" borderId="294" xfId="0" applyFont="1" applyBorder="1" applyAlignment="1" applyProtection="1">
      <alignment horizontal="center" vertical="center"/>
      <protection locked="0"/>
    </xf>
    <xf numFmtId="0" fontId="17" fillId="0" borderId="259" xfId="0" applyFont="1" applyBorder="1" applyAlignment="1" applyProtection="1">
      <alignment horizontal="center" vertical="center"/>
      <protection locked="0"/>
    </xf>
    <xf numFmtId="0" fontId="17" fillId="0" borderId="91" xfId="0" applyFont="1" applyBorder="1" applyAlignment="1" applyProtection="1">
      <alignment horizontal="center" vertical="center"/>
      <protection locked="0"/>
    </xf>
    <xf numFmtId="0" fontId="17" fillId="0" borderId="295" xfId="0" applyFont="1" applyBorder="1" applyAlignment="1" applyProtection="1">
      <alignment horizontal="center" vertical="center"/>
      <protection locked="0"/>
    </xf>
    <xf numFmtId="0" fontId="17" fillId="0" borderId="296" xfId="0" applyFont="1" applyBorder="1" applyAlignment="1" applyProtection="1">
      <alignment horizontal="center" vertical="center"/>
      <protection locked="0"/>
    </xf>
    <xf numFmtId="0" fontId="17" fillId="24" borderId="297" xfId="8" applyFont="1" applyFill="1" applyBorder="1" applyAlignment="1" applyProtection="1">
      <alignment horizontal="center" vertical="center"/>
      <protection locked="0"/>
    </xf>
    <xf numFmtId="0" fontId="17" fillId="24" borderId="298" xfId="8" applyFont="1" applyFill="1" applyBorder="1" applyAlignment="1" applyProtection="1">
      <alignment horizontal="center" vertical="center"/>
      <protection locked="0"/>
    </xf>
    <xf numFmtId="0" fontId="23" fillId="0" borderId="192" xfId="0" applyFont="1" applyBorder="1" applyAlignment="1">
      <alignment horizontal="center" vertical="center"/>
    </xf>
    <xf numFmtId="0" fontId="17" fillId="24" borderId="299" xfId="8" applyFont="1" applyFill="1" applyBorder="1" applyAlignment="1" applyProtection="1">
      <alignment horizontal="center" vertical="center"/>
      <protection locked="0"/>
    </xf>
    <xf numFmtId="0" fontId="17" fillId="24" borderId="276" xfId="8" applyFont="1" applyFill="1" applyBorder="1" applyAlignment="1" applyProtection="1">
      <alignment horizontal="center" vertical="center"/>
      <protection locked="0"/>
    </xf>
    <xf numFmtId="0" fontId="23" fillId="0" borderId="210" xfId="8" applyFont="1" applyFill="1" applyBorder="1" applyAlignment="1">
      <alignment horizontal="center" vertical="center"/>
    </xf>
    <xf numFmtId="0" fontId="17" fillId="24" borderId="16" xfId="8" applyFont="1" applyFill="1" applyBorder="1" applyAlignment="1" applyProtection="1">
      <alignment horizontal="center" vertical="center"/>
      <protection locked="0"/>
    </xf>
    <xf numFmtId="0" fontId="18" fillId="0" borderId="210" xfId="8" applyFont="1" applyFill="1" applyBorder="1" applyAlignment="1">
      <alignment horizontal="center" vertical="center" wrapText="1"/>
    </xf>
    <xf numFmtId="0" fontId="18" fillId="0" borderId="263" xfId="8" applyFont="1" applyFill="1" applyBorder="1" applyAlignment="1">
      <alignment horizontal="center" vertical="top" wrapText="1"/>
    </xf>
    <xf numFmtId="0" fontId="17" fillId="0" borderId="301" xfId="0" applyFont="1" applyBorder="1" applyAlignment="1" applyProtection="1">
      <alignment horizontal="center" vertical="center"/>
      <protection locked="0"/>
    </xf>
    <xf numFmtId="0" fontId="17" fillId="0" borderId="108" xfId="0" applyFont="1" applyBorder="1" applyAlignment="1" applyProtection="1">
      <alignment horizontal="center" vertical="center"/>
      <protection locked="0"/>
    </xf>
    <xf numFmtId="0" fontId="17" fillId="0" borderId="289" xfId="0" applyFont="1" applyBorder="1"/>
    <xf numFmtId="0" fontId="17" fillId="0" borderId="0" xfId="8" applyFont="1" applyAlignment="1"/>
    <xf numFmtId="0" fontId="17" fillId="25" borderId="143" xfId="8" applyFont="1" applyFill="1" applyBorder="1" applyAlignment="1">
      <alignment horizontal="center"/>
    </xf>
    <xf numFmtId="0" fontId="36" fillId="0" borderId="0" xfId="8" applyFont="1" applyFill="1" applyBorder="1" applyAlignment="1">
      <alignment horizontal="center" vertical="center"/>
    </xf>
    <xf numFmtId="0" fontId="43" fillId="4" borderId="134" xfId="8" applyFont="1" applyFill="1" applyBorder="1" applyAlignment="1">
      <alignment horizontal="center"/>
    </xf>
    <xf numFmtId="0" fontId="32" fillId="4" borderId="134" xfId="8" applyFont="1" applyFill="1" applyBorder="1" applyAlignment="1">
      <alignment horizontal="center" textRotation="90" wrapText="1"/>
    </xf>
    <xf numFmtId="0" fontId="32" fillId="4" borderId="146" xfId="8" applyFont="1" applyFill="1" applyBorder="1" applyAlignment="1">
      <alignment horizontal="center" textRotation="90" wrapText="1"/>
    </xf>
    <xf numFmtId="0" fontId="32" fillId="4" borderId="179" xfId="8" applyFont="1" applyFill="1" applyBorder="1" applyAlignment="1">
      <alignment horizontal="center" textRotation="90" wrapText="1"/>
    </xf>
    <xf numFmtId="0" fontId="32" fillId="4" borderId="264"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32" fillId="4" borderId="140" xfId="8" applyFont="1" applyFill="1" applyBorder="1" applyAlignment="1">
      <alignment horizontal="center" textRotation="90" wrapText="1"/>
    </xf>
    <xf numFmtId="0" fontId="32" fillId="4" borderId="134" xfId="8" applyFont="1" applyFill="1" applyBorder="1" applyAlignment="1">
      <alignment horizontal="center" textRotation="90" wrapText="1" shrinkToFit="1"/>
    </xf>
    <xf numFmtId="0" fontId="32" fillId="4" borderId="179" xfId="8" applyFont="1" applyFill="1" applyBorder="1" applyAlignment="1">
      <alignment horizontal="center" textRotation="90" shrinkToFit="1"/>
    </xf>
    <xf numFmtId="0" fontId="32" fillId="4" borderId="149" xfId="8" applyFont="1" applyFill="1" applyBorder="1" applyAlignment="1">
      <alignment horizontal="center" textRotation="90" wrapText="1"/>
    </xf>
    <xf numFmtId="0" fontId="17" fillId="0" borderId="0" xfId="8" applyFont="1" applyFill="1" applyBorder="1" applyAlignment="1"/>
    <xf numFmtId="0" fontId="17" fillId="0" borderId="113" xfId="8" applyFont="1" applyFill="1" applyBorder="1" applyAlignment="1">
      <alignment horizontal="center" vertical="center" shrinkToFit="1"/>
    </xf>
    <xf numFmtId="0" fontId="17" fillId="0" borderId="235" xfId="8" applyFont="1" applyFill="1" applyBorder="1" applyAlignment="1">
      <alignment horizontal="center" vertical="center"/>
    </xf>
    <xf numFmtId="0" fontId="17" fillId="0" borderId="236" xfId="8" applyFont="1" applyFill="1" applyBorder="1" applyAlignment="1">
      <alignment horizontal="center" vertical="center"/>
    </xf>
    <xf numFmtId="0" fontId="17" fillId="0" borderId="237" xfId="8" applyFont="1" applyFill="1" applyBorder="1" applyAlignment="1">
      <alignment horizontal="center" vertical="center"/>
    </xf>
    <xf numFmtId="0" fontId="17" fillId="25" borderId="124" xfId="8" applyFont="1" applyFill="1" applyBorder="1" applyAlignment="1">
      <alignment horizontal="center" vertical="center"/>
    </xf>
    <xf numFmtId="0" fontId="17" fillId="25" borderId="122" xfId="8" applyFont="1" applyFill="1" applyBorder="1" applyAlignment="1">
      <alignment horizontal="center" vertical="center"/>
    </xf>
    <xf numFmtId="0" fontId="17" fillId="3" borderId="113" xfId="8" applyFont="1" applyFill="1" applyBorder="1" applyAlignment="1">
      <alignment horizontal="center" vertical="center"/>
    </xf>
    <xf numFmtId="0" fontId="17" fillId="25" borderId="114" xfId="8" applyFont="1" applyFill="1" applyBorder="1" applyAlignment="1">
      <alignment horizontal="center" vertical="center"/>
    </xf>
    <xf numFmtId="9" fontId="17" fillId="39" borderId="124" xfId="8" applyNumberFormat="1" applyFont="1" applyFill="1" applyBorder="1" applyAlignment="1">
      <alignment horizontal="center" vertical="center"/>
    </xf>
    <xf numFmtId="0" fontId="17" fillId="24" borderId="113" xfId="8" applyFont="1" applyFill="1" applyBorder="1" applyAlignment="1">
      <alignment horizontal="center" vertical="center" shrinkToFit="1"/>
    </xf>
    <xf numFmtId="0" fontId="17" fillId="40" borderId="235" xfId="8" applyFont="1" applyFill="1" applyBorder="1" applyAlignment="1">
      <alignment horizontal="center" vertical="center"/>
    </xf>
    <xf numFmtId="0" fontId="17" fillId="40" borderId="236" xfId="8" applyFont="1" applyFill="1" applyBorder="1" applyAlignment="1">
      <alignment horizontal="center" vertical="center"/>
    </xf>
    <xf numFmtId="0" fontId="17" fillId="40" borderId="237" xfId="8" applyFont="1" applyFill="1" applyBorder="1" applyAlignment="1">
      <alignment horizontal="center" vertical="center"/>
    </xf>
    <xf numFmtId="0" fontId="17" fillId="40" borderId="114" xfId="8" applyFont="1" applyFill="1" applyBorder="1" applyAlignment="1">
      <alignment horizontal="center" vertical="center"/>
    </xf>
    <xf numFmtId="0" fontId="17" fillId="38" borderId="124" xfId="8" applyFont="1" applyFill="1" applyBorder="1" applyAlignment="1">
      <alignment horizontal="center" vertical="center"/>
    </xf>
    <xf numFmtId="0" fontId="17" fillId="38" borderId="123" xfId="8" applyFont="1" applyFill="1" applyBorder="1" applyAlignment="1">
      <alignment horizontal="center" vertical="center"/>
    </xf>
    <xf numFmtId="0" fontId="17" fillId="24" borderId="113" xfId="8" applyFont="1" applyFill="1" applyBorder="1" applyAlignment="1">
      <alignment horizontal="center" vertical="center"/>
    </xf>
    <xf numFmtId="0" fontId="17" fillId="38" borderId="114" xfId="8" applyFont="1" applyFill="1" applyBorder="1" applyAlignment="1">
      <alignment horizontal="center" vertical="center"/>
    </xf>
    <xf numFmtId="9" fontId="17" fillId="51" borderId="124" xfId="8" applyNumberFormat="1" applyFont="1" applyFill="1" applyBorder="1" applyAlignment="1">
      <alignment horizontal="center" vertical="center"/>
    </xf>
    <xf numFmtId="0" fontId="17" fillId="0" borderId="0" xfId="8" applyFont="1" applyAlignment="1">
      <alignment vertical="center"/>
    </xf>
    <xf numFmtId="0" fontId="17" fillId="0" borderId="180" xfId="8" applyFont="1" applyFill="1" applyBorder="1" applyAlignment="1">
      <alignment horizontal="center" vertical="center" shrinkToFit="1"/>
    </xf>
    <xf numFmtId="0" fontId="23" fillId="38" borderId="135" xfId="8" applyFont="1" applyFill="1" applyBorder="1" applyAlignment="1">
      <alignment horizontal="center" vertical="center"/>
    </xf>
    <xf numFmtId="0" fontId="17" fillId="38" borderId="134" xfId="8" applyFont="1" applyFill="1" applyBorder="1" applyAlignment="1">
      <alignment horizontal="center" vertical="center"/>
    </xf>
    <xf numFmtId="0" fontId="17" fillId="38" borderId="179" xfId="8" applyFont="1" applyFill="1" applyBorder="1" applyAlignment="1">
      <alignment horizontal="center"/>
    </xf>
    <xf numFmtId="9" fontId="17" fillId="38" borderId="179" xfId="8" applyNumberFormat="1" applyFont="1" applyFill="1" applyBorder="1" applyAlignment="1">
      <alignment horizontal="center"/>
    </xf>
    <xf numFmtId="0" fontId="17" fillId="24" borderId="160" xfId="8" applyFont="1" applyFill="1" applyBorder="1" applyAlignment="1">
      <alignment horizontal="center" vertical="center" shrinkToFit="1"/>
    </xf>
    <xf numFmtId="0" fontId="23" fillId="38" borderId="158" xfId="8" applyFont="1" applyFill="1" applyBorder="1" applyAlignment="1">
      <alignment horizontal="center" vertical="center"/>
    </xf>
    <xf numFmtId="0" fontId="17" fillId="38" borderId="144" xfId="8" applyFont="1" applyFill="1" applyBorder="1" applyAlignment="1">
      <alignment horizontal="center" vertical="center"/>
    </xf>
    <xf numFmtId="0" fontId="23" fillId="38" borderId="144" xfId="8" applyFont="1" applyFill="1" applyBorder="1" applyAlignment="1">
      <alignment horizontal="center" vertical="center"/>
    </xf>
    <xf numFmtId="0" fontId="17" fillId="24" borderId="281" xfId="8" applyFont="1" applyFill="1" applyBorder="1" applyAlignment="1">
      <alignment horizontal="right" vertical="center" wrapText="1"/>
    </xf>
    <xf numFmtId="0" fontId="23" fillId="24" borderId="142" xfId="8" applyFont="1" applyFill="1" applyBorder="1" applyAlignment="1">
      <alignment horizontal="center" vertical="center"/>
    </xf>
    <xf numFmtId="0" fontId="23" fillId="24" borderId="56" xfId="8" applyFont="1" applyFill="1" applyBorder="1" applyAlignment="1">
      <alignment horizontal="center" vertical="center"/>
    </xf>
    <xf numFmtId="0" fontId="17" fillId="0" borderId="0" xfId="8" applyFont="1" applyFill="1" applyAlignment="1">
      <alignment horizontal="center"/>
    </xf>
    <xf numFmtId="0" fontId="17" fillId="41" borderId="0" xfId="8" applyFont="1" applyFill="1" applyAlignment="1">
      <alignment horizontal="center"/>
    </xf>
    <xf numFmtId="0" fontId="17" fillId="0" borderId="0" xfId="8" applyFont="1" applyFill="1"/>
    <xf numFmtId="0" fontId="17" fillId="0" borderId="264" xfId="8" applyFont="1" applyBorder="1" applyAlignment="1"/>
    <xf numFmtId="0" fontId="17" fillId="39" borderId="0" xfId="8" applyFont="1" applyFill="1" applyAlignment="1">
      <alignment horizontal="center"/>
    </xf>
    <xf numFmtId="0" fontId="17" fillId="45" borderId="0" xfId="8" applyFont="1" applyFill="1" applyAlignment="1">
      <alignment horizontal="center"/>
    </xf>
    <xf numFmtId="0" fontId="17" fillId="55" borderId="0" xfId="8" applyFont="1" applyFill="1" applyAlignment="1">
      <alignment horizontal="center" wrapText="1"/>
    </xf>
    <xf numFmtId="0" fontId="17" fillId="0" borderId="0" xfId="8" applyFont="1" applyAlignment="1">
      <alignment horizontal="center"/>
    </xf>
    <xf numFmtId="0" fontId="17" fillId="24" borderId="0" xfId="8" applyFont="1" applyFill="1" applyAlignment="1">
      <alignment horizontal="center"/>
    </xf>
    <xf numFmtId="0" fontId="17" fillId="24" borderId="230" xfId="8" applyFont="1" applyFill="1" applyBorder="1" applyAlignment="1">
      <alignment horizontal="center"/>
    </xf>
    <xf numFmtId="0" fontId="17" fillId="58" borderId="0" xfId="8" applyFont="1" applyFill="1" applyAlignment="1">
      <alignment horizontal="center"/>
    </xf>
    <xf numFmtId="0" fontId="17" fillId="9" borderId="192" xfId="8" applyFont="1" applyFill="1" applyBorder="1"/>
    <xf numFmtId="0" fontId="17" fillId="58" borderId="210" xfId="8" applyFont="1" applyFill="1" applyBorder="1" applyAlignment="1">
      <alignment horizontal="center"/>
    </xf>
    <xf numFmtId="0" fontId="17" fillId="43" borderId="0" xfId="8" applyFont="1" applyFill="1" applyAlignment="1">
      <alignment horizontal="center"/>
    </xf>
    <xf numFmtId="0" fontId="17" fillId="43" borderId="230" xfId="8" applyFont="1" applyFill="1" applyBorder="1" applyAlignment="1">
      <alignment horizontal="center"/>
    </xf>
    <xf numFmtId="0" fontId="17" fillId="59" borderId="0" xfId="8" applyFont="1" applyFill="1" applyAlignment="1">
      <alignment horizontal="center"/>
    </xf>
    <xf numFmtId="0" fontId="17" fillId="9" borderId="210" xfId="8" applyFont="1" applyFill="1" applyBorder="1"/>
    <xf numFmtId="0" fontId="17" fillId="59" borderId="210" xfId="8" applyFont="1" applyFill="1" applyBorder="1" applyAlignment="1">
      <alignment horizontal="center"/>
    </xf>
    <xf numFmtId="0" fontId="17" fillId="59" borderId="88" xfId="8" applyFont="1" applyFill="1" applyBorder="1" applyAlignment="1">
      <alignment horizontal="center"/>
    </xf>
    <xf numFmtId="0" fontId="17" fillId="69" borderId="0" xfId="8" applyFont="1" applyFill="1" applyAlignment="1">
      <alignment horizontal="center"/>
    </xf>
    <xf numFmtId="0" fontId="17" fillId="70" borderId="0" xfId="8" applyFont="1" applyFill="1" applyAlignment="1">
      <alignment horizontal="center"/>
    </xf>
    <xf numFmtId="0" fontId="17" fillId="8" borderId="0" xfId="8" applyFont="1" applyFill="1" applyAlignment="1">
      <alignment horizontal="center"/>
    </xf>
    <xf numFmtId="0" fontId="17" fillId="45" borderId="230" xfId="8" applyFont="1" applyFill="1" applyBorder="1" applyAlignment="1">
      <alignment horizontal="center"/>
    </xf>
    <xf numFmtId="0" fontId="20" fillId="60" borderId="0" xfId="8" applyFont="1" applyFill="1" applyAlignment="1">
      <alignment horizontal="center"/>
    </xf>
    <xf numFmtId="0" fontId="17" fillId="0" borderId="0" xfId="8" applyFont="1" applyAlignment="1">
      <alignment horizontal="center" wrapText="1"/>
    </xf>
    <xf numFmtId="0" fontId="17" fillId="54" borderId="0" xfId="8" applyFont="1" applyFill="1" applyAlignment="1">
      <alignment horizontal="center"/>
    </xf>
    <xf numFmtId="0" fontId="17" fillId="54" borderId="230" xfId="8" applyFont="1" applyFill="1" applyBorder="1" applyAlignment="1">
      <alignment horizontal="center"/>
    </xf>
    <xf numFmtId="0" fontId="23" fillId="0" borderId="0" xfId="0" applyFont="1"/>
    <xf numFmtId="0" fontId="22" fillId="38" borderId="179" xfId="8" applyFont="1" applyFill="1" applyBorder="1" applyAlignment="1"/>
    <xf numFmtId="9" fontId="22" fillId="38" borderId="154" xfId="8" applyNumberFormat="1" applyFont="1" applyFill="1" applyBorder="1" applyAlignment="1"/>
    <xf numFmtId="0" fontId="22" fillId="24" borderId="180" xfId="8" applyFont="1" applyFill="1" applyBorder="1" applyAlignment="1"/>
    <xf numFmtId="2" fontId="22" fillId="38" borderId="153" xfId="8" applyNumberFormat="1" applyFont="1" applyFill="1" applyBorder="1" applyAlignment="1"/>
    <xf numFmtId="0" fontId="22" fillId="38" borderId="181" xfId="8" applyFont="1" applyFill="1" applyBorder="1" applyAlignment="1"/>
    <xf numFmtId="9" fontId="22" fillId="38" borderId="117" xfId="8" applyNumberFormat="1" applyFont="1" applyFill="1" applyBorder="1" applyAlignment="1"/>
    <xf numFmtId="0" fontId="22" fillId="24" borderId="114" xfId="8" applyFont="1" applyFill="1" applyBorder="1" applyAlignment="1"/>
    <xf numFmtId="2" fontId="22" fillId="38" borderId="115" xfId="8" applyNumberFormat="1" applyFont="1" applyFill="1" applyBorder="1" applyAlignment="1"/>
    <xf numFmtId="0" fontId="22" fillId="38" borderId="29" xfId="8" applyFont="1" applyFill="1" applyBorder="1" applyAlignment="1"/>
    <xf numFmtId="9" fontId="22" fillId="38" borderId="28" xfId="8" applyNumberFormat="1" applyFont="1" applyFill="1" applyBorder="1" applyAlignment="1"/>
    <xf numFmtId="0" fontId="22" fillId="0" borderId="151" xfId="8" applyFont="1" applyBorder="1" applyAlignment="1">
      <alignment horizontal="center"/>
    </xf>
    <xf numFmtId="0" fontId="22" fillId="24" borderId="180" xfId="8" applyFont="1" applyFill="1" applyBorder="1" applyAlignment="1">
      <alignment horizontal="center"/>
    </xf>
    <xf numFmtId="0" fontId="22" fillId="0" borderId="180" xfId="8" applyFont="1" applyBorder="1" applyAlignment="1">
      <alignment horizontal="center"/>
    </xf>
    <xf numFmtId="9" fontId="22" fillId="24" borderId="180" xfId="8" applyNumberFormat="1" applyFont="1" applyFill="1" applyBorder="1" applyAlignment="1"/>
    <xf numFmtId="1" fontId="22" fillId="38" borderId="180" xfId="8" applyNumberFormat="1" applyFont="1" applyFill="1" applyBorder="1" applyAlignment="1"/>
    <xf numFmtId="2" fontId="22" fillId="38" borderId="180" xfId="8" applyNumberFormat="1" applyFont="1" applyFill="1" applyBorder="1" applyAlignment="1"/>
    <xf numFmtId="0" fontId="22" fillId="3" borderId="151" xfId="8" applyFont="1" applyFill="1" applyBorder="1" applyAlignment="1"/>
    <xf numFmtId="0" fontId="22" fillId="3" borderId="180" xfId="8" applyFont="1" applyFill="1" applyBorder="1" applyAlignment="1"/>
    <xf numFmtId="2" fontId="22" fillId="3" borderId="180" xfId="8" applyNumberFormat="1" applyFont="1" applyFill="1" applyBorder="1" applyAlignment="1">
      <alignment shrinkToFit="1"/>
    </xf>
    <xf numFmtId="1" fontId="22" fillId="3" borderId="180" xfId="8" applyNumberFormat="1" applyFont="1" applyFill="1" applyBorder="1" applyAlignment="1">
      <alignment shrinkToFit="1"/>
    </xf>
    <xf numFmtId="165" fontId="22" fillId="3" borderId="151" xfId="8" applyNumberFormat="1" applyFont="1" applyFill="1" applyBorder="1" applyAlignment="1"/>
    <xf numFmtId="165" fontId="22" fillId="3" borderId="180" xfId="8" applyNumberFormat="1" applyFont="1" applyFill="1" applyBorder="1" applyAlignment="1"/>
    <xf numFmtId="165" fontId="22" fillId="24" borderId="180" xfId="8" applyNumberFormat="1" applyFont="1" applyFill="1" applyBorder="1" applyAlignment="1"/>
    <xf numFmtId="2" fontId="22" fillId="39" borderId="180" xfId="8" applyNumberFormat="1" applyFont="1" applyFill="1" applyBorder="1" applyAlignment="1"/>
    <xf numFmtId="2" fontId="22" fillId="39" borderId="153" xfId="8" applyNumberFormat="1" applyFont="1" applyFill="1" applyBorder="1" applyAlignment="1"/>
    <xf numFmtId="2" fontId="22" fillId="39" borderId="154" xfId="8" applyNumberFormat="1" applyFont="1" applyFill="1" applyBorder="1" applyAlignment="1"/>
    <xf numFmtId="0" fontId="22" fillId="0" borderId="113" xfId="8" applyFont="1" applyBorder="1" applyAlignment="1">
      <alignment horizontal="center"/>
    </xf>
    <xf numFmtId="0" fontId="22" fillId="24" borderId="114" xfId="8" applyFont="1" applyFill="1" applyBorder="1" applyAlignment="1">
      <alignment horizontal="center"/>
    </xf>
    <xf numFmtId="0" fontId="22" fillId="0" borderId="114" xfId="8" applyFont="1" applyBorder="1" applyAlignment="1">
      <alignment horizontal="center"/>
    </xf>
    <xf numFmtId="9" fontId="22" fillId="24" borderId="114" xfId="8" applyNumberFormat="1" applyFont="1" applyFill="1" applyBorder="1" applyAlignment="1"/>
    <xf numFmtId="1" fontId="22" fillId="38" borderId="114" xfId="8" applyNumberFormat="1" applyFont="1" applyFill="1" applyBorder="1" applyAlignment="1"/>
    <xf numFmtId="2" fontId="22" fillId="38" borderId="114" xfId="8" applyNumberFormat="1" applyFont="1" applyFill="1" applyBorder="1" applyAlignment="1"/>
    <xf numFmtId="0" fontId="22" fillId="3" borderId="113" xfId="8" applyFont="1" applyFill="1" applyBorder="1" applyAlignment="1"/>
    <xf numFmtId="0" fontId="22" fillId="3" borderId="114" xfId="8" applyFont="1" applyFill="1" applyBorder="1" applyAlignment="1"/>
    <xf numFmtId="2" fontId="22" fillId="3" borderId="114" xfId="8" applyNumberFormat="1" applyFont="1" applyFill="1" applyBorder="1" applyAlignment="1">
      <alignment shrinkToFit="1"/>
    </xf>
    <xf numFmtId="1" fontId="22" fillId="3" borderId="114" xfId="8" applyNumberFormat="1" applyFont="1" applyFill="1" applyBorder="1" applyAlignment="1">
      <alignment shrinkToFit="1"/>
    </xf>
    <xf numFmtId="165" fontId="22" fillId="3" borderId="113" xfId="8" applyNumberFormat="1" applyFont="1" applyFill="1" applyBorder="1" applyAlignment="1"/>
    <xf numFmtId="165" fontId="22" fillId="3" borderId="114" xfId="8" applyNumberFormat="1" applyFont="1" applyFill="1" applyBorder="1" applyAlignment="1"/>
    <xf numFmtId="165" fontId="22" fillId="24" borderId="114" xfId="8" applyNumberFormat="1" applyFont="1" applyFill="1" applyBorder="1" applyAlignment="1"/>
    <xf numFmtId="2" fontId="22" fillId="39" borderId="114" xfId="8" applyNumberFormat="1" applyFont="1" applyFill="1" applyBorder="1" applyAlignment="1"/>
    <xf numFmtId="2" fontId="22" fillId="39" borderId="115" xfId="8" applyNumberFormat="1" applyFont="1" applyFill="1" applyBorder="1" applyAlignment="1"/>
    <xf numFmtId="2" fontId="22" fillId="39" borderId="124" xfId="8" applyNumberFormat="1" applyFont="1" applyFill="1" applyBorder="1" applyAlignment="1"/>
    <xf numFmtId="1" fontId="22" fillId="38" borderId="126" xfId="8" applyNumberFormat="1" applyFont="1" applyFill="1" applyBorder="1" applyAlignment="1"/>
    <xf numFmtId="2" fontId="22" fillId="38" borderId="126" xfId="8" applyNumberFormat="1" applyFont="1" applyFill="1" applyBorder="1" applyAlignment="1"/>
    <xf numFmtId="2" fontId="22" fillId="38" borderId="160" xfId="8" applyNumberFormat="1" applyFont="1" applyFill="1" applyBorder="1" applyAlignment="1"/>
    <xf numFmtId="0" fontId="22" fillId="0" borderId="151" xfId="8" applyFont="1" applyBorder="1" applyAlignment="1"/>
    <xf numFmtId="0" fontId="22" fillId="0" borderId="180" xfId="8" applyFont="1" applyBorder="1" applyAlignment="1"/>
    <xf numFmtId="0" fontId="22" fillId="24" borderId="153" xfId="8" applyFont="1" applyFill="1" applyBorder="1" applyAlignment="1"/>
    <xf numFmtId="0" fontId="22" fillId="38" borderId="180" xfId="8" applyFont="1" applyFill="1" applyBorder="1" applyAlignment="1"/>
    <xf numFmtId="0" fontId="22" fillId="38" borderId="154" xfId="8" applyFont="1" applyFill="1" applyBorder="1" applyAlignment="1"/>
    <xf numFmtId="165" fontId="22" fillId="24" borderId="4" xfId="8" applyNumberFormat="1" applyFont="1" applyFill="1" applyBorder="1" applyAlignment="1"/>
    <xf numFmtId="9" fontId="22" fillId="0" borderId="180" xfId="8" applyNumberFormat="1" applyFont="1" applyFill="1" applyBorder="1" applyAlignment="1"/>
    <xf numFmtId="9" fontId="22" fillId="3" borderId="180" xfId="8" applyNumberFormat="1" applyFont="1" applyFill="1" applyBorder="1" applyAlignment="1"/>
    <xf numFmtId="165" fontId="22" fillId="38" borderId="180" xfId="8" applyNumberFormat="1" applyFont="1" applyFill="1" applyBorder="1" applyAlignment="1"/>
    <xf numFmtId="1" fontId="22" fillId="0" borderId="151" xfId="8" applyNumberFormat="1" applyFont="1" applyFill="1" applyBorder="1" applyAlignment="1"/>
    <xf numFmtId="0" fontId="22" fillId="0" borderId="180" xfId="8" applyFont="1" applyFill="1" applyBorder="1" applyAlignment="1"/>
    <xf numFmtId="9" fontId="22" fillId="38" borderId="180" xfId="8" applyNumberFormat="1" applyFont="1" applyFill="1" applyBorder="1" applyAlignment="1"/>
    <xf numFmtId="9" fontId="22" fillId="38" borderId="115" xfId="8" applyNumberFormat="1" applyFont="1" applyFill="1" applyBorder="1" applyAlignment="1"/>
    <xf numFmtId="0" fontId="22" fillId="0" borderId="113" xfId="8" applyFont="1" applyBorder="1" applyAlignment="1"/>
    <xf numFmtId="0" fontId="22" fillId="0" borderId="114" xfId="8" applyFont="1" applyBorder="1" applyAlignment="1"/>
    <xf numFmtId="0" fontId="22" fillId="24" borderId="115" xfId="8" applyFont="1" applyFill="1" applyBorder="1" applyAlignment="1"/>
    <xf numFmtId="0" fontId="22" fillId="38" borderId="114" xfId="8" applyFont="1" applyFill="1" applyBorder="1" applyAlignment="1"/>
    <xf numFmtId="0" fontId="22" fillId="38" borderId="124" xfId="8" applyFont="1" applyFill="1" applyBorder="1" applyAlignment="1"/>
    <xf numFmtId="165" fontId="22" fillId="24" borderId="60" xfId="8" applyNumberFormat="1" applyFont="1" applyFill="1" applyBorder="1" applyAlignment="1"/>
    <xf numFmtId="9" fontId="22" fillId="0" borderId="114" xfId="8" applyNumberFormat="1" applyFont="1" applyFill="1" applyBorder="1" applyAlignment="1"/>
    <xf numFmtId="9" fontId="22" fillId="3" borderId="114" xfId="8" applyNumberFormat="1" applyFont="1" applyFill="1" applyBorder="1" applyAlignment="1"/>
    <xf numFmtId="165" fontId="22" fillId="38" borderId="114" xfId="8" applyNumberFormat="1" applyFont="1" applyFill="1" applyBorder="1" applyAlignment="1"/>
    <xf numFmtId="9" fontId="22" fillId="38" borderId="124" xfId="8" applyNumberFormat="1" applyFont="1" applyFill="1" applyBorder="1" applyAlignment="1"/>
    <xf numFmtId="1" fontId="22" fillId="0" borderId="113" xfId="8" applyNumberFormat="1" applyFont="1" applyFill="1" applyBorder="1" applyAlignment="1"/>
    <xf numFmtId="0" fontId="22" fillId="0" borderId="114" xfId="8" applyFont="1" applyFill="1" applyBorder="1" applyAlignment="1"/>
    <xf numFmtId="9" fontId="22" fillId="38" borderId="114" xfId="8" applyNumberFormat="1" applyFont="1" applyFill="1" applyBorder="1" applyAlignment="1"/>
    <xf numFmtId="0" fontId="22" fillId="0" borderId="161" xfId="8" applyFont="1" applyBorder="1" applyAlignment="1"/>
    <xf numFmtId="0" fontId="22" fillId="0" borderId="160" xfId="8" applyFont="1" applyBorder="1" applyAlignment="1"/>
    <xf numFmtId="0" fontId="17" fillId="3" borderId="0" xfId="1" applyFont="1" applyFill="1" applyBorder="1" applyAlignment="1">
      <alignment horizontal="left" wrapText="1"/>
    </xf>
    <xf numFmtId="0" fontId="17" fillId="3" borderId="0" xfId="1" applyFont="1" applyFill="1" applyBorder="1" applyAlignment="1">
      <alignment wrapText="1"/>
    </xf>
    <xf numFmtId="0" fontId="23" fillId="24" borderId="261" xfId="8" applyFont="1" applyFill="1" applyBorder="1" applyAlignment="1">
      <alignment vertical="top" shrinkToFit="1"/>
    </xf>
    <xf numFmtId="0" fontId="23" fillId="24" borderId="263" xfId="8" applyFont="1" applyFill="1" applyBorder="1" applyAlignment="1">
      <alignment vertical="top" shrinkToFit="1"/>
    </xf>
    <xf numFmtId="0" fontId="23" fillId="24" borderId="261" xfId="8" applyFont="1" applyFill="1" applyBorder="1" applyAlignment="1">
      <alignment vertical="center" shrinkToFit="1"/>
    </xf>
    <xf numFmtId="0" fontId="23" fillId="24" borderId="263" xfId="8" applyFont="1" applyFill="1" applyBorder="1" applyAlignment="1">
      <alignment vertical="center" shrinkToFit="1"/>
    </xf>
    <xf numFmtId="0" fontId="27" fillId="0" borderId="0" xfId="0" quotePrefix="1" applyFont="1" applyAlignment="1">
      <alignment horizontal="right" vertical="center"/>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9" fillId="9" borderId="307" xfId="0" applyFont="1" applyFill="1" applyBorder="1" applyAlignment="1">
      <alignment vertical="center"/>
    </xf>
    <xf numFmtId="0" fontId="23" fillId="9" borderId="300" xfId="0" applyFont="1" applyFill="1" applyBorder="1" applyAlignment="1">
      <alignment vertical="center"/>
    </xf>
    <xf numFmtId="0" fontId="27" fillId="64" borderId="0" xfId="0" applyFont="1" applyFill="1" applyAlignment="1">
      <alignment horizontal="left"/>
    </xf>
    <xf numFmtId="0" fontId="17" fillId="51" borderId="140" xfId="8" applyFont="1" applyFill="1" applyBorder="1" applyAlignment="1"/>
    <xf numFmtId="0" fontId="17" fillId="51" borderId="264" xfId="8" applyFont="1" applyFill="1" applyBorder="1" applyAlignment="1"/>
    <xf numFmtId="0" fontId="17" fillId="71" borderId="264" xfId="8" applyFont="1" applyFill="1" applyBorder="1" applyAlignment="1"/>
    <xf numFmtId="167" fontId="71" fillId="0" borderId="96" xfId="8" applyNumberFormat="1" applyFont="1" applyBorder="1" applyAlignment="1" applyProtection="1">
      <alignment horizontal="center" vertical="center" wrapText="1"/>
      <protection locked="0"/>
    </xf>
    <xf numFmtId="0" fontId="17" fillId="0" borderId="0" xfId="0" applyFont="1" applyAlignment="1">
      <alignment horizontal="left" wrapText="1"/>
    </xf>
    <xf numFmtId="0" fontId="20" fillId="4" borderId="279" xfId="1" applyFont="1" applyFill="1" applyBorder="1" applyAlignment="1">
      <alignment horizontal="center" vertical="center" wrapText="1"/>
    </xf>
    <xf numFmtId="0" fontId="17" fillId="0" borderId="0" xfId="0" applyFont="1" applyAlignment="1"/>
    <xf numFmtId="0" fontId="17" fillId="0" borderId="0" xfId="0" quotePrefix="1" applyFont="1" applyAlignment="1">
      <alignment horizontal="right"/>
    </xf>
    <xf numFmtId="0" fontId="76" fillId="0" borderId="0" xfId="1" applyFont="1" applyBorder="1" applyAlignment="1">
      <alignment shrinkToFit="1"/>
    </xf>
    <xf numFmtId="0" fontId="23" fillId="0" borderId="0" xfId="0" applyFont="1" applyAlignment="1">
      <alignment horizontal="left" indent="1"/>
    </xf>
    <xf numFmtId="0" fontId="17" fillId="0" borderId="0" xfId="0" applyFont="1" applyAlignment="1">
      <alignment horizontal="left" indent="1"/>
    </xf>
    <xf numFmtId="0" fontId="17" fillId="0" borderId="0" xfId="0" applyFont="1" applyAlignment="1">
      <alignment horizontal="left" wrapText="1" indent="1"/>
    </xf>
    <xf numFmtId="0" fontId="22" fillId="0" borderId="289" xfId="0" applyFont="1" applyBorder="1" applyAlignment="1">
      <alignment horizontal="left" vertical="center" wrapText="1"/>
    </xf>
    <xf numFmtId="0" fontId="25" fillId="3" borderId="0" xfId="3" applyFont="1" applyFill="1" applyAlignment="1">
      <alignment vertical="center" wrapText="1"/>
    </xf>
    <xf numFmtId="0" fontId="79" fillId="26" borderId="108" xfId="1" applyFont="1" applyFill="1" applyBorder="1" applyAlignment="1">
      <alignment horizontal="center"/>
    </xf>
    <xf numFmtId="0" fontId="79" fillId="0" borderId="107" xfId="1" applyFont="1" applyBorder="1" applyAlignment="1">
      <alignment horizontal="center"/>
    </xf>
    <xf numFmtId="0" fontId="79" fillId="0" borderId="230" xfId="1" applyFont="1" applyBorder="1" applyAlignment="1">
      <alignment horizontal="center"/>
    </xf>
    <xf numFmtId="0" fontId="30" fillId="0" borderId="289" xfId="0" applyFont="1" applyBorder="1" applyAlignment="1">
      <alignment horizontal="center" vertical="center" shrinkToFit="1"/>
    </xf>
    <xf numFmtId="49" fontId="17" fillId="3" borderId="116" xfId="3" applyNumberFormat="1" applyFont="1" applyFill="1" applyBorder="1" applyAlignment="1" applyProtection="1">
      <alignment horizontal="right"/>
      <protection locked="0"/>
    </xf>
    <xf numFmtId="0" fontId="30" fillId="0" borderId="2" xfId="1" applyFont="1" applyFill="1" applyBorder="1" applyAlignment="1">
      <alignment horizontal="center" wrapText="1"/>
    </xf>
    <xf numFmtId="0" fontId="30" fillId="0" borderId="112" xfId="1" applyFont="1" applyFill="1" applyBorder="1" applyAlignment="1">
      <alignment horizontal="center" wrapText="1"/>
    </xf>
    <xf numFmtId="0" fontId="30" fillId="0" borderId="158" xfId="1" applyFont="1" applyFill="1" applyBorder="1" applyAlignment="1">
      <alignment horizontal="center" wrapText="1"/>
    </xf>
    <xf numFmtId="0" fontId="30" fillId="0" borderId="2" xfId="1" applyFont="1" applyFill="1" applyBorder="1" applyAlignment="1">
      <alignment horizontal="center" vertical="center" wrapText="1"/>
    </xf>
    <xf numFmtId="0" fontId="30" fillId="0" borderId="112" xfId="1" applyFont="1" applyFill="1" applyBorder="1" applyAlignment="1">
      <alignment horizontal="center" vertical="center" wrapText="1"/>
    </xf>
    <xf numFmtId="0" fontId="30" fillId="0" borderId="158" xfId="1" applyFont="1" applyFill="1" applyBorder="1" applyAlignment="1">
      <alignment horizontal="center" vertical="center" wrapText="1"/>
    </xf>
    <xf numFmtId="0" fontId="17" fillId="0" borderId="2" xfId="1" applyFont="1" applyFill="1" applyBorder="1" applyAlignment="1">
      <alignment horizontal="center"/>
    </xf>
    <xf numFmtId="0" fontId="17" fillId="0" borderId="112" xfId="1" applyFont="1" applyFill="1" applyBorder="1" applyAlignment="1">
      <alignment horizontal="center"/>
    </xf>
    <xf numFmtId="0" fontId="17" fillId="0" borderId="158" xfId="1" applyFont="1" applyFill="1" applyBorder="1" applyAlignment="1">
      <alignment horizontal="center"/>
    </xf>
    <xf numFmtId="14" fontId="17" fillId="0" borderId="2" xfId="1" applyNumberFormat="1" applyFont="1" applyFill="1" applyBorder="1" applyAlignment="1">
      <alignment horizontal="center"/>
    </xf>
    <xf numFmtId="14" fontId="17" fillId="0" borderId="112" xfId="1" applyNumberFormat="1" applyFont="1" applyFill="1" applyBorder="1" applyAlignment="1">
      <alignment horizontal="center"/>
    </xf>
    <xf numFmtId="14" fontId="17" fillId="0" borderId="158" xfId="1" applyNumberFormat="1" applyFont="1" applyFill="1" applyBorder="1" applyAlignment="1">
      <alignment horizontal="center"/>
    </xf>
    <xf numFmtId="0" fontId="23" fillId="65" borderId="54" xfId="1" applyFont="1" applyFill="1" applyBorder="1" applyAlignment="1">
      <alignment horizontal="left" wrapText="1"/>
    </xf>
    <xf numFmtId="14" fontId="17" fillId="64" borderId="0" xfId="1" applyNumberFormat="1" applyFont="1" applyFill="1" applyBorder="1" applyAlignment="1">
      <alignment horizontal="center"/>
    </xf>
    <xf numFmtId="14" fontId="17" fillId="64" borderId="0" xfId="1" applyNumberFormat="1" applyFont="1" applyFill="1" applyBorder="1" applyAlignment="1">
      <alignment horizontal="left" vertical="top" wrapText="1"/>
    </xf>
    <xf numFmtId="0" fontId="17" fillId="3" borderId="0" xfId="1" applyFont="1" applyFill="1" applyBorder="1" applyAlignment="1">
      <alignment horizontal="left" wrapText="1"/>
    </xf>
    <xf numFmtId="0" fontId="17" fillId="3" borderId="2" xfId="1" applyFont="1" applyFill="1" applyBorder="1" applyAlignment="1">
      <alignment horizontal="left" wrapText="1"/>
    </xf>
    <xf numFmtId="0" fontId="17" fillId="3" borderId="56" xfId="1" applyFont="1" applyFill="1" applyBorder="1" applyAlignment="1">
      <alignment horizontal="left" wrapText="1"/>
    </xf>
    <xf numFmtId="0" fontId="17" fillId="3" borderId="46" xfId="1" applyFont="1" applyFill="1" applyBorder="1" applyAlignment="1">
      <alignment horizontal="center" vertical="center" wrapText="1"/>
    </xf>
    <xf numFmtId="0" fontId="18" fillId="64" borderId="0" xfId="1" applyFont="1" applyFill="1" applyAlignment="1">
      <alignment horizontal="left" vertical="center" wrapText="1"/>
    </xf>
    <xf numFmtId="0" fontId="17" fillId="3" borderId="0" xfId="2" applyNumberFormat="1" applyFont="1" applyFill="1" applyBorder="1" applyAlignment="1" applyProtection="1">
      <alignment horizontal="center" vertical="top" wrapText="1"/>
    </xf>
    <xf numFmtId="0" fontId="17" fillId="3" borderId="0" xfId="1" applyFont="1" applyFill="1" applyBorder="1" applyAlignment="1">
      <alignment horizontal="center" wrapText="1"/>
    </xf>
    <xf numFmtId="0" fontId="17" fillId="3" borderId="0" xfId="1" applyFont="1" applyFill="1" applyBorder="1" applyAlignment="1">
      <alignment wrapText="1"/>
    </xf>
    <xf numFmtId="0" fontId="23" fillId="25" borderId="0" xfId="1" applyFont="1" applyFill="1" applyBorder="1" applyAlignment="1">
      <alignment horizontal="left" vertical="center" wrapText="1"/>
    </xf>
    <xf numFmtId="0" fontId="23" fillId="3" borderId="65" xfId="1" applyFont="1" applyFill="1" applyBorder="1" applyAlignment="1">
      <alignment horizontal="center"/>
    </xf>
    <xf numFmtId="0" fontId="17" fillId="65" borderId="0" xfId="1" applyFont="1" applyFill="1" applyBorder="1" applyAlignment="1">
      <alignment horizontal="left" wrapText="1"/>
    </xf>
    <xf numFmtId="0" fontId="17" fillId="3" borderId="0" xfId="1" applyFont="1" applyFill="1" applyBorder="1" applyAlignment="1">
      <alignment horizontal="left" vertical="center" wrapText="1"/>
    </xf>
    <xf numFmtId="0" fontId="23" fillId="3" borderId="0" xfId="1" applyFont="1" applyFill="1" applyBorder="1" applyAlignment="1">
      <alignment horizontal="left" wrapText="1"/>
    </xf>
    <xf numFmtId="14" fontId="17" fillId="0" borderId="0" xfId="1" applyNumberFormat="1" applyFont="1" applyFill="1" applyBorder="1" applyAlignment="1">
      <alignment horizontal="center"/>
    </xf>
    <xf numFmtId="0" fontId="23" fillId="0" borderId="0" xfId="1" applyFont="1" applyBorder="1" applyAlignment="1">
      <alignment horizontal="left"/>
    </xf>
    <xf numFmtId="49" fontId="39" fillId="65" borderId="0" xfId="1" applyNumberFormat="1" applyFont="1" applyFill="1" applyBorder="1" applyAlignment="1">
      <alignment horizontal="center" wrapText="1"/>
    </xf>
    <xf numFmtId="0" fontId="37" fillId="3" borderId="0" xfId="1" applyFont="1" applyFill="1" applyBorder="1" applyAlignment="1">
      <alignment horizontal="left" wrapText="1"/>
    </xf>
    <xf numFmtId="0" fontId="23" fillId="3" borderId="0" xfId="1" applyFont="1" applyFill="1" applyBorder="1" applyAlignment="1">
      <alignment horizontal="left"/>
    </xf>
    <xf numFmtId="0" fontId="49" fillId="3" borderId="0" xfId="1" applyFont="1" applyFill="1" applyBorder="1" applyAlignment="1">
      <alignment horizontal="left" wrapText="1"/>
    </xf>
    <xf numFmtId="0" fontId="17" fillId="0" borderId="0" xfId="0" applyFont="1" applyAlignment="1">
      <alignment horizontal="left" wrapText="1" indent="1"/>
    </xf>
    <xf numFmtId="0" fontId="17" fillId="0" borderId="0" xfId="0" applyFont="1" applyAlignment="1">
      <alignment horizontal="left" wrapText="1"/>
    </xf>
    <xf numFmtId="0" fontId="53" fillId="4" borderId="39" xfId="3" applyFont="1" applyFill="1" applyBorder="1" applyAlignment="1">
      <alignment horizontal="center"/>
    </xf>
    <xf numFmtId="0" fontId="53" fillId="4" borderId="42" xfId="3" applyFont="1" applyFill="1" applyBorder="1" applyAlignment="1">
      <alignment horizontal="center"/>
    </xf>
    <xf numFmtId="0" fontId="36" fillId="36" borderId="40" xfId="3" applyFont="1" applyFill="1" applyBorder="1" applyAlignment="1">
      <alignment horizontal="center" vertical="center"/>
    </xf>
    <xf numFmtId="0" fontId="17" fillId="0" borderId="25" xfId="3" applyFont="1" applyFill="1" applyBorder="1" applyAlignment="1" applyProtection="1">
      <alignment horizontal="center"/>
      <protection locked="0"/>
    </xf>
    <xf numFmtId="0" fontId="17" fillId="0" borderId="41" xfId="3" applyFont="1" applyFill="1" applyBorder="1" applyAlignment="1" applyProtection="1">
      <alignment horizontal="center"/>
      <protection locked="0"/>
    </xf>
    <xf numFmtId="0" fontId="17" fillId="0" borderId="78" xfId="3" applyFont="1" applyFill="1" applyBorder="1" applyAlignment="1" applyProtection="1">
      <alignment horizontal="center"/>
      <protection locked="0"/>
    </xf>
    <xf numFmtId="0" fontId="17" fillId="3" borderId="80" xfId="3" applyFont="1" applyFill="1" applyBorder="1" applyAlignment="1" applyProtection="1">
      <alignment horizontal="center"/>
      <protection locked="0"/>
    </xf>
    <xf numFmtId="0" fontId="17" fillId="3" borderId="26" xfId="3" applyFont="1" applyFill="1" applyBorder="1" applyAlignment="1" applyProtection="1">
      <alignment horizontal="center"/>
      <protection locked="0"/>
    </xf>
    <xf numFmtId="0" fontId="33" fillId="24" borderId="5" xfId="3" applyFont="1" applyFill="1" applyBorder="1" applyAlignment="1">
      <alignment horizontal="center" vertical="top"/>
    </xf>
    <xf numFmtId="0" fontId="33" fillId="24" borderId="43" xfId="3" applyFont="1" applyFill="1" applyBorder="1" applyAlignment="1">
      <alignment horizontal="center" vertical="top"/>
    </xf>
    <xf numFmtId="0" fontId="33" fillId="24" borderId="12" xfId="1" applyFont="1" applyFill="1" applyBorder="1" applyAlignment="1">
      <alignment horizontal="center" vertical="top"/>
    </xf>
    <xf numFmtId="0" fontId="33" fillId="24" borderId="14" xfId="1" applyFont="1" applyFill="1" applyBorder="1" applyAlignment="1">
      <alignment horizontal="center" vertical="top"/>
    </xf>
    <xf numFmtId="167" fontId="17" fillId="0" borderId="7" xfId="3" applyNumberFormat="1" applyFont="1" applyBorder="1" applyAlignment="1" applyProtection="1">
      <alignment horizontal="center" shrinkToFit="1"/>
      <protection locked="0"/>
    </xf>
    <xf numFmtId="0" fontId="36" fillId="36" borderId="7" xfId="3" applyFont="1" applyFill="1" applyBorder="1" applyAlignment="1">
      <alignment horizontal="center"/>
    </xf>
    <xf numFmtId="164" fontId="17" fillId="0" borderId="65" xfId="3" applyNumberFormat="1" applyFont="1" applyBorder="1" applyAlignment="1" applyProtection="1">
      <alignment horizontal="center"/>
      <protection locked="0"/>
    </xf>
    <xf numFmtId="18" fontId="17" fillId="0" borderId="28" xfId="3" applyNumberFormat="1" applyFont="1" applyBorder="1" applyAlignment="1" applyProtection="1">
      <alignment horizontal="center" vertical="center"/>
      <protection locked="0"/>
    </xf>
    <xf numFmtId="0" fontId="40" fillId="4" borderId="64" xfId="3" applyFont="1" applyFill="1" applyBorder="1" applyAlignment="1">
      <alignment horizontal="center"/>
    </xf>
    <xf numFmtId="0" fontId="40" fillId="4" borderId="53" xfId="3" applyFont="1" applyFill="1" applyBorder="1" applyAlignment="1">
      <alignment horizontal="center"/>
    </xf>
    <xf numFmtId="0" fontId="23" fillId="36" borderId="39" xfId="3" applyFont="1" applyFill="1" applyBorder="1" applyAlignment="1">
      <alignment horizontal="center"/>
    </xf>
    <xf numFmtId="0" fontId="23" fillId="36" borderId="48" xfId="3" applyFont="1" applyFill="1" applyBorder="1" applyAlignment="1">
      <alignment horizontal="center"/>
    </xf>
    <xf numFmtId="0" fontId="23" fillId="36" borderId="67" xfId="3" applyFont="1" applyFill="1" applyBorder="1" applyAlignment="1">
      <alignment horizontal="center"/>
    </xf>
    <xf numFmtId="0" fontId="23" fillId="36" borderId="68" xfId="3" applyFont="1" applyFill="1" applyBorder="1" applyAlignment="1">
      <alignment horizontal="center"/>
    </xf>
    <xf numFmtId="0" fontId="23" fillId="36" borderId="69" xfId="3" applyFont="1" applyFill="1" applyBorder="1" applyAlignment="1">
      <alignment horizontal="center"/>
    </xf>
    <xf numFmtId="0" fontId="17" fillId="0" borderId="27" xfId="3" applyFont="1" applyBorder="1" applyAlignment="1" applyProtection="1">
      <alignment horizontal="left"/>
      <protection locked="0"/>
    </xf>
    <xf numFmtId="0" fontId="17" fillId="0" borderId="12" xfId="3" applyFont="1" applyBorder="1" applyAlignment="1" applyProtection="1">
      <alignment horizontal="left"/>
      <protection locked="0"/>
    </xf>
    <xf numFmtId="0" fontId="36" fillId="24" borderId="70" xfId="3" applyFont="1" applyFill="1" applyBorder="1" applyAlignment="1">
      <alignment horizontal="center"/>
    </xf>
    <xf numFmtId="0" fontId="36" fillId="24" borderId="9" xfId="3" applyFont="1" applyFill="1" applyBorder="1" applyAlignment="1">
      <alignment horizontal="center"/>
    </xf>
    <xf numFmtId="0" fontId="17" fillId="0" borderId="71" xfId="3" applyFont="1" applyBorder="1" applyAlignment="1" applyProtection="1">
      <alignment horizontal="left"/>
      <protection locked="0"/>
    </xf>
    <xf numFmtId="0" fontId="17" fillId="0" borderId="13" xfId="3" applyFont="1" applyBorder="1" applyAlignment="1" applyProtection="1">
      <alignment horizontal="left"/>
      <protection locked="0"/>
    </xf>
    <xf numFmtId="0" fontId="17" fillId="0" borderId="72" xfId="3" applyFont="1" applyBorder="1" applyAlignment="1" applyProtection="1">
      <alignment horizontal="left"/>
      <protection locked="0"/>
    </xf>
    <xf numFmtId="0" fontId="36" fillId="36" borderId="27" xfId="3" applyFont="1" applyFill="1" applyBorder="1" applyAlignment="1">
      <alignment horizontal="center"/>
    </xf>
    <xf numFmtId="0" fontId="36" fillId="36" borderId="12" xfId="3" applyFont="1" applyFill="1" applyBorder="1" applyAlignment="1">
      <alignment horizontal="center"/>
    </xf>
    <xf numFmtId="0" fontId="33" fillId="36" borderId="70" xfId="3" applyFont="1" applyFill="1" applyBorder="1" applyAlignment="1">
      <alignment horizontal="center"/>
    </xf>
    <xf numFmtId="0" fontId="33" fillId="36" borderId="9" xfId="3" applyFont="1" applyFill="1" applyBorder="1" applyAlignment="1">
      <alignment horizontal="center"/>
    </xf>
    <xf numFmtId="0" fontId="36" fillId="36" borderId="55" xfId="3" applyFont="1" applyFill="1" applyBorder="1" applyAlignment="1">
      <alignment horizontal="center"/>
    </xf>
    <xf numFmtId="0" fontId="36" fillId="36" borderId="73" xfId="3" applyFont="1" applyFill="1" applyBorder="1" applyAlignment="1">
      <alignment horizontal="center"/>
    </xf>
    <xf numFmtId="0" fontId="37" fillId="24" borderId="74" xfId="3" applyFont="1" applyFill="1" applyBorder="1" applyAlignment="1">
      <alignment horizontal="center"/>
    </xf>
    <xf numFmtId="0" fontId="37" fillId="24" borderId="60" xfId="3" applyFont="1" applyFill="1" applyBorder="1" applyAlignment="1">
      <alignment horizontal="center"/>
    </xf>
    <xf numFmtId="0" fontId="37" fillId="24" borderId="70" xfId="3" applyFont="1" applyFill="1" applyBorder="1" applyAlignment="1">
      <alignment horizontal="center"/>
    </xf>
    <xf numFmtId="0" fontId="37" fillId="24" borderId="9" xfId="3" applyFont="1" applyFill="1" applyBorder="1" applyAlignment="1">
      <alignment horizontal="center"/>
    </xf>
    <xf numFmtId="0" fontId="37" fillId="24" borderId="79" xfId="3" applyFont="1" applyFill="1" applyBorder="1" applyAlignment="1">
      <alignment horizontal="center"/>
    </xf>
    <xf numFmtId="0" fontId="37" fillId="24" borderId="11" xfId="3" applyFont="1" applyFill="1" applyBorder="1" applyAlignment="1">
      <alignment horizontal="center"/>
    </xf>
    <xf numFmtId="0" fontId="37" fillId="24" borderId="118"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6" fillId="36" borderId="36" xfId="3" applyFont="1" applyFill="1" applyBorder="1" applyAlignment="1">
      <alignment horizontal="center"/>
    </xf>
    <xf numFmtId="0" fontId="36" fillId="36" borderId="33" xfId="3" applyFont="1" applyFill="1" applyBorder="1" applyAlignment="1">
      <alignment horizontal="center"/>
    </xf>
    <xf numFmtId="0" fontId="36" fillId="36" borderId="23" xfId="3" applyFont="1" applyFill="1" applyBorder="1" applyAlignment="1">
      <alignment horizontal="center"/>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52" fillId="4" borderId="39" xfId="3" applyFont="1" applyFill="1" applyBorder="1" applyAlignment="1">
      <alignment horizontal="center"/>
    </xf>
    <xf numFmtId="0" fontId="33" fillId="36" borderId="6" xfId="3" applyFont="1" applyFill="1" applyBorder="1" applyAlignment="1">
      <alignment horizontal="left"/>
    </xf>
    <xf numFmtId="0" fontId="33" fillId="36" borderId="7" xfId="3" applyFont="1" applyFill="1" applyBorder="1" applyAlignment="1">
      <alignment horizontal="left" shrinkToFit="1"/>
    </xf>
    <xf numFmtId="0" fontId="36" fillId="36" borderId="63" xfId="3" applyFont="1" applyFill="1" applyBorder="1" applyAlignment="1">
      <alignment horizontal="center"/>
    </xf>
    <xf numFmtId="0" fontId="36" fillId="36" borderId="13" xfId="3" applyFont="1" applyFill="1" applyBorder="1" applyAlignment="1">
      <alignment horizontal="center"/>
    </xf>
    <xf numFmtId="0" fontId="36" fillId="36" borderId="60" xfId="3" applyFont="1" applyFill="1" applyBorder="1" applyAlignment="1">
      <alignment horizontal="center"/>
    </xf>
    <xf numFmtId="0" fontId="36" fillId="36" borderId="14" xfId="3" applyFont="1" applyFill="1" applyBorder="1" applyAlignment="1">
      <alignment horizontal="center"/>
    </xf>
    <xf numFmtId="0" fontId="33" fillId="24" borderId="40" xfId="3" applyFont="1" applyFill="1" applyBorder="1" applyAlignment="1">
      <alignment horizontal="center" vertical="center"/>
    </xf>
    <xf numFmtId="0" fontId="17" fillId="3" borderId="22" xfId="3" applyFont="1" applyFill="1" applyBorder="1" applyAlignment="1" applyProtection="1">
      <alignment horizontal="left"/>
      <protection locked="0"/>
    </xf>
    <xf numFmtId="0" fontId="23" fillId="3" borderId="115" xfId="9" applyFont="1" applyFill="1" applyBorder="1" applyAlignment="1">
      <alignment horizontal="center" vertical="center"/>
    </xf>
    <xf numFmtId="0" fontId="23" fillId="3" borderId="60" xfId="9" applyFont="1" applyFill="1" applyBorder="1" applyAlignment="1">
      <alignment horizontal="center" vertical="center"/>
    </xf>
    <xf numFmtId="0" fontId="23" fillId="3" borderId="117" xfId="9" applyFont="1" applyFill="1" applyBorder="1" applyAlignment="1">
      <alignment horizontal="center" vertical="center"/>
    </xf>
    <xf numFmtId="0" fontId="23" fillId="36" borderId="18" xfId="3" applyFont="1" applyFill="1" applyBorder="1" applyAlignment="1">
      <alignment horizontal="center" vertical="center"/>
    </xf>
    <xf numFmtId="0" fontId="23" fillId="36" borderId="49" xfId="3" applyFont="1" applyFill="1" applyBorder="1" applyAlignment="1">
      <alignment horizontal="center" vertical="center"/>
    </xf>
    <xf numFmtId="0" fontId="23" fillId="36" borderId="20" xfId="3" applyFont="1" applyFill="1" applyBorder="1" applyAlignment="1">
      <alignment horizontal="center" vertical="center"/>
    </xf>
    <xf numFmtId="0" fontId="18" fillId="3" borderId="51" xfId="3" applyFont="1" applyFill="1" applyBorder="1" applyAlignment="1" applyProtection="1">
      <alignment horizontal="center"/>
      <protection locked="0"/>
    </xf>
    <xf numFmtId="0" fontId="52" fillId="4" borderId="42" xfId="3" applyFont="1" applyFill="1" applyBorder="1" applyAlignment="1">
      <alignment horizontal="center"/>
    </xf>
    <xf numFmtId="0" fontId="36" fillId="36" borderId="39" xfId="3" applyFont="1" applyFill="1" applyBorder="1" applyAlignment="1">
      <alignment horizontal="center"/>
    </xf>
    <xf numFmtId="0" fontId="36" fillId="36" borderId="80" xfId="3" applyFont="1" applyFill="1" applyBorder="1" applyAlignment="1">
      <alignment horizontal="center"/>
    </xf>
    <xf numFmtId="0" fontId="33" fillId="36" borderId="60" xfId="3" applyFont="1" applyFill="1" applyBorder="1" applyAlignment="1">
      <alignment horizontal="center"/>
    </xf>
    <xf numFmtId="0" fontId="18" fillId="24" borderId="28" xfId="3" applyFont="1" applyFill="1" applyBorder="1" applyAlignment="1">
      <alignment horizontal="left"/>
    </xf>
    <xf numFmtId="0" fontId="33" fillId="36" borderId="49" xfId="3" applyFont="1" applyFill="1" applyBorder="1" applyAlignment="1">
      <alignment horizontal="center"/>
    </xf>
    <xf numFmtId="0" fontId="36" fillId="36" borderId="52" xfId="3" applyFont="1" applyFill="1" applyBorder="1" applyAlignment="1">
      <alignment horizontal="center"/>
    </xf>
    <xf numFmtId="0" fontId="36" fillId="36" borderId="66" xfId="3" applyFont="1" applyFill="1" applyBorder="1" applyAlignment="1">
      <alignment horizontal="center"/>
    </xf>
    <xf numFmtId="0" fontId="23" fillId="3" borderId="65" xfId="3" applyFont="1" applyFill="1" applyBorder="1" applyAlignment="1">
      <alignment horizontal="center" vertical="center" wrapText="1"/>
    </xf>
    <xf numFmtId="0" fontId="18" fillId="3" borderId="65" xfId="3" applyFont="1" applyFill="1" applyBorder="1" applyAlignment="1">
      <alignment horizontal="center"/>
    </xf>
    <xf numFmtId="0" fontId="18" fillId="3" borderId="0" xfId="3" applyFont="1" applyFill="1" applyBorder="1" applyAlignment="1">
      <alignment horizontal="center"/>
    </xf>
    <xf numFmtId="0" fontId="18" fillId="3" borderId="37" xfId="3" applyFont="1" applyFill="1" applyBorder="1" applyAlignment="1">
      <alignment horizontal="center" wrapText="1"/>
    </xf>
    <xf numFmtId="0" fontId="52" fillId="4" borderId="39" xfId="3" applyFont="1" applyFill="1" applyBorder="1" applyAlignment="1">
      <alignment horizontal="center" vertical="center"/>
    </xf>
    <xf numFmtId="0" fontId="36" fillId="36" borderId="9" xfId="3" applyFont="1" applyFill="1" applyBorder="1" applyAlignment="1">
      <alignment horizontal="center"/>
    </xf>
    <xf numFmtId="0" fontId="36" fillId="36" borderId="5" xfId="3" applyFont="1" applyFill="1" applyBorder="1" applyAlignment="1">
      <alignment horizontal="center"/>
    </xf>
    <xf numFmtId="0" fontId="15" fillId="0" borderId="197" xfId="1" applyFont="1" applyBorder="1" applyAlignment="1" applyProtection="1">
      <alignment horizontal="center" shrinkToFit="1"/>
      <protection locked="0"/>
    </xf>
    <xf numFmtId="0" fontId="15" fillId="12" borderId="197" xfId="1" applyFont="1" applyFill="1" applyBorder="1" applyAlignment="1" applyProtection="1">
      <alignment horizontal="center" shrinkToFit="1"/>
      <protection locked="0"/>
    </xf>
    <xf numFmtId="0" fontId="14" fillId="12" borderId="0" xfId="1" applyFont="1" applyFill="1" applyBorder="1" applyAlignment="1">
      <alignment horizontal="center" vertical="center" shrinkToFit="1"/>
    </xf>
    <xf numFmtId="0" fontId="14" fillId="12" borderId="65" xfId="1" applyFont="1" applyFill="1" applyBorder="1" applyAlignment="1">
      <alignment horizontal="center" vertical="center" shrinkToFit="1"/>
    </xf>
    <xf numFmtId="0" fontId="17" fillId="0" borderId="225" xfId="1" applyFont="1" applyBorder="1" applyAlignment="1">
      <alignment horizontal="center" shrinkToFit="1"/>
    </xf>
    <xf numFmtId="0" fontId="17" fillId="12" borderId="225" xfId="1" applyFont="1" applyFill="1" applyBorder="1" applyAlignment="1">
      <alignment horizontal="center" shrinkToFit="1"/>
    </xf>
    <xf numFmtId="0" fontId="13" fillId="0" borderId="197" xfId="1" applyFont="1" applyFill="1" applyBorder="1" applyAlignment="1" applyProtection="1">
      <alignment horizontal="center" shrinkToFit="1"/>
      <protection locked="0"/>
    </xf>
    <xf numFmtId="0" fontId="17" fillId="0" borderId="225" xfId="1" applyFont="1" applyFill="1" applyBorder="1" applyAlignment="1">
      <alignment horizontal="center" shrinkToFit="1"/>
    </xf>
    <xf numFmtId="0" fontId="17" fillId="0" borderId="65" xfId="1" applyFont="1" applyFill="1" applyBorder="1" applyAlignment="1">
      <alignment horizontal="center" shrinkToFit="1"/>
    </xf>
    <xf numFmtId="0" fontId="23" fillId="0" borderId="217" xfId="1" applyFont="1" applyBorder="1" applyAlignment="1">
      <alignment horizontal="center" shrinkToFit="1"/>
    </xf>
    <xf numFmtId="0" fontId="23" fillId="0" borderId="218" xfId="1" applyFont="1" applyBorder="1" applyAlignment="1">
      <alignment horizontal="center" shrinkToFit="1"/>
    </xf>
    <xf numFmtId="0" fontId="23" fillId="0" borderId="219" xfId="1" applyFont="1" applyBorder="1" applyAlignment="1">
      <alignment horizontal="center" shrinkToFit="1"/>
    </xf>
    <xf numFmtId="0" fontId="76" fillId="0" borderId="214" xfId="1" applyFont="1" applyBorder="1" applyAlignment="1">
      <alignment horizontal="center" shrinkToFit="1"/>
    </xf>
    <xf numFmtId="0" fontId="76" fillId="0" borderId="0" xfId="1" applyFont="1" applyBorder="1" applyAlignment="1">
      <alignment horizontal="center" shrinkToFit="1"/>
    </xf>
    <xf numFmtId="0" fontId="76" fillId="0" borderId="89" xfId="1" applyFont="1" applyBorder="1" applyAlignment="1">
      <alignment horizontal="center" shrinkToFit="1"/>
    </xf>
    <xf numFmtId="0" fontId="23" fillId="0" borderId="304" xfId="1" applyFont="1" applyBorder="1" applyAlignment="1">
      <alignment horizontal="center" shrinkToFit="1"/>
    </xf>
    <xf numFmtId="0" fontId="23" fillId="0" borderId="305" xfId="1" applyFont="1" applyBorder="1" applyAlignment="1">
      <alignment horizontal="center" shrinkToFit="1"/>
    </xf>
    <xf numFmtId="0" fontId="23" fillId="0" borderId="306" xfId="1" applyFont="1" applyBorder="1" applyAlignment="1">
      <alignment horizontal="center" shrinkToFit="1"/>
    </xf>
    <xf numFmtId="0" fontId="23" fillId="0" borderId="220" xfId="1" applyFont="1" applyBorder="1" applyAlignment="1">
      <alignment horizontal="center" shrinkToFit="1"/>
    </xf>
    <xf numFmtId="0" fontId="23" fillId="0" borderId="112" xfId="1" applyFont="1" applyBorder="1" applyAlignment="1">
      <alignment horizontal="center" shrinkToFit="1"/>
    </xf>
    <xf numFmtId="0" fontId="23" fillId="0" borderId="221" xfId="1" applyFont="1" applyBorder="1" applyAlignment="1">
      <alignment horizontal="center" shrinkToFit="1"/>
    </xf>
    <xf numFmtId="0" fontId="13" fillId="0" borderId="303" xfId="1" applyFont="1" applyFill="1" applyBorder="1" applyAlignment="1" applyProtection="1">
      <alignment horizontal="center" shrinkToFit="1"/>
      <protection locked="0"/>
    </xf>
    <xf numFmtId="0" fontId="23" fillId="24" borderId="260" xfId="8" applyFont="1" applyFill="1" applyBorder="1" applyAlignment="1">
      <alignment horizontal="center" vertical="top" shrinkToFit="1"/>
    </xf>
    <xf numFmtId="0" fontId="23" fillId="24" borderId="250" xfId="8" applyFont="1" applyFill="1" applyBorder="1" applyAlignment="1">
      <alignment horizontal="center" vertical="top" shrinkToFit="1"/>
    </xf>
    <xf numFmtId="0" fontId="23" fillId="24" borderId="214" xfId="8" applyFont="1" applyFill="1" applyBorder="1" applyAlignment="1">
      <alignment horizontal="center" vertical="top" shrinkToFit="1"/>
    </xf>
    <xf numFmtId="0" fontId="23" fillId="24" borderId="89" xfId="8" applyFont="1" applyFill="1" applyBorder="1" applyAlignment="1">
      <alignment horizontal="center" vertical="top" shrinkToFit="1"/>
    </xf>
    <xf numFmtId="0" fontId="17" fillId="0" borderId="214" xfId="0" applyFont="1" applyBorder="1" applyAlignment="1">
      <alignment horizontal="left"/>
    </xf>
    <xf numFmtId="0" fontId="17" fillId="0" borderId="0" xfId="0" applyFont="1" applyBorder="1" applyAlignment="1">
      <alignment horizontal="left"/>
    </xf>
    <xf numFmtId="0" fontId="17" fillId="0" borderId="89" xfId="0" applyFont="1" applyBorder="1" applyAlignment="1">
      <alignment horizontal="left"/>
    </xf>
    <xf numFmtId="0" fontId="26" fillId="0" borderId="261" xfId="0" applyFont="1" applyBorder="1" applyAlignment="1">
      <alignment horizontal="left"/>
    </xf>
    <xf numFmtId="0" fontId="26" fillId="0" borderId="262" xfId="0" applyFont="1" applyBorder="1" applyAlignment="1">
      <alignment horizontal="left"/>
    </xf>
    <xf numFmtId="0" fontId="26" fillId="0" borderId="263" xfId="0" applyFont="1" applyBorder="1" applyAlignment="1">
      <alignment horizontal="left"/>
    </xf>
    <xf numFmtId="0" fontId="17" fillId="28" borderId="250" xfId="0" applyFont="1" applyFill="1" applyBorder="1" applyAlignment="1">
      <alignment horizontal="center" vertical="center"/>
    </xf>
    <xf numFmtId="0" fontId="17" fillId="28" borderId="263" xfId="0" applyFont="1" applyFill="1" applyBorder="1" applyAlignment="1">
      <alignment horizontal="center" vertical="center"/>
    </xf>
    <xf numFmtId="0" fontId="17" fillId="11" borderId="214" xfId="0" applyFont="1" applyFill="1" applyBorder="1" applyAlignment="1">
      <alignment horizontal="center" vertical="center"/>
    </xf>
    <xf numFmtId="0" fontId="17" fillId="11" borderId="0" xfId="0" applyFont="1" applyFill="1" applyBorder="1" applyAlignment="1">
      <alignment horizontal="center" vertical="center"/>
    </xf>
    <xf numFmtId="0" fontId="17" fillId="11" borderId="89" xfId="0" applyFont="1" applyFill="1" applyBorder="1" applyAlignment="1">
      <alignment horizontal="center" vertical="center"/>
    </xf>
    <xf numFmtId="0" fontId="17" fillId="0" borderId="260" xfId="0" applyFont="1" applyBorder="1" applyAlignment="1">
      <alignment horizontal="left"/>
    </xf>
    <xf numFmtId="0" fontId="17" fillId="0" borderId="249" xfId="0" applyFont="1" applyBorder="1" applyAlignment="1">
      <alignment horizontal="left"/>
    </xf>
    <xf numFmtId="0" fontId="17" fillId="0" borderId="250" xfId="0" applyFont="1" applyBorder="1" applyAlignment="1">
      <alignment horizontal="left"/>
    </xf>
    <xf numFmtId="0" fontId="17" fillId="28" borderId="249" xfId="0" applyFont="1" applyFill="1" applyBorder="1" applyAlignment="1">
      <alignment horizontal="center" vertical="center"/>
    </xf>
    <xf numFmtId="0" fontId="17" fillId="28" borderId="0" xfId="0" applyFont="1" applyFill="1" applyBorder="1" applyAlignment="1">
      <alignment horizontal="center" vertical="center"/>
    </xf>
    <xf numFmtId="0" fontId="17" fillId="0" borderId="214" xfId="0" applyFont="1" applyBorder="1" applyAlignment="1">
      <alignment horizontal="center" vertical="center"/>
    </xf>
    <xf numFmtId="0" fontId="17" fillId="0" borderId="0" xfId="0" applyFont="1" applyBorder="1" applyAlignment="1">
      <alignment horizontal="center" vertical="center"/>
    </xf>
    <xf numFmtId="0" fontId="17" fillId="0" borderId="89" xfId="0" applyFont="1" applyBorder="1" applyAlignment="1">
      <alignment horizontal="center" vertical="center"/>
    </xf>
    <xf numFmtId="0" fontId="17" fillId="28" borderId="192" xfId="0" applyFont="1" applyFill="1" applyBorder="1" applyAlignment="1">
      <alignment horizontal="center" vertical="center"/>
    </xf>
    <xf numFmtId="0" fontId="17" fillId="28" borderId="210" xfId="0" applyFont="1" applyFill="1" applyBorder="1" applyAlignment="1">
      <alignment horizontal="center" vertical="center"/>
    </xf>
    <xf numFmtId="0" fontId="19" fillId="9" borderId="249" xfId="0" applyFont="1" applyFill="1" applyBorder="1" applyAlignment="1">
      <alignment horizontal="center" vertical="center"/>
    </xf>
    <xf numFmtId="0" fontId="19" fillId="9" borderId="250" xfId="0" applyFont="1" applyFill="1" applyBorder="1" applyAlignment="1">
      <alignment horizontal="center" vertical="center"/>
    </xf>
    <xf numFmtId="0" fontId="19" fillId="9" borderId="262" xfId="0" applyFont="1" applyFill="1" applyBorder="1" applyAlignment="1">
      <alignment horizontal="center" vertical="center"/>
    </xf>
    <xf numFmtId="0" fontId="19" fillId="9" borderId="263" xfId="0" applyFont="1" applyFill="1" applyBorder="1" applyAlignment="1">
      <alignment horizontal="center" vertical="center"/>
    </xf>
    <xf numFmtId="0" fontId="15" fillId="23" borderId="192" xfId="0" applyFont="1" applyFill="1" applyBorder="1" applyAlignment="1">
      <alignment horizontal="center" vertical="center"/>
    </xf>
    <xf numFmtId="0" fontId="15" fillId="23" borderId="88" xfId="0" applyFont="1" applyFill="1" applyBorder="1" applyAlignment="1">
      <alignment horizontal="center" vertical="center"/>
    </xf>
    <xf numFmtId="0" fontId="31" fillId="25" borderId="190" xfId="8" applyFont="1" applyFill="1" applyBorder="1" applyAlignment="1">
      <alignment horizontal="center" vertical="center" wrapText="1" shrinkToFit="1"/>
    </xf>
    <xf numFmtId="0" fontId="31" fillId="25" borderId="101" xfId="8" applyFont="1" applyFill="1" applyBorder="1" applyAlignment="1">
      <alignment horizontal="center" vertical="center" wrapText="1" shrinkToFit="1"/>
    </xf>
    <xf numFmtId="0" fontId="31" fillId="25" borderId="194" xfId="8" applyFont="1" applyFill="1" applyBorder="1" applyAlignment="1">
      <alignment horizontal="center" vertical="center" wrapText="1" shrinkToFit="1"/>
    </xf>
    <xf numFmtId="0" fontId="31" fillId="25" borderId="200" xfId="8" applyFont="1" applyFill="1" applyBorder="1" applyAlignment="1">
      <alignment horizontal="center" vertical="center" wrapText="1" shrinkToFit="1"/>
    </xf>
    <xf numFmtId="0" fontId="15" fillId="0" borderId="192" xfId="0" applyFont="1" applyBorder="1" applyAlignment="1">
      <alignment horizontal="center" vertical="center"/>
    </xf>
    <xf numFmtId="0" fontId="15" fillId="0" borderId="88" xfId="0" applyFont="1" applyBorder="1" applyAlignment="1">
      <alignment horizontal="center" vertical="center"/>
    </xf>
    <xf numFmtId="0" fontId="31" fillId="24" borderId="178" xfId="8" applyFont="1" applyFill="1" applyBorder="1" applyAlignment="1">
      <alignment horizontal="center" vertical="center" wrapText="1" shrinkToFit="1"/>
    </xf>
    <xf numFmtId="0" fontId="31" fillId="24" borderId="222" xfId="8" applyFont="1" applyFill="1" applyBorder="1" applyAlignment="1">
      <alignment horizontal="center" vertical="center" wrapText="1" shrinkToFit="1"/>
    </xf>
    <xf numFmtId="0" fontId="31" fillId="24" borderId="100" xfId="8" applyFont="1" applyFill="1" applyBorder="1" applyAlignment="1">
      <alignment horizontal="center" vertical="center" wrapText="1" shrinkToFit="1"/>
    </xf>
    <xf numFmtId="0" fontId="31" fillId="25" borderId="195" xfId="8" applyFont="1" applyFill="1" applyBorder="1" applyAlignment="1">
      <alignment horizontal="center" vertical="center" wrapText="1" shrinkToFit="1"/>
    </xf>
    <xf numFmtId="0" fontId="13" fillId="0" borderId="241" xfId="0" applyFont="1" applyFill="1" applyBorder="1" applyAlignment="1" applyProtection="1">
      <alignment horizontal="center" shrinkToFit="1"/>
      <protection locked="0"/>
    </xf>
    <xf numFmtId="0" fontId="17" fillId="0" borderId="0" xfId="8" applyFont="1" applyFill="1" applyBorder="1" applyAlignment="1">
      <alignment horizontal="center" vertical="center" shrinkToFit="1"/>
    </xf>
    <xf numFmtId="0" fontId="17" fillId="23" borderId="209" xfId="8" applyFont="1" applyFill="1" applyBorder="1" applyAlignment="1">
      <alignment horizontal="center" vertical="center" shrinkToFit="1"/>
    </xf>
    <xf numFmtId="0" fontId="17" fillId="0" borderId="0" xfId="8" applyFont="1" applyFill="1" applyBorder="1" applyAlignment="1">
      <alignment horizontal="center" vertical="top" shrinkToFit="1"/>
    </xf>
    <xf numFmtId="0" fontId="17" fillId="0" borderId="209" xfId="8" applyFont="1" applyFill="1" applyBorder="1" applyAlignment="1">
      <alignment horizontal="center" vertical="center" shrinkToFit="1"/>
    </xf>
    <xf numFmtId="0" fontId="17" fillId="0" borderId="260" xfId="0" applyFont="1" applyBorder="1" applyAlignment="1">
      <alignment horizontal="center" vertical="center"/>
    </xf>
    <xf numFmtId="0" fontId="17" fillId="0" borderId="249" xfId="0" applyFont="1" applyBorder="1" applyAlignment="1">
      <alignment horizontal="center" vertical="center"/>
    </xf>
    <xf numFmtId="0" fontId="17" fillId="0" borderId="250" xfId="0" applyFont="1" applyBorder="1" applyAlignment="1">
      <alignment horizontal="center" vertical="center"/>
    </xf>
    <xf numFmtId="0" fontId="31" fillId="24" borderId="202" xfId="8" applyFont="1" applyFill="1" applyBorder="1" applyAlignment="1">
      <alignment horizontal="center" vertical="center" wrapText="1" shrinkToFit="1"/>
    </xf>
    <xf numFmtId="0" fontId="15" fillId="0" borderId="241" xfId="0" applyFont="1" applyFill="1" applyBorder="1" applyAlignment="1" applyProtection="1">
      <alignment horizontal="center" shrinkToFit="1"/>
      <protection locked="0"/>
    </xf>
    <xf numFmtId="0" fontId="14" fillId="23" borderId="0" xfId="8" applyFont="1" applyFill="1" applyBorder="1" applyAlignment="1">
      <alignment horizontal="center" vertical="center" shrinkToFit="1"/>
    </xf>
    <xf numFmtId="0" fontId="31" fillId="24" borderId="192" xfId="8" applyFont="1" applyFill="1" applyBorder="1" applyAlignment="1">
      <alignment horizontal="center" vertical="center" wrapText="1" shrinkToFit="1"/>
    </xf>
    <xf numFmtId="0" fontId="19" fillId="9" borderId="0" xfId="0" applyFont="1" applyFill="1" applyBorder="1" applyAlignment="1">
      <alignment horizontal="center" vertical="center"/>
    </xf>
    <xf numFmtId="167" fontId="15" fillId="23" borderId="241" xfId="0" applyNumberFormat="1" applyFont="1" applyFill="1" applyBorder="1" applyAlignment="1">
      <alignment horizontal="center" shrinkToFit="1"/>
    </xf>
    <xf numFmtId="0" fontId="19" fillId="9" borderId="243" xfId="0" applyFont="1" applyFill="1" applyBorder="1" applyAlignment="1">
      <alignment horizontal="center"/>
    </xf>
    <xf numFmtId="0" fontId="28" fillId="29" borderId="0" xfId="1" applyFont="1" applyFill="1" applyBorder="1" applyAlignment="1">
      <alignment horizontal="center" vertical="center" shrinkToFit="1"/>
    </xf>
    <xf numFmtId="0" fontId="19" fillId="29" borderId="109" xfId="0" applyFont="1" applyFill="1" applyBorder="1" applyAlignment="1">
      <alignment horizontal="center" vertical="center"/>
    </xf>
    <xf numFmtId="0" fontId="13" fillId="0" borderId="241" xfId="0" applyFont="1" applyFill="1" applyBorder="1" applyAlignment="1">
      <alignment horizontal="center" shrinkToFit="1"/>
    </xf>
    <xf numFmtId="0" fontId="17" fillId="0" borderId="109" xfId="0" applyFont="1" applyFill="1" applyBorder="1" applyAlignment="1">
      <alignment horizontal="center" vertical="center"/>
    </xf>
    <xf numFmtId="0" fontId="17" fillId="16" borderId="109" xfId="0" applyFont="1" applyFill="1" applyBorder="1" applyAlignment="1">
      <alignment horizontal="center" vertical="center"/>
    </xf>
    <xf numFmtId="0" fontId="14" fillId="16" borderId="0" xfId="0" applyFont="1" applyFill="1" applyBorder="1" applyAlignment="1">
      <alignment horizontal="center" vertical="center" shrinkToFit="1"/>
    </xf>
    <xf numFmtId="0" fontId="14" fillId="16" borderId="109" xfId="0" applyFont="1" applyFill="1" applyBorder="1" applyAlignment="1">
      <alignment horizontal="center" vertical="center" shrinkToFit="1"/>
    </xf>
    <xf numFmtId="0" fontId="15" fillId="0" borderId="241" xfId="0" applyFont="1" applyFill="1" applyBorder="1" applyAlignment="1">
      <alignment horizontal="center"/>
    </xf>
    <xf numFmtId="167" fontId="15" fillId="16" borderId="241" xfId="0" applyNumberFormat="1" applyFont="1" applyFill="1" applyBorder="1" applyAlignment="1">
      <alignment horizontal="center" shrinkToFit="1"/>
    </xf>
    <xf numFmtId="0" fontId="62" fillId="0" borderId="261" xfId="1" applyFont="1" applyFill="1" applyBorder="1" applyAlignment="1"/>
    <xf numFmtId="0" fontId="62" fillId="0" borderId="262" xfId="1" applyFont="1" applyFill="1" applyBorder="1" applyAlignment="1"/>
    <xf numFmtId="0" fontId="62" fillId="0" borderId="263" xfId="1" applyFont="1" applyFill="1" applyBorder="1" applyAlignment="1"/>
    <xf numFmtId="0" fontId="62" fillId="0" borderId="196" xfId="1" applyFont="1" applyFill="1" applyBorder="1" applyAlignment="1"/>
    <xf numFmtId="0" fontId="62" fillId="0" borderId="109" xfId="1" applyFont="1" applyFill="1" applyBorder="1" applyAlignment="1"/>
    <xf numFmtId="0" fontId="62" fillId="0" borderId="110" xfId="1" applyFont="1" applyFill="1" applyBorder="1" applyAlignment="1"/>
    <xf numFmtId="0" fontId="62" fillId="0" borderId="214" xfId="1" applyFont="1" applyFill="1" applyBorder="1" applyAlignment="1"/>
    <xf numFmtId="0" fontId="62" fillId="0" borderId="0" xfId="1" applyFont="1" applyFill="1" applyBorder="1" applyAlignment="1"/>
    <xf numFmtId="0" fontId="62" fillId="0" borderId="89" xfId="1" applyFont="1" applyFill="1" applyBorder="1" applyAlignment="1"/>
    <xf numFmtId="0" fontId="17" fillId="0" borderId="0" xfId="0" applyFont="1" applyBorder="1" applyAlignment="1">
      <alignment horizontal="left" vertical="center" wrapText="1"/>
    </xf>
    <xf numFmtId="0" fontId="17" fillId="0" borderId="89" xfId="0" applyFont="1" applyBorder="1" applyAlignment="1">
      <alignment horizontal="left" vertical="center" wrapText="1"/>
    </xf>
    <xf numFmtId="0" fontId="17" fillId="0" borderId="109" xfId="0" applyFont="1" applyBorder="1" applyAlignment="1">
      <alignment horizontal="left" vertical="center" wrapText="1"/>
    </xf>
    <xf numFmtId="0" fontId="17" fillId="0" borderId="110" xfId="0" applyFont="1" applyBorder="1" applyAlignment="1">
      <alignment horizontal="left" vertical="center" wrapText="1"/>
    </xf>
    <xf numFmtId="0" fontId="62" fillId="0" borderId="260" xfId="1" applyFont="1" applyFill="1" applyBorder="1" applyAlignment="1"/>
    <xf numFmtId="0" fontId="62" fillId="0" borderId="212" xfId="1" applyFont="1" applyFill="1" applyBorder="1" applyAlignment="1"/>
    <xf numFmtId="0" fontId="62" fillId="0" borderId="213" xfId="1" applyFont="1" applyFill="1" applyBorder="1" applyAlignment="1"/>
    <xf numFmtId="0" fontId="62" fillId="0" borderId="211" xfId="1" applyFont="1" applyFill="1" applyBorder="1" applyAlignment="1"/>
    <xf numFmtId="0" fontId="19" fillId="9" borderId="244" xfId="0" applyFont="1" applyFill="1" applyBorder="1" applyAlignment="1">
      <alignment horizontal="center"/>
    </xf>
    <xf numFmtId="0" fontId="19" fillId="9" borderId="245" xfId="0" applyFont="1" applyFill="1" applyBorder="1" applyAlignment="1">
      <alignment horizontal="center"/>
    </xf>
    <xf numFmtId="0" fontId="19" fillId="9" borderId="246" xfId="0" applyFont="1" applyFill="1" applyBorder="1" applyAlignment="1">
      <alignment horizontal="center"/>
    </xf>
    <xf numFmtId="0" fontId="19" fillId="9" borderId="214" xfId="0" applyFont="1" applyFill="1" applyBorder="1" applyAlignment="1">
      <alignment horizontal="center" vertical="center"/>
    </xf>
    <xf numFmtId="0" fontId="19" fillId="9" borderId="89" xfId="0" applyFont="1" applyFill="1" applyBorder="1" applyAlignment="1">
      <alignment horizontal="center" vertical="center"/>
    </xf>
    <xf numFmtId="0" fontId="17" fillId="0" borderId="249" xfId="0" applyFont="1" applyBorder="1" applyAlignment="1">
      <alignment horizontal="left" vertical="center" wrapText="1"/>
    </xf>
    <xf numFmtId="0" fontId="17" fillId="0" borderId="250" xfId="0" applyFont="1" applyBorder="1" applyAlignment="1">
      <alignment horizontal="left" vertical="center" wrapText="1"/>
    </xf>
    <xf numFmtId="0" fontId="68" fillId="0" borderId="169" xfId="8" applyFont="1" applyBorder="1" applyAlignment="1" applyProtection="1">
      <alignment vertical="top" wrapText="1"/>
      <protection locked="0"/>
    </xf>
    <xf numFmtId="0" fontId="68" fillId="0" borderId="170" xfId="8" applyFont="1" applyBorder="1" applyAlignment="1" applyProtection="1">
      <alignment vertical="top" wrapText="1"/>
      <protection locked="0"/>
    </xf>
    <xf numFmtId="0" fontId="68" fillId="0" borderId="171" xfId="8" applyFont="1" applyBorder="1" applyAlignment="1" applyProtection="1">
      <alignment vertical="top" wrapText="1"/>
      <protection locked="0"/>
    </xf>
    <xf numFmtId="0" fontId="66" fillId="0" borderId="256" xfId="0" applyFont="1" applyBorder="1" applyAlignment="1" applyProtection="1">
      <alignment vertical="center" wrapText="1"/>
      <protection locked="0"/>
    </xf>
    <xf numFmtId="0" fontId="66" fillId="0" borderId="252" xfId="0" applyFont="1" applyBorder="1" applyAlignment="1" applyProtection="1">
      <alignment vertical="center" wrapText="1"/>
      <protection locked="0"/>
    </xf>
    <xf numFmtId="0" fontId="66" fillId="0" borderId="75" xfId="0" applyFont="1" applyBorder="1" applyAlignment="1" applyProtection="1">
      <alignment vertical="center" wrapText="1"/>
      <protection locked="0"/>
    </xf>
    <xf numFmtId="0" fontId="66" fillId="0" borderId="77" xfId="0" applyFont="1" applyBorder="1" applyAlignment="1" applyProtection="1">
      <alignment vertical="center" wrapText="1"/>
      <protection locked="0"/>
    </xf>
    <xf numFmtId="0" fontId="15" fillId="0" borderId="0" xfId="8" applyFont="1" applyAlignment="1">
      <alignment horizontal="left" wrapText="1"/>
    </xf>
    <xf numFmtId="0" fontId="63" fillId="0" borderId="0" xfId="0" applyFont="1" applyAlignment="1">
      <alignment horizontal="left" wrapText="1"/>
    </xf>
    <xf numFmtId="0" fontId="41" fillId="0" borderId="96" xfId="8" applyFont="1" applyBorder="1" applyAlignment="1" applyProtection="1">
      <alignment horizontal="center" vertical="center" wrapText="1"/>
      <protection locked="0"/>
    </xf>
    <xf numFmtId="0" fontId="41" fillId="0" borderId="97" xfId="8" applyFont="1" applyBorder="1" applyAlignment="1" applyProtection="1">
      <alignment horizontal="center" vertical="center" wrapText="1"/>
      <protection locked="0"/>
    </xf>
    <xf numFmtId="0" fontId="41" fillId="0" borderId="170" xfId="8" applyFont="1" applyBorder="1" applyAlignment="1" applyProtection="1">
      <alignment horizontal="center" vertical="center" wrapText="1"/>
      <protection locked="0"/>
    </xf>
    <xf numFmtId="0" fontId="41" fillId="0" borderId="171" xfId="8" applyFont="1" applyBorder="1" applyAlignment="1" applyProtection="1">
      <alignment horizontal="center" vertical="center" wrapText="1"/>
      <protection locked="0"/>
    </xf>
    <xf numFmtId="0" fontId="65" fillId="0" borderId="0" xfId="8" applyFont="1" applyBorder="1" applyAlignment="1">
      <alignment horizontal="left" vertical="center" wrapText="1"/>
    </xf>
    <xf numFmtId="0" fontId="1" fillId="0" borderId="0" xfId="0" applyFont="1" applyBorder="1" applyAlignment="1">
      <alignment vertical="center" wrapText="1"/>
    </xf>
    <xf numFmtId="0" fontId="22" fillId="38" borderId="45" xfId="1" applyFont="1" applyFill="1" applyBorder="1" applyAlignment="1">
      <alignment horizontal="center" vertical="center"/>
    </xf>
    <xf numFmtId="0" fontId="22" fillId="38" borderId="47" xfId="1" applyFont="1" applyFill="1" applyBorder="1" applyAlignment="1">
      <alignment horizontal="center" vertical="center"/>
    </xf>
    <xf numFmtId="0" fontId="22" fillId="38" borderId="123" xfId="8" applyFont="1" applyFill="1" applyBorder="1" applyAlignment="1">
      <alignment horizontal="center"/>
    </xf>
    <xf numFmtId="0" fontId="22" fillId="38" borderId="117" xfId="8" applyFont="1" applyFill="1" applyBorder="1" applyAlignment="1">
      <alignment horizontal="center"/>
    </xf>
    <xf numFmtId="0" fontId="22" fillId="38" borderId="50" xfId="8" applyFont="1" applyFill="1" applyBorder="1" applyAlignment="1">
      <alignment horizontal="center"/>
    </xf>
    <xf numFmtId="0" fontId="22" fillId="38" borderId="20" xfId="8" applyFont="1" applyFill="1" applyBorder="1" applyAlignment="1">
      <alignment horizontal="center"/>
    </xf>
    <xf numFmtId="0" fontId="21" fillId="4" borderId="45" xfId="1" applyFont="1" applyFill="1" applyBorder="1" applyAlignment="1">
      <alignment horizontal="center" vertical="center" textRotation="90" wrapText="1"/>
    </xf>
    <xf numFmtId="0" fontId="21" fillId="4" borderId="47" xfId="1" applyFont="1" applyFill="1" applyBorder="1" applyAlignment="1">
      <alignment horizontal="center" vertical="center" textRotation="90" wrapText="1"/>
    </xf>
    <xf numFmtId="0" fontId="22" fillId="38" borderId="155" xfId="8" applyFont="1" applyFill="1" applyBorder="1" applyAlignment="1">
      <alignment horizontal="center"/>
    </xf>
    <xf numFmtId="0" fontId="22" fillId="38" borderId="80" xfId="8" applyFont="1" applyFill="1" applyBorder="1" applyAlignment="1">
      <alignment horizontal="center"/>
    </xf>
    <xf numFmtId="0" fontId="42" fillId="0" borderId="0" xfId="1" applyFont="1" applyBorder="1" applyAlignment="1">
      <alignment horizontal="center" vertical="center"/>
    </xf>
    <xf numFmtId="0" fontId="42" fillId="0" borderId="0" xfId="1" applyFont="1" applyFill="1" applyBorder="1" applyAlignment="1">
      <alignment horizontal="center" vertical="center"/>
    </xf>
    <xf numFmtId="0" fontId="17" fillId="0" borderId="0" xfId="1" applyFont="1" applyBorder="1" applyAlignment="1">
      <alignment horizontal="center"/>
    </xf>
    <xf numFmtId="167" fontId="17" fillId="0" borderId="65" xfId="1" applyNumberFormat="1" applyFont="1" applyBorder="1" applyAlignment="1">
      <alignment horizontal="center"/>
    </xf>
    <xf numFmtId="167" fontId="17" fillId="0" borderId="0" xfId="1" applyNumberFormat="1" applyFont="1" applyBorder="1" applyAlignment="1">
      <alignment horizontal="center"/>
    </xf>
    <xf numFmtId="0" fontId="20" fillId="4" borderId="46" xfId="1" applyFont="1" applyFill="1" applyBorder="1" applyAlignment="1">
      <alignment horizontal="center"/>
    </xf>
    <xf numFmtId="0" fontId="20" fillId="4" borderId="32" xfId="1" applyFont="1" applyFill="1" applyBorder="1" applyAlignment="1">
      <alignment horizontal="center"/>
    </xf>
    <xf numFmtId="0" fontId="20" fillId="4" borderId="47" xfId="1" applyFont="1" applyFill="1" applyBorder="1" applyAlignment="1">
      <alignment horizontal="center" vertical="center"/>
    </xf>
    <xf numFmtId="0" fontId="21" fillId="4" borderId="46" xfId="1" applyFont="1" applyFill="1" applyBorder="1" applyAlignment="1">
      <alignment horizontal="center"/>
    </xf>
    <xf numFmtId="0" fontId="22" fillId="38" borderId="33" xfId="1" applyFont="1" applyFill="1" applyBorder="1" applyAlignment="1">
      <alignment horizontal="center" vertical="center"/>
    </xf>
    <xf numFmtId="0" fontId="22" fillId="38" borderId="131" xfId="8" applyFont="1" applyFill="1" applyBorder="1" applyAlignment="1">
      <alignment horizontal="center" vertical="center"/>
    </xf>
    <xf numFmtId="0" fontId="33" fillId="38" borderId="281" xfId="8" applyFont="1" applyFill="1" applyBorder="1" applyAlignment="1">
      <alignment horizontal="center" vertical="center" wrapText="1"/>
    </xf>
    <xf numFmtId="0" fontId="33" fillId="38" borderId="265" xfId="8" applyFont="1" applyFill="1" applyBorder="1" applyAlignment="1">
      <alignment horizontal="center" vertical="center" wrapText="1"/>
    </xf>
    <xf numFmtId="0" fontId="17" fillId="24" borderId="264" xfId="8" applyFont="1" applyFill="1" applyBorder="1" applyAlignment="1">
      <alignment horizontal="right" vertical="center"/>
    </xf>
    <xf numFmtId="2" fontId="17" fillId="24" borderId="264" xfId="8" applyNumberFormat="1" applyFont="1" applyFill="1" applyBorder="1" applyAlignment="1">
      <alignment horizontal="left" vertical="center"/>
    </xf>
    <xf numFmtId="0" fontId="17" fillId="24" borderId="132" xfId="8" applyFont="1" applyFill="1" applyBorder="1" applyAlignment="1">
      <alignment horizontal="right" vertical="center" wrapText="1"/>
    </xf>
    <xf numFmtId="166" fontId="23" fillId="24" borderId="281" xfId="8" applyNumberFormat="1" applyFont="1" applyFill="1" applyBorder="1" applyAlignment="1">
      <alignment horizontal="center" vertical="center"/>
    </xf>
    <xf numFmtId="9" fontId="17" fillId="24" borderId="131" xfId="8" applyNumberFormat="1" applyFont="1" applyFill="1" applyBorder="1" applyAlignment="1">
      <alignment horizontal="center" vertical="center"/>
    </xf>
    <xf numFmtId="0" fontId="17" fillId="24" borderId="264" xfId="8" applyFont="1" applyFill="1" applyBorder="1" applyAlignment="1">
      <alignment horizontal="center" vertical="center" wrapText="1"/>
    </xf>
    <xf numFmtId="0" fontId="17" fillId="24" borderId="142" xfId="8" applyFont="1" applyFill="1" applyBorder="1" applyAlignment="1">
      <alignment horizontal="center" vertical="center" wrapText="1"/>
    </xf>
    <xf numFmtId="0" fontId="17" fillId="24" borderId="65" xfId="8" applyFont="1" applyFill="1" applyBorder="1" applyAlignment="1">
      <alignment horizontal="center" vertical="center" wrapText="1"/>
    </xf>
    <xf numFmtId="0" fontId="17" fillId="24" borderId="56" xfId="8" applyFont="1" applyFill="1" applyBorder="1" applyAlignment="1">
      <alignment horizontal="center" vertical="center" wrapText="1"/>
    </xf>
    <xf numFmtId="0" fontId="17" fillId="24" borderId="65" xfId="8" applyFont="1" applyFill="1" applyBorder="1" applyAlignment="1">
      <alignment horizontal="right" vertical="center"/>
    </xf>
    <xf numFmtId="2" fontId="17" fillId="24" borderId="65" xfId="8" applyNumberFormat="1" applyFont="1" applyFill="1" applyBorder="1" applyAlignment="1">
      <alignment horizontal="left" vertical="center"/>
    </xf>
    <xf numFmtId="0" fontId="32" fillId="4" borderId="264" xfId="8" applyFont="1" applyFill="1" applyBorder="1" applyAlignment="1">
      <alignment horizontal="center" textRotation="90" wrapText="1"/>
    </xf>
    <xf numFmtId="0" fontId="32" fillId="4" borderId="0" xfId="8" applyFont="1" applyFill="1" applyBorder="1" applyAlignment="1">
      <alignment horizontal="center" textRotation="90" wrapText="1"/>
    </xf>
    <xf numFmtId="0" fontId="32" fillId="4" borderId="65"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20" fillId="4" borderId="2" xfId="8" applyFont="1" applyFill="1" applyBorder="1" applyAlignment="1">
      <alignment horizontal="center" textRotation="90" wrapText="1"/>
    </xf>
    <xf numFmtId="0" fontId="20" fillId="4" borderId="56" xfId="8" applyFont="1" applyFill="1" applyBorder="1" applyAlignment="1">
      <alignment horizontal="center" textRotation="90" wrapText="1"/>
    </xf>
    <xf numFmtId="0" fontId="73" fillId="24" borderId="174" xfId="8" applyFont="1" applyFill="1" applyBorder="1" applyAlignment="1">
      <alignment horizontal="center" vertical="top" wrapText="1"/>
    </xf>
    <xf numFmtId="0" fontId="73" fillId="24" borderId="49" xfId="8" applyFont="1" applyFill="1" applyBorder="1" applyAlignment="1">
      <alignment horizontal="center" vertical="top" wrapText="1"/>
    </xf>
    <xf numFmtId="0" fontId="17" fillId="38" borderId="53" xfId="8" applyFont="1" applyFill="1" applyBorder="1" applyAlignment="1">
      <alignment horizontal="center" vertical="center" wrapText="1"/>
    </xf>
    <xf numFmtId="0" fontId="17" fillId="38" borderId="139" xfId="8" applyFont="1" applyFill="1" applyBorder="1" applyAlignment="1">
      <alignment horizontal="center" vertical="center" wrapText="1"/>
    </xf>
    <xf numFmtId="0" fontId="20" fillId="4" borderId="139" xfId="8" applyFont="1" applyFill="1" applyBorder="1" applyAlignment="1">
      <alignment horizontal="center" vertical="center"/>
    </xf>
    <xf numFmtId="0" fontId="22" fillId="38" borderId="281" xfId="8" applyFont="1" applyFill="1" applyBorder="1" applyAlignment="1">
      <alignment horizontal="center" vertical="center"/>
    </xf>
    <xf numFmtId="0" fontId="17" fillId="24" borderId="115" xfId="8" applyFont="1" applyFill="1" applyBorder="1" applyAlignment="1">
      <alignment horizontal="center" vertical="center" wrapText="1"/>
    </xf>
    <xf numFmtId="0" fontId="17" fillId="24" borderId="72" xfId="8" applyFont="1" applyFill="1" applyBorder="1" applyAlignment="1">
      <alignment horizontal="center" vertical="center" wrapText="1"/>
    </xf>
    <xf numFmtId="0" fontId="17" fillId="0" borderId="115" xfId="8" applyFont="1" applyFill="1" applyBorder="1" applyAlignment="1">
      <alignment horizontal="center" vertical="center" wrapText="1"/>
    </xf>
    <xf numFmtId="0" fontId="17" fillId="0" borderId="72" xfId="8" applyFont="1" applyFill="1" applyBorder="1" applyAlignment="1">
      <alignment horizontal="center" vertical="center" wrapText="1"/>
    </xf>
    <xf numFmtId="0" fontId="73" fillId="68" borderId="155" xfId="8" applyFont="1" applyFill="1" applyBorder="1" applyAlignment="1">
      <alignment horizontal="center" vertical="top" wrapText="1"/>
    </xf>
    <xf numFmtId="0" fontId="73" fillId="68" borderId="4" xfId="8" applyFont="1" applyFill="1" applyBorder="1" applyAlignment="1">
      <alignment horizontal="center" vertical="top" wrapText="1"/>
    </xf>
    <xf numFmtId="0" fontId="44" fillId="4" borderId="148" xfId="8" applyFont="1" applyFill="1" applyBorder="1" applyAlignment="1">
      <alignment horizontal="center"/>
    </xf>
    <xf numFmtId="0" fontId="44" fillId="4" borderId="142" xfId="8" applyFont="1" applyFill="1" applyBorder="1" applyAlignment="1">
      <alignment horizontal="center"/>
    </xf>
    <xf numFmtId="167" fontId="22" fillId="0" borderId="131" xfId="8" applyNumberFormat="1" applyFont="1" applyFill="1" applyBorder="1" applyAlignment="1">
      <alignment horizontal="center" vertical="center"/>
    </xf>
    <xf numFmtId="0" fontId="30" fillId="0" borderId="281" xfId="8" applyFont="1" applyFill="1" applyBorder="1" applyAlignment="1">
      <alignment horizontal="center" vertical="center"/>
    </xf>
    <xf numFmtId="0" fontId="22" fillId="0" borderId="265" xfId="8" applyFont="1" applyFill="1" applyBorder="1" applyAlignment="1">
      <alignment horizontal="center" vertical="center" shrinkToFit="1"/>
    </xf>
    <xf numFmtId="0" fontId="31" fillId="25" borderId="143" xfId="8" applyFont="1" applyFill="1" applyBorder="1" applyAlignment="1">
      <alignment horizontal="center" vertical="center" wrapText="1"/>
    </xf>
    <xf numFmtId="0" fontId="31" fillId="25" borderId="131" xfId="8" applyFont="1" applyFill="1" applyBorder="1" applyAlignment="1">
      <alignment horizontal="center" vertical="center"/>
    </xf>
    <xf numFmtId="0" fontId="31" fillId="25" borderId="281" xfId="8" applyFont="1" applyFill="1" applyBorder="1" applyAlignment="1">
      <alignment horizontal="center" vertical="center"/>
    </xf>
    <xf numFmtId="0" fontId="31" fillId="25" borderId="265" xfId="8" applyFont="1" applyFill="1" applyBorder="1" applyAlignment="1">
      <alignment horizontal="center" vertical="center"/>
    </xf>
    <xf numFmtId="0" fontId="23" fillId="25" borderId="131" xfId="8" applyFont="1" applyFill="1" applyBorder="1" applyAlignment="1">
      <alignment horizontal="center" vertical="center"/>
    </xf>
    <xf numFmtId="0" fontId="23" fillId="25" borderId="265" xfId="8" applyFont="1" applyFill="1" applyBorder="1" applyAlignment="1">
      <alignment horizontal="center" vertical="center"/>
    </xf>
    <xf numFmtId="0" fontId="17" fillId="24" borderId="302" xfId="8" applyFont="1" applyFill="1" applyBorder="1" applyAlignment="1">
      <alignment horizontal="center" vertical="center" wrapText="1"/>
    </xf>
    <xf numFmtId="0" fontId="17" fillId="0" borderId="91" xfId="0" applyFont="1" applyBorder="1" applyAlignment="1">
      <alignment horizontal="center" wrapText="1"/>
    </xf>
    <xf numFmtId="0" fontId="17" fillId="0" borderId="92" xfId="0" applyFont="1" applyBorder="1" applyAlignment="1">
      <alignment horizontal="center" wrapText="1"/>
    </xf>
    <xf numFmtId="0" fontId="17" fillId="0" borderId="233" xfId="0" applyFont="1" applyBorder="1" applyAlignment="1">
      <alignment horizontal="center" wrapText="1"/>
    </xf>
    <xf numFmtId="0" fontId="17" fillId="0" borderId="75" xfId="0" applyFont="1" applyBorder="1" applyAlignment="1">
      <alignment horizontal="center" wrapText="1"/>
    </xf>
    <xf numFmtId="0" fontId="17" fillId="0" borderId="76" xfId="0" applyFont="1" applyBorder="1" applyAlignment="1">
      <alignment horizontal="center" wrapText="1"/>
    </xf>
    <xf numFmtId="0" fontId="17" fillId="0" borderId="77" xfId="0" applyFont="1" applyBorder="1" applyAlignment="1">
      <alignment horizontal="center" wrapText="1"/>
    </xf>
    <xf numFmtId="0" fontId="15" fillId="0" borderId="212" xfId="0" applyFont="1" applyBorder="1" applyAlignment="1">
      <alignment horizontal="center"/>
    </xf>
    <xf numFmtId="0" fontId="15" fillId="0" borderId="234" xfId="0" applyFont="1" applyBorder="1" applyAlignment="1">
      <alignment horizontal="center"/>
    </xf>
    <xf numFmtId="167" fontId="15" fillId="10" borderId="197" xfId="0" applyNumberFormat="1" applyFont="1" applyFill="1" applyBorder="1" applyAlignment="1">
      <alignment horizontal="center" shrinkToFit="1"/>
    </xf>
    <xf numFmtId="0" fontId="15" fillId="0" borderId="197" xfId="0" applyFont="1" applyBorder="1" applyAlignment="1">
      <alignment horizontal="center" shrinkToFit="1"/>
    </xf>
    <xf numFmtId="0" fontId="14" fillId="10" borderId="0" xfId="0" applyFont="1" applyFill="1" applyAlignment="1">
      <alignment horizontal="center" vertical="center" shrinkToFit="1"/>
    </xf>
    <xf numFmtId="0" fontId="17" fillId="10" borderId="209" xfId="0" applyFont="1" applyFill="1" applyBorder="1" applyAlignment="1">
      <alignment horizontal="center" shrinkToFit="1"/>
    </xf>
    <xf numFmtId="0" fontId="15" fillId="0" borderId="209" xfId="0" applyFont="1" applyBorder="1" applyAlignment="1">
      <alignment horizontal="center" vertical="top" shrinkToFit="1"/>
    </xf>
    <xf numFmtId="0" fontId="15" fillId="0" borderId="109" xfId="0" applyFont="1" applyBorder="1" applyAlignment="1">
      <alignment horizontal="center" vertical="top" shrinkToFit="1"/>
    </xf>
    <xf numFmtId="0" fontId="25" fillId="37" borderId="109" xfId="0" applyFont="1" applyFill="1" applyBorder="1" applyAlignment="1">
      <alignment horizontal="center" shrinkToFit="1"/>
    </xf>
    <xf numFmtId="0" fontId="16" fillId="33" borderId="0" xfId="1" applyFont="1" applyFill="1" applyAlignment="1">
      <alignment horizontal="center" shrinkToFit="1"/>
    </xf>
    <xf numFmtId="0" fontId="15" fillId="0" borderId="0" xfId="1" applyFont="1" applyBorder="1" applyAlignment="1">
      <alignment horizontal="center" shrinkToFit="1"/>
    </xf>
    <xf numFmtId="0" fontId="15" fillId="0" borderId="197" xfId="1" applyFont="1" applyBorder="1" applyAlignment="1">
      <alignment horizontal="center" shrinkToFit="1"/>
    </xf>
    <xf numFmtId="0" fontId="17" fillId="0" borderId="209" xfId="1" applyFont="1" applyBorder="1" applyAlignment="1">
      <alignment horizontal="center" shrinkToFit="1"/>
    </xf>
    <xf numFmtId="0" fontId="17" fillId="0" borderId="0" xfId="1" applyFont="1" applyAlignment="1">
      <alignment horizontal="center" shrinkToFit="1"/>
    </xf>
    <xf numFmtId="167" fontId="15" fillId="30" borderId="0" xfId="1" applyNumberFormat="1" applyFont="1" applyFill="1" applyBorder="1" applyAlignment="1">
      <alignment horizontal="center" shrinkToFit="1"/>
    </xf>
    <xf numFmtId="167" fontId="15" fillId="30" borderId="197" xfId="1" applyNumberFormat="1" applyFont="1" applyFill="1" applyBorder="1" applyAlignment="1">
      <alignment horizontal="center" shrinkToFit="1"/>
    </xf>
    <xf numFmtId="0" fontId="14" fillId="30" borderId="0" xfId="1" applyFont="1" applyFill="1" applyAlignment="1">
      <alignment horizontal="center" vertical="center" shrinkToFit="1"/>
    </xf>
    <xf numFmtId="0" fontId="33" fillId="0" borderId="54" xfId="1" applyFont="1" applyBorder="1" applyAlignment="1">
      <alignment horizontal="left" shrinkToFit="1"/>
    </xf>
    <xf numFmtId="0" fontId="33" fillId="0" borderId="139" xfId="1" applyFont="1" applyBorder="1" applyAlignment="1">
      <alignment horizontal="left" vertical="center" shrinkToFit="1"/>
    </xf>
    <xf numFmtId="0" fontId="33" fillId="0" borderId="42" xfId="1" applyFont="1" applyBorder="1" applyAlignment="1">
      <alignment horizontal="left" shrinkToFit="1"/>
    </xf>
    <xf numFmtId="0" fontId="40" fillId="4" borderId="158" xfId="1" applyFont="1" applyFill="1" applyBorder="1" applyAlignment="1">
      <alignment horizontal="center" vertical="center" shrinkToFit="1"/>
    </xf>
    <xf numFmtId="0" fontId="40" fillId="4" borderId="2" xfId="1" applyFont="1" applyFill="1" applyBorder="1" applyAlignment="1">
      <alignment horizontal="center" vertical="center" shrinkToFit="1"/>
    </xf>
    <xf numFmtId="0" fontId="40" fillId="4" borderId="215" xfId="1" applyFont="1" applyFill="1" applyBorder="1" applyAlignment="1">
      <alignment horizontal="center" vertical="center" shrinkToFit="1"/>
    </xf>
    <xf numFmtId="0" fontId="20" fillId="4" borderId="158" xfId="1" applyFont="1" applyFill="1" applyBorder="1" applyAlignment="1">
      <alignment horizontal="center" vertical="center" shrinkToFit="1"/>
    </xf>
    <xf numFmtId="0" fontId="20" fillId="4" borderId="215" xfId="1" applyFont="1" applyFill="1" applyBorder="1" applyAlignment="1">
      <alignment horizontal="center" vertical="center" shrinkToFit="1"/>
    </xf>
    <xf numFmtId="0" fontId="20" fillId="4" borderId="2" xfId="1" applyFont="1" applyFill="1" applyBorder="1" applyAlignment="1">
      <alignment horizontal="center" vertical="center" shrinkToFit="1"/>
    </xf>
    <xf numFmtId="0" fontId="17" fillId="0" borderId="274" xfId="1" applyFont="1" applyBorder="1" applyAlignment="1">
      <alignment vertical="center"/>
    </xf>
    <xf numFmtId="0" fontId="17" fillId="0" borderId="119" xfId="1" applyFont="1" applyBorder="1" applyAlignment="1">
      <alignment vertical="center"/>
    </xf>
    <xf numFmtId="0" fontId="17" fillId="0" borderId="275" xfId="1" applyFont="1" applyBorder="1" applyAlignment="1">
      <alignment vertical="center"/>
    </xf>
    <xf numFmtId="0" fontId="17" fillId="24" borderId="272" xfId="1" applyFont="1" applyFill="1" applyBorder="1" applyAlignment="1">
      <alignment vertical="center"/>
    </xf>
    <xf numFmtId="0" fontId="17" fillId="24" borderId="270" xfId="1" applyFont="1" applyFill="1" applyBorder="1" applyAlignment="1">
      <alignment vertical="center"/>
    </xf>
    <xf numFmtId="0" fontId="17" fillId="24" borderId="273" xfId="1" applyFont="1" applyFill="1" applyBorder="1" applyAlignment="1">
      <alignment vertical="center"/>
    </xf>
    <xf numFmtId="0" fontId="17" fillId="24" borderId="106" xfId="1" applyFont="1" applyFill="1" applyBorder="1" applyAlignment="1">
      <alignment vertical="center"/>
    </xf>
    <xf numFmtId="0" fontId="17" fillId="24" borderId="276" xfId="1" applyFont="1" applyFill="1" applyBorder="1" applyAlignment="1">
      <alignment vertical="center"/>
    </xf>
    <xf numFmtId="0" fontId="17" fillId="24" borderId="277" xfId="1" applyFont="1" applyFill="1" applyBorder="1" applyAlignment="1">
      <alignment vertical="center"/>
    </xf>
    <xf numFmtId="0" fontId="20" fillId="4" borderId="209" xfId="1" applyFont="1" applyFill="1" applyBorder="1" applyAlignment="1">
      <alignment horizontal="center" vertical="center"/>
    </xf>
    <xf numFmtId="49" fontId="17" fillId="19" borderId="266" xfId="1" applyNumberFormat="1" applyFont="1" applyFill="1" applyBorder="1" applyAlignment="1">
      <alignment horizontal="center" vertical="center"/>
    </xf>
    <xf numFmtId="49" fontId="17" fillId="19" borderId="267" xfId="1" applyNumberFormat="1" applyFont="1" applyFill="1" applyBorder="1" applyAlignment="1">
      <alignment horizontal="center" vertical="center"/>
    </xf>
    <xf numFmtId="49" fontId="17" fillId="19" borderId="268" xfId="1" applyNumberFormat="1" applyFont="1" applyFill="1" applyBorder="1" applyAlignment="1">
      <alignment horizontal="center" vertical="center"/>
    </xf>
    <xf numFmtId="49" fontId="17" fillId="19" borderId="269" xfId="1" applyNumberFormat="1" applyFont="1" applyFill="1" applyBorder="1" applyAlignment="1">
      <alignment horizontal="center" vertical="center"/>
    </xf>
    <xf numFmtId="0" fontId="17" fillId="0" borderId="249" xfId="1" applyFont="1" applyBorder="1" applyAlignment="1">
      <alignment horizontal="center" shrinkToFit="1"/>
    </xf>
    <xf numFmtId="0" fontId="17" fillId="0" borderId="44" xfId="1" applyFont="1" applyBorder="1" applyAlignment="1">
      <alignment horizontal="center" shrinkToFit="1"/>
    </xf>
    <xf numFmtId="0" fontId="17" fillId="0" borderId="270" xfId="1" applyFont="1" applyFill="1" applyBorder="1" applyAlignment="1">
      <alignment horizontal="center" vertical="top" shrinkToFit="1"/>
    </xf>
    <xf numFmtId="0" fontId="17" fillId="0" borderId="43" xfId="1" applyFont="1" applyBorder="1" applyAlignment="1">
      <alignment vertical="center"/>
    </xf>
    <xf numFmtId="0" fontId="17" fillId="0" borderId="44" xfId="1" applyFont="1" applyBorder="1" applyAlignment="1">
      <alignment vertical="center"/>
    </xf>
    <xf numFmtId="0" fontId="17" fillId="0" borderId="271" xfId="1" applyFont="1" applyBorder="1" applyAlignment="1">
      <alignment vertical="center"/>
    </xf>
    <xf numFmtId="49" fontId="17" fillId="0" borderId="83" xfId="1" applyNumberFormat="1" applyFont="1" applyBorder="1" applyAlignment="1">
      <alignment horizontal="center" vertical="center"/>
    </xf>
    <xf numFmtId="49" fontId="17" fillId="0" borderId="81" xfId="1" applyNumberFormat="1" applyFont="1" applyBorder="1" applyAlignment="1">
      <alignment horizontal="center" vertical="center"/>
    </xf>
    <xf numFmtId="49" fontId="17" fillId="0" borderId="82" xfId="1" applyNumberFormat="1" applyFont="1" applyBorder="1" applyAlignment="1">
      <alignment horizontal="center" vertical="center"/>
    </xf>
    <xf numFmtId="0" fontId="14" fillId="10" borderId="0" xfId="1" applyFont="1" applyFill="1" applyBorder="1" applyAlignment="1">
      <alignment horizontal="center" vertical="center" shrinkToFit="1"/>
    </xf>
    <xf numFmtId="167" fontId="15" fillId="10" borderId="0" xfId="1" applyNumberFormat="1" applyFont="1" applyFill="1" applyAlignment="1">
      <alignment horizontal="center" shrinkToFit="1"/>
    </xf>
    <xf numFmtId="167" fontId="15" fillId="10" borderId="44" xfId="1" applyNumberFormat="1" applyFont="1" applyFill="1" applyBorder="1" applyAlignment="1">
      <alignment horizontal="center" shrinkToFit="1"/>
    </xf>
    <xf numFmtId="0" fontId="17" fillId="0" borderId="0" xfId="1" applyFont="1" applyBorder="1" applyAlignment="1">
      <alignment horizontal="right" vertical="center" shrinkToFit="1"/>
    </xf>
    <xf numFmtId="0" fontId="17" fillId="0" borderId="37" xfId="1" applyFont="1" applyBorder="1" applyAlignment="1">
      <alignment horizontal="center"/>
    </xf>
    <xf numFmtId="0" fontId="17" fillId="0" borderId="264" xfId="1" applyFont="1" applyBorder="1" applyAlignment="1">
      <alignment horizontal="center"/>
    </xf>
    <xf numFmtId="0" fontId="20" fillId="4" borderId="57" xfId="1" applyFont="1" applyFill="1" applyBorder="1" applyAlignment="1">
      <alignment horizontal="center" vertical="center"/>
    </xf>
    <xf numFmtId="0" fontId="17" fillId="0" borderId="41" xfId="1" applyFont="1" applyBorder="1" applyAlignment="1">
      <alignment vertical="center"/>
    </xf>
    <xf numFmtId="0" fontId="16" fillId="37" borderId="0" xfId="1" applyFont="1" applyFill="1" applyBorder="1" applyAlignment="1">
      <alignment horizontal="center" vertical="center" shrinkToFit="1"/>
    </xf>
    <xf numFmtId="0" fontId="20" fillId="4" borderId="2" xfId="1" applyFont="1" applyFill="1" applyBorder="1" applyAlignment="1">
      <alignment horizontal="center" vertical="center"/>
    </xf>
    <xf numFmtId="0" fontId="17" fillId="0" borderId="265" xfId="1" applyFont="1" applyBorder="1" applyAlignment="1">
      <alignment horizontal="center" vertical="center" wrapText="1"/>
    </xf>
    <xf numFmtId="0" fontId="17" fillId="0" borderId="46" xfId="1" applyFont="1" applyBorder="1" applyAlignment="1">
      <alignment horizontal="center" vertical="center" wrapText="1"/>
    </xf>
    <xf numFmtId="0" fontId="17" fillId="0" borderId="18" xfId="1" applyFont="1" applyBorder="1" applyAlignment="1">
      <alignment vertical="center"/>
    </xf>
    <xf numFmtId="0" fontId="20" fillId="4" borderId="0" xfId="1" applyFont="1" applyFill="1" applyBorder="1" applyAlignment="1">
      <alignment horizontal="center" vertical="center"/>
    </xf>
    <xf numFmtId="0" fontId="17" fillId="0" borderId="25" xfId="1" applyFont="1" applyBorder="1" applyAlignment="1">
      <alignment vertical="center"/>
    </xf>
    <xf numFmtId="0" fontId="17" fillId="0" borderId="7" xfId="1" applyFont="1" applyBorder="1" applyAlignment="1">
      <alignment vertical="center"/>
    </xf>
    <xf numFmtId="0" fontId="20" fillId="4" borderId="188" xfId="1" applyFont="1" applyFill="1" applyBorder="1" applyAlignment="1">
      <alignment horizontal="center" vertical="center"/>
    </xf>
    <xf numFmtId="0" fontId="20" fillId="4" borderId="207" xfId="1" applyFont="1" applyFill="1" applyBorder="1" applyAlignment="1">
      <alignment horizontal="center" vertical="center"/>
    </xf>
    <xf numFmtId="0" fontId="20" fillId="4" borderId="208" xfId="1" applyFont="1" applyFill="1" applyBorder="1" applyAlignment="1">
      <alignment horizontal="center" vertical="center"/>
    </xf>
    <xf numFmtId="0" fontId="17" fillId="0" borderId="181" xfId="1" applyFont="1" applyFill="1" applyBorder="1" applyAlignment="1">
      <alignment horizontal="center" vertical="center"/>
    </xf>
    <xf numFmtId="0" fontId="24" fillId="0" borderId="75" xfId="1" applyFont="1" applyFill="1" applyBorder="1" applyAlignment="1">
      <alignment horizontal="left" vertical="center" wrapText="1"/>
    </xf>
    <xf numFmtId="0" fontId="24" fillId="0" borderId="76" xfId="1" applyFont="1" applyFill="1" applyBorder="1" applyAlignment="1">
      <alignment horizontal="left" vertical="center" wrapText="1"/>
    </xf>
    <xf numFmtId="0" fontId="24" fillId="0" borderId="90" xfId="1" applyFont="1" applyFill="1" applyBorder="1" applyAlignment="1">
      <alignment horizontal="left" vertical="center" wrapText="1"/>
    </xf>
    <xf numFmtId="0" fontId="24" fillId="0" borderId="308" xfId="1" applyFont="1" applyFill="1" applyBorder="1" applyAlignment="1">
      <alignment horizontal="left" vertical="center" wrapText="1"/>
    </xf>
    <xf numFmtId="0" fontId="24" fillId="0" borderId="309" xfId="1" applyFont="1" applyFill="1" applyBorder="1" applyAlignment="1">
      <alignment horizontal="left" vertical="center" wrapText="1"/>
    </xf>
    <xf numFmtId="0" fontId="24" fillId="0" borderId="310" xfId="1" applyFont="1" applyFill="1" applyBorder="1" applyAlignment="1">
      <alignment horizontal="left" vertical="center" wrapText="1"/>
    </xf>
    <xf numFmtId="0" fontId="14" fillId="23" borderId="0" xfId="1" applyFont="1" applyFill="1" applyAlignment="1">
      <alignment horizontal="center" vertical="center" shrinkToFit="1"/>
    </xf>
    <xf numFmtId="0" fontId="14" fillId="23" borderId="109" xfId="1" applyFont="1" applyFill="1" applyBorder="1" applyAlignment="1">
      <alignment horizontal="center" vertical="center" shrinkToFit="1"/>
    </xf>
    <xf numFmtId="0" fontId="14" fillId="23" borderId="262" xfId="1" applyFont="1" applyFill="1" applyBorder="1" applyAlignment="1">
      <alignment horizontal="center" vertical="center" shrinkToFit="1"/>
    </xf>
    <xf numFmtId="0" fontId="13" fillId="0" borderId="303" xfId="1" applyFont="1" applyFill="1" applyBorder="1" applyAlignment="1">
      <alignment horizontal="center" shrinkToFit="1"/>
    </xf>
    <xf numFmtId="167" fontId="15" fillId="23" borderId="197" xfId="1" applyNumberFormat="1" applyFont="1" applyFill="1" applyBorder="1" applyAlignment="1">
      <alignment horizontal="center" shrinkToFit="1"/>
    </xf>
    <xf numFmtId="14" fontId="17" fillId="0" borderId="262" xfId="1" applyNumberFormat="1" applyFont="1" applyFill="1" applyBorder="1" applyAlignment="1">
      <alignment horizontal="center" shrinkToFit="1"/>
    </xf>
    <xf numFmtId="0" fontId="17" fillId="23" borderId="92" xfId="1" applyFont="1" applyFill="1" applyBorder="1" applyAlignment="1">
      <alignment horizontal="center" shrinkToFit="1"/>
    </xf>
    <xf numFmtId="14" fontId="17" fillId="0" borderId="92" xfId="1" applyNumberFormat="1" applyFont="1" applyFill="1" applyBorder="1" applyAlignment="1">
      <alignment horizontal="center" shrinkToFit="1"/>
    </xf>
    <xf numFmtId="167" fontId="15" fillId="23" borderId="303" xfId="1" applyNumberFormat="1" applyFont="1" applyFill="1" applyBorder="1" applyAlignment="1">
      <alignment horizontal="center" shrinkToFit="1"/>
    </xf>
    <xf numFmtId="0" fontId="17" fillId="23" borderId="262" xfId="1" applyFont="1" applyFill="1" applyBorder="1" applyAlignment="1">
      <alignment horizontal="center" shrinkToFit="1"/>
    </xf>
    <xf numFmtId="0" fontId="30" fillId="0" borderId="0" xfId="1" applyFont="1" applyBorder="1" applyAlignment="1">
      <alignment horizontal="center" shrinkToFit="1"/>
    </xf>
    <xf numFmtId="0" fontId="14" fillId="0" borderId="0" xfId="1" applyFont="1" applyBorder="1" applyAlignment="1">
      <alignment horizontal="center"/>
    </xf>
    <xf numFmtId="0" fontId="16" fillId="21" borderId="0" xfId="0" applyFont="1" applyFill="1" applyBorder="1" applyAlignment="1">
      <alignment horizontal="center" shrinkToFit="1"/>
    </xf>
    <xf numFmtId="14" fontId="17" fillId="21" borderId="0" xfId="0" applyNumberFormat="1" applyFont="1" applyFill="1" applyBorder="1" applyAlignment="1">
      <alignment horizontal="center" shrinkToFit="1"/>
    </xf>
    <xf numFmtId="0" fontId="13" fillId="0" borderId="44" xfId="0" applyFont="1" applyFill="1" applyBorder="1" applyAlignment="1">
      <alignment horizontal="center" shrinkToFit="1"/>
    </xf>
    <xf numFmtId="0" fontId="17" fillId="0" borderId="16" xfId="0" applyFont="1" applyFill="1" applyBorder="1" applyAlignment="1">
      <alignment horizontal="center" vertical="center" shrinkToFit="1"/>
    </xf>
    <xf numFmtId="0" fontId="34" fillId="0" borderId="0" xfId="0" applyFont="1" applyAlignment="1">
      <alignment horizontal="left" shrinkToFit="1"/>
    </xf>
    <xf numFmtId="0" fontId="17" fillId="0" borderId="0" xfId="0" applyFont="1" applyAlignment="1">
      <alignment horizontal="left" shrinkToFit="1"/>
    </xf>
    <xf numFmtId="167" fontId="15" fillId="23" borderId="197" xfId="0" applyNumberFormat="1" applyFont="1" applyFill="1" applyBorder="1" applyAlignment="1">
      <alignment horizontal="center" shrinkToFit="1"/>
    </xf>
    <xf numFmtId="0" fontId="17" fillId="23" borderId="0" xfId="0" applyFont="1" applyFill="1" applyAlignment="1">
      <alignment horizontal="center" shrinkToFit="1"/>
    </xf>
    <xf numFmtId="0" fontId="14" fillId="23" borderId="44" xfId="0" applyFont="1" applyFill="1" applyBorder="1" applyAlignment="1">
      <alignment horizontal="center" vertical="center" shrinkToFit="1"/>
    </xf>
    <xf numFmtId="0" fontId="14" fillId="0" borderId="44" xfId="0" applyFont="1" applyFill="1" applyBorder="1" applyAlignment="1">
      <alignment horizontal="center" shrinkToFit="1"/>
    </xf>
    <xf numFmtId="14" fontId="17" fillId="0" borderId="0" xfId="0" applyNumberFormat="1" applyFont="1" applyFill="1" applyBorder="1" applyAlignment="1">
      <alignment horizontal="center" shrinkToFit="1"/>
    </xf>
    <xf numFmtId="0" fontId="15" fillId="23" borderId="94" xfId="0" applyFont="1" applyFill="1" applyBorder="1" applyAlignment="1" applyProtection="1">
      <alignment horizontal="center" vertical="center"/>
      <protection locked="0"/>
    </xf>
    <xf numFmtId="0" fontId="15" fillId="23" borderId="88" xfId="0" applyFont="1" applyFill="1" applyBorder="1" applyAlignment="1" applyProtection="1">
      <alignment horizontal="center" vertical="center"/>
      <protection locked="0"/>
    </xf>
    <xf numFmtId="0" fontId="26" fillId="0" borderId="84" xfId="0" applyFont="1" applyBorder="1" applyAlignment="1">
      <alignment horizontal="center"/>
    </xf>
    <xf numFmtId="0" fontId="26" fillId="0" borderId="85" xfId="0" applyFont="1" applyBorder="1" applyAlignment="1">
      <alignment horizontal="center"/>
    </xf>
    <xf numFmtId="0" fontId="26" fillId="0" borderId="86" xfId="0" applyFont="1" applyBorder="1" applyAlignment="1">
      <alignment horizontal="center"/>
    </xf>
    <xf numFmtId="0" fontId="17" fillId="0" borderId="121" xfId="0" applyFont="1" applyBorder="1" applyAlignment="1">
      <alignment horizontal="center"/>
    </xf>
    <xf numFmtId="0" fontId="17" fillId="0" borderId="0" xfId="0" applyFont="1" applyBorder="1" applyAlignment="1">
      <alignment horizontal="center"/>
    </xf>
    <xf numFmtId="0" fontId="17" fillId="0" borderId="89" xfId="0" applyFont="1" applyBorder="1" applyAlignment="1">
      <alignment horizontal="center"/>
    </xf>
    <xf numFmtId="0" fontId="26" fillId="0" borderId="121" xfId="0" applyFont="1" applyBorder="1" applyAlignment="1">
      <alignment horizontal="center"/>
    </xf>
    <xf numFmtId="0" fontId="26" fillId="0" borderId="0" xfId="0" applyFont="1" applyBorder="1" applyAlignment="1">
      <alignment horizontal="center"/>
    </xf>
    <xf numFmtId="0" fontId="26" fillId="0" borderId="89" xfId="0" applyFont="1" applyBorder="1" applyAlignment="1">
      <alignment horizontal="center"/>
    </xf>
    <xf numFmtId="0" fontId="25" fillId="9" borderId="196" xfId="0" applyFont="1" applyFill="1" applyBorder="1" applyAlignment="1">
      <alignment horizontal="right" vertical="center"/>
    </xf>
    <xf numFmtId="0" fontId="25" fillId="9" borderId="109" xfId="0" applyFont="1" applyFill="1" applyBorder="1" applyAlignment="1">
      <alignment horizontal="right" vertical="center"/>
    </xf>
    <xf numFmtId="0" fontId="23" fillId="24" borderId="178" xfId="1" applyFont="1" applyFill="1" applyBorder="1" applyAlignment="1">
      <alignment horizontal="center" vertical="center" wrapText="1" shrinkToFit="1"/>
    </xf>
    <xf numFmtId="0" fontId="23" fillId="25" borderId="190" xfId="1" applyFont="1" applyFill="1" applyBorder="1" applyAlignment="1">
      <alignment horizontal="center" vertical="center" wrapText="1" shrinkToFit="1"/>
    </xf>
    <xf numFmtId="0" fontId="23" fillId="25" borderId="101" xfId="1" applyFont="1" applyFill="1" applyBorder="1" applyAlignment="1">
      <alignment horizontal="center" vertical="center" wrapText="1" shrinkToFit="1"/>
    </xf>
    <xf numFmtId="0" fontId="15" fillId="0" borderId="94" xfId="0" applyFont="1" applyBorder="1" applyAlignment="1" applyProtection="1">
      <alignment horizontal="center" vertical="center"/>
      <protection locked="0"/>
    </xf>
    <xf numFmtId="0" fontId="15" fillId="0" borderId="88" xfId="0" applyFont="1" applyBorder="1" applyAlignment="1" applyProtection="1">
      <alignment horizontal="center" vertical="center"/>
      <protection locked="0"/>
    </xf>
    <xf numFmtId="0" fontId="17" fillId="0" borderId="196" xfId="0" applyFont="1" applyBorder="1" applyAlignment="1">
      <alignment horizontal="center" vertical="center"/>
    </xf>
    <xf numFmtId="0" fontId="17" fillId="0" borderId="109" xfId="0" applyFont="1" applyBorder="1" applyAlignment="1">
      <alignment horizontal="center" vertical="center"/>
    </xf>
    <xf numFmtId="0" fontId="17" fillId="0" borderId="110" xfId="0" applyFont="1" applyBorder="1" applyAlignment="1">
      <alignment horizontal="center" vertical="center"/>
    </xf>
    <xf numFmtId="0" fontId="17" fillId="0" borderId="121" xfId="0" applyFont="1" applyBorder="1" applyAlignment="1">
      <alignment horizontal="center" vertical="center"/>
    </xf>
    <xf numFmtId="0" fontId="17" fillId="11" borderId="121" xfId="0" applyFont="1" applyFill="1" applyBorder="1" applyAlignment="1">
      <alignment horizontal="center" vertical="center"/>
    </xf>
    <xf numFmtId="0" fontId="25" fillId="9" borderId="85" xfId="0" applyFont="1" applyFill="1" applyBorder="1" applyAlignment="1">
      <alignment horizontal="center" vertical="center"/>
    </xf>
    <xf numFmtId="0" fontId="25" fillId="9" borderId="0" xfId="0" applyFont="1" applyFill="1" applyBorder="1" applyAlignment="1">
      <alignment horizontal="center" vertical="center"/>
    </xf>
    <xf numFmtId="0" fontId="34" fillId="0" borderId="0" xfId="1" applyFont="1" applyBorder="1" applyAlignment="1">
      <alignment horizontal="left" shrinkToFit="1"/>
    </xf>
    <xf numFmtId="0" fontId="18" fillId="0" borderId="65" xfId="1" applyFont="1" applyBorder="1" applyAlignment="1">
      <alignment horizontal="left" shrinkToFit="1"/>
    </xf>
    <xf numFmtId="0" fontId="14" fillId="12" borderId="0" xfId="0" applyFont="1" applyFill="1" applyBorder="1" applyAlignment="1">
      <alignment horizontal="center" vertical="center" shrinkToFit="1"/>
    </xf>
    <xf numFmtId="0" fontId="14" fillId="12" borderId="65" xfId="0" applyFont="1" applyFill="1" applyBorder="1" applyAlignment="1">
      <alignment horizontal="center" vertical="center" shrinkToFit="1"/>
    </xf>
    <xf numFmtId="167" fontId="15" fillId="0" borderId="44" xfId="0" applyNumberFormat="1" applyFont="1" applyFill="1" applyBorder="1" applyAlignment="1">
      <alignment horizontal="center" shrinkToFit="1"/>
    </xf>
    <xf numFmtId="14" fontId="17" fillId="0" borderId="16" xfId="0" applyNumberFormat="1" applyFont="1" applyFill="1" applyBorder="1" applyAlignment="1">
      <alignment horizontal="center" shrinkToFit="1"/>
    </xf>
    <xf numFmtId="0" fontId="15" fillId="0" borderId="44" xfId="0" applyFont="1" applyBorder="1" applyAlignment="1">
      <alignment horizontal="center" shrinkToFit="1"/>
    </xf>
    <xf numFmtId="0" fontId="17" fillId="0" borderId="0" xfId="0" applyFont="1" applyAlignment="1">
      <alignment horizontal="center" shrinkToFit="1"/>
    </xf>
    <xf numFmtId="0" fontId="15" fillId="12" borderId="44" xfId="0" applyFont="1" applyFill="1" applyBorder="1" applyAlignment="1">
      <alignment horizontal="center" shrinkToFit="1"/>
    </xf>
    <xf numFmtId="0" fontId="17" fillId="12" borderId="0" xfId="0" applyFont="1" applyFill="1" applyAlignment="1">
      <alignment horizontal="center" shrinkToFit="1"/>
    </xf>
    <xf numFmtId="49" fontId="13" fillId="13" borderId="124" xfId="8" applyNumberFormat="1" applyFont="1" applyFill="1" applyBorder="1" applyAlignment="1">
      <alignment horizontal="center" wrapText="1"/>
    </xf>
    <xf numFmtId="0" fontId="13" fillId="14" borderId="113" xfId="8" applyFont="1" applyFill="1" applyBorder="1" applyAlignment="1">
      <alignment horizontal="center"/>
    </xf>
    <xf numFmtId="0" fontId="13" fillId="14" borderId="114" xfId="8" applyFont="1" applyFill="1" applyBorder="1" applyAlignment="1">
      <alignment horizontal="center"/>
    </xf>
    <xf numFmtId="0" fontId="13" fillId="14" borderId="162" xfId="8" applyFont="1" applyFill="1" applyBorder="1" applyAlignment="1">
      <alignment horizontal="center"/>
    </xf>
    <xf numFmtId="0" fontId="13" fillId="14" borderId="30" xfId="8" applyFont="1" applyFill="1" applyBorder="1" applyAlignment="1">
      <alignment horizontal="center"/>
    </xf>
    <xf numFmtId="0" fontId="13" fillId="7" borderId="122" xfId="8" applyFont="1" applyFill="1" applyBorder="1" applyAlignment="1">
      <alignment horizontal="center"/>
    </xf>
    <xf numFmtId="0" fontId="20" fillId="4" borderId="132" xfId="8" applyFont="1" applyFill="1" applyBorder="1" applyAlignment="1">
      <alignment horizontal="center" vertical="center"/>
    </xf>
    <xf numFmtId="0" fontId="20" fillId="4" borderId="133" xfId="8" applyFont="1" applyFill="1" applyBorder="1" applyAlignment="1">
      <alignment horizontal="center" vertical="center"/>
    </xf>
    <xf numFmtId="0" fontId="20" fillId="4" borderId="147" xfId="8" applyFont="1" applyFill="1" applyBorder="1" applyAlignment="1">
      <alignment horizontal="center" vertical="center"/>
    </xf>
    <xf numFmtId="0" fontId="20" fillId="4" borderId="149" xfId="8" applyFont="1" applyFill="1" applyBorder="1" applyAlignment="1">
      <alignment horizontal="center" vertical="center"/>
    </xf>
    <xf numFmtId="0" fontId="13" fillId="6" borderId="122" xfId="8" applyFont="1" applyFill="1" applyBorder="1" applyAlignment="1">
      <alignment horizontal="center"/>
    </xf>
    <xf numFmtId="0" fontId="13" fillId="13" borderId="114" xfId="8" applyFont="1" applyFill="1" applyBorder="1" applyAlignment="1">
      <alignment horizontal="center"/>
    </xf>
    <xf numFmtId="0" fontId="13" fillId="0" borderId="123" xfId="8" applyFont="1" applyFill="1" applyBorder="1" applyAlignment="1">
      <alignment horizontal="center"/>
    </xf>
    <xf numFmtId="1" fontId="13" fillId="13" borderId="151" xfId="8" applyNumberFormat="1" applyFont="1" applyFill="1" applyBorder="1" applyAlignment="1">
      <alignment horizontal="center"/>
    </xf>
    <xf numFmtId="49" fontId="13" fillId="0" borderId="154" xfId="8" applyNumberFormat="1" applyFont="1" applyBorder="1" applyAlignment="1">
      <alignment horizontal="center" wrapText="1"/>
    </xf>
    <xf numFmtId="0" fontId="13" fillId="13" borderId="151" xfId="8" applyFont="1" applyFill="1" applyBorder="1" applyAlignment="1">
      <alignment horizontal="center"/>
    </xf>
    <xf numFmtId="0" fontId="13" fillId="13" borderId="152" xfId="8" applyFont="1" applyFill="1" applyBorder="1" applyAlignment="1">
      <alignment horizontal="center"/>
    </xf>
    <xf numFmtId="1" fontId="13" fillId="13" borderId="113" xfId="8" applyNumberFormat="1" applyFont="1" applyFill="1" applyBorder="1" applyAlignment="1">
      <alignment horizontal="center"/>
    </xf>
    <xf numFmtId="49" fontId="13" fillId="0" borderId="124" xfId="8" applyNumberFormat="1" applyFont="1" applyBorder="1" applyAlignment="1">
      <alignment horizontal="center" wrapText="1"/>
    </xf>
    <xf numFmtId="0" fontId="13" fillId="13" borderId="113" xfId="8" applyFont="1" applyFill="1" applyBorder="1" applyAlignment="1">
      <alignment horizontal="center"/>
    </xf>
    <xf numFmtId="0" fontId="13" fillId="22" borderId="150" xfId="8" applyFont="1" applyFill="1" applyBorder="1" applyAlignment="1">
      <alignment horizontal="center"/>
    </xf>
    <xf numFmtId="0" fontId="13" fillId="0" borderId="152" xfId="8" applyFont="1" applyFill="1" applyBorder="1" applyAlignment="1">
      <alignment horizontal="center"/>
    </xf>
    <xf numFmtId="0" fontId="13" fillId="0" borderId="155" xfId="8" applyFont="1" applyFill="1" applyBorder="1" applyAlignment="1">
      <alignment horizontal="center"/>
    </xf>
    <xf numFmtId="0" fontId="13" fillId="13" borderId="149" xfId="8" applyFont="1" applyFill="1" applyBorder="1" applyAlignment="1">
      <alignment horizontal="center"/>
    </xf>
    <xf numFmtId="0" fontId="13" fillId="13" borderId="30" xfId="8" applyFont="1" applyFill="1" applyBorder="1" applyAlignment="1">
      <alignment horizontal="center"/>
    </xf>
    <xf numFmtId="0" fontId="13" fillId="0" borderId="151" xfId="8" applyFont="1" applyBorder="1" applyAlignment="1">
      <alignment horizontal="center"/>
    </xf>
    <xf numFmtId="0" fontId="13" fillId="22" borderId="122" xfId="8" applyFont="1" applyFill="1" applyBorder="1" applyAlignment="1">
      <alignment horizontal="center"/>
    </xf>
    <xf numFmtId="1" fontId="13" fillId="14" borderId="113" xfId="8" applyNumberFormat="1" applyFont="1" applyFill="1" applyBorder="1" applyAlignment="1">
      <alignment horizontal="center"/>
    </xf>
    <xf numFmtId="0" fontId="13" fillId="14" borderId="124" xfId="8" applyFont="1" applyFill="1" applyBorder="1" applyAlignment="1">
      <alignment horizontal="center"/>
    </xf>
    <xf numFmtId="0" fontId="13" fillId="0" borderId="114" xfId="8" applyFont="1" applyFill="1" applyBorder="1" applyAlignment="1">
      <alignment horizontal="center"/>
    </xf>
    <xf numFmtId="0" fontId="13" fillId="13" borderId="124" xfId="8" applyFont="1" applyFill="1" applyBorder="1" applyAlignment="1">
      <alignment horizontal="center"/>
    </xf>
    <xf numFmtId="0" fontId="13" fillId="0" borderId="113" xfId="8" applyFont="1" applyBorder="1" applyAlignment="1">
      <alignment horizontal="center"/>
    </xf>
    <xf numFmtId="0" fontId="13" fillId="7" borderId="123" xfId="8" applyFont="1" applyFill="1" applyBorder="1" applyAlignment="1">
      <alignment horizontal="center"/>
    </xf>
    <xf numFmtId="0" fontId="13" fillId="13" borderId="122" xfId="8" applyFont="1" applyFill="1" applyBorder="1" applyAlignment="1">
      <alignment horizontal="center"/>
    </xf>
    <xf numFmtId="0" fontId="13" fillId="13" borderId="125" xfId="8" applyFont="1" applyFill="1" applyBorder="1" applyAlignment="1">
      <alignment horizontal="center"/>
    </xf>
    <xf numFmtId="0" fontId="14" fillId="22" borderId="137" xfId="8" applyFont="1" applyFill="1" applyBorder="1" applyAlignment="1">
      <alignment horizontal="center" vertical="center"/>
    </xf>
    <xf numFmtId="0" fontId="14" fillId="22" borderId="144" xfId="8" applyFont="1" applyFill="1" applyBorder="1" applyAlignment="1">
      <alignment horizontal="center" vertical="center"/>
    </xf>
    <xf numFmtId="0" fontId="22" fillId="22" borderId="138" xfId="8" applyFont="1" applyFill="1" applyBorder="1" applyAlignment="1">
      <alignment horizontal="center" vertical="center" wrapText="1"/>
    </xf>
    <xf numFmtId="0" fontId="22" fillId="22" borderId="145" xfId="8" applyFont="1" applyFill="1" applyBorder="1" applyAlignment="1">
      <alignment horizontal="center" vertical="center" wrapText="1"/>
    </xf>
    <xf numFmtId="0" fontId="14" fillId="22" borderId="156" xfId="8" applyFont="1" applyFill="1" applyBorder="1" applyAlignment="1">
      <alignment horizontal="center" vertical="center" shrinkToFit="1"/>
    </xf>
    <xf numFmtId="0" fontId="14" fillId="22" borderId="136" xfId="8" applyFont="1" applyFill="1" applyBorder="1" applyAlignment="1">
      <alignment horizontal="center" vertical="center" shrinkToFit="1"/>
    </xf>
    <xf numFmtId="0" fontId="13" fillId="5" borderId="143" xfId="8" applyFont="1" applyFill="1" applyBorder="1" applyAlignment="1">
      <alignment horizontal="center" vertical="center"/>
    </xf>
    <xf numFmtId="0" fontId="14" fillId="22" borderId="136" xfId="8" applyFont="1" applyFill="1" applyBorder="1" applyAlignment="1">
      <alignment horizontal="center" vertical="center"/>
    </xf>
    <xf numFmtId="0" fontId="14" fillId="22" borderId="139" xfId="8" applyFont="1" applyFill="1" applyBorder="1" applyAlignment="1">
      <alignment horizontal="center" vertical="center"/>
    </xf>
    <xf numFmtId="0" fontId="14" fillId="22" borderId="143" xfId="8" applyFont="1" applyFill="1" applyBorder="1" applyAlignment="1">
      <alignment horizontal="center" vertical="center"/>
    </xf>
    <xf numFmtId="0" fontId="36" fillId="0" borderId="112" xfId="8" applyFont="1" applyBorder="1" applyAlignment="1">
      <alignment horizontal="center" shrinkToFit="1"/>
    </xf>
    <xf numFmtId="0" fontId="36" fillId="0" borderId="52" xfId="8" applyFont="1" applyBorder="1" applyAlignment="1">
      <alignment horizontal="center" shrinkToFit="1"/>
    </xf>
    <xf numFmtId="0" fontId="36" fillId="0" borderId="128" xfId="8" applyFont="1" applyBorder="1" applyAlignment="1">
      <alignment horizontal="center" shrinkToFit="1"/>
    </xf>
    <xf numFmtId="0" fontId="36" fillId="0" borderId="135" xfId="8" applyFont="1" applyBorder="1" applyAlignment="1">
      <alignment horizontal="center" shrinkToFit="1"/>
    </xf>
    <xf numFmtId="0" fontId="13" fillId="5" borderId="131" xfId="8" applyFont="1" applyFill="1" applyBorder="1" applyAlignment="1">
      <alignment horizontal="center" vertical="center"/>
    </xf>
    <xf numFmtId="0" fontId="13" fillId="5" borderId="143" xfId="8" applyFont="1" applyFill="1" applyBorder="1" applyAlignment="1">
      <alignment horizontal="center"/>
    </xf>
    <xf numFmtId="0" fontId="20" fillId="4" borderId="0" xfId="1" applyFont="1" applyFill="1" applyBorder="1" applyAlignment="1">
      <alignment horizontal="center"/>
    </xf>
    <xf numFmtId="0" fontId="17" fillId="41" borderId="0" xfId="8" applyFont="1" applyFill="1" applyBorder="1" applyAlignment="1">
      <alignment horizontal="center" vertical="center"/>
    </xf>
    <xf numFmtId="49" fontId="17" fillId="41" borderId="0" xfId="8" applyNumberFormat="1" applyFont="1" applyFill="1" applyBorder="1" applyAlignment="1">
      <alignment horizontal="center" vertical="center"/>
    </xf>
    <xf numFmtId="0" fontId="17" fillId="41" borderId="0" xfId="8" applyFont="1" applyFill="1" applyBorder="1" applyAlignment="1">
      <alignment vertical="center"/>
    </xf>
    <xf numFmtId="0" fontId="17" fillId="0" borderId="0" xfId="8" applyFont="1" applyBorder="1" applyAlignment="1">
      <alignment horizontal="center" vertical="center"/>
    </xf>
    <xf numFmtId="49" fontId="17" fillId="0" borderId="0" xfId="8" applyNumberFormat="1" applyFont="1" applyBorder="1" applyAlignment="1">
      <alignment horizontal="center" vertical="center"/>
    </xf>
    <xf numFmtId="0" fontId="17" fillId="0" borderId="0" xfId="8" applyFont="1" applyBorder="1" applyAlignment="1">
      <alignment vertical="center"/>
    </xf>
    <xf numFmtId="0" fontId="17" fillId="56" borderId="230" xfId="8" applyFont="1" applyFill="1" applyBorder="1" applyAlignment="1">
      <alignment horizontal="center" wrapText="1"/>
    </xf>
    <xf numFmtId="0" fontId="17" fillId="55" borderId="0" xfId="8" applyFont="1" applyFill="1" applyBorder="1" applyAlignment="1">
      <alignment horizontal="center"/>
    </xf>
    <xf numFmtId="0" fontId="17" fillId="69" borderId="0" xfId="8" applyFont="1" applyFill="1" applyBorder="1" applyAlignment="1">
      <alignment horizontal="center" vertical="center" wrapText="1"/>
    </xf>
    <xf numFmtId="0" fontId="17" fillId="41" borderId="0" xfId="8" applyFont="1" applyFill="1" applyBorder="1" applyAlignment="1">
      <alignment horizontal="center" vertical="center" wrapText="1"/>
    </xf>
    <xf numFmtId="0" fontId="23" fillId="8" borderId="0" xfId="8" applyFont="1" applyFill="1" applyBorder="1" applyAlignment="1">
      <alignment horizontal="center" vertical="center"/>
    </xf>
    <xf numFmtId="0" fontId="23" fillId="39" borderId="0" xfId="1" applyFont="1" applyFill="1" applyBorder="1" applyAlignment="1">
      <alignment horizontal="center" vertical="center" wrapText="1"/>
    </xf>
    <xf numFmtId="0" fontId="17" fillId="44" borderId="0" xfId="1" applyFont="1" applyFill="1" applyBorder="1" applyAlignment="1">
      <alignment horizontal="center" vertical="center"/>
    </xf>
    <xf numFmtId="0" fontId="37" fillId="64" borderId="0" xfId="0" applyFont="1" applyFill="1" applyAlignment="1">
      <alignment horizontal="left"/>
    </xf>
    <xf numFmtId="0" fontId="17" fillId="64" borderId="0" xfId="0" applyFont="1" applyFill="1" applyAlignment="1">
      <alignment horizontal="left"/>
    </xf>
    <xf numFmtId="0" fontId="27" fillId="64" borderId="0" xfId="0" applyFont="1" applyFill="1" applyAlignment="1">
      <alignment horizontal="left"/>
    </xf>
    <xf numFmtId="0" fontId="0" fillId="64" borderId="0" xfId="0" applyFill="1" applyAlignment="1">
      <alignment horizontal="left"/>
    </xf>
    <xf numFmtId="0" fontId="23" fillId="64" borderId="0" xfId="0" applyFont="1" applyFill="1" applyAlignment="1">
      <alignment horizontal="left"/>
    </xf>
    <xf numFmtId="0" fontId="57" fillId="64" borderId="0" xfId="0" applyFont="1" applyFill="1" applyAlignment="1">
      <alignment horizontal="left"/>
    </xf>
    <xf numFmtId="0" fontId="49" fillId="64" borderId="0" xfId="0" applyFont="1" applyFill="1" applyAlignment="1">
      <alignment horizontal="left" vertical="center"/>
    </xf>
    <xf numFmtId="0" fontId="17" fillId="64" borderId="0" xfId="0" applyFont="1" applyFill="1" applyAlignment="1">
      <alignment horizontal="left" wrapText="1"/>
    </xf>
    <xf numFmtId="0" fontId="27" fillId="64" borderId="0" xfId="0" applyFont="1" applyFill="1" applyAlignment="1">
      <alignment horizontal="left" wrapText="1"/>
    </xf>
    <xf numFmtId="0" fontId="56" fillId="64" borderId="0" xfId="0" applyFont="1" applyFill="1" applyAlignment="1">
      <alignment horizontal="left"/>
    </xf>
    <xf numFmtId="0" fontId="27" fillId="0" borderId="0" xfId="0" applyFont="1" applyAlignment="1">
      <alignment horizontal="left"/>
    </xf>
    <xf numFmtId="0" fontId="17" fillId="0" borderId="0" xfId="0" applyFont="1" applyAlignment="1">
      <alignment horizontal="left" vertical="center" wrapText="1"/>
    </xf>
    <xf numFmtId="0" fontId="27" fillId="0" borderId="0" xfId="0" applyFont="1" applyAlignment="1">
      <alignment horizontal="left" vertical="center" wrapText="1"/>
    </xf>
    <xf numFmtId="15" fontId="23" fillId="0" borderId="0" xfId="0" applyNumberFormat="1" applyFont="1" applyAlignment="1">
      <alignment horizontal="left"/>
    </xf>
    <xf numFmtId="0" fontId="48" fillId="0" borderId="0" xfId="0" applyFont="1" applyAlignment="1">
      <alignment horizontal="left"/>
    </xf>
    <xf numFmtId="0" fontId="17" fillId="0" borderId="0" xfId="0" applyFont="1" applyAlignment="1">
      <alignment horizontal="left"/>
    </xf>
    <xf numFmtId="17" fontId="48" fillId="0" borderId="0" xfId="0" applyNumberFormat="1" applyFont="1" applyAlignment="1">
      <alignment horizontal="left"/>
    </xf>
    <xf numFmtId="14" fontId="27" fillId="0" borderId="0" xfId="0" applyNumberFormat="1" applyFont="1" applyAlignment="1">
      <alignment horizontal="center"/>
    </xf>
    <xf numFmtId="0" fontId="27" fillId="0" borderId="0" xfId="0" applyFont="1" applyAlignment="1">
      <alignment horizontal="left" wrapText="1"/>
    </xf>
    <xf numFmtId="0" fontId="49" fillId="0" borderId="0" xfId="0" applyFont="1" applyAlignment="1">
      <alignment horizontal="left" vertical="center"/>
    </xf>
    <xf numFmtId="0" fontId="27" fillId="0" borderId="0" xfId="0" applyFont="1" applyAlignment="1">
      <alignment horizontal="left" vertical="top" wrapText="1"/>
    </xf>
    <xf numFmtId="0" fontId="23" fillId="0" borderId="0" xfId="0" applyFont="1" applyAlignment="1">
      <alignment horizontal="left"/>
    </xf>
    <xf numFmtId="15" fontId="48" fillId="0" borderId="0" xfId="0" applyNumberFormat="1" applyFont="1" applyAlignment="1">
      <alignment horizontal="left"/>
    </xf>
  </cellXfs>
  <cellStyles count="462">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_stats pack with instructions" xfId="2"/>
    <cellStyle name="Normal" xfId="0" builtinId="0"/>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5">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3.v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4.v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5.v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6.v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7.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18.v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19.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4.v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6.vml"/><Relationship Id="rId1" Type="http://schemas.openxmlformats.org/officeDocument/2006/relationships/vmlDrawing" Target="../drawings/vmlDrawing5.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9.vml"/><Relationship Id="rId1" Type="http://schemas.openxmlformats.org/officeDocument/2006/relationships/vmlDrawing" Target="../drawings/vmlDrawing8.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1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1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1"/>
  </sheetPr>
  <dimension ref="A1:CQ210"/>
  <sheetViews>
    <sheetView topLeftCell="A62" workbookViewId="0">
      <selection sqref="A1:K1"/>
    </sheetView>
  </sheetViews>
  <sheetFormatPr defaultColWidth="8.6640625" defaultRowHeight="13.8" x14ac:dyDescent="0.3"/>
  <cols>
    <col min="1" max="1" width="5.6640625" style="3" customWidth="1"/>
    <col min="2" max="2" width="13.33203125" style="3" customWidth="1"/>
    <col min="3" max="10" width="6.6640625" style="3" customWidth="1"/>
    <col min="11" max="11" width="12.33203125" style="3" customWidth="1"/>
    <col min="12" max="95" width="9.33203125" style="144" customWidth="1"/>
    <col min="96" max="16384" width="8.6640625" style="3"/>
  </cols>
  <sheetData>
    <row r="1" spans="1:95" ht="27" customHeight="1" x14ac:dyDescent="0.35">
      <c r="A1" s="865" t="s">
        <v>289</v>
      </c>
      <c r="B1" s="866"/>
      <c r="C1" s="866"/>
      <c r="D1" s="866"/>
      <c r="E1" s="866"/>
      <c r="F1" s="866"/>
      <c r="G1" s="866"/>
      <c r="H1" s="866"/>
      <c r="I1" s="866"/>
      <c r="J1" s="866"/>
      <c r="K1" s="867"/>
    </row>
    <row r="2" spans="1:95" ht="18" customHeight="1" x14ac:dyDescent="0.3">
      <c r="A2" s="868" t="s">
        <v>573</v>
      </c>
      <c r="B2" s="869"/>
      <c r="C2" s="869"/>
      <c r="D2" s="869"/>
      <c r="E2" s="869"/>
      <c r="F2" s="869"/>
      <c r="G2" s="869"/>
      <c r="H2" s="869"/>
      <c r="I2" s="869"/>
      <c r="J2" s="869"/>
      <c r="K2" s="870"/>
    </row>
    <row r="3" spans="1:95" ht="15.75" customHeight="1" x14ac:dyDescent="0.3">
      <c r="A3" s="871" t="s">
        <v>644</v>
      </c>
      <c r="B3" s="872"/>
      <c r="C3" s="872"/>
      <c r="D3" s="872"/>
      <c r="E3" s="872"/>
      <c r="F3" s="872"/>
      <c r="G3" s="872"/>
      <c r="H3" s="872"/>
      <c r="I3" s="872"/>
      <c r="J3" s="872"/>
      <c r="K3" s="873"/>
    </row>
    <row r="4" spans="1:95" ht="15.75" customHeight="1" x14ac:dyDescent="0.3">
      <c r="A4" s="874" t="s">
        <v>545</v>
      </c>
      <c r="B4" s="875"/>
      <c r="C4" s="875"/>
      <c r="D4" s="875"/>
      <c r="E4" s="875"/>
      <c r="F4" s="875"/>
      <c r="G4" s="875"/>
      <c r="H4" s="875"/>
      <c r="I4" s="875"/>
      <c r="J4" s="875"/>
      <c r="K4" s="876"/>
    </row>
    <row r="5" spans="1:95" ht="15.75" customHeight="1" x14ac:dyDescent="0.3">
      <c r="A5" s="893"/>
      <c r="B5" s="893"/>
      <c r="C5" s="893"/>
      <c r="D5" s="893"/>
      <c r="E5" s="893"/>
      <c r="F5" s="893"/>
      <c r="G5" s="893"/>
      <c r="H5" s="893"/>
      <c r="I5" s="893"/>
      <c r="J5" s="893"/>
      <c r="K5" s="893"/>
    </row>
    <row r="6" spans="1:95" ht="15.75" customHeight="1" x14ac:dyDescent="0.3">
      <c r="A6" s="878" t="s">
        <v>480</v>
      </c>
      <c r="B6" s="878"/>
      <c r="C6" s="878"/>
      <c r="D6" s="878"/>
      <c r="E6" s="878"/>
      <c r="F6" s="878"/>
      <c r="G6" s="878"/>
      <c r="H6" s="878"/>
      <c r="I6" s="878"/>
      <c r="J6" s="878"/>
      <c r="K6" s="878"/>
    </row>
    <row r="7" spans="1:95" ht="24" customHeight="1" x14ac:dyDescent="0.3">
      <c r="A7" s="389"/>
      <c r="B7" s="389"/>
      <c r="C7" s="389"/>
      <c r="D7" s="389"/>
      <c r="E7" s="389"/>
      <c r="F7" s="389"/>
      <c r="G7" s="389"/>
      <c r="H7" s="389"/>
      <c r="I7" s="389"/>
      <c r="J7" s="389"/>
      <c r="K7" s="389"/>
    </row>
    <row r="8" spans="1:95" ht="52.5" customHeight="1" x14ac:dyDescent="0.3">
      <c r="A8" s="879" t="s">
        <v>583</v>
      </c>
      <c r="B8" s="879"/>
      <c r="C8" s="879"/>
      <c r="D8" s="879"/>
      <c r="E8" s="879"/>
      <c r="F8" s="879"/>
      <c r="G8" s="879"/>
      <c r="H8" s="879"/>
      <c r="I8" s="879"/>
      <c r="J8" s="879"/>
      <c r="K8" s="879"/>
    </row>
    <row r="9" spans="1:95" s="8" customFormat="1" ht="9" customHeight="1" thickBot="1" x14ac:dyDescent="0.35">
      <c r="A9" s="390"/>
      <c r="B9" s="390"/>
      <c r="C9" s="390"/>
      <c r="D9" s="390"/>
      <c r="E9" s="390"/>
      <c r="F9" s="390"/>
      <c r="G9" s="390"/>
      <c r="H9" s="390"/>
      <c r="I9" s="390"/>
      <c r="J9" s="390"/>
      <c r="K9" s="390"/>
      <c r="L9" s="369"/>
      <c r="M9" s="369"/>
      <c r="N9" s="369"/>
      <c r="O9" s="369"/>
      <c r="P9" s="369"/>
      <c r="Q9" s="369"/>
      <c r="R9" s="369"/>
      <c r="S9" s="369"/>
      <c r="T9" s="369"/>
      <c r="U9" s="369"/>
      <c r="V9" s="369"/>
      <c r="W9" s="369"/>
      <c r="X9" s="369"/>
      <c r="Y9" s="369"/>
      <c r="Z9" s="369"/>
      <c r="AA9" s="369"/>
      <c r="AB9" s="369"/>
      <c r="AC9" s="369"/>
      <c r="AD9" s="369"/>
      <c r="AE9" s="369"/>
      <c r="AF9" s="369"/>
      <c r="AG9" s="369"/>
      <c r="AH9" s="369"/>
      <c r="AI9" s="369"/>
      <c r="AJ9" s="369"/>
      <c r="AK9" s="369"/>
      <c r="AL9" s="369"/>
      <c r="AM9" s="369"/>
      <c r="AN9" s="369"/>
      <c r="AO9" s="369"/>
      <c r="AP9" s="369"/>
      <c r="AQ9" s="369"/>
      <c r="AR9" s="369"/>
      <c r="AS9" s="369"/>
      <c r="AT9" s="369"/>
      <c r="AU9" s="369"/>
      <c r="AV9" s="369"/>
      <c r="AW9" s="369"/>
      <c r="AX9" s="369"/>
      <c r="AY9" s="369"/>
      <c r="AZ9" s="369"/>
      <c r="BA9" s="369"/>
      <c r="BB9" s="369"/>
      <c r="BC9" s="369"/>
      <c r="BD9" s="369"/>
      <c r="BE9" s="369"/>
      <c r="BF9" s="369"/>
      <c r="BG9" s="369"/>
      <c r="BH9" s="369"/>
      <c r="BI9" s="369"/>
      <c r="BJ9" s="369"/>
      <c r="BK9" s="369"/>
      <c r="BL9" s="369"/>
      <c r="BM9" s="369"/>
      <c r="BN9" s="369"/>
      <c r="BO9" s="369"/>
      <c r="BP9" s="369"/>
      <c r="BQ9" s="369"/>
      <c r="BR9" s="369"/>
      <c r="BS9" s="369"/>
      <c r="BT9" s="369"/>
      <c r="BU9" s="369"/>
      <c r="BV9" s="369"/>
      <c r="BW9" s="369"/>
      <c r="BX9" s="369"/>
      <c r="BY9" s="369"/>
      <c r="BZ9" s="369"/>
      <c r="CA9" s="369"/>
      <c r="CB9" s="369"/>
      <c r="CC9" s="369"/>
      <c r="CD9" s="369"/>
      <c r="CE9" s="369"/>
      <c r="CF9" s="369"/>
      <c r="CG9" s="369"/>
      <c r="CH9" s="369"/>
      <c r="CI9" s="369"/>
      <c r="CJ9" s="369"/>
      <c r="CK9" s="369"/>
      <c r="CL9" s="369"/>
      <c r="CM9" s="369"/>
      <c r="CN9" s="369"/>
      <c r="CO9" s="369"/>
      <c r="CP9" s="369"/>
      <c r="CQ9" s="369"/>
    </row>
    <row r="10" spans="1:95" ht="9" customHeight="1" x14ac:dyDescent="0.3">
      <c r="A10" s="877"/>
      <c r="B10" s="877"/>
      <c r="C10" s="877"/>
      <c r="D10" s="877"/>
      <c r="E10" s="877"/>
      <c r="F10" s="877"/>
      <c r="G10" s="877"/>
      <c r="H10" s="877"/>
      <c r="I10" s="877"/>
      <c r="J10" s="877"/>
      <c r="K10" s="877"/>
    </row>
    <row r="11" spans="1:95" ht="15" customHeight="1" x14ac:dyDescent="0.3">
      <c r="A11" s="372" t="s">
        <v>293</v>
      </c>
      <c r="B11" s="881" t="s">
        <v>584</v>
      </c>
      <c r="C11" s="881"/>
      <c r="D11" s="881"/>
      <c r="E11" s="881"/>
      <c r="F11" s="881"/>
      <c r="G11" s="881"/>
      <c r="H11" s="881"/>
      <c r="I11" s="881"/>
      <c r="J11" s="881"/>
      <c r="K11" s="881"/>
    </row>
    <row r="12" spans="1:95" ht="15" customHeight="1" x14ac:dyDescent="0.3">
      <c r="A12" s="372" t="s">
        <v>267</v>
      </c>
      <c r="B12" s="881" t="s">
        <v>585</v>
      </c>
      <c r="C12" s="881"/>
      <c r="D12" s="881"/>
      <c r="E12" s="881"/>
      <c r="F12" s="881"/>
      <c r="G12" s="881"/>
      <c r="H12" s="881"/>
      <c r="I12" s="881"/>
      <c r="J12" s="881"/>
      <c r="K12" s="881"/>
    </row>
    <row r="13" spans="1:95" ht="15" customHeight="1" x14ac:dyDescent="0.3">
      <c r="A13" s="372" t="s">
        <v>270</v>
      </c>
      <c r="B13" s="881" t="s">
        <v>586</v>
      </c>
      <c r="C13" s="881"/>
      <c r="D13" s="881"/>
      <c r="E13" s="881"/>
      <c r="F13" s="881"/>
      <c r="G13" s="881"/>
      <c r="H13" s="881"/>
      <c r="I13" s="881"/>
      <c r="J13" s="881"/>
      <c r="K13" s="881"/>
    </row>
    <row r="14" spans="1:95" ht="9" customHeight="1" x14ac:dyDescent="0.3">
      <c r="A14" s="145"/>
      <c r="B14" s="882"/>
      <c r="C14" s="882"/>
      <c r="D14" s="882"/>
      <c r="E14" s="882"/>
      <c r="F14" s="882"/>
      <c r="G14" s="882"/>
      <c r="H14" s="882"/>
      <c r="I14" s="882"/>
      <c r="J14" s="882"/>
      <c r="K14" s="882"/>
    </row>
    <row r="15" spans="1:95" ht="52.5" customHeight="1" thickBot="1" x14ac:dyDescent="0.35">
      <c r="A15" s="883" t="s">
        <v>649</v>
      </c>
      <c r="B15" s="883"/>
      <c r="C15" s="883"/>
      <c r="D15" s="883"/>
      <c r="E15" s="883"/>
      <c r="F15" s="883"/>
      <c r="G15" s="883"/>
      <c r="H15" s="883"/>
      <c r="I15" s="883"/>
      <c r="J15" s="883"/>
      <c r="K15" s="883"/>
    </row>
    <row r="16" spans="1:95" ht="9" customHeight="1" x14ac:dyDescent="0.3">
      <c r="A16" s="373"/>
      <c r="B16" s="373"/>
      <c r="C16" s="373"/>
      <c r="D16" s="373"/>
      <c r="E16" s="373"/>
      <c r="F16" s="373"/>
      <c r="G16" s="373"/>
      <c r="H16" s="373"/>
      <c r="I16" s="373"/>
      <c r="J16" s="373"/>
      <c r="K16" s="373"/>
    </row>
    <row r="17" spans="1:11" ht="18" customHeight="1" x14ac:dyDescent="0.3">
      <c r="A17" s="898" t="s">
        <v>290</v>
      </c>
      <c r="B17" s="898"/>
      <c r="C17" s="898"/>
      <c r="D17" s="898"/>
      <c r="E17" s="898"/>
      <c r="F17" s="898"/>
      <c r="G17" s="898"/>
      <c r="H17" s="898"/>
      <c r="I17" s="898"/>
      <c r="J17" s="898"/>
      <c r="K17" s="898"/>
    </row>
    <row r="18" spans="1:11" ht="6" customHeight="1" x14ac:dyDescent="0.3">
      <c r="A18" s="146"/>
      <c r="B18" s="146"/>
      <c r="C18" s="146"/>
      <c r="D18" s="146"/>
      <c r="E18" s="146"/>
      <c r="F18" s="146"/>
      <c r="G18" s="146"/>
      <c r="H18" s="146"/>
      <c r="I18" s="146"/>
      <c r="J18" s="146"/>
      <c r="K18" s="146"/>
    </row>
    <row r="19" spans="1:11" ht="15" customHeight="1" x14ac:dyDescent="0.3">
      <c r="A19" s="892" t="s">
        <v>291</v>
      </c>
      <c r="B19" s="892"/>
      <c r="C19" s="892"/>
      <c r="D19" s="892"/>
      <c r="E19" s="892"/>
      <c r="F19" s="892"/>
      <c r="G19" s="892"/>
      <c r="H19" s="892"/>
      <c r="I19" s="892"/>
      <c r="J19" s="892"/>
      <c r="K19" s="892"/>
    </row>
    <row r="20" spans="1:11" ht="15" customHeight="1" x14ac:dyDescent="0.3">
      <c r="A20" s="880" t="s">
        <v>478</v>
      </c>
      <c r="B20" s="880"/>
      <c r="C20" s="880"/>
      <c r="D20" s="880"/>
      <c r="E20" s="880"/>
      <c r="F20" s="880"/>
      <c r="G20" s="880"/>
      <c r="H20" s="880"/>
      <c r="I20" s="880"/>
      <c r="J20" s="880"/>
      <c r="K20" s="880"/>
    </row>
    <row r="21" spans="1:11" ht="15" customHeight="1" x14ac:dyDescent="0.3">
      <c r="A21" s="151"/>
      <c r="B21" s="880" t="s">
        <v>479</v>
      </c>
      <c r="C21" s="880"/>
      <c r="D21" s="880"/>
      <c r="E21" s="880"/>
      <c r="F21" s="880"/>
      <c r="G21" s="880"/>
      <c r="H21" s="880"/>
      <c r="I21" s="880"/>
      <c r="J21" s="834"/>
      <c r="K21" s="833"/>
    </row>
    <row r="22" spans="1:11" ht="15" customHeight="1" x14ac:dyDescent="0.3">
      <c r="A22" s="880" t="s">
        <v>574</v>
      </c>
      <c r="B22" s="880"/>
      <c r="C22" s="880"/>
      <c r="D22" s="880"/>
      <c r="E22" s="880"/>
      <c r="F22" s="880"/>
      <c r="G22" s="880"/>
      <c r="H22" s="880"/>
      <c r="I22" s="880"/>
      <c r="J22" s="880"/>
      <c r="K22" s="880"/>
    </row>
    <row r="23" spans="1:11" ht="15" customHeight="1" x14ac:dyDescent="0.3">
      <c r="A23" s="151"/>
      <c r="B23" s="880" t="s">
        <v>575</v>
      </c>
      <c r="C23" s="880"/>
      <c r="D23" s="880"/>
      <c r="E23" s="880"/>
      <c r="F23" s="880"/>
      <c r="G23" s="880"/>
      <c r="H23" s="880"/>
      <c r="I23" s="880"/>
      <c r="J23" s="880"/>
      <c r="K23" s="880"/>
    </row>
    <row r="24" spans="1:11" ht="6.75" customHeight="1" x14ac:dyDescent="0.3">
      <c r="A24" s="368"/>
      <c r="B24" s="368"/>
      <c r="C24" s="368"/>
      <c r="D24" s="368"/>
      <c r="E24" s="368"/>
      <c r="F24" s="368"/>
      <c r="G24" s="368"/>
      <c r="H24" s="368"/>
      <c r="I24" s="368"/>
      <c r="J24" s="368"/>
      <c r="K24" s="368"/>
    </row>
    <row r="25" spans="1:11" x14ac:dyDescent="0.3">
      <c r="A25" s="374" t="s">
        <v>523</v>
      </c>
      <c r="B25" s="367"/>
      <c r="C25" s="367"/>
      <c r="D25" s="147"/>
      <c r="E25" s="147"/>
      <c r="F25" s="147"/>
      <c r="G25" s="367"/>
      <c r="H25" s="367"/>
      <c r="I25" s="367"/>
      <c r="J25" s="367"/>
      <c r="K25" s="367"/>
    </row>
    <row r="26" spans="1:11" ht="6" customHeight="1" x14ac:dyDescent="0.3">
      <c r="A26" s="374"/>
      <c r="B26" s="367"/>
      <c r="C26" s="367"/>
      <c r="D26" s="147"/>
      <c r="E26" s="147"/>
      <c r="F26" s="147"/>
      <c r="G26" s="367"/>
      <c r="H26" s="367"/>
      <c r="I26" s="367"/>
      <c r="J26" s="367"/>
      <c r="K26" s="367"/>
    </row>
    <row r="27" spans="1:11" ht="15" customHeight="1" x14ac:dyDescent="0.3">
      <c r="A27" s="892" t="s">
        <v>587</v>
      </c>
      <c r="B27" s="892"/>
      <c r="C27" s="892"/>
      <c r="D27" s="892"/>
      <c r="E27" s="148"/>
      <c r="F27" s="148"/>
      <c r="G27" s="148"/>
      <c r="H27" s="148"/>
      <c r="I27" s="148"/>
      <c r="J27" s="148"/>
      <c r="K27" s="148"/>
    </row>
    <row r="28" spans="1:11" ht="28.5" customHeight="1" x14ac:dyDescent="0.3">
      <c r="A28" s="880" t="s">
        <v>588</v>
      </c>
      <c r="B28" s="880"/>
      <c r="C28" s="880"/>
      <c r="D28" s="880"/>
      <c r="E28" s="880"/>
      <c r="F28" s="880"/>
      <c r="G28" s="880"/>
      <c r="H28" s="880"/>
      <c r="I28" s="880"/>
      <c r="J28" s="880"/>
      <c r="K28" s="880"/>
    </row>
    <row r="29" spans="1:11" ht="15" customHeight="1" x14ac:dyDescent="0.3">
      <c r="A29" s="880" t="s">
        <v>589</v>
      </c>
      <c r="B29" s="880"/>
      <c r="C29" s="880"/>
      <c r="D29" s="880"/>
      <c r="E29" s="880"/>
      <c r="F29" s="880"/>
      <c r="G29" s="880"/>
      <c r="H29" s="880"/>
      <c r="I29" s="880"/>
      <c r="J29" s="880"/>
      <c r="K29" s="880"/>
    </row>
    <row r="30" spans="1:11" ht="30" customHeight="1" x14ac:dyDescent="0.3">
      <c r="A30" s="896" t="s">
        <v>590</v>
      </c>
      <c r="B30" s="896"/>
      <c r="C30" s="896"/>
      <c r="D30" s="896"/>
      <c r="E30" s="896"/>
      <c r="F30" s="896"/>
      <c r="G30" s="896"/>
      <c r="H30" s="896"/>
      <c r="I30" s="896"/>
      <c r="J30" s="896"/>
      <c r="K30" s="896"/>
    </row>
    <row r="31" spans="1:11" ht="6" customHeight="1" x14ac:dyDescent="0.3">
      <c r="A31" s="147"/>
      <c r="B31" s="149"/>
      <c r="C31" s="147"/>
      <c r="D31" s="147"/>
      <c r="E31" s="150"/>
      <c r="F31" s="147"/>
      <c r="G31" s="147"/>
      <c r="H31" s="147"/>
      <c r="I31" s="147"/>
      <c r="J31" s="147"/>
      <c r="K31" s="147"/>
    </row>
    <row r="32" spans="1:11" ht="15" customHeight="1" x14ac:dyDescent="0.3">
      <c r="A32" s="374" t="s">
        <v>292</v>
      </c>
      <c r="B32" s="151"/>
      <c r="C32" s="151"/>
      <c r="D32" s="151"/>
      <c r="E32" s="151"/>
      <c r="F32" s="151"/>
      <c r="G32" s="151"/>
      <c r="H32" s="151"/>
      <c r="I32" s="151"/>
      <c r="J32" s="151"/>
      <c r="K32" s="151"/>
    </row>
    <row r="33" spans="1:11" ht="15" customHeight="1" x14ac:dyDescent="0.3">
      <c r="A33" s="375" t="s">
        <v>293</v>
      </c>
      <c r="B33" s="151" t="s">
        <v>576</v>
      </c>
      <c r="C33" s="151"/>
      <c r="D33" s="151"/>
      <c r="E33" s="151"/>
      <c r="F33" s="151"/>
      <c r="G33" s="151"/>
      <c r="H33" s="151"/>
      <c r="I33" s="151"/>
      <c r="J33" s="151"/>
      <c r="K33" s="151"/>
    </row>
    <row r="34" spans="1:11" ht="15" customHeight="1" x14ac:dyDescent="0.3">
      <c r="A34" s="8"/>
      <c r="B34" s="152" t="s">
        <v>300</v>
      </c>
      <c r="C34" s="150"/>
      <c r="D34" s="150"/>
      <c r="E34" s="150"/>
      <c r="F34" s="150"/>
      <c r="G34" s="150"/>
      <c r="H34" s="150"/>
      <c r="I34" s="150"/>
      <c r="J34" s="150"/>
      <c r="K34" s="150"/>
    </row>
    <row r="35" spans="1:11" ht="15" customHeight="1" x14ac:dyDescent="0.3">
      <c r="A35" s="375"/>
      <c r="B35" s="152" t="s">
        <v>299</v>
      </c>
      <c r="C35" s="150"/>
      <c r="D35" s="150"/>
      <c r="E35" s="150"/>
      <c r="F35" s="150"/>
      <c r="G35" s="150"/>
      <c r="H35" s="150"/>
      <c r="I35" s="150"/>
      <c r="J35" s="150"/>
      <c r="K35" s="150"/>
    </row>
    <row r="36" spans="1:11" ht="15" customHeight="1" x14ac:dyDescent="0.3">
      <c r="A36" s="375"/>
      <c r="B36" s="152" t="s">
        <v>524</v>
      </c>
      <c r="C36" s="150"/>
      <c r="D36" s="150"/>
      <c r="E36" s="150"/>
      <c r="F36" s="150"/>
      <c r="G36" s="150"/>
      <c r="H36" s="150"/>
      <c r="I36" s="150"/>
      <c r="J36" s="150"/>
      <c r="K36" s="150"/>
    </row>
    <row r="37" spans="1:11" ht="15" customHeight="1" x14ac:dyDescent="0.3">
      <c r="A37" s="375"/>
      <c r="B37" s="152" t="s">
        <v>296</v>
      </c>
      <c r="C37" s="150"/>
      <c r="D37" s="150"/>
      <c r="E37" s="150"/>
      <c r="F37" s="150"/>
      <c r="G37" s="150"/>
      <c r="H37" s="150"/>
      <c r="I37" s="150"/>
      <c r="J37" s="150"/>
      <c r="K37" s="150"/>
    </row>
    <row r="38" spans="1:11" ht="15" customHeight="1" x14ac:dyDescent="0.3">
      <c r="A38" s="375"/>
      <c r="B38" s="152" t="s">
        <v>297</v>
      </c>
      <c r="C38" s="150"/>
      <c r="D38" s="150"/>
      <c r="E38" s="150"/>
      <c r="F38" s="150"/>
      <c r="G38" s="150"/>
      <c r="H38" s="150"/>
      <c r="I38" s="150"/>
      <c r="J38" s="150"/>
      <c r="K38" s="150"/>
    </row>
    <row r="39" spans="1:11" ht="15" customHeight="1" x14ac:dyDescent="0.3">
      <c r="A39" s="375" t="s">
        <v>267</v>
      </c>
      <c r="B39" s="64" t="s">
        <v>613</v>
      </c>
      <c r="C39" s="150"/>
      <c r="D39" s="150"/>
      <c r="E39" s="150"/>
      <c r="F39" s="150"/>
      <c r="G39" s="150"/>
      <c r="H39" s="150"/>
      <c r="I39" s="150"/>
      <c r="J39" s="150"/>
      <c r="K39" s="150"/>
    </row>
    <row r="40" spans="1:11" ht="15" customHeight="1" x14ac:dyDescent="0.3">
      <c r="A40" s="375"/>
      <c r="B40" s="152" t="s">
        <v>557</v>
      </c>
      <c r="C40" s="150"/>
      <c r="D40" s="150"/>
      <c r="E40" s="150"/>
      <c r="F40" s="150"/>
      <c r="G40" s="150"/>
      <c r="H40" s="150"/>
      <c r="I40" s="150"/>
      <c r="J40" s="150"/>
      <c r="K40" s="150"/>
    </row>
    <row r="41" spans="1:11" ht="15" customHeight="1" x14ac:dyDescent="0.3">
      <c r="A41" s="375" t="s">
        <v>270</v>
      </c>
      <c r="B41" s="152" t="s">
        <v>336</v>
      </c>
      <c r="C41" s="150"/>
      <c r="D41" s="150"/>
      <c r="E41" s="150"/>
      <c r="F41" s="150"/>
      <c r="G41" s="150"/>
      <c r="H41" s="150"/>
      <c r="I41" s="150"/>
      <c r="J41" s="150"/>
      <c r="K41" s="150"/>
    </row>
    <row r="42" spans="1:11" ht="15" customHeight="1" x14ac:dyDescent="0.3">
      <c r="A42" s="375"/>
      <c r="B42" s="152"/>
      <c r="C42" s="150"/>
      <c r="D42" s="150"/>
      <c r="E42" s="150"/>
      <c r="F42" s="150"/>
      <c r="G42" s="150"/>
      <c r="H42" s="150"/>
      <c r="I42" s="150"/>
      <c r="J42" s="150"/>
      <c r="K42" s="150"/>
    </row>
    <row r="43" spans="1:11" ht="12.75" customHeight="1" x14ac:dyDescent="0.3">
      <c r="A43" s="895" t="s">
        <v>591</v>
      </c>
      <c r="B43" s="895"/>
      <c r="C43" s="895"/>
      <c r="D43" s="895"/>
      <c r="E43" s="895"/>
      <c r="F43" s="895"/>
      <c r="G43" s="895"/>
      <c r="H43" s="895"/>
      <c r="I43" s="895"/>
      <c r="J43" s="895"/>
      <c r="K43" s="895"/>
    </row>
    <row r="44" spans="1:11" ht="12.75" customHeight="1" x14ac:dyDescent="0.3">
      <c r="A44" s="895" t="s">
        <v>287</v>
      </c>
      <c r="B44" s="895"/>
      <c r="C44" s="895"/>
      <c r="D44" s="895"/>
      <c r="E44" s="895"/>
      <c r="F44" s="895"/>
      <c r="G44" s="895"/>
      <c r="H44" s="895"/>
      <c r="I44" s="895"/>
      <c r="J44" s="895"/>
      <c r="K44" s="895"/>
    </row>
    <row r="45" spans="1:11" ht="3.75" customHeight="1" x14ac:dyDescent="0.3">
      <c r="A45" s="375"/>
      <c r="B45" s="152"/>
      <c r="C45" s="150"/>
      <c r="D45" s="150"/>
      <c r="E45" s="150"/>
      <c r="F45" s="150"/>
      <c r="G45" s="150"/>
      <c r="H45" s="150"/>
      <c r="I45" s="150"/>
      <c r="J45" s="150"/>
      <c r="K45" s="150"/>
    </row>
    <row r="46" spans="1:11" ht="15" customHeight="1" x14ac:dyDescent="0.3">
      <c r="A46" s="897" t="s">
        <v>294</v>
      </c>
      <c r="B46" s="897"/>
      <c r="C46" s="897"/>
      <c r="D46" s="897"/>
      <c r="E46" s="897"/>
      <c r="F46" s="897"/>
      <c r="G46" s="897"/>
      <c r="H46" s="897"/>
      <c r="I46" s="897"/>
      <c r="J46" s="897"/>
      <c r="K46" s="897"/>
    </row>
    <row r="47" spans="1:11" ht="9" customHeight="1" x14ac:dyDescent="0.3">
      <c r="A47" s="391"/>
      <c r="B47" s="391"/>
      <c r="C47" s="391"/>
      <c r="D47" s="391"/>
      <c r="E47" s="391"/>
      <c r="F47" s="391"/>
      <c r="G47" s="391"/>
      <c r="H47" s="391"/>
      <c r="I47" s="391"/>
      <c r="J47" s="391"/>
      <c r="K47" s="391"/>
    </row>
    <row r="48" spans="1:11" ht="15" customHeight="1" x14ac:dyDescent="0.3">
      <c r="A48" s="897" t="s">
        <v>525</v>
      </c>
      <c r="B48" s="897"/>
      <c r="C48" s="897"/>
      <c r="D48" s="897"/>
      <c r="E48" s="897"/>
      <c r="F48" s="897"/>
      <c r="G48" s="897"/>
      <c r="H48" s="897"/>
      <c r="I48" s="897"/>
      <c r="J48" s="897"/>
      <c r="K48" s="897"/>
    </row>
    <row r="49" spans="1:11" ht="15" customHeight="1" x14ac:dyDescent="0.3">
      <c r="A49" s="375" t="s">
        <v>293</v>
      </c>
      <c r="B49" s="152" t="s">
        <v>577</v>
      </c>
      <c r="C49" s="153" t="s">
        <v>306</v>
      </c>
      <c r="D49" s="151"/>
      <c r="E49" s="151"/>
      <c r="F49" s="151"/>
      <c r="G49" s="151"/>
      <c r="H49" s="151"/>
      <c r="I49" s="151"/>
      <c r="J49" s="151"/>
      <c r="K49" s="151"/>
    </row>
    <row r="50" spans="1:11" ht="15" customHeight="1" x14ac:dyDescent="0.3">
      <c r="A50" s="375" t="s">
        <v>267</v>
      </c>
      <c r="B50" s="152" t="s">
        <v>268</v>
      </c>
      <c r="C50" s="880" t="s">
        <v>269</v>
      </c>
      <c r="D50" s="880"/>
      <c r="E50" s="880"/>
      <c r="F50" s="880"/>
      <c r="G50" s="880"/>
      <c r="H50" s="886"/>
      <c r="I50" s="886"/>
      <c r="J50" s="886"/>
      <c r="K50" s="886"/>
    </row>
    <row r="51" spans="1:11" ht="15" customHeight="1" x14ac:dyDescent="0.3">
      <c r="A51" s="375" t="s">
        <v>270</v>
      </c>
      <c r="B51" s="152" t="s">
        <v>271</v>
      </c>
      <c r="C51" s="880" t="s">
        <v>315</v>
      </c>
      <c r="D51" s="880"/>
      <c r="E51" s="880"/>
      <c r="F51" s="880"/>
      <c r="G51" s="880"/>
      <c r="H51" s="885"/>
      <c r="I51" s="885"/>
      <c r="J51" s="885"/>
      <c r="K51" s="885"/>
    </row>
    <row r="52" spans="1:11" ht="15" customHeight="1" x14ac:dyDescent="0.3">
      <c r="A52" s="375" t="s">
        <v>272</v>
      </c>
      <c r="B52" s="152" t="s">
        <v>273</v>
      </c>
      <c r="C52" s="880" t="s">
        <v>269</v>
      </c>
      <c r="D52" s="880"/>
      <c r="E52" s="880"/>
      <c r="F52" s="880"/>
      <c r="G52" s="880"/>
      <c r="H52" s="886"/>
      <c r="I52" s="886"/>
      <c r="J52" s="886"/>
      <c r="K52" s="886"/>
    </row>
    <row r="53" spans="1:11" ht="15" customHeight="1" x14ac:dyDescent="0.3">
      <c r="A53" s="375" t="s">
        <v>274</v>
      </c>
      <c r="B53" s="153" t="s">
        <v>275</v>
      </c>
      <c r="C53" s="887" t="s">
        <v>526</v>
      </c>
      <c r="D53" s="887"/>
      <c r="E53" s="887"/>
      <c r="F53" s="887"/>
      <c r="G53" s="887"/>
      <c r="H53" s="887"/>
      <c r="I53" s="887"/>
      <c r="J53" s="887"/>
      <c r="K53" s="887"/>
    </row>
    <row r="54" spans="1:11" ht="15" customHeight="1" x14ac:dyDescent="0.3">
      <c r="A54" s="375"/>
      <c r="B54" s="153" t="s">
        <v>276</v>
      </c>
      <c r="C54" s="151"/>
      <c r="D54" s="151"/>
      <c r="E54" s="151"/>
      <c r="F54" s="151"/>
      <c r="G54" s="151"/>
      <c r="H54" s="151"/>
      <c r="I54" s="151"/>
      <c r="J54" s="151"/>
      <c r="K54" s="151"/>
    </row>
    <row r="55" spans="1:11" ht="6" customHeight="1" x14ac:dyDescent="0.3">
      <c r="A55" s="375"/>
      <c r="B55" s="152"/>
      <c r="C55" s="367"/>
      <c r="D55" s="367"/>
      <c r="E55" s="367"/>
      <c r="F55" s="367"/>
      <c r="G55" s="367"/>
      <c r="H55" s="154"/>
      <c r="I55" s="154"/>
      <c r="J55" s="154"/>
      <c r="K55" s="154"/>
    </row>
    <row r="56" spans="1:11" ht="15" customHeight="1" x14ac:dyDescent="0.3">
      <c r="A56" s="894" t="s">
        <v>527</v>
      </c>
      <c r="B56" s="894"/>
      <c r="C56" s="894"/>
      <c r="D56" s="894"/>
      <c r="E56" s="894"/>
      <c r="F56" s="894"/>
      <c r="G56" s="894"/>
      <c r="H56" s="894"/>
      <c r="I56" s="894"/>
      <c r="J56" s="894"/>
      <c r="K56" s="894"/>
    </row>
    <row r="57" spans="1:11" ht="15" customHeight="1" x14ac:dyDescent="0.3">
      <c r="A57" s="375" t="s">
        <v>293</v>
      </c>
      <c r="B57" s="152" t="s">
        <v>277</v>
      </c>
      <c r="C57" s="880" t="s">
        <v>278</v>
      </c>
      <c r="D57" s="880"/>
      <c r="E57" s="880"/>
      <c r="F57" s="880"/>
      <c r="G57" s="880"/>
      <c r="H57" s="886"/>
      <c r="I57" s="886"/>
      <c r="J57" s="886"/>
      <c r="K57" s="886"/>
    </row>
    <row r="58" spans="1:11" ht="15" customHeight="1" x14ac:dyDescent="0.3">
      <c r="A58" s="375" t="s">
        <v>267</v>
      </c>
      <c r="B58" s="152" t="s">
        <v>279</v>
      </c>
      <c r="C58" s="880" t="s">
        <v>280</v>
      </c>
      <c r="D58" s="880"/>
      <c r="E58" s="880"/>
      <c r="F58" s="880"/>
      <c r="G58" s="880"/>
      <c r="H58" s="885"/>
      <c r="I58" s="885"/>
      <c r="J58" s="885"/>
      <c r="K58" s="885"/>
    </row>
    <row r="59" spans="1:11" ht="15" customHeight="1" x14ac:dyDescent="0.3">
      <c r="A59" s="375" t="s">
        <v>270</v>
      </c>
      <c r="B59" s="152" t="s">
        <v>592</v>
      </c>
      <c r="C59" s="880" t="s">
        <v>334</v>
      </c>
      <c r="D59" s="880"/>
      <c r="E59" s="880"/>
      <c r="F59" s="880"/>
      <c r="G59" s="880"/>
      <c r="H59" s="886"/>
      <c r="I59" s="886"/>
      <c r="J59" s="886"/>
      <c r="K59" s="886"/>
    </row>
    <row r="60" spans="1:11" ht="15" customHeight="1" x14ac:dyDescent="0.3">
      <c r="A60" s="379" t="s">
        <v>272</v>
      </c>
      <c r="B60" s="371" t="s">
        <v>301</v>
      </c>
      <c r="C60" s="380" t="s">
        <v>642</v>
      </c>
      <c r="D60" s="381"/>
      <c r="E60" s="381"/>
      <c r="F60" s="381"/>
      <c r="G60" s="381"/>
      <c r="H60" s="381"/>
      <c r="I60" s="381"/>
      <c r="J60" s="381"/>
      <c r="K60" s="381"/>
    </row>
    <row r="61" spans="1:11" ht="6" customHeight="1" x14ac:dyDescent="0.3">
      <c r="A61" s="379"/>
      <c r="B61" s="371"/>
      <c r="C61" s="380"/>
      <c r="D61" s="381"/>
      <c r="E61" s="381"/>
      <c r="F61" s="381"/>
      <c r="G61" s="381"/>
      <c r="H61" s="381"/>
      <c r="I61" s="381"/>
      <c r="J61" s="381"/>
      <c r="K61" s="381"/>
    </row>
    <row r="62" spans="1:11" ht="15" customHeight="1" x14ac:dyDescent="0.3">
      <c r="A62" s="382" t="s">
        <v>528</v>
      </c>
      <c r="B62" s="371"/>
      <c r="C62" s="371"/>
      <c r="D62" s="381"/>
      <c r="E62" s="381"/>
      <c r="F62" s="381"/>
      <c r="G62" s="381"/>
      <c r="H62" s="381"/>
      <c r="I62" s="381"/>
      <c r="J62" s="381"/>
      <c r="K62" s="381"/>
    </row>
    <row r="63" spans="1:11" ht="15" customHeight="1" x14ac:dyDescent="0.3">
      <c r="A63" s="379" t="s">
        <v>293</v>
      </c>
      <c r="B63" s="383" t="s">
        <v>281</v>
      </c>
      <c r="C63" s="384"/>
      <c r="D63" s="384"/>
      <c r="E63" s="384"/>
      <c r="F63" s="384"/>
      <c r="G63" s="384"/>
      <c r="H63" s="384"/>
      <c r="I63" s="384"/>
      <c r="J63" s="384"/>
      <c r="K63" s="384"/>
    </row>
    <row r="64" spans="1:11" ht="15" customHeight="1" x14ac:dyDescent="0.3">
      <c r="A64" s="379" t="s">
        <v>267</v>
      </c>
      <c r="B64" s="383" t="s">
        <v>282</v>
      </c>
      <c r="C64" s="384"/>
      <c r="D64" s="384"/>
      <c r="E64" s="384"/>
      <c r="F64" s="384"/>
      <c r="G64" s="384"/>
      <c r="H64" s="384"/>
      <c r="I64" s="384"/>
      <c r="J64" s="384"/>
      <c r="K64" s="384"/>
    </row>
    <row r="65" spans="1:11" ht="15" customHeight="1" x14ac:dyDescent="0.3">
      <c r="A65" s="379" t="s">
        <v>270</v>
      </c>
      <c r="B65" s="383" t="s">
        <v>283</v>
      </c>
      <c r="C65" s="385" t="s">
        <v>2</v>
      </c>
      <c r="D65" s="381"/>
      <c r="E65" s="381"/>
      <c r="F65" s="381"/>
      <c r="G65" s="381"/>
      <c r="H65" s="381"/>
      <c r="I65" s="381"/>
      <c r="J65" s="381"/>
      <c r="K65" s="381"/>
    </row>
    <row r="66" spans="1:11" ht="15" customHeight="1" x14ac:dyDescent="0.3">
      <c r="A66" s="379" t="s">
        <v>272</v>
      </c>
      <c r="B66" s="385" t="s">
        <v>593</v>
      </c>
      <c r="C66" s="381"/>
      <c r="D66" s="381"/>
      <c r="E66" s="381"/>
      <c r="F66" s="381"/>
      <c r="G66" s="381"/>
      <c r="H66" s="381"/>
      <c r="I66" s="381"/>
      <c r="J66" s="381"/>
      <c r="K66" s="381"/>
    </row>
    <row r="67" spans="1:11" ht="15" customHeight="1" x14ac:dyDescent="0.3">
      <c r="A67" s="379" t="s">
        <v>274</v>
      </c>
      <c r="B67" s="383" t="s">
        <v>284</v>
      </c>
      <c r="C67" s="381"/>
      <c r="D67" s="381"/>
      <c r="E67" s="381"/>
      <c r="F67" s="381"/>
      <c r="G67" s="381"/>
      <c r="H67" s="381"/>
      <c r="I67" s="381"/>
      <c r="J67" s="381"/>
      <c r="K67" s="381"/>
    </row>
    <row r="68" spans="1:11" ht="15" customHeight="1" x14ac:dyDescent="0.3">
      <c r="A68" s="379" t="s">
        <v>285</v>
      </c>
      <c r="B68" s="383" t="s">
        <v>286</v>
      </c>
      <c r="C68" s="381"/>
      <c r="D68" s="381"/>
      <c r="E68" s="381"/>
      <c r="F68" s="381"/>
      <c r="G68" s="381"/>
      <c r="H68" s="381"/>
      <c r="I68" s="381"/>
      <c r="J68" s="381"/>
      <c r="K68" s="381"/>
    </row>
    <row r="69" spans="1:11" ht="9" customHeight="1" x14ac:dyDescent="0.3">
      <c r="A69" s="387"/>
      <c r="B69" s="385"/>
      <c r="C69" s="381"/>
      <c r="D69" s="381"/>
      <c r="E69" s="381"/>
      <c r="F69" s="381"/>
      <c r="G69" s="381"/>
      <c r="H69" s="381"/>
      <c r="I69" s="381"/>
      <c r="J69" s="381"/>
      <c r="K69" s="381"/>
    </row>
    <row r="70" spans="1:11" ht="15" customHeight="1" x14ac:dyDescent="0.3">
      <c r="A70" s="370" t="s">
        <v>474</v>
      </c>
      <c r="B70" s="370"/>
      <c r="C70" s="370"/>
      <c r="D70" s="370"/>
      <c r="E70" s="370"/>
      <c r="F70" s="370"/>
      <c r="G70" s="370"/>
      <c r="H70" s="370"/>
      <c r="I70" s="370"/>
      <c r="J70" s="370"/>
      <c r="K70" s="370"/>
    </row>
    <row r="71" spans="1:11" ht="15" customHeight="1" x14ac:dyDescent="0.3">
      <c r="A71" s="381"/>
      <c r="B71" s="890" t="s">
        <v>288</v>
      </c>
      <c r="C71" s="890"/>
      <c r="D71" s="890"/>
      <c r="E71" s="890"/>
      <c r="F71" s="890"/>
      <c r="G71" s="890"/>
      <c r="H71" s="890"/>
      <c r="I71" s="890"/>
      <c r="J71" s="890"/>
      <c r="K71" s="890"/>
    </row>
    <row r="72" spans="1:11" ht="15" customHeight="1" x14ac:dyDescent="0.3">
      <c r="A72" s="381"/>
      <c r="B72" s="890"/>
      <c r="C72" s="890"/>
      <c r="D72" s="890"/>
      <c r="E72" s="890"/>
      <c r="F72" s="890"/>
      <c r="G72" s="890"/>
      <c r="H72" s="890"/>
      <c r="I72" s="890"/>
      <c r="J72" s="890"/>
      <c r="K72" s="890"/>
    </row>
    <row r="73" spans="1:11" ht="6" customHeight="1" x14ac:dyDescent="0.3">
      <c r="A73" s="381"/>
      <c r="B73" s="386"/>
      <c r="C73" s="386"/>
      <c r="D73" s="386"/>
      <c r="E73" s="386"/>
      <c r="F73" s="386"/>
      <c r="G73" s="386"/>
      <c r="H73" s="386"/>
      <c r="I73" s="386"/>
      <c r="J73" s="386"/>
      <c r="K73" s="386"/>
    </row>
    <row r="74" spans="1:11" ht="15" customHeight="1" x14ac:dyDescent="0.3">
      <c r="A74" s="388" t="s">
        <v>475</v>
      </c>
      <c r="B74" s="383"/>
      <c r="C74" s="381"/>
      <c r="D74" s="381"/>
      <c r="E74" s="381"/>
      <c r="F74" s="381"/>
      <c r="G74" s="381"/>
      <c r="H74" s="381"/>
      <c r="I74" s="381"/>
      <c r="J74" s="381"/>
      <c r="K74" s="381"/>
    </row>
    <row r="75" spans="1:11" ht="36" customHeight="1" x14ac:dyDescent="0.3">
      <c r="A75" s="150"/>
      <c r="B75" s="880" t="s">
        <v>337</v>
      </c>
      <c r="C75" s="880"/>
      <c r="D75" s="880"/>
      <c r="E75" s="880"/>
      <c r="F75" s="880"/>
      <c r="G75" s="880"/>
      <c r="H75" s="880"/>
      <c r="I75" s="880"/>
      <c r="J75" s="880"/>
      <c r="K75" s="880"/>
    </row>
    <row r="76" spans="1:11" ht="6" customHeight="1" x14ac:dyDescent="0.3">
      <c r="A76" s="150"/>
      <c r="B76" s="367"/>
      <c r="C76" s="367"/>
      <c r="D76" s="367"/>
      <c r="E76" s="367"/>
      <c r="F76" s="367"/>
      <c r="G76" s="367"/>
      <c r="H76" s="367"/>
      <c r="I76" s="367"/>
      <c r="J76" s="367"/>
      <c r="K76" s="367"/>
    </row>
    <row r="77" spans="1:11" ht="15" customHeight="1" x14ac:dyDescent="0.3">
      <c r="A77" s="376" t="s">
        <v>473</v>
      </c>
      <c r="B77" s="150"/>
      <c r="C77" s="150"/>
      <c r="D77" s="150"/>
      <c r="E77" s="150"/>
      <c r="F77" s="150"/>
      <c r="G77" s="150"/>
      <c r="H77" s="150"/>
      <c r="I77" s="150"/>
      <c r="J77" s="150"/>
      <c r="K77" s="150"/>
    </row>
    <row r="78" spans="1:11" ht="105" customHeight="1" x14ac:dyDescent="0.3">
      <c r="A78" s="150"/>
      <c r="B78" s="891" t="s">
        <v>578</v>
      </c>
      <c r="C78" s="891"/>
      <c r="D78" s="891"/>
      <c r="E78" s="891"/>
      <c r="F78" s="891"/>
      <c r="G78" s="891"/>
      <c r="H78" s="891"/>
      <c r="I78" s="891"/>
      <c r="J78" s="891"/>
      <c r="K78" s="891"/>
    </row>
    <row r="79" spans="1:11" ht="6" customHeight="1" x14ac:dyDescent="0.3">
      <c r="A79" s="150"/>
      <c r="B79" s="368"/>
      <c r="C79" s="368"/>
      <c r="D79" s="368"/>
      <c r="E79" s="368"/>
      <c r="F79" s="368"/>
      <c r="G79" s="368"/>
      <c r="H79" s="368"/>
      <c r="I79" s="368"/>
      <c r="J79" s="368"/>
      <c r="K79" s="368"/>
    </row>
    <row r="80" spans="1:11" ht="45" customHeight="1" x14ac:dyDescent="0.3">
      <c r="A80" s="888" t="s">
        <v>650</v>
      </c>
      <c r="B80" s="888"/>
      <c r="C80" s="888"/>
      <c r="D80" s="888"/>
      <c r="E80" s="888"/>
      <c r="F80" s="888"/>
      <c r="G80" s="888"/>
      <c r="H80" s="888"/>
      <c r="I80" s="888"/>
      <c r="J80" s="888"/>
      <c r="K80" s="888"/>
    </row>
    <row r="81" spans="1:11" ht="15" customHeight="1" thickBot="1" x14ac:dyDescent="0.35">
      <c r="A81" s="889" t="s">
        <v>219</v>
      </c>
      <c r="B81" s="889"/>
      <c r="C81" s="889"/>
      <c r="D81" s="889"/>
      <c r="E81" s="889"/>
      <c r="F81" s="889"/>
      <c r="G81" s="889"/>
      <c r="H81" s="889"/>
      <c r="I81" s="889"/>
      <c r="J81" s="889"/>
      <c r="K81" s="889"/>
    </row>
    <row r="82" spans="1:11" ht="75" customHeight="1" x14ac:dyDescent="0.3">
      <c r="A82" s="884" t="s">
        <v>481</v>
      </c>
      <c r="B82" s="884"/>
      <c r="C82" s="884"/>
      <c r="D82" s="884"/>
      <c r="E82" s="884"/>
      <c r="F82" s="884"/>
      <c r="G82" s="884"/>
      <c r="H82" s="884"/>
      <c r="I82" s="884"/>
      <c r="J82" s="884"/>
      <c r="K82" s="884"/>
    </row>
    <row r="83" spans="1:11" ht="7.5" customHeight="1" x14ac:dyDescent="0.3">
      <c r="A83" s="144"/>
      <c r="B83" s="144"/>
      <c r="C83" s="144"/>
      <c r="D83" s="144"/>
      <c r="E83" s="144"/>
      <c r="F83" s="144"/>
      <c r="G83" s="144"/>
      <c r="H83" s="144"/>
      <c r="I83" s="144"/>
      <c r="J83" s="144"/>
      <c r="K83" s="144"/>
    </row>
    <row r="84" spans="1:11" ht="5.25" customHeight="1" x14ac:dyDescent="0.3">
      <c r="A84" s="144"/>
      <c r="B84" s="144"/>
      <c r="C84" s="144"/>
      <c r="D84" s="144"/>
      <c r="E84" s="144"/>
      <c r="F84" s="144"/>
      <c r="G84" s="144"/>
      <c r="H84" s="144"/>
      <c r="I84" s="144"/>
      <c r="J84" s="144"/>
      <c r="K84" s="144"/>
    </row>
    <row r="85" spans="1:11" ht="4.5" customHeight="1" x14ac:dyDescent="0.3">
      <c r="A85" s="144"/>
      <c r="B85" s="144"/>
      <c r="C85" s="144"/>
      <c r="D85" s="144"/>
      <c r="E85" s="144"/>
      <c r="F85" s="144"/>
      <c r="G85" s="144"/>
      <c r="H85" s="144"/>
      <c r="I85" s="144"/>
      <c r="J85" s="144"/>
      <c r="K85" s="144"/>
    </row>
    <row r="86" spans="1:11" ht="6" customHeight="1" x14ac:dyDescent="0.3">
      <c r="A86" s="144"/>
      <c r="B86" s="144"/>
      <c r="C86" s="144"/>
      <c r="D86" s="144"/>
      <c r="E86" s="144"/>
      <c r="F86" s="144"/>
      <c r="G86" s="144"/>
      <c r="H86" s="144"/>
      <c r="I86" s="144"/>
      <c r="J86" s="144"/>
      <c r="K86" s="144"/>
    </row>
    <row r="87" spans="1:11" ht="6" customHeight="1" x14ac:dyDescent="0.3">
      <c r="A87" s="144"/>
      <c r="B87" s="144"/>
      <c r="C87" s="144"/>
      <c r="D87" s="144"/>
      <c r="E87" s="144"/>
      <c r="F87" s="144"/>
      <c r="G87" s="144"/>
      <c r="H87" s="144"/>
      <c r="I87" s="144"/>
      <c r="J87" s="144"/>
      <c r="K87" s="144"/>
    </row>
    <row r="88" spans="1:11" x14ac:dyDescent="0.3">
      <c r="A88" s="144"/>
      <c r="B88" s="144"/>
      <c r="C88" s="144"/>
      <c r="D88" s="144"/>
      <c r="E88" s="144"/>
      <c r="F88" s="144"/>
      <c r="G88" s="144"/>
      <c r="H88" s="144"/>
      <c r="I88" s="144"/>
      <c r="J88" s="144"/>
      <c r="K88" s="144"/>
    </row>
    <row r="89" spans="1:11" x14ac:dyDescent="0.3">
      <c r="A89" s="144"/>
      <c r="B89" s="144"/>
      <c r="C89" s="144"/>
      <c r="D89" s="144"/>
      <c r="E89" s="144"/>
      <c r="F89" s="144"/>
      <c r="G89" s="144"/>
      <c r="H89" s="144"/>
      <c r="I89" s="144"/>
      <c r="J89" s="144"/>
      <c r="K89" s="144"/>
    </row>
    <row r="90" spans="1:11" x14ac:dyDescent="0.3">
      <c r="A90" s="144"/>
      <c r="B90" s="144"/>
      <c r="C90" s="144"/>
      <c r="D90" s="144"/>
      <c r="E90" s="144"/>
      <c r="F90" s="144"/>
      <c r="G90" s="144"/>
      <c r="H90" s="144"/>
      <c r="I90" s="144"/>
      <c r="J90" s="144"/>
      <c r="K90" s="144"/>
    </row>
    <row r="91" spans="1:11" x14ac:dyDescent="0.3">
      <c r="A91" s="144"/>
      <c r="B91" s="144"/>
      <c r="C91" s="144"/>
      <c r="D91" s="144"/>
      <c r="E91" s="144"/>
      <c r="F91" s="144"/>
      <c r="G91" s="144"/>
      <c r="H91" s="144"/>
      <c r="I91" s="144"/>
      <c r="J91" s="144"/>
      <c r="K91" s="144"/>
    </row>
    <row r="92" spans="1:11" x14ac:dyDescent="0.3">
      <c r="A92" s="144"/>
      <c r="B92" s="144"/>
      <c r="C92" s="144"/>
      <c r="D92" s="144"/>
      <c r="E92" s="144"/>
      <c r="F92" s="144"/>
      <c r="G92" s="144"/>
      <c r="H92" s="144"/>
      <c r="I92" s="144"/>
      <c r="J92" s="144"/>
      <c r="K92" s="144"/>
    </row>
    <row r="93" spans="1:11" x14ac:dyDescent="0.3">
      <c r="A93" s="144"/>
      <c r="B93" s="144"/>
      <c r="C93" s="144"/>
      <c r="D93" s="144"/>
      <c r="E93" s="144"/>
      <c r="F93" s="144"/>
      <c r="G93" s="144"/>
      <c r="H93" s="144"/>
      <c r="I93" s="144"/>
      <c r="J93" s="144"/>
      <c r="K93" s="144"/>
    </row>
    <row r="94" spans="1:11" x14ac:dyDescent="0.3">
      <c r="A94" s="144"/>
      <c r="B94" s="144"/>
      <c r="C94" s="144"/>
      <c r="D94" s="144"/>
      <c r="E94" s="144"/>
      <c r="F94" s="144"/>
      <c r="G94" s="144"/>
      <c r="H94" s="144"/>
      <c r="I94" s="144"/>
      <c r="J94" s="144"/>
      <c r="K94" s="144"/>
    </row>
    <row r="95" spans="1:11" x14ac:dyDescent="0.3">
      <c r="A95" s="144"/>
      <c r="B95" s="144"/>
      <c r="C95" s="144"/>
      <c r="D95" s="144"/>
      <c r="E95" s="144"/>
      <c r="F95" s="144"/>
      <c r="G95" s="144"/>
      <c r="H95" s="144"/>
      <c r="I95" s="144"/>
      <c r="J95" s="144"/>
      <c r="K95" s="144"/>
    </row>
    <row r="96" spans="1:11" x14ac:dyDescent="0.3">
      <c r="A96" s="144"/>
      <c r="B96" s="144"/>
      <c r="C96" s="144"/>
      <c r="D96" s="144"/>
      <c r="E96" s="144"/>
      <c r="F96" s="144"/>
      <c r="G96" s="144"/>
      <c r="H96" s="144"/>
      <c r="I96" s="144"/>
      <c r="J96" s="144"/>
      <c r="K96" s="144"/>
    </row>
    <row r="97" spans="1:11" x14ac:dyDescent="0.3">
      <c r="A97" s="144"/>
      <c r="B97" s="144"/>
      <c r="C97" s="144"/>
      <c r="D97" s="144"/>
      <c r="E97" s="144"/>
      <c r="F97" s="144"/>
      <c r="G97" s="144"/>
      <c r="H97" s="144"/>
      <c r="I97" s="144"/>
      <c r="J97" s="144"/>
      <c r="K97" s="144"/>
    </row>
    <row r="98" spans="1:11" x14ac:dyDescent="0.3">
      <c r="A98" s="144"/>
      <c r="B98" s="144"/>
      <c r="C98" s="144"/>
      <c r="D98" s="144"/>
      <c r="E98" s="144"/>
      <c r="F98" s="144"/>
      <c r="G98" s="144"/>
      <c r="H98" s="144"/>
      <c r="I98" s="144"/>
      <c r="J98" s="144"/>
      <c r="K98" s="144"/>
    </row>
    <row r="99" spans="1:11" x14ac:dyDescent="0.3">
      <c r="A99" s="144"/>
      <c r="B99" s="144"/>
      <c r="C99" s="144"/>
      <c r="D99" s="144"/>
      <c r="E99" s="144"/>
      <c r="F99" s="144"/>
      <c r="G99" s="144"/>
      <c r="H99" s="144"/>
      <c r="I99" s="144"/>
      <c r="J99" s="144"/>
      <c r="K99" s="144"/>
    </row>
    <row r="100" spans="1:11" x14ac:dyDescent="0.3">
      <c r="A100" s="144"/>
      <c r="B100" s="144"/>
      <c r="C100" s="144"/>
      <c r="D100" s="144"/>
      <c r="E100" s="144"/>
      <c r="F100" s="144"/>
      <c r="G100" s="144"/>
      <c r="H100" s="144"/>
      <c r="I100" s="144"/>
      <c r="J100" s="144"/>
      <c r="K100" s="144"/>
    </row>
    <row r="101" spans="1:11" x14ac:dyDescent="0.3">
      <c r="A101" s="144"/>
      <c r="B101" s="144"/>
      <c r="C101" s="144"/>
      <c r="D101" s="144"/>
      <c r="E101" s="144"/>
      <c r="F101" s="144"/>
      <c r="G101" s="144"/>
      <c r="H101" s="144"/>
      <c r="I101" s="144"/>
      <c r="J101" s="144"/>
      <c r="K101" s="144"/>
    </row>
    <row r="102" spans="1:11" x14ac:dyDescent="0.3">
      <c r="A102" s="144"/>
      <c r="B102" s="144"/>
      <c r="C102" s="144"/>
      <c r="D102" s="144"/>
      <c r="E102" s="144"/>
      <c r="F102" s="144"/>
      <c r="G102" s="144"/>
      <c r="H102" s="144"/>
      <c r="I102" s="144"/>
      <c r="J102" s="144"/>
      <c r="K102" s="144"/>
    </row>
    <row r="103" spans="1:11" x14ac:dyDescent="0.3">
      <c r="A103" s="144"/>
      <c r="B103" s="144"/>
      <c r="C103" s="144"/>
      <c r="D103" s="144"/>
      <c r="E103" s="144"/>
      <c r="F103" s="144"/>
      <c r="G103" s="144"/>
      <c r="H103" s="144"/>
      <c r="I103" s="144"/>
      <c r="J103" s="144"/>
      <c r="K103" s="144"/>
    </row>
    <row r="104" spans="1:11" x14ac:dyDescent="0.3">
      <c r="A104" s="144"/>
      <c r="B104" s="144"/>
      <c r="C104" s="144"/>
      <c r="D104" s="144"/>
      <c r="E104" s="144"/>
      <c r="F104" s="144"/>
      <c r="G104" s="144"/>
      <c r="H104" s="144"/>
      <c r="I104" s="144"/>
      <c r="J104" s="144"/>
      <c r="K104" s="144"/>
    </row>
    <row r="105" spans="1:11" x14ac:dyDescent="0.3">
      <c r="A105" s="144"/>
      <c r="B105" s="144"/>
      <c r="C105" s="144"/>
      <c r="D105" s="144"/>
      <c r="E105" s="144"/>
      <c r="F105" s="144"/>
      <c r="G105" s="144"/>
      <c r="H105" s="144"/>
      <c r="I105" s="144"/>
      <c r="J105" s="144"/>
      <c r="K105" s="144"/>
    </row>
    <row r="106" spans="1:11" x14ac:dyDescent="0.3">
      <c r="A106" s="144"/>
      <c r="B106" s="144"/>
      <c r="C106" s="144"/>
      <c r="D106" s="144"/>
      <c r="E106" s="144"/>
      <c r="F106" s="144"/>
      <c r="G106" s="144"/>
      <c r="H106" s="144"/>
      <c r="I106" s="144"/>
      <c r="J106" s="144"/>
      <c r="K106" s="144"/>
    </row>
    <row r="107" spans="1:11" x14ac:dyDescent="0.3">
      <c r="A107" s="144"/>
      <c r="B107" s="144"/>
      <c r="C107" s="144"/>
      <c r="D107" s="144"/>
      <c r="E107" s="144"/>
      <c r="F107" s="144"/>
      <c r="G107" s="144"/>
      <c r="H107" s="144"/>
      <c r="I107" s="144"/>
      <c r="J107" s="144"/>
      <c r="K107" s="144"/>
    </row>
    <row r="108" spans="1:11" x14ac:dyDescent="0.3">
      <c r="A108" s="144"/>
      <c r="B108" s="144"/>
      <c r="C108" s="144"/>
      <c r="D108" s="144"/>
      <c r="E108" s="144"/>
      <c r="F108" s="144"/>
      <c r="G108" s="144"/>
      <c r="H108" s="144"/>
      <c r="I108" s="144"/>
      <c r="J108" s="144"/>
      <c r="K108" s="144"/>
    </row>
    <row r="109" spans="1:11" x14ac:dyDescent="0.3">
      <c r="A109" s="144"/>
      <c r="B109" s="144"/>
      <c r="C109" s="144"/>
      <c r="D109" s="144"/>
      <c r="E109" s="144"/>
      <c r="F109" s="144"/>
      <c r="G109" s="144"/>
      <c r="H109" s="144"/>
      <c r="I109" s="144"/>
      <c r="J109" s="144"/>
      <c r="K109" s="144"/>
    </row>
    <row r="110" spans="1:11" x14ac:dyDescent="0.3">
      <c r="A110" s="144"/>
      <c r="B110" s="144"/>
      <c r="C110" s="144"/>
      <c r="D110" s="144"/>
      <c r="E110" s="144"/>
      <c r="F110" s="144"/>
      <c r="G110" s="144"/>
      <c r="H110" s="144"/>
      <c r="I110" s="144"/>
      <c r="J110" s="144"/>
      <c r="K110" s="144"/>
    </row>
    <row r="111" spans="1:11" x14ac:dyDescent="0.3">
      <c r="A111" s="144"/>
      <c r="B111" s="144"/>
      <c r="C111" s="144"/>
      <c r="D111" s="144"/>
      <c r="E111" s="144"/>
      <c r="F111" s="144"/>
      <c r="G111" s="144"/>
      <c r="H111" s="144"/>
      <c r="I111" s="144"/>
      <c r="J111" s="144"/>
      <c r="K111" s="144"/>
    </row>
    <row r="112" spans="1:11" x14ac:dyDescent="0.3">
      <c r="A112" s="144"/>
      <c r="B112" s="144"/>
      <c r="C112" s="144"/>
      <c r="D112" s="144"/>
      <c r="E112" s="144"/>
      <c r="F112" s="144"/>
      <c r="G112" s="144"/>
      <c r="H112" s="144"/>
      <c r="I112" s="144"/>
      <c r="J112" s="144"/>
      <c r="K112" s="144"/>
    </row>
    <row r="113" spans="1:11" x14ac:dyDescent="0.3">
      <c r="A113" s="144"/>
      <c r="B113" s="144"/>
      <c r="C113" s="144"/>
      <c r="D113" s="144"/>
      <c r="E113" s="144"/>
      <c r="F113" s="144"/>
      <c r="G113" s="144"/>
      <c r="H113" s="144"/>
      <c r="I113" s="144"/>
      <c r="J113" s="144"/>
      <c r="K113" s="144"/>
    </row>
    <row r="114" spans="1:11" x14ac:dyDescent="0.3">
      <c r="A114" s="144"/>
      <c r="B114" s="144"/>
      <c r="C114" s="144"/>
      <c r="D114" s="144"/>
      <c r="E114" s="144"/>
      <c r="F114" s="144"/>
      <c r="G114" s="144"/>
      <c r="H114" s="144"/>
      <c r="I114" s="144"/>
      <c r="J114" s="144"/>
      <c r="K114" s="144"/>
    </row>
    <row r="115" spans="1:11" x14ac:dyDescent="0.3">
      <c r="A115" s="144"/>
      <c r="B115" s="144"/>
      <c r="C115" s="144"/>
      <c r="D115" s="144"/>
      <c r="E115" s="144"/>
      <c r="F115" s="144"/>
      <c r="G115" s="144"/>
      <c r="H115" s="144"/>
      <c r="I115" s="144"/>
      <c r="J115" s="144"/>
      <c r="K115" s="144"/>
    </row>
    <row r="116" spans="1:11" x14ac:dyDescent="0.3">
      <c r="A116" s="144"/>
      <c r="B116" s="144"/>
      <c r="C116" s="144"/>
      <c r="D116" s="144"/>
      <c r="E116" s="144"/>
      <c r="F116" s="144"/>
      <c r="G116" s="144"/>
      <c r="H116" s="144"/>
      <c r="I116" s="144"/>
      <c r="J116" s="144"/>
      <c r="K116" s="144"/>
    </row>
    <row r="117" spans="1:11" x14ac:dyDescent="0.3">
      <c r="A117" s="144"/>
      <c r="B117" s="144"/>
      <c r="C117" s="144"/>
      <c r="D117" s="144"/>
      <c r="E117" s="144"/>
      <c r="F117" s="144"/>
      <c r="G117" s="144"/>
      <c r="H117" s="144"/>
      <c r="I117" s="144"/>
      <c r="J117" s="144"/>
      <c r="K117" s="144"/>
    </row>
    <row r="118" spans="1:11" x14ac:dyDescent="0.3">
      <c r="A118" s="144"/>
      <c r="B118" s="144"/>
      <c r="C118" s="144"/>
      <c r="D118" s="144"/>
      <c r="E118" s="144"/>
      <c r="F118" s="144"/>
      <c r="G118" s="144"/>
      <c r="H118" s="144"/>
      <c r="I118" s="144"/>
      <c r="J118" s="144"/>
      <c r="K118" s="144"/>
    </row>
    <row r="119" spans="1:11" x14ac:dyDescent="0.3">
      <c r="A119" s="144"/>
      <c r="B119" s="144"/>
      <c r="C119" s="144"/>
      <c r="D119" s="144"/>
      <c r="E119" s="144"/>
      <c r="F119" s="144"/>
      <c r="G119" s="144"/>
      <c r="H119" s="144"/>
      <c r="I119" s="144"/>
      <c r="J119" s="144"/>
      <c r="K119" s="144"/>
    </row>
    <row r="120" spans="1:11" x14ac:dyDescent="0.3">
      <c r="A120" s="144"/>
      <c r="B120" s="144"/>
      <c r="C120" s="144"/>
      <c r="D120" s="144"/>
      <c r="E120" s="144"/>
      <c r="F120" s="144"/>
      <c r="G120" s="144"/>
      <c r="H120" s="144"/>
      <c r="I120" s="144"/>
      <c r="J120" s="144"/>
      <c r="K120" s="144"/>
    </row>
    <row r="121" spans="1:11" x14ac:dyDescent="0.3">
      <c r="A121" s="144"/>
      <c r="B121" s="144"/>
      <c r="C121" s="144"/>
      <c r="D121" s="144"/>
      <c r="E121" s="144"/>
      <c r="F121" s="144"/>
      <c r="G121" s="144"/>
      <c r="H121" s="144"/>
      <c r="I121" s="144"/>
      <c r="J121" s="144"/>
      <c r="K121" s="144"/>
    </row>
    <row r="122" spans="1:11" x14ac:dyDescent="0.3">
      <c r="A122" s="144"/>
      <c r="B122" s="144"/>
      <c r="C122" s="144"/>
      <c r="D122" s="144"/>
      <c r="E122" s="144"/>
      <c r="F122" s="144"/>
      <c r="G122" s="144"/>
      <c r="H122" s="144"/>
      <c r="I122" s="144"/>
      <c r="J122" s="144"/>
      <c r="K122" s="144"/>
    </row>
    <row r="123" spans="1:11" x14ac:dyDescent="0.3">
      <c r="A123" s="144"/>
      <c r="B123" s="144"/>
      <c r="C123" s="144"/>
      <c r="D123" s="144"/>
      <c r="E123" s="144"/>
      <c r="F123" s="144"/>
      <c r="G123" s="144"/>
      <c r="H123" s="144"/>
      <c r="I123" s="144"/>
      <c r="J123" s="144"/>
      <c r="K123" s="144"/>
    </row>
    <row r="124" spans="1:11" x14ac:dyDescent="0.3">
      <c r="A124" s="144"/>
      <c r="B124" s="144"/>
      <c r="C124" s="144"/>
      <c r="D124" s="144"/>
      <c r="E124" s="144"/>
      <c r="F124" s="144"/>
      <c r="G124" s="144"/>
      <c r="H124" s="144"/>
      <c r="I124" s="144"/>
      <c r="J124" s="144"/>
      <c r="K124" s="144"/>
    </row>
    <row r="125" spans="1:11" x14ac:dyDescent="0.3">
      <c r="A125" s="144"/>
      <c r="B125" s="144"/>
      <c r="C125" s="144"/>
      <c r="D125" s="144"/>
      <c r="E125" s="144"/>
      <c r="F125" s="144"/>
      <c r="G125" s="144"/>
      <c r="H125" s="144"/>
      <c r="I125" s="144"/>
      <c r="J125" s="144"/>
      <c r="K125" s="144"/>
    </row>
    <row r="126" spans="1:11" x14ac:dyDescent="0.3">
      <c r="A126" s="144"/>
      <c r="B126" s="144"/>
      <c r="C126" s="144"/>
      <c r="D126" s="144"/>
      <c r="E126" s="144"/>
      <c r="F126" s="144"/>
      <c r="G126" s="144"/>
      <c r="H126" s="144"/>
      <c r="I126" s="144"/>
      <c r="J126" s="144"/>
      <c r="K126" s="144"/>
    </row>
    <row r="127" spans="1:11" x14ac:dyDescent="0.3">
      <c r="A127" s="144"/>
      <c r="B127" s="144"/>
      <c r="C127" s="144"/>
      <c r="D127" s="144"/>
      <c r="E127" s="144"/>
      <c r="F127" s="144"/>
      <c r="G127" s="144"/>
      <c r="H127" s="144"/>
      <c r="I127" s="144"/>
      <c r="J127" s="144"/>
      <c r="K127" s="144"/>
    </row>
    <row r="128" spans="1:11" x14ac:dyDescent="0.3">
      <c r="A128" s="144"/>
      <c r="B128" s="144"/>
      <c r="C128" s="144"/>
      <c r="D128" s="144"/>
      <c r="E128" s="144"/>
      <c r="F128" s="144"/>
      <c r="G128" s="144"/>
      <c r="H128" s="144"/>
      <c r="I128" s="144"/>
      <c r="J128" s="144"/>
      <c r="K128" s="144"/>
    </row>
    <row r="129" spans="1:11" x14ac:dyDescent="0.3">
      <c r="A129" s="144"/>
      <c r="B129" s="144"/>
      <c r="C129" s="144"/>
      <c r="D129" s="144"/>
      <c r="E129" s="144"/>
      <c r="F129" s="144"/>
      <c r="G129" s="144"/>
      <c r="H129" s="144"/>
      <c r="I129" s="144"/>
      <c r="J129" s="144"/>
      <c r="K129" s="144"/>
    </row>
    <row r="130" spans="1:11" x14ac:dyDescent="0.3">
      <c r="A130" s="144"/>
      <c r="B130" s="144"/>
      <c r="C130" s="144"/>
      <c r="D130" s="144"/>
      <c r="E130" s="144"/>
      <c r="F130" s="144"/>
      <c r="G130" s="144"/>
      <c r="H130" s="144"/>
      <c r="I130" s="144"/>
      <c r="J130" s="144"/>
      <c r="K130" s="144"/>
    </row>
    <row r="131" spans="1:11" x14ac:dyDescent="0.3">
      <c r="A131" s="144"/>
      <c r="B131" s="144"/>
      <c r="C131" s="144"/>
      <c r="D131" s="144"/>
      <c r="E131" s="144"/>
      <c r="F131" s="144"/>
      <c r="G131" s="144"/>
      <c r="H131" s="144"/>
      <c r="I131" s="144"/>
      <c r="J131" s="144"/>
      <c r="K131" s="144"/>
    </row>
    <row r="132" spans="1:11" x14ac:dyDescent="0.3">
      <c r="A132" s="144"/>
      <c r="B132" s="144"/>
      <c r="C132" s="144"/>
      <c r="D132" s="144"/>
      <c r="E132" s="144"/>
      <c r="F132" s="144"/>
      <c r="G132" s="144"/>
      <c r="H132" s="144"/>
      <c r="I132" s="144"/>
      <c r="J132" s="144"/>
      <c r="K132" s="144"/>
    </row>
    <row r="133" spans="1:11" x14ac:dyDescent="0.3">
      <c r="A133" s="144"/>
      <c r="B133" s="144"/>
      <c r="C133" s="144"/>
      <c r="D133" s="144"/>
      <c r="E133" s="144"/>
      <c r="F133" s="144"/>
      <c r="G133" s="144"/>
      <c r="H133" s="144"/>
      <c r="I133" s="144"/>
      <c r="J133" s="144"/>
      <c r="K133" s="144"/>
    </row>
    <row r="134" spans="1:11" x14ac:dyDescent="0.3">
      <c r="A134" s="144"/>
      <c r="B134" s="144"/>
      <c r="C134" s="144"/>
      <c r="D134" s="144"/>
      <c r="E134" s="144"/>
      <c r="F134" s="144"/>
      <c r="G134" s="144"/>
      <c r="H134" s="144"/>
      <c r="I134" s="144"/>
      <c r="J134" s="144"/>
      <c r="K134" s="144"/>
    </row>
    <row r="135" spans="1:11" x14ac:dyDescent="0.3">
      <c r="A135" s="144"/>
      <c r="B135" s="144"/>
      <c r="C135" s="144"/>
      <c r="D135" s="144"/>
      <c r="E135" s="144"/>
      <c r="F135" s="144"/>
      <c r="G135" s="144"/>
      <c r="H135" s="144"/>
      <c r="I135" s="144"/>
      <c r="J135" s="144"/>
      <c r="K135" s="144"/>
    </row>
    <row r="136" spans="1:11" x14ac:dyDescent="0.3">
      <c r="A136" s="144"/>
      <c r="B136" s="144"/>
      <c r="C136" s="144"/>
      <c r="D136" s="144"/>
      <c r="E136" s="144"/>
      <c r="F136" s="144"/>
      <c r="G136" s="144"/>
      <c r="H136" s="144"/>
      <c r="I136" s="144"/>
      <c r="J136" s="144"/>
      <c r="K136" s="144"/>
    </row>
    <row r="137" spans="1:11" x14ac:dyDescent="0.3">
      <c r="A137" s="144"/>
      <c r="B137" s="144"/>
      <c r="C137" s="144"/>
      <c r="D137" s="144"/>
      <c r="E137" s="144"/>
      <c r="F137" s="144"/>
      <c r="G137" s="144"/>
      <c r="H137" s="144"/>
      <c r="I137" s="144"/>
      <c r="J137" s="144"/>
      <c r="K137" s="144"/>
    </row>
    <row r="138" spans="1:11" x14ac:dyDescent="0.3">
      <c r="A138" s="144"/>
      <c r="B138" s="144"/>
      <c r="C138" s="144"/>
      <c r="D138" s="144"/>
      <c r="E138" s="144"/>
      <c r="F138" s="144"/>
      <c r="G138" s="144"/>
      <c r="H138" s="144"/>
      <c r="I138" s="144"/>
      <c r="J138" s="144"/>
      <c r="K138" s="144"/>
    </row>
    <row r="139" spans="1:11" x14ac:dyDescent="0.3">
      <c r="A139" s="144"/>
      <c r="B139" s="144"/>
      <c r="C139" s="144"/>
      <c r="D139" s="144"/>
      <c r="E139" s="144"/>
      <c r="F139" s="144"/>
      <c r="G139" s="144"/>
      <c r="H139" s="144"/>
      <c r="I139" s="144"/>
      <c r="J139" s="144"/>
      <c r="K139" s="144"/>
    </row>
    <row r="140" spans="1:11" x14ac:dyDescent="0.3">
      <c r="A140" s="144"/>
      <c r="B140" s="144"/>
      <c r="C140" s="144"/>
      <c r="D140" s="144"/>
      <c r="E140" s="144"/>
      <c r="F140" s="144"/>
      <c r="G140" s="144"/>
      <c r="H140" s="144"/>
      <c r="I140" s="144"/>
      <c r="J140" s="144"/>
      <c r="K140" s="144"/>
    </row>
    <row r="141" spans="1:11" x14ac:dyDescent="0.3">
      <c r="A141" s="144"/>
      <c r="B141" s="144"/>
      <c r="C141" s="144"/>
      <c r="D141" s="144"/>
      <c r="E141" s="144"/>
      <c r="F141" s="144"/>
      <c r="G141" s="144"/>
      <c r="H141" s="144"/>
      <c r="I141" s="144"/>
      <c r="J141" s="144"/>
      <c r="K141" s="144"/>
    </row>
    <row r="142" spans="1:11" x14ac:dyDescent="0.3">
      <c r="A142" s="144"/>
      <c r="B142" s="144"/>
      <c r="C142" s="144"/>
      <c r="D142" s="144"/>
      <c r="E142" s="144"/>
      <c r="F142" s="144"/>
      <c r="G142" s="144"/>
      <c r="H142" s="144"/>
      <c r="I142" s="144"/>
      <c r="J142" s="144"/>
      <c r="K142" s="144"/>
    </row>
    <row r="143" spans="1:11" x14ac:dyDescent="0.3">
      <c r="A143" s="144"/>
      <c r="B143" s="144"/>
      <c r="C143" s="144"/>
      <c r="D143" s="144"/>
      <c r="E143" s="144"/>
      <c r="F143" s="144"/>
      <c r="G143" s="144"/>
      <c r="H143" s="144"/>
      <c r="I143" s="144"/>
      <c r="J143" s="144"/>
      <c r="K143" s="144"/>
    </row>
    <row r="144" spans="1:11" x14ac:dyDescent="0.3">
      <c r="A144" s="144"/>
      <c r="B144" s="144"/>
      <c r="C144" s="144"/>
      <c r="D144" s="144"/>
      <c r="E144" s="144"/>
      <c r="F144" s="144"/>
      <c r="G144" s="144"/>
      <c r="H144" s="144"/>
      <c r="I144" s="144"/>
      <c r="J144" s="144"/>
      <c r="K144" s="144"/>
    </row>
    <row r="145" spans="1:11" x14ac:dyDescent="0.3">
      <c r="A145" s="144"/>
      <c r="B145" s="144"/>
      <c r="C145" s="144"/>
      <c r="D145" s="144"/>
      <c r="E145" s="144"/>
      <c r="F145" s="144"/>
      <c r="G145" s="144"/>
      <c r="H145" s="144"/>
      <c r="I145" s="144"/>
      <c r="J145" s="144"/>
      <c r="K145" s="144"/>
    </row>
    <row r="146" spans="1:11" x14ac:dyDescent="0.3">
      <c r="A146" s="144"/>
      <c r="B146" s="144"/>
      <c r="C146" s="144"/>
      <c r="D146" s="144"/>
      <c r="E146" s="144"/>
      <c r="F146" s="144"/>
      <c r="G146" s="144"/>
      <c r="H146" s="144"/>
      <c r="I146" s="144"/>
      <c r="J146" s="144"/>
      <c r="K146" s="144"/>
    </row>
    <row r="147" spans="1:11" x14ac:dyDescent="0.3">
      <c r="A147" s="144"/>
      <c r="B147" s="144"/>
      <c r="C147" s="144"/>
      <c r="D147" s="144"/>
      <c r="E147" s="144"/>
      <c r="F147" s="144"/>
      <c r="G147" s="144"/>
      <c r="H147" s="144"/>
      <c r="I147" s="144"/>
      <c r="J147" s="144"/>
      <c r="K147" s="144"/>
    </row>
    <row r="148" spans="1:11" x14ac:dyDescent="0.3">
      <c r="A148" s="144"/>
      <c r="B148" s="144"/>
      <c r="C148" s="144"/>
      <c r="D148" s="144"/>
      <c r="E148" s="144"/>
      <c r="F148" s="144"/>
      <c r="G148" s="144"/>
      <c r="H148" s="144"/>
      <c r="I148" s="144"/>
      <c r="J148" s="144"/>
      <c r="K148" s="144"/>
    </row>
    <row r="149" spans="1:11" x14ac:dyDescent="0.3">
      <c r="A149" s="144"/>
      <c r="B149" s="144"/>
      <c r="C149" s="144"/>
      <c r="D149" s="144"/>
      <c r="E149" s="144"/>
      <c r="F149" s="144"/>
      <c r="G149" s="144"/>
      <c r="H149" s="144"/>
      <c r="I149" s="144"/>
      <c r="J149" s="144"/>
      <c r="K149" s="144"/>
    </row>
    <row r="150" spans="1:11" x14ac:dyDescent="0.3">
      <c r="A150" s="144"/>
      <c r="B150" s="144"/>
      <c r="C150" s="144"/>
      <c r="D150" s="144"/>
      <c r="E150" s="144"/>
      <c r="F150" s="144"/>
      <c r="G150" s="144"/>
      <c r="H150" s="144"/>
      <c r="I150" s="144"/>
      <c r="J150" s="144"/>
      <c r="K150" s="144"/>
    </row>
    <row r="151" spans="1:11" x14ac:dyDescent="0.3">
      <c r="A151" s="144"/>
      <c r="B151" s="144"/>
      <c r="C151" s="144"/>
      <c r="D151" s="144"/>
      <c r="E151" s="144"/>
      <c r="F151" s="144"/>
      <c r="G151" s="144"/>
      <c r="H151" s="144"/>
      <c r="I151" s="144"/>
      <c r="J151" s="144"/>
      <c r="K151" s="144"/>
    </row>
    <row r="152" spans="1:11" x14ac:dyDescent="0.3">
      <c r="A152" s="144"/>
      <c r="B152" s="144"/>
      <c r="C152" s="144"/>
      <c r="D152" s="144"/>
      <c r="E152" s="144"/>
      <c r="F152" s="144"/>
      <c r="G152" s="144"/>
      <c r="H152" s="144"/>
      <c r="I152" s="144"/>
      <c r="J152" s="144"/>
      <c r="K152" s="144"/>
    </row>
    <row r="153" spans="1:11" x14ac:dyDescent="0.3">
      <c r="A153" s="144"/>
      <c r="B153" s="144"/>
      <c r="C153" s="144"/>
      <c r="D153" s="144"/>
      <c r="E153" s="144"/>
      <c r="F153" s="144"/>
      <c r="G153" s="144"/>
      <c r="H153" s="144"/>
      <c r="I153" s="144"/>
      <c r="J153" s="144"/>
      <c r="K153" s="144"/>
    </row>
    <row r="154" spans="1:11" x14ac:dyDescent="0.3">
      <c r="A154" s="144"/>
      <c r="B154" s="144"/>
      <c r="C154" s="144"/>
      <c r="D154" s="144"/>
      <c r="E154" s="144"/>
      <c r="F154" s="144"/>
      <c r="G154" s="144"/>
      <c r="H154" s="144"/>
      <c r="I154" s="144"/>
      <c r="J154" s="144"/>
      <c r="K154" s="144"/>
    </row>
    <row r="155" spans="1:11" x14ac:dyDescent="0.3">
      <c r="A155" s="144"/>
      <c r="B155" s="144"/>
      <c r="C155" s="144"/>
      <c r="D155" s="144"/>
      <c r="E155" s="144"/>
      <c r="F155" s="144"/>
      <c r="G155" s="144"/>
      <c r="H155" s="144"/>
      <c r="I155" s="144"/>
      <c r="J155" s="144"/>
      <c r="K155" s="144"/>
    </row>
    <row r="156" spans="1:11" x14ac:dyDescent="0.3">
      <c r="A156" s="144"/>
      <c r="B156" s="144"/>
      <c r="C156" s="144"/>
      <c r="D156" s="144"/>
      <c r="E156" s="144"/>
      <c r="F156" s="144"/>
      <c r="G156" s="144"/>
      <c r="H156" s="144"/>
      <c r="I156" s="144"/>
      <c r="J156" s="144"/>
      <c r="K156" s="144"/>
    </row>
    <row r="157" spans="1:11" x14ac:dyDescent="0.3">
      <c r="A157" s="144"/>
      <c r="B157" s="144"/>
      <c r="C157" s="144"/>
      <c r="D157" s="144"/>
      <c r="E157" s="144"/>
      <c r="F157" s="144"/>
      <c r="G157" s="144"/>
      <c r="H157" s="144"/>
      <c r="I157" s="144"/>
      <c r="J157" s="144"/>
      <c r="K157" s="144"/>
    </row>
    <row r="158" spans="1:11" x14ac:dyDescent="0.3">
      <c r="A158" s="144"/>
      <c r="B158" s="144"/>
      <c r="C158" s="144"/>
      <c r="D158" s="144"/>
      <c r="E158" s="144"/>
      <c r="F158" s="144"/>
      <c r="G158" s="144"/>
      <c r="H158" s="144"/>
      <c r="I158" s="144"/>
      <c r="J158" s="144"/>
      <c r="K158" s="144"/>
    </row>
    <row r="159" spans="1:11" x14ac:dyDescent="0.3">
      <c r="A159" s="144"/>
      <c r="B159" s="144"/>
      <c r="C159" s="144"/>
      <c r="D159" s="144"/>
      <c r="E159" s="144"/>
      <c r="F159" s="144"/>
      <c r="G159" s="144"/>
      <c r="H159" s="144"/>
      <c r="I159" s="144"/>
      <c r="J159" s="144"/>
      <c r="K159" s="144"/>
    </row>
    <row r="160" spans="1:11" x14ac:dyDescent="0.3">
      <c r="A160" s="144"/>
      <c r="B160" s="144"/>
      <c r="C160" s="144"/>
      <c r="D160" s="144"/>
      <c r="E160" s="144"/>
      <c r="F160" s="144"/>
      <c r="G160" s="144"/>
      <c r="H160" s="144"/>
      <c r="I160" s="144"/>
      <c r="J160" s="144"/>
      <c r="K160" s="144"/>
    </row>
    <row r="161" spans="1:11" x14ac:dyDescent="0.3">
      <c r="A161" s="144"/>
      <c r="B161" s="144"/>
      <c r="C161" s="144"/>
      <c r="D161" s="144"/>
      <c r="E161" s="144"/>
      <c r="F161" s="144"/>
      <c r="G161" s="144"/>
      <c r="H161" s="144"/>
      <c r="I161" s="144"/>
      <c r="J161" s="144"/>
      <c r="K161" s="144"/>
    </row>
    <row r="162" spans="1:11" x14ac:dyDescent="0.3">
      <c r="A162" s="144"/>
      <c r="B162" s="144"/>
      <c r="C162" s="144"/>
      <c r="D162" s="144"/>
      <c r="E162" s="144"/>
      <c r="F162" s="144"/>
      <c r="G162" s="144"/>
      <c r="H162" s="144"/>
      <c r="I162" s="144"/>
      <c r="J162" s="144"/>
      <c r="K162" s="144"/>
    </row>
    <row r="163" spans="1:11" x14ac:dyDescent="0.3">
      <c r="A163" s="144"/>
      <c r="B163" s="144"/>
      <c r="C163" s="144"/>
      <c r="D163" s="144"/>
      <c r="E163" s="144"/>
      <c r="F163" s="144"/>
      <c r="G163" s="144"/>
      <c r="H163" s="144"/>
      <c r="I163" s="144"/>
      <c r="J163" s="144"/>
      <c r="K163" s="144"/>
    </row>
    <row r="164" spans="1:11" x14ac:dyDescent="0.3">
      <c r="A164" s="144"/>
      <c r="B164" s="144"/>
      <c r="C164" s="144"/>
      <c r="D164" s="144"/>
      <c r="E164" s="144"/>
      <c r="F164" s="144"/>
      <c r="G164" s="144"/>
      <c r="H164" s="144"/>
      <c r="I164" s="144"/>
      <c r="J164" s="144"/>
      <c r="K164" s="144"/>
    </row>
    <row r="165" spans="1:11" x14ac:dyDescent="0.3">
      <c r="A165" s="144"/>
      <c r="B165" s="144"/>
      <c r="C165" s="144"/>
      <c r="D165" s="144"/>
      <c r="E165" s="144"/>
      <c r="F165" s="144"/>
      <c r="G165" s="144"/>
      <c r="H165" s="144"/>
      <c r="I165" s="144"/>
      <c r="J165" s="144"/>
      <c r="K165" s="144"/>
    </row>
    <row r="166" spans="1:11" x14ac:dyDescent="0.3">
      <c r="A166" s="144"/>
      <c r="B166" s="144"/>
      <c r="C166" s="144"/>
      <c r="D166" s="144"/>
      <c r="E166" s="144"/>
      <c r="F166" s="144"/>
      <c r="G166" s="144"/>
      <c r="H166" s="144"/>
      <c r="I166" s="144"/>
      <c r="J166" s="144"/>
      <c r="K166" s="144"/>
    </row>
    <row r="167" spans="1:11" x14ac:dyDescent="0.3">
      <c r="A167" s="144"/>
      <c r="B167" s="144"/>
      <c r="C167" s="144"/>
      <c r="D167" s="144"/>
      <c r="E167" s="144"/>
      <c r="F167" s="144"/>
      <c r="G167" s="144"/>
      <c r="H167" s="144"/>
      <c r="I167" s="144"/>
      <c r="J167" s="144"/>
      <c r="K167" s="144"/>
    </row>
    <row r="168" spans="1:11" x14ac:dyDescent="0.3">
      <c r="A168" s="144"/>
      <c r="B168" s="144"/>
      <c r="C168" s="144"/>
      <c r="D168" s="144"/>
      <c r="E168" s="144"/>
      <c r="F168" s="144"/>
      <c r="G168" s="144"/>
      <c r="H168" s="144"/>
      <c r="I168" s="144"/>
      <c r="J168" s="144"/>
      <c r="K168" s="144"/>
    </row>
    <row r="169" spans="1:11" x14ac:dyDescent="0.3">
      <c r="A169" s="144"/>
      <c r="B169" s="144"/>
      <c r="C169" s="144"/>
      <c r="D169" s="144"/>
      <c r="E169" s="144"/>
      <c r="F169" s="144"/>
      <c r="G169" s="144"/>
      <c r="H169" s="144"/>
      <c r="I169" s="144"/>
      <c r="J169" s="144"/>
      <c r="K169" s="144"/>
    </row>
    <row r="170" spans="1:11" x14ac:dyDescent="0.3">
      <c r="A170" s="144"/>
      <c r="B170" s="144"/>
      <c r="C170" s="144"/>
      <c r="D170" s="144"/>
      <c r="E170" s="144"/>
      <c r="F170" s="144"/>
      <c r="G170" s="144"/>
      <c r="H170" s="144"/>
      <c r="I170" s="144"/>
      <c r="J170" s="144"/>
      <c r="K170" s="144"/>
    </row>
    <row r="171" spans="1:11" x14ac:dyDescent="0.3">
      <c r="A171" s="144"/>
      <c r="B171" s="144"/>
      <c r="C171" s="144"/>
      <c r="D171" s="144"/>
      <c r="E171" s="144"/>
      <c r="F171" s="144"/>
      <c r="G171" s="144"/>
      <c r="H171" s="144"/>
      <c r="I171" s="144"/>
      <c r="J171" s="144"/>
      <c r="K171" s="144"/>
    </row>
    <row r="172" spans="1:11" x14ac:dyDescent="0.3">
      <c r="A172" s="144"/>
      <c r="B172" s="144"/>
      <c r="C172" s="144"/>
      <c r="D172" s="144"/>
      <c r="E172" s="144"/>
      <c r="F172" s="144"/>
      <c r="G172" s="144"/>
      <c r="H172" s="144"/>
      <c r="I172" s="144"/>
      <c r="J172" s="144"/>
      <c r="K172" s="144"/>
    </row>
    <row r="173" spans="1:11" x14ac:dyDescent="0.3">
      <c r="A173" s="144"/>
      <c r="B173" s="144"/>
      <c r="C173" s="144"/>
      <c r="D173" s="144"/>
      <c r="E173" s="144"/>
      <c r="F173" s="144"/>
      <c r="G173" s="144"/>
      <c r="H173" s="144"/>
      <c r="I173" s="144"/>
      <c r="J173" s="144"/>
      <c r="K173" s="144"/>
    </row>
    <row r="174" spans="1:11" x14ac:dyDescent="0.3">
      <c r="A174" s="144"/>
      <c r="B174" s="144"/>
      <c r="C174" s="144"/>
      <c r="D174" s="144"/>
      <c r="E174" s="144"/>
      <c r="F174" s="144"/>
      <c r="G174" s="144"/>
      <c r="H174" s="144"/>
      <c r="I174" s="144"/>
      <c r="J174" s="144"/>
      <c r="K174" s="144"/>
    </row>
    <row r="175" spans="1:11" x14ac:dyDescent="0.3">
      <c r="A175" s="144"/>
      <c r="B175" s="144"/>
      <c r="C175" s="144"/>
      <c r="D175" s="144"/>
      <c r="E175" s="144"/>
      <c r="F175" s="144"/>
      <c r="G175" s="144"/>
      <c r="H175" s="144"/>
      <c r="I175" s="144"/>
      <c r="J175" s="144"/>
      <c r="K175" s="144"/>
    </row>
    <row r="176" spans="1:11" x14ac:dyDescent="0.3">
      <c r="A176" s="144"/>
      <c r="B176" s="144"/>
      <c r="C176" s="144"/>
      <c r="D176" s="144"/>
      <c r="E176" s="144"/>
      <c r="F176" s="144"/>
      <c r="G176" s="144"/>
      <c r="H176" s="144"/>
      <c r="I176" s="144"/>
      <c r="J176" s="144"/>
      <c r="K176" s="144"/>
    </row>
    <row r="177" spans="1:11" x14ac:dyDescent="0.3">
      <c r="A177" s="144"/>
      <c r="B177" s="144"/>
      <c r="C177" s="144"/>
      <c r="D177" s="144"/>
      <c r="E177" s="144"/>
      <c r="F177" s="144"/>
      <c r="G177" s="144"/>
      <c r="H177" s="144"/>
      <c r="I177" s="144"/>
      <c r="J177" s="144"/>
      <c r="K177" s="144"/>
    </row>
    <row r="178" spans="1:11" x14ac:dyDescent="0.3">
      <c r="A178" s="144"/>
      <c r="B178" s="144"/>
      <c r="C178" s="144"/>
      <c r="D178" s="144"/>
      <c r="E178" s="144"/>
      <c r="F178" s="144"/>
      <c r="G178" s="144"/>
      <c r="H178" s="144"/>
      <c r="I178" s="144"/>
      <c r="J178" s="144"/>
      <c r="K178" s="144"/>
    </row>
    <row r="179" spans="1:11" x14ac:dyDescent="0.3">
      <c r="A179" s="144"/>
      <c r="B179" s="144"/>
      <c r="C179" s="144"/>
      <c r="D179" s="144"/>
      <c r="E179" s="144"/>
      <c r="F179" s="144"/>
      <c r="G179" s="144"/>
      <c r="H179" s="144"/>
      <c r="I179" s="144"/>
      <c r="J179" s="144"/>
      <c r="K179" s="144"/>
    </row>
    <row r="180" spans="1:11" x14ac:dyDescent="0.3">
      <c r="A180" s="144"/>
      <c r="B180" s="144"/>
      <c r="C180" s="144"/>
      <c r="D180" s="144"/>
      <c r="E180" s="144"/>
      <c r="F180" s="144"/>
      <c r="G180" s="144"/>
      <c r="H180" s="144"/>
      <c r="I180" s="144"/>
      <c r="J180" s="144"/>
      <c r="K180" s="144"/>
    </row>
    <row r="181" spans="1:11" x14ac:dyDescent="0.3">
      <c r="A181" s="144"/>
      <c r="B181" s="144"/>
      <c r="C181" s="144"/>
      <c r="D181" s="144"/>
      <c r="E181" s="144"/>
      <c r="F181" s="144"/>
      <c r="G181" s="144"/>
      <c r="H181" s="144"/>
      <c r="I181" s="144"/>
      <c r="J181" s="144"/>
      <c r="K181" s="144"/>
    </row>
    <row r="182" spans="1:11" x14ac:dyDescent="0.3">
      <c r="A182" s="144"/>
      <c r="B182" s="144"/>
      <c r="C182" s="144"/>
      <c r="D182" s="144"/>
      <c r="E182" s="144"/>
      <c r="F182" s="144"/>
      <c r="G182" s="144"/>
      <c r="H182" s="144"/>
      <c r="I182" s="144"/>
      <c r="J182" s="144"/>
      <c r="K182" s="144"/>
    </row>
    <row r="183" spans="1:11" x14ac:dyDescent="0.3">
      <c r="A183" s="144"/>
      <c r="B183" s="144"/>
      <c r="C183" s="144"/>
      <c r="D183" s="144"/>
      <c r="E183" s="144"/>
      <c r="F183" s="144"/>
      <c r="G183" s="144"/>
      <c r="H183" s="144"/>
      <c r="I183" s="144"/>
      <c r="J183" s="144"/>
      <c r="K183" s="144"/>
    </row>
    <row r="184" spans="1:11" x14ac:dyDescent="0.3">
      <c r="A184" s="144"/>
      <c r="B184" s="144"/>
      <c r="C184" s="144"/>
      <c r="D184" s="144"/>
      <c r="E184" s="144"/>
      <c r="F184" s="144"/>
      <c r="G184" s="144"/>
      <c r="H184" s="144"/>
      <c r="I184" s="144"/>
      <c r="J184" s="144"/>
      <c r="K184" s="144"/>
    </row>
    <row r="185" spans="1:11" x14ac:dyDescent="0.3">
      <c r="A185" s="144"/>
      <c r="B185" s="144"/>
      <c r="C185" s="144"/>
      <c r="D185" s="144"/>
      <c r="E185" s="144"/>
      <c r="F185" s="144"/>
      <c r="G185" s="144"/>
      <c r="H185" s="144"/>
      <c r="I185" s="144"/>
      <c r="J185" s="144"/>
      <c r="K185" s="144"/>
    </row>
    <row r="186" spans="1:11" x14ac:dyDescent="0.3">
      <c r="A186" s="144"/>
      <c r="B186" s="144"/>
      <c r="C186" s="144"/>
      <c r="D186" s="144"/>
      <c r="E186" s="144"/>
      <c r="F186" s="144"/>
      <c r="G186" s="144"/>
      <c r="H186" s="144"/>
      <c r="I186" s="144"/>
      <c r="J186" s="144"/>
      <c r="K186" s="144"/>
    </row>
    <row r="187" spans="1:11" x14ac:dyDescent="0.3">
      <c r="A187" s="144"/>
      <c r="B187" s="144"/>
      <c r="C187" s="144"/>
      <c r="D187" s="144"/>
      <c r="E187" s="144"/>
      <c r="F187" s="144"/>
      <c r="G187" s="144"/>
      <c r="H187" s="144"/>
      <c r="I187" s="144"/>
      <c r="J187" s="144"/>
      <c r="K187" s="144"/>
    </row>
    <row r="188" spans="1:11" x14ac:dyDescent="0.3">
      <c r="A188" s="144"/>
      <c r="B188" s="144"/>
      <c r="C188" s="144"/>
      <c r="D188" s="144"/>
      <c r="E188" s="144"/>
      <c r="F188" s="144"/>
      <c r="G188" s="144"/>
      <c r="H188" s="144"/>
      <c r="I188" s="144"/>
      <c r="J188" s="144"/>
      <c r="K188" s="144"/>
    </row>
    <row r="189" spans="1:11" x14ac:dyDescent="0.3">
      <c r="A189" s="144"/>
      <c r="B189" s="144"/>
      <c r="C189" s="144"/>
      <c r="D189" s="144"/>
      <c r="E189" s="144"/>
      <c r="F189" s="144"/>
      <c r="G189" s="144"/>
      <c r="H189" s="144"/>
      <c r="I189" s="144"/>
      <c r="J189" s="144"/>
      <c r="K189" s="144"/>
    </row>
    <row r="190" spans="1:11" x14ac:dyDescent="0.3">
      <c r="A190" s="144"/>
      <c r="B190" s="144"/>
      <c r="C190" s="144"/>
      <c r="D190" s="144"/>
      <c r="E190" s="144"/>
      <c r="F190" s="144"/>
      <c r="G190" s="144"/>
      <c r="H190" s="144"/>
      <c r="I190" s="144"/>
      <c r="J190" s="144"/>
      <c r="K190" s="144"/>
    </row>
    <row r="191" spans="1:11" x14ac:dyDescent="0.3">
      <c r="A191" s="144"/>
      <c r="B191" s="144"/>
      <c r="C191" s="144"/>
      <c r="D191" s="144"/>
      <c r="E191" s="144"/>
      <c r="F191" s="144"/>
      <c r="G191" s="144"/>
      <c r="H191" s="144"/>
      <c r="I191" s="144"/>
      <c r="J191" s="144"/>
      <c r="K191" s="144"/>
    </row>
    <row r="192" spans="1:11" x14ac:dyDescent="0.3">
      <c r="A192" s="144"/>
      <c r="B192" s="144"/>
      <c r="C192" s="144"/>
      <c r="D192" s="144"/>
      <c r="E192" s="144"/>
      <c r="F192" s="144"/>
      <c r="G192" s="144"/>
      <c r="H192" s="144"/>
      <c r="I192" s="144"/>
      <c r="J192" s="144"/>
      <c r="K192" s="144"/>
    </row>
    <row r="193" spans="1:11" x14ac:dyDescent="0.3">
      <c r="A193" s="144"/>
      <c r="B193" s="144"/>
      <c r="C193" s="144"/>
      <c r="D193" s="144"/>
      <c r="E193" s="144"/>
      <c r="F193" s="144"/>
      <c r="G193" s="144"/>
      <c r="H193" s="144"/>
      <c r="I193" s="144"/>
      <c r="J193" s="144"/>
      <c r="K193" s="144"/>
    </row>
    <row r="194" spans="1:11" x14ac:dyDescent="0.3">
      <c r="A194" s="144"/>
      <c r="B194" s="144"/>
      <c r="C194" s="144"/>
      <c r="D194" s="144"/>
      <c r="E194" s="144"/>
      <c r="F194" s="144"/>
      <c r="G194" s="144"/>
      <c r="H194" s="144"/>
      <c r="I194" s="144"/>
      <c r="J194" s="144"/>
      <c r="K194" s="144"/>
    </row>
    <row r="195" spans="1:11" x14ac:dyDescent="0.3">
      <c r="A195" s="144"/>
      <c r="B195" s="144"/>
      <c r="C195" s="144"/>
      <c r="D195" s="144"/>
      <c r="E195" s="144"/>
      <c r="F195" s="144"/>
      <c r="G195" s="144"/>
      <c r="H195" s="144"/>
      <c r="I195" s="144"/>
      <c r="J195" s="144"/>
      <c r="K195" s="144"/>
    </row>
    <row r="196" spans="1:11" x14ac:dyDescent="0.3">
      <c r="A196" s="144"/>
      <c r="B196" s="144"/>
      <c r="C196" s="144"/>
      <c r="D196" s="144"/>
      <c r="E196" s="144"/>
      <c r="F196" s="144"/>
      <c r="G196" s="144"/>
      <c r="H196" s="144"/>
      <c r="I196" s="144"/>
      <c r="J196" s="144"/>
      <c r="K196" s="144"/>
    </row>
    <row r="197" spans="1:11" x14ac:dyDescent="0.3">
      <c r="A197" s="144"/>
      <c r="B197" s="144"/>
      <c r="C197" s="144"/>
      <c r="D197" s="144"/>
      <c r="E197" s="144"/>
      <c r="F197" s="144"/>
      <c r="G197" s="144"/>
      <c r="H197" s="144"/>
      <c r="I197" s="144"/>
      <c r="J197" s="144"/>
      <c r="K197" s="144"/>
    </row>
    <row r="198" spans="1:11" x14ac:dyDescent="0.3">
      <c r="A198" s="144"/>
      <c r="B198" s="144"/>
      <c r="C198" s="144"/>
      <c r="D198" s="144"/>
      <c r="E198" s="144"/>
      <c r="F198" s="144"/>
      <c r="G198" s="144"/>
      <c r="H198" s="144"/>
      <c r="I198" s="144"/>
      <c r="J198" s="144"/>
      <c r="K198" s="144"/>
    </row>
    <row r="199" spans="1:11" x14ac:dyDescent="0.3">
      <c r="A199" s="144"/>
      <c r="B199" s="144"/>
      <c r="C199" s="144"/>
      <c r="D199" s="144"/>
      <c r="E199" s="144"/>
      <c r="F199" s="144"/>
      <c r="G199" s="144"/>
      <c r="H199" s="144"/>
      <c r="I199" s="144"/>
      <c r="J199" s="144"/>
      <c r="K199" s="144"/>
    </row>
    <row r="200" spans="1:11" x14ac:dyDescent="0.3">
      <c r="A200" s="144"/>
      <c r="B200" s="144"/>
      <c r="C200" s="144"/>
      <c r="D200" s="144"/>
      <c r="E200" s="144"/>
      <c r="F200" s="144"/>
      <c r="G200" s="144"/>
      <c r="H200" s="144"/>
      <c r="I200" s="144"/>
      <c r="J200" s="144"/>
      <c r="K200" s="144"/>
    </row>
    <row r="201" spans="1:11" x14ac:dyDescent="0.3">
      <c r="A201" s="144"/>
      <c r="B201" s="144"/>
      <c r="C201" s="144"/>
      <c r="D201" s="144"/>
      <c r="E201" s="144"/>
      <c r="F201" s="144"/>
      <c r="G201" s="144"/>
      <c r="H201" s="144"/>
      <c r="I201" s="144"/>
      <c r="J201" s="144"/>
      <c r="K201" s="144"/>
    </row>
    <row r="202" spans="1:11" x14ac:dyDescent="0.3">
      <c r="A202" s="144"/>
      <c r="B202" s="144"/>
      <c r="C202" s="144"/>
      <c r="D202" s="144"/>
      <c r="E202" s="144"/>
      <c r="F202" s="144"/>
      <c r="G202" s="144"/>
      <c r="H202" s="144"/>
      <c r="I202" s="144"/>
      <c r="J202" s="144"/>
      <c r="K202" s="144"/>
    </row>
    <row r="203" spans="1:11" x14ac:dyDescent="0.3">
      <c r="A203" s="144"/>
      <c r="B203" s="144"/>
      <c r="C203" s="144"/>
      <c r="D203" s="144"/>
      <c r="E203" s="144"/>
      <c r="F203" s="144"/>
      <c r="G203" s="144"/>
      <c r="H203" s="144"/>
      <c r="I203" s="144"/>
      <c r="J203" s="144"/>
      <c r="K203" s="144"/>
    </row>
    <row r="204" spans="1:11" x14ac:dyDescent="0.3">
      <c r="A204" s="144"/>
      <c r="B204" s="144"/>
      <c r="C204" s="144"/>
      <c r="D204" s="144"/>
      <c r="E204" s="144"/>
      <c r="F204" s="144"/>
      <c r="G204" s="144"/>
      <c r="H204" s="144"/>
      <c r="I204" s="144"/>
      <c r="J204" s="144"/>
      <c r="K204" s="144"/>
    </row>
    <row r="205" spans="1:11" x14ac:dyDescent="0.3">
      <c r="A205" s="144"/>
      <c r="B205" s="144"/>
      <c r="C205" s="144"/>
      <c r="D205" s="144"/>
      <c r="E205" s="144"/>
      <c r="F205" s="144"/>
      <c r="G205" s="144"/>
      <c r="H205" s="144"/>
      <c r="I205" s="144"/>
      <c r="J205" s="144"/>
      <c r="K205" s="144"/>
    </row>
    <row r="206" spans="1:11" x14ac:dyDescent="0.3">
      <c r="A206" s="144"/>
      <c r="B206" s="144"/>
      <c r="C206" s="144"/>
      <c r="D206" s="144"/>
      <c r="E206" s="144"/>
      <c r="F206" s="144"/>
      <c r="G206" s="144"/>
      <c r="H206" s="144"/>
      <c r="I206" s="144"/>
      <c r="J206" s="144"/>
      <c r="K206" s="144"/>
    </row>
    <row r="207" spans="1:11" x14ac:dyDescent="0.3">
      <c r="A207" s="144"/>
      <c r="B207" s="144"/>
      <c r="C207" s="144"/>
      <c r="D207" s="144"/>
      <c r="E207" s="144"/>
      <c r="F207" s="144"/>
      <c r="G207" s="144"/>
      <c r="H207" s="144"/>
      <c r="I207" s="144"/>
      <c r="J207" s="144"/>
      <c r="K207" s="144"/>
    </row>
    <row r="208" spans="1:11" x14ac:dyDescent="0.3">
      <c r="A208" s="144"/>
      <c r="B208" s="144"/>
      <c r="C208" s="144"/>
      <c r="D208" s="144"/>
      <c r="E208" s="144"/>
      <c r="F208" s="144"/>
      <c r="G208" s="144"/>
      <c r="H208" s="144"/>
      <c r="I208" s="144"/>
      <c r="J208" s="144"/>
      <c r="K208" s="144"/>
    </row>
    <row r="209" spans="1:11" x14ac:dyDescent="0.3">
      <c r="A209" s="144"/>
      <c r="B209" s="144"/>
      <c r="C209" s="144"/>
      <c r="D209" s="144"/>
      <c r="E209" s="144"/>
      <c r="F209" s="144"/>
      <c r="G209" s="144"/>
      <c r="H209" s="144"/>
      <c r="I209" s="144"/>
      <c r="J209" s="144"/>
      <c r="K209" s="144"/>
    </row>
    <row r="210" spans="1:11" x14ac:dyDescent="0.3">
      <c r="A210" s="144"/>
      <c r="B210" s="144"/>
      <c r="C210" s="144"/>
      <c r="D210" s="144"/>
      <c r="E210" s="144"/>
      <c r="F210" s="144"/>
      <c r="G210" s="144"/>
      <c r="H210" s="144"/>
      <c r="I210" s="144"/>
      <c r="J210" s="144"/>
      <c r="K210" s="144"/>
    </row>
  </sheetData>
  <sheetProtection selectLockedCells="1" selectUnlockedCells="1"/>
  <mergeCells count="47">
    <mergeCell ref="A27:D27"/>
    <mergeCell ref="A5:K5"/>
    <mergeCell ref="A56:K56"/>
    <mergeCell ref="C57:G57"/>
    <mergeCell ref="H57:K57"/>
    <mergeCell ref="A43:K43"/>
    <mergeCell ref="A44:K44"/>
    <mergeCell ref="A29:K29"/>
    <mergeCell ref="A30:K30"/>
    <mergeCell ref="A46:K46"/>
    <mergeCell ref="A48:K48"/>
    <mergeCell ref="C50:G50"/>
    <mergeCell ref="H50:K50"/>
    <mergeCell ref="A17:K17"/>
    <mergeCell ref="A19:K19"/>
    <mergeCell ref="A28:K28"/>
    <mergeCell ref="A82:K82"/>
    <mergeCell ref="C51:G51"/>
    <mergeCell ref="H51:K51"/>
    <mergeCell ref="C52:G52"/>
    <mergeCell ref="H52:K52"/>
    <mergeCell ref="C53:K53"/>
    <mergeCell ref="C58:G58"/>
    <mergeCell ref="H58:K58"/>
    <mergeCell ref="A80:K80"/>
    <mergeCell ref="A81:K81"/>
    <mergeCell ref="C59:G59"/>
    <mergeCell ref="H59:K59"/>
    <mergeCell ref="B71:K72"/>
    <mergeCell ref="B75:K75"/>
    <mergeCell ref="B78:K78"/>
    <mergeCell ref="A20:K20"/>
    <mergeCell ref="A22:K22"/>
    <mergeCell ref="B23:K23"/>
    <mergeCell ref="B11:K11"/>
    <mergeCell ref="B12:K12"/>
    <mergeCell ref="B13:K13"/>
    <mergeCell ref="B14:K14"/>
    <mergeCell ref="A15:K15"/>
    <mergeCell ref="B21:I21"/>
    <mergeCell ref="A1:K1"/>
    <mergeCell ref="A2:K2"/>
    <mergeCell ref="A3:K3"/>
    <mergeCell ref="A4:K4"/>
    <mergeCell ref="A10:K10"/>
    <mergeCell ref="A6:K6"/>
    <mergeCell ref="A8:K8"/>
  </mergeCells>
  <phoneticPr fontId="8" type="noConversion"/>
  <pageMargins left="0.75" right="0.75" top="0.5" bottom="0.5" header="0.5" footer="0.3"/>
  <pageSetup firstPageNumber="0" pageOrder="overThenDown" orientation="portrait" horizontalDpi="300" verticalDpi="300"/>
  <headerFooter alignWithMargins="0">
    <oddHeader>&amp;L&amp;K000000&amp;G</oddHeader>
    <oddFooter>&amp;C&amp;"Calibri,Regular"&amp;K000000© 2014 Women's Flat Track Derby Association (WFTDA)&amp;R&amp;"Calibri,Regular"&amp;K000000Rev. 140421</oddFooter>
  </headerFooter>
  <rowBreaks count="1" manualBreakCount="1">
    <brk id="44" max="10" man="1"/>
  </rowBreaks>
  <legacyDrawingHF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00FFFF"/>
  </sheetPr>
  <dimension ref="A1:I32"/>
  <sheetViews>
    <sheetView workbookViewId="0">
      <selection sqref="A1:B1"/>
    </sheetView>
  </sheetViews>
  <sheetFormatPr defaultColWidth="10.6640625" defaultRowHeight="13.8" x14ac:dyDescent="0.3"/>
  <cols>
    <col min="1" max="1" width="8.6640625" style="16" customWidth="1"/>
    <col min="2" max="2" width="6.6640625" style="16" customWidth="1"/>
    <col min="3" max="3" width="33.33203125" style="16" customWidth="1"/>
    <col min="4" max="4" width="7.44140625" style="16" customWidth="1"/>
    <col min="5" max="5" width="11" style="16" customWidth="1"/>
    <col min="6" max="6" width="7.44140625" style="16" customWidth="1"/>
    <col min="7" max="7" width="11" style="16" customWidth="1"/>
    <col min="8" max="8" width="7.44140625" style="16" customWidth="1"/>
    <col min="9" max="9" width="11" style="16" customWidth="1"/>
    <col min="10" max="16384" width="10.6640625" style="16"/>
  </cols>
  <sheetData>
    <row r="1" spans="1:9" ht="30" customHeight="1" x14ac:dyDescent="0.3">
      <c r="A1" s="1181">
        <f>IF(ISBLANK(IGRF!$B$5), "", IGRF!$B$5)</f>
        <v>41832</v>
      </c>
      <c r="B1" s="1181"/>
      <c r="C1" s="1182"/>
      <c r="D1" s="1182"/>
      <c r="E1" s="1182"/>
      <c r="F1" s="1183" t="str">
        <f>Score!$A$1</f>
        <v>Rat City Rollergirls / All-Stars</v>
      </c>
      <c r="G1" s="1183"/>
      <c r="H1" s="1183"/>
      <c r="I1" s="1183"/>
    </row>
    <row r="2" spans="1:9" ht="15" customHeight="1" x14ac:dyDescent="0.3">
      <c r="A2" s="1184" t="s">
        <v>355</v>
      </c>
      <c r="B2" s="1184"/>
      <c r="C2" s="1185" t="s">
        <v>376</v>
      </c>
      <c r="D2" s="1185"/>
      <c r="E2" s="1185"/>
      <c r="F2" s="1183" t="str">
        <f>Score!$T$1</f>
        <v>Houston Roller Derby / All-Stars</v>
      </c>
      <c r="G2" s="1183"/>
      <c r="H2" s="1183"/>
      <c r="I2" s="1183"/>
    </row>
    <row r="3" spans="1:9" ht="15" customHeight="1" thickBot="1" x14ac:dyDescent="0.35">
      <c r="A3" s="1187" t="str">
        <f>IF(ISBLANK(IGRF!$K$3), "Period 1", "GAME " &amp; IGRF!$K$3&amp;", Period 1")</f>
        <v>GAME 2, Period 1</v>
      </c>
      <c r="B3" s="1187"/>
      <c r="C3" s="1186"/>
      <c r="D3" s="1186"/>
      <c r="E3" s="1186"/>
      <c r="F3" s="1183"/>
      <c r="G3" s="1183"/>
      <c r="H3" s="1183"/>
      <c r="I3" s="1183"/>
    </row>
    <row r="4" spans="1:9" ht="30" customHeight="1" x14ac:dyDescent="0.6">
      <c r="A4" s="251"/>
      <c r="B4" s="246" t="s">
        <v>174</v>
      </c>
      <c r="C4" s="660"/>
      <c r="D4" s="252" t="s">
        <v>304</v>
      </c>
      <c r="E4" s="247"/>
      <c r="F4" s="252" t="s">
        <v>303</v>
      </c>
      <c r="G4" s="247"/>
      <c r="H4" s="661" t="s">
        <v>517</v>
      </c>
      <c r="I4" s="662" t="s">
        <v>518</v>
      </c>
    </row>
    <row r="5" spans="1:9" ht="75" customHeight="1" x14ac:dyDescent="0.3">
      <c r="A5" s="248" t="s">
        <v>302</v>
      </c>
      <c r="B5" s="1176"/>
      <c r="C5" s="1177"/>
      <c r="D5" s="1177"/>
      <c r="E5" s="1177"/>
      <c r="F5" s="1177"/>
      <c r="G5" s="1177"/>
      <c r="H5" s="1177"/>
      <c r="I5" s="1178"/>
    </row>
    <row r="6" spans="1:9" ht="45" customHeight="1" thickBot="1" x14ac:dyDescent="0.35">
      <c r="A6" s="248" t="s">
        <v>305</v>
      </c>
      <c r="B6" s="1173"/>
      <c r="C6" s="1174"/>
      <c r="D6" s="1174"/>
      <c r="E6" s="1174"/>
      <c r="F6" s="1174"/>
      <c r="G6" s="1174"/>
      <c r="H6" s="1174"/>
      <c r="I6" s="1175"/>
    </row>
    <row r="7" spans="1:9" ht="30" customHeight="1" x14ac:dyDescent="0.6">
      <c r="A7" s="251"/>
      <c r="B7" s="249" t="s">
        <v>174</v>
      </c>
      <c r="C7" s="660"/>
      <c r="D7" s="252" t="s">
        <v>304</v>
      </c>
      <c r="E7" s="247"/>
      <c r="F7" s="252" t="s">
        <v>303</v>
      </c>
      <c r="G7" s="247"/>
      <c r="H7" s="661" t="s">
        <v>517</v>
      </c>
      <c r="I7" s="662" t="s">
        <v>518</v>
      </c>
    </row>
    <row r="8" spans="1:9" ht="75" customHeight="1" x14ac:dyDescent="0.3">
      <c r="A8" s="248" t="s">
        <v>302</v>
      </c>
      <c r="B8" s="1176"/>
      <c r="C8" s="1177"/>
      <c r="D8" s="1177"/>
      <c r="E8" s="1177"/>
      <c r="F8" s="1177"/>
      <c r="G8" s="1177"/>
      <c r="H8" s="1177"/>
      <c r="I8" s="1178"/>
    </row>
    <row r="9" spans="1:9" ht="45" customHeight="1" thickBot="1" x14ac:dyDescent="0.35">
      <c r="A9" s="250" t="s">
        <v>305</v>
      </c>
      <c r="B9" s="1173"/>
      <c r="C9" s="1174"/>
      <c r="D9" s="1174"/>
      <c r="E9" s="1174"/>
      <c r="F9" s="1174"/>
      <c r="G9" s="1174"/>
      <c r="H9" s="1174"/>
      <c r="I9" s="1175"/>
    </row>
    <row r="10" spans="1:9" ht="30" customHeight="1" x14ac:dyDescent="0.6">
      <c r="A10" s="251"/>
      <c r="B10" s="246" t="s">
        <v>174</v>
      </c>
      <c r="C10" s="660"/>
      <c r="D10" s="252" t="s">
        <v>304</v>
      </c>
      <c r="E10" s="247"/>
      <c r="F10" s="252" t="s">
        <v>303</v>
      </c>
      <c r="G10" s="247"/>
      <c r="H10" s="661" t="s">
        <v>517</v>
      </c>
      <c r="I10" s="662" t="s">
        <v>518</v>
      </c>
    </row>
    <row r="11" spans="1:9" ht="75" customHeight="1" x14ac:dyDescent="0.3">
      <c r="A11" s="248" t="s">
        <v>302</v>
      </c>
      <c r="B11" s="1176"/>
      <c r="C11" s="1177"/>
      <c r="D11" s="1177"/>
      <c r="E11" s="1177"/>
      <c r="F11" s="1177"/>
      <c r="G11" s="1177"/>
      <c r="H11" s="1177"/>
      <c r="I11" s="1178"/>
    </row>
    <row r="12" spans="1:9" ht="45" customHeight="1" thickBot="1" x14ac:dyDescent="0.35">
      <c r="A12" s="248" t="s">
        <v>305</v>
      </c>
      <c r="B12" s="1173"/>
      <c r="C12" s="1174"/>
      <c r="D12" s="1174"/>
      <c r="E12" s="1174"/>
      <c r="F12" s="1174"/>
      <c r="G12" s="1174"/>
      <c r="H12" s="1174"/>
      <c r="I12" s="1175"/>
    </row>
    <row r="13" spans="1:9" ht="30" customHeight="1" x14ac:dyDescent="0.6">
      <c r="A13" s="251"/>
      <c r="B13" s="249" t="s">
        <v>174</v>
      </c>
      <c r="C13" s="660"/>
      <c r="D13" s="252" t="s">
        <v>304</v>
      </c>
      <c r="E13" s="247"/>
      <c r="F13" s="252" t="s">
        <v>303</v>
      </c>
      <c r="G13" s="247"/>
      <c r="H13" s="661" t="s">
        <v>517</v>
      </c>
      <c r="I13" s="662" t="s">
        <v>518</v>
      </c>
    </row>
    <row r="14" spans="1:9" ht="75" customHeight="1" x14ac:dyDescent="0.3">
      <c r="A14" s="248" t="s">
        <v>302</v>
      </c>
      <c r="B14" s="1176"/>
      <c r="C14" s="1177"/>
      <c r="D14" s="1177"/>
      <c r="E14" s="1177"/>
      <c r="F14" s="1177"/>
      <c r="G14" s="1177"/>
      <c r="H14" s="1177"/>
      <c r="I14" s="1178"/>
    </row>
    <row r="15" spans="1:9" ht="45" customHeight="1" thickBot="1" x14ac:dyDescent="0.35">
      <c r="A15" s="250" t="s">
        <v>305</v>
      </c>
      <c r="B15" s="1173"/>
      <c r="C15" s="1174"/>
      <c r="D15" s="1174"/>
      <c r="E15" s="1174"/>
      <c r="F15" s="1174"/>
      <c r="G15" s="1174"/>
      <c r="H15" s="1174"/>
      <c r="I15" s="1175"/>
    </row>
    <row r="16" spans="1:9" ht="30" customHeight="1" x14ac:dyDescent="0.3">
      <c r="A16" s="245" t="s">
        <v>377</v>
      </c>
      <c r="B16" s="1179"/>
      <c r="C16" s="1179"/>
      <c r="D16" s="1179"/>
      <c r="E16" s="245" t="s">
        <v>378</v>
      </c>
      <c r="F16" s="1180"/>
      <c r="G16" s="1180"/>
      <c r="H16" s="1180"/>
      <c r="I16" s="1180"/>
    </row>
    <row r="17" spans="1:9" ht="30" customHeight="1" x14ac:dyDescent="0.3">
      <c r="A17" s="1181">
        <f>IF(ISBLANK(IGRF!$B$5), "", IGRF!$B$5)</f>
        <v>41832</v>
      </c>
      <c r="B17" s="1181"/>
      <c r="C17" s="1182"/>
      <c r="D17" s="1182"/>
      <c r="E17" s="1182"/>
      <c r="F17" s="1183" t="str">
        <f>Score!$A$1</f>
        <v>Rat City Rollergirls / All-Stars</v>
      </c>
      <c r="G17" s="1183"/>
      <c r="H17" s="1183"/>
      <c r="I17" s="1183"/>
    </row>
    <row r="18" spans="1:9" ht="15" customHeight="1" x14ac:dyDescent="0.3">
      <c r="A18" s="1184" t="s">
        <v>355</v>
      </c>
      <c r="B18" s="1184"/>
      <c r="C18" s="1185" t="s">
        <v>376</v>
      </c>
      <c r="D18" s="1185"/>
      <c r="E18" s="1185"/>
      <c r="F18" s="1183" t="str">
        <f>Score!$T$1</f>
        <v>Houston Roller Derby / All-Stars</v>
      </c>
      <c r="G18" s="1183"/>
      <c r="H18" s="1183"/>
      <c r="I18" s="1183"/>
    </row>
    <row r="19" spans="1:9" ht="15" customHeight="1" thickBot="1" x14ac:dyDescent="0.35">
      <c r="A19" s="1187" t="str">
        <f>IF(ISBLANK(IGRF!$K$3), "Period 2", "GAME " &amp; IGRF!$K$3&amp;", Period 2")</f>
        <v>GAME 2, Period 2</v>
      </c>
      <c r="B19" s="1187"/>
      <c r="C19" s="1186"/>
      <c r="D19" s="1186"/>
      <c r="E19" s="1186"/>
      <c r="F19" s="1183"/>
      <c r="G19" s="1183"/>
      <c r="H19" s="1183"/>
      <c r="I19" s="1183"/>
    </row>
    <row r="20" spans="1:9" ht="30" customHeight="1" x14ac:dyDescent="0.6">
      <c r="A20" s="251"/>
      <c r="B20" s="246" t="s">
        <v>174</v>
      </c>
      <c r="C20" s="660"/>
      <c r="D20" s="252" t="s">
        <v>304</v>
      </c>
      <c r="E20" s="247"/>
      <c r="F20" s="252" t="s">
        <v>303</v>
      </c>
      <c r="G20" s="247"/>
      <c r="H20" s="661" t="s">
        <v>517</v>
      </c>
      <c r="I20" s="662" t="s">
        <v>518</v>
      </c>
    </row>
    <row r="21" spans="1:9" ht="75" customHeight="1" x14ac:dyDescent="0.3">
      <c r="A21" s="248" t="s">
        <v>302</v>
      </c>
      <c r="B21" s="1176"/>
      <c r="C21" s="1177"/>
      <c r="D21" s="1177"/>
      <c r="E21" s="1177"/>
      <c r="F21" s="1177"/>
      <c r="G21" s="1177"/>
      <c r="H21" s="1177"/>
      <c r="I21" s="1178"/>
    </row>
    <row r="22" spans="1:9" ht="45" customHeight="1" thickBot="1" x14ac:dyDescent="0.35">
      <c r="A22" s="248" t="s">
        <v>305</v>
      </c>
      <c r="B22" s="1173"/>
      <c r="C22" s="1174"/>
      <c r="D22" s="1174"/>
      <c r="E22" s="1174"/>
      <c r="F22" s="1174"/>
      <c r="G22" s="1174"/>
      <c r="H22" s="1174"/>
      <c r="I22" s="1175"/>
    </row>
    <row r="23" spans="1:9" ht="30" customHeight="1" x14ac:dyDescent="0.6">
      <c r="A23" s="251"/>
      <c r="B23" s="249" t="s">
        <v>174</v>
      </c>
      <c r="C23" s="660"/>
      <c r="D23" s="252" t="s">
        <v>304</v>
      </c>
      <c r="E23" s="247"/>
      <c r="F23" s="252" t="s">
        <v>303</v>
      </c>
      <c r="G23" s="247"/>
      <c r="H23" s="661" t="s">
        <v>517</v>
      </c>
      <c r="I23" s="662" t="s">
        <v>518</v>
      </c>
    </row>
    <row r="24" spans="1:9" ht="75" customHeight="1" x14ac:dyDescent="0.3">
      <c r="A24" s="248" t="s">
        <v>302</v>
      </c>
      <c r="B24" s="1176"/>
      <c r="C24" s="1177"/>
      <c r="D24" s="1177"/>
      <c r="E24" s="1177"/>
      <c r="F24" s="1177"/>
      <c r="G24" s="1177"/>
      <c r="H24" s="1177"/>
      <c r="I24" s="1178"/>
    </row>
    <row r="25" spans="1:9" ht="45" customHeight="1" thickBot="1" x14ac:dyDescent="0.35">
      <c r="A25" s="250" t="s">
        <v>305</v>
      </c>
      <c r="B25" s="1173"/>
      <c r="C25" s="1174"/>
      <c r="D25" s="1174"/>
      <c r="E25" s="1174"/>
      <c r="F25" s="1174"/>
      <c r="G25" s="1174"/>
      <c r="H25" s="1174"/>
      <c r="I25" s="1175"/>
    </row>
    <row r="26" spans="1:9" ht="30" customHeight="1" x14ac:dyDescent="0.6">
      <c r="A26" s="251"/>
      <c r="B26" s="246" t="s">
        <v>174</v>
      </c>
      <c r="C26" s="660"/>
      <c r="D26" s="252" t="s">
        <v>304</v>
      </c>
      <c r="E26" s="247"/>
      <c r="F26" s="252" t="s">
        <v>303</v>
      </c>
      <c r="G26" s="247"/>
      <c r="H26" s="661" t="s">
        <v>517</v>
      </c>
      <c r="I26" s="662" t="s">
        <v>518</v>
      </c>
    </row>
    <row r="27" spans="1:9" ht="75" customHeight="1" x14ac:dyDescent="0.3">
      <c r="A27" s="248" t="s">
        <v>302</v>
      </c>
      <c r="B27" s="1176"/>
      <c r="C27" s="1177"/>
      <c r="D27" s="1177"/>
      <c r="E27" s="1177"/>
      <c r="F27" s="1177"/>
      <c r="G27" s="1177"/>
      <c r="H27" s="1177"/>
      <c r="I27" s="1178"/>
    </row>
    <row r="28" spans="1:9" ht="45" customHeight="1" thickBot="1" x14ac:dyDescent="0.35">
      <c r="A28" s="248" t="s">
        <v>305</v>
      </c>
      <c r="B28" s="1173"/>
      <c r="C28" s="1174"/>
      <c r="D28" s="1174"/>
      <c r="E28" s="1174"/>
      <c r="F28" s="1174"/>
      <c r="G28" s="1174"/>
      <c r="H28" s="1174"/>
      <c r="I28" s="1175"/>
    </row>
    <row r="29" spans="1:9" ht="30" customHeight="1" x14ac:dyDescent="0.6">
      <c r="A29" s="251"/>
      <c r="B29" s="249" t="s">
        <v>174</v>
      </c>
      <c r="C29" s="660"/>
      <c r="D29" s="252" t="s">
        <v>304</v>
      </c>
      <c r="E29" s="247"/>
      <c r="F29" s="252" t="s">
        <v>303</v>
      </c>
      <c r="G29" s="247"/>
      <c r="H29" s="661" t="s">
        <v>517</v>
      </c>
      <c r="I29" s="662" t="s">
        <v>518</v>
      </c>
    </row>
    <row r="30" spans="1:9" ht="75" customHeight="1" x14ac:dyDescent="0.3">
      <c r="A30" s="248" t="s">
        <v>302</v>
      </c>
      <c r="B30" s="1176"/>
      <c r="C30" s="1177"/>
      <c r="D30" s="1177"/>
      <c r="E30" s="1177"/>
      <c r="F30" s="1177"/>
      <c r="G30" s="1177"/>
      <c r="H30" s="1177"/>
      <c r="I30" s="1178"/>
    </row>
    <row r="31" spans="1:9" ht="45" customHeight="1" thickBot="1" x14ac:dyDescent="0.35">
      <c r="A31" s="250" t="s">
        <v>305</v>
      </c>
      <c r="B31" s="1173"/>
      <c r="C31" s="1174"/>
      <c r="D31" s="1174"/>
      <c r="E31" s="1174"/>
      <c r="F31" s="1174"/>
      <c r="G31" s="1174"/>
      <c r="H31" s="1174"/>
      <c r="I31" s="1175"/>
    </row>
    <row r="32" spans="1:9" ht="30" customHeight="1" x14ac:dyDescent="0.3">
      <c r="A32" s="245" t="s">
        <v>377</v>
      </c>
      <c r="B32" s="1179"/>
      <c r="C32" s="1179"/>
      <c r="D32" s="1179"/>
      <c r="E32" s="245" t="s">
        <v>378</v>
      </c>
      <c r="F32" s="1180"/>
      <c r="G32" s="1180"/>
      <c r="H32" s="1180"/>
      <c r="I32" s="1180"/>
    </row>
  </sheetData>
  <mergeCells count="34">
    <mergeCell ref="B14:I14"/>
    <mergeCell ref="B11:I11"/>
    <mergeCell ref="B15:I15"/>
    <mergeCell ref="B12:I12"/>
    <mergeCell ref="A2:B2"/>
    <mergeCell ref="A3:B3"/>
    <mergeCell ref="B8:I8"/>
    <mergeCell ref="B5:I5"/>
    <mergeCell ref="B9:I9"/>
    <mergeCell ref="B6:I6"/>
    <mergeCell ref="A1:B1"/>
    <mergeCell ref="C1:E1"/>
    <mergeCell ref="F1:I1"/>
    <mergeCell ref="F2:I3"/>
    <mergeCell ref="C2:E3"/>
    <mergeCell ref="B16:D16"/>
    <mergeCell ref="A17:B17"/>
    <mergeCell ref="C17:E17"/>
    <mergeCell ref="F17:I17"/>
    <mergeCell ref="A18:B18"/>
    <mergeCell ref="C18:E19"/>
    <mergeCell ref="F18:I19"/>
    <mergeCell ref="A19:B19"/>
    <mergeCell ref="F16:I16"/>
    <mergeCell ref="B21:I21"/>
    <mergeCell ref="B22:I22"/>
    <mergeCell ref="B24:I24"/>
    <mergeCell ref="B25:I25"/>
    <mergeCell ref="B27:I27"/>
    <mergeCell ref="B28:I28"/>
    <mergeCell ref="B30:I30"/>
    <mergeCell ref="B31:I31"/>
    <mergeCell ref="B32:D32"/>
    <mergeCell ref="F32:I32"/>
  </mergeCells>
  <phoneticPr fontId="6" type="noConversion"/>
  <printOptions horizontalCentered="1"/>
  <pageMargins left="0.75" right="0.75" top="1.4" bottom="0.5" header="0.75" footer="0.5"/>
  <pageSetup scale="80" orientation="portrait" horizontalDpi="4294967292" verticalDpi="4294967292"/>
  <headerFooter>
    <oddHeader>&amp;L&amp;K000000&amp;G&amp;"Calibri,Regular"&amp;36&amp;A&amp;R&amp;"Calibri,Regular"&amp;K000000‘&amp;A’ revision 140421
StatsBook © 2008–2014 WFTDA</oddHeader>
  </headerFooter>
  <rowBreaks count="1" manualBreakCount="1">
    <brk id="16" max="16383" man="1"/>
  </rowBreaks>
  <ignoredErrors>
    <ignoredError sqref="A1" emptyCellReference="1"/>
  </ignoredErrors>
  <legacyDrawingHF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00FFFF"/>
  </sheetPr>
  <dimension ref="A1:N98"/>
  <sheetViews>
    <sheetView workbookViewId="0">
      <selection sqref="A1:B2"/>
    </sheetView>
  </sheetViews>
  <sheetFormatPr defaultColWidth="8.6640625" defaultRowHeight="15" customHeight="1" x14ac:dyDescent="0.3"/>
  <cols>
    <col min="1" max="1" width="7.33203125" style="3" customWidth="1"/>
    <col min="2" max="2" width="24.33203125" style="3" customWidth="1"/>
    <col min="3" max="3" width="17.6640625" style="45" customWidth="1"/>
    <col min="4" max="4" width="12.44140625" style="45" customWidth="1"/>
    <col min="5" max="5" width="17.6640625" style="45" customWidth="1"/>
    <col min="6" max="6" width="11.6640625" style="45" customWidth="1"/>
    <col min="7" max="7" width="10.6640625" style="45" customWidth="1"/>
    <col min="8" max="8" width="7.33203125" style="3" customWidth="1"/>
    <col min="9" max="9" width="24.33203125" style="3" customWidth="1"/>
    <col min="10" max="10" width="17.6640625" style="3" customWidth="1"/>
    <col min="11" max="11" width="12.44140625" style="3" customWidth="1"/>
    <col min="12" max="12" width="17.6640625" style="3" customWidth="1"/>
    <col min="13" max="13" width="11.6640625" style="3" customWidth="1"/>
    <col min="14" max="14" width="10.6640625" style="3" customWidth="1"/>
    <col min="15" max="252" width="11.44140625" style="3" customWidth="1"/>
    <col min="253" max="16384" width="8.6640625" style="3"/>
  </cols>
  <sheetData>
    <row r="1" spans="1:14" ht="15" customHeight="1" x14ac:dyDescent="0.3">
      <c r="A1" s="1189"/>
      <c r="B1" s="1189"/>
      <c r="C1" s="1192" t="s">
        <v>349</v>
      </c>
      <c r="D1" s="1192"/>
      <c r="E1" s="1192"/>
      <c r="F1" s="1193">
        <f>IF(ISBLANK(IGRF!$B$5), "", IGRF!$B$5)</f>
        <v>41832</v>
      </c>
      <c r="G1" s="1188">
        <v>1</v>
      </c>
      <c r="H1" s="1189"/>
      <c r="I1" s="1189"/>
      <c r="J1" s="1192" t="s">
        <v>349</v>
      </c>
      <c r="K1" s="1192"/>
      <c r="L1" s="1192"/>
      <c r="M1" s="1193">
        <f>IF(ISBLANK(IGRF!$B$5), "", IGRF!$B$5)</f>
        <v>41832</v>
      </c>
      <c r="N1" s="1188">
        <v>2</v>
      </c>
    </row>
    <row r="2" spans="1:14" ht="15" customHeight="1" x14ac:dyDescent="0.3">
      <c r="A2" s="1190"/>
      <c r="B2" s="1190"/>
      <c r="C2" s="1195" t="str">
        <f>Score!$T$1</f>
        <v>Houston Roller Derby / All-Stars</v>
      </c>
      <c r="D2" s="1195"/>
      <c r="E2" s="1195"/>
      <c r="F2" s="1194"/>
      <c r="G2" s="1188"/>
      <c r="H2" s="1190"/>
      <c r="I2" s="1190"/>
      <c r="J2" s="1195" t="str">
        <f>C2</f>
        <v>Houston Roller Derby / All-Stars</v>
      </c>
      <c r="K2" s="1195"/>
      <c r="L2" s="1195"/>
      <c r="M2" s="1194"/>
      <c r="N2" s="1188"/>
    </row>
    <row r="3" spans="1:14" ht="15" customHeight="1" x14ac:dyDescent="0.3">
      <c r="A3" s="1191" t="s">
        <v>348</v>
      </c>
      <c r="B3" s="1191"/>
      <c r="C3" s="1195"/>
      <c r="D3" s="1195"/>
      <c r="E3" s="1195"/>
      <c r="F3" s="33" t="s">
        <v>355</v>
      </c>
      <c r="G3" s="34" t="str">
        <f>IF(ISBLANK(Score!$R$2), "", Score!$R$2)</f>
        <v>GAME 2</v>
      </c>
      <c r="H3" s="1191" t="s">
        <v>348</v>
      </c>
      <c r="I3" s="1191"/>
      <c r="J3" s="1195"/>
      <c r="K3" s="1195"/>
      <c r="L3" s="1195"/>
      <c r="M3" s="33" t="s">
        <v>355</v>
      </c>
      <c r="N3" s="34" t="str">
        <f>G3</f>
        <v>GAME 2</v>
      </c>
    </row>
    <row r="4" spans="1:14" s="8" customFormat="1" ht="24" customHeight="1" x14ac:dyDescent="0.3">
      <c r="A4" s="1199" t="str">
        <f>Score!A1</f>
        <v>Rat City Rollergirls / All-Stars</v>
      </c>
      <c r="B4" s="1200"/>
      <c r="C4" s="444" t="s">
        <v>80</v>
      </c>
      <c r="D4" s="445" t="s">
        <v>81</v>
      </c>
      <c r="E4" s="445" t="s">
        <v>82</v>
      </c>
      <c r="F4" s="445" t="s">
        <v>83</v>
      </c>
      <c r="G4" s="446" t="s">
        <v>84</v>
      </c>
      <c r="H4" s="1199" t="str">
        <f t="shared" ref="H4:H45" si="0">A4</f>
        <v>Rat City Rollergirls / All-Stars</v>
      </c>
      <c r="I4" s="1200"/>
      <c r="J4" s="444" t="s">
        <v>80</v>
      </c>
      <c r="K4" s="445" t="s">
        <v>81</v>
      </c>
      <c r="L4" s="445" t="s">
        <v>82</v>
      </c>
      <c r="M4" s="445" t="s">
        <v>83</v>
      </c>
      <c r="N4" s="446" t="s">
        <v>84</v>
      </c>
    </row>
    <row r="5" spans="1:14" ht="15.75" customHeight="1" x14ac:dyDescent="0.3">
      <c r="A5" s="35" t="str">
        <f>IF(IGRF!B11="","",IGRF!B11)</f>
        <v>12</v>
      </c>
      <c r="B5" s="36" t="str">
        <f>IF(IGRF!C11="","",IGRF!C11)</f>
        <v>Carmen Getsome</v>
      </c>
      <c r="C5" s="37"/>
      <c r="D5" s="38"/>
      <c r="E5" s="38"/>
      <c r="F5" s="38"/>
      <c r="G5" s="39"/>
      <c r="H5" s="35" t="str">
        <f t="shared" si="0"/>
        <v>12</v>
      </c>
      <c r="I5" s="36" t="str">
        <f t="shared" ref="I5:I24" si="1">B5</f>
        <v>Carmen Getsome</v>
      </c>
      <c r="J5" s="37"/>
      <c r="K5" s="38"/>
      <c r="L5" s="38"/>
      <c r="M5" s="38"/>
      <c r="N5" s="39"/>
    </row>
    <row r="6" spans="1:14" ht="15.75" customHeight="1" x14ac:dyDescent="0.3">
      <c r="A6" s="40" t="str">
        <f>IF(IGRF!B12="","",IGRF!B12)</f>
        <v>123</v>
      </c>
      <c r="B6" s="41" t="str">
        <f>IF(IGRF!C12="","",IGRF!C12)</f>
        <v>Nelson</v>
      </c>
      <c r="C6" s="42"/>
      <c r="D6" s="43"/>
      <c r="E6" s="43"/>
      <c r="F6" s="43"/>
      <c r="G6" s="44"/>
      <c r="H6" s="40" t="str">
        <f t="shared" si="0"/>
        <v>123</v>
      </c>
      <c r="I6" s="41" t="str">
        <f t="shared" si="1"/>
        <v>Nelson</v>
      </c>
      <c r="J6" s="42"/>
      <c r="K6" s="43"/>
      <c r="L6" s="43"/>
      <c r="M6" s="43"/>
      <c r="N6" s="44"/>
    </row>
    <row r="7" spans="1:14" ht="15.75" customHeight="1" x14ac:dyDescent="0.3">
      <c r="A7" s="35" t="str">
        <f>IF(IGRF!B13="","",IGRF!B13)</f>
        <v>14</v>
      </c>
      <c r="B7" s="36" t="str">
        <f>IF(IGRF!C13="","",IGRF!C13)</f>
        <v>Shorty Ounce</v>
      </c>
      <c r="C7" s="37"/>
      <c r="D7" s="38"/>
      <c r="E7" s="38"/>
      <c r="F7" s="38"/>
      <c r="G7" s="39"/>
      <c r="H7" s="35" t="str">
        <f t="shared" si="0"/>
        <v>14</v>
      </c>
      <c r="I7" s="36" t="str">
        <f t="shared" si="1"/>
        <v>Shorty Ounce</v>
      </c>
      <c r="J7" s="37"/>
      <c r="K7" s="38"/>
      <c r="L7" s="38"/>
      <c r="M7" s="38"/>
      <c r="N7" s="39"/>
    </row>
    <row r="8" spans="1:14" ht="15.75" customHeight="1" x14ac:dyDescent="0.3">
      <c r="A8" s="40" t="str">
        <f>IF(IGRF!B14="","",IGRF!B14)</f>
        <v>1618</v>
      </c>
      <c r="B8" s="41" t="str">
        <f>IF(IGRF!C14="","",IGRF!C14)</f>
        <v>Sintripital Force</v>
      </c>
      <c r="C8" s="42"/>
      <c r="D8" s="43"/>
      <c r="E8" s="43"/>
      <c r="F8" s="43"/>
      <c r="G8" s="44"/>
      <c r="H8" s="40" t="str">
        <f t="shared" si="0"/>
        <v>1618</v>
      </c>
      <c r="I8" s="41" t="str">
        <f t="shared" si="1"/>
        <v>Sintripital Force</v>
      </c>
      <c r="J8" s="42"/>
      <c r="K8" s="43"/>
      <c r="L8" s="43"/>
      <c r="M8" s="43"/>
      <c r="N8" s="44"/>
    </row>
    <row r="9" spans="1:14" ht="15.75" customHeight="1" x14ac:dyDescent="0.3">
      <c r="A9" s="35" t="str">
        <f>IF(IGRF!B15="","",IGRF!B15)</f>
        <v>22</v>
      </c>
      <c r="B9" s="36" t="str">
        <f>IF(IGRF!C15="","",IGRF!C15)</f>
        <v>Sami Automatic</v>
      </c>
      <c r="C9" s="37"/>
      <c r="D9" s="38"/>
      <c r="E9" s="38"/>
      <c r="F9" s="38"/>
      <c r="G9" s="39"/>
      <c r="H9" s="35" t="str">
        <f t="shared" si="0"/>
        <v>22</v>
      </c>
      <c r="I9" s="36" t="str">
        <f t="shared" si="1"/>
        <v>Sami Automatic</v>
      </c>
      <c r="J9" s="37"/>
      <c r="K9" s="38"/>
      <c r="L9" s="38"/>
      <c r="M9" s="38"/>
      <c r="N9" s="39"/>
    </row>
    <row r="10" spans="1:14" ht="15.75" customHeight="1" x14ac:dyDescent="0.3">
      <c r="A10" s="40" t="str">
        <f>IF(IGRF!B16="","",IGRF!B16)</f>
        <v>23</v>
      </c>
      <c r="B10" s="41" t="str">
        <f>IF(IGRF!C16="","",IGRF!C16)</f>
        <v>LeBrawn Maimes</v>
      </c>
      <c r="C10" s="42"/>
      <c r="D10" s="43"/>
      <c r="E10" s="43"/>
      <c r="F10" s="43"/>
      <c r="G10" s="44"/>
      <c r="H10" s="40" t="str">
        <f t="shared" si="0"/>
        <v>23</v>
      </c>
      <c r="I10" s="41" t="str">
        <f t="shared" si="1"/>
        <v>LeBrawn Maimes</v>
      </c>
      <c r="J10" s="42"/>
      <c r="K10" s="43"/>
      <c r="L10" s="43"/>
      <c r="M10" s="43"/>
      <c r="N10" s="44"/>
    </row>
    <row r="11" spans="1:14" ht="15.75" customHeight="1" x14ac:dyDescent="0.3">
      <c r="A11" s="35" t="str">
        <f>IF(IGRF!B17="","",IGRF!B17)</f>
        <v>321</v>
      </c>
      <c r="B11" s="36" t="str">
        <f>IF(IGRF!C17="","",IGRF!C17)</f>
        <v>Missile America</v>
      </c>
      <c r="C11" s="37"/>
      <c r="D11" s="38"/>
      <c r="E11" s="38"/>
      <c r="F11" s="38"/>
      <c r="G11" s="39"/>
      <c r="H11" s="35" t="str">
        <f t="shared" si="0"/>
        <v>321</v>
      </c>
      <c r="I11" s="36" t="str">
        <f t="shared" si="1"/>
        <v>Missile America</v>
      </c>
      <c r="J11" s="37"/>
      <c r="K11" s="38"/>
      <c r="L11" s="38"/>
      <c r="M11" s="38"/>
      <c r="N11" s="39"/>
    </row>
    <row r="12" spans="1:14" ht="15.75" customHeight="1" x14ac:dyDescent="0.3">
      <c r="A12" s="40" t="str">
        <f>IF(IGRF!B18="","",IGRF!B18)</f>
        <v>4</v>
      </c>
      <c r="B12" s="41" t="str">
        <f>IF(IGRF!C18="","",IGRF!C18)</f>
        <v>Belle Tolls</v>
      </c>
      <c r="C12" s="42"/>
      <c r="D12" s="43"/>
      <c r="E12" s="43"/>
      <c r="F12" s="43"/>
      <c r="G12" s="44"/>
      <c r="H12" s="40" t="str">
        <f t="shared" si="0"/>
        <v>4</v>
      </c>
      <c r="I12" s="41" t="str">
        <f t="shared" si="1"/>
        <v>Belle Tolls</v>
      </c>
      <c r="J12" s="42"/>
      <c r="K12" s="43"/>
      <c r="L12" s="43"/>
      <c r="M12" s="43"/>
      <c r="N12" s="44"/>
    </row>
    <row r="13" spans="1:14" ht="15.75" customHeight="1" x14ac:dyDescent="0.3">
      <c r="A13" s="35" t="str">
        <f>IF(IGRF!B19="","",IGRF!B19)</f>
        <v>505</v>
      </c>
      <c r="B13" s="36" t="str">
        <f>IF(IGRF!C19="","",IGRF!C19)</f>
        <v>Teddy Rupp</v>
      </c>
      <c r="C13" s="37"/>
      <c r="D13" s="38"/>
      <c r="E13" s="38"/>
      <c r="F13" s="38"/>
      <c r="G13" s="39"/>
      <c r="H13" s="35" t="str">
        <f t="shared" si="0"/>
        <v>505</v>
      </c>
      <c r="I13" s="36" t="str">
        <f t="shared" si="1"/>
        <v>Teddy Rupp</v>
      </c>
      <c r="J13" s="37"/>
      <c r="K13" s="38"/>
      <c r="L13" s="38"/>
      <c r="M13" s="38"/>
      <c r="N13" s="39"/>
    </row>
    <row r="14" spans="1:14" ht="15.75" customHeight="1" x14ac:dyDescent="0.3">
      <c r="A14" s="40" t="str">
        <f>IF(IGRF!B20="","",IGRF!B20)</f>
        <v>53</v>
      </c>
      <c r="B14" s="41" t="str">
        <f>IF(IGRF!C20="","",IGRF!C20)</f>
        <v>Raven Seaward</v>
      </c>
      <c r="C14" s="42"/>
      <c r="D14" s="43"/>
      <c r="E14" s="43"/>
      <c r="F14" s="43"/>
      <c r="G14" s="44"/>
      <c r="H14" s="40" t="str">
        <f t="shared" si="0"/>
        <v>53</v>
      </c>
      <c r="I14" s="41" t="str">
        <f t="shared" si="1"/>
        <v>Raven Seaward</v>
      </c>
      <c r="J14" s="42"/>
      <c r="K14" s="43"/>
      <c r="L14" s="43"/>
      <c r="M14" s="43"/>
      <c r="N14" s="44"/>
    </row>
    <row r="15" spans="1:14" ht="15.75" customHeight="1" x14ac:dyDescent="0.3">
      <c r="A15" s="35" t="str">
        <f>IF(IGRF!B21="","",IGRF!B21)</f>
        <v>761</v>
      </c>
      <c r="B15" s="36" t="str">
        <f>IF(IGRF!C21="","",IGRF!C21)</f>
        <v>Rawkhell SqWelch</v>
      </c>
      <c r="C15" s="37"/>
      <c r="D15" s="38"/>
      <c r="E15" s="38"/>
      <c r="F15" s="38"/>
      <c r="G15" s="39"/>
      <c r="H15" s="35" t="str">
        <f t="shared" si="0"/>
        <v>761</v>
      </c>
      <c r="I15" s="36" t="str">
        <f t="shared" si="1"/>
        <v>Rawkhell SqWelch</v>
      </c>
      <c r="J15" s="37"/>
      <c r="K15" s="38"/>
      <c r="L15" s="38"/>
      <c r="M15" s="38"/>
      <c r="N15" s="39"/>
    </row>
    <row r="16" spans="1:14" ht="15.75" customHeight="1" x14ac:dyDescent="0.3">
      <c r="A16" s="40" t="str">
        <f>IF(IGRF!B22="","",IGRF!B22)</f>
        <v>808</v>
      </c>
      <c r="B16" s="41" t="str">
        <f>IF(IGRF!C22="","",IGRF!C22)</f>
        <v>Kendle Bjelland</v>
      </c>
      <c r="C16" s="42"/>
      <c r="D16" s="43"/>
      <c r="E16" s="43"/>
      <c r="F16" s="43"/>
      <c r="G16" s="44"/>
      <c r="H16" s="40" t="str">
        <f t="shared" si="0"/>
        <v>808</v>
      </c>
      <c r="I16" s="41" t="str">
        <f t="shared" si="1"/>
        <v>Kendle Bjelland</v>
      </c>
      <c r="J16" s="42"/>
      <c r="K16" s="43"/>
      <c r="L16" s="43"/>
      <c r="M16" s="43"/>
      <c r="N16" s="44"/>
    </row>
    <row r="17" spans="1:14" ht="15.75" customHeight="1" x14ac:dyDescent="0.3">
      <c r="A17" s="35" t="str">
        <f>IF(IGRF!B23="","",IGRF!B23)</f>
        <v>9</v>
      </c>
      <c r="B17" s="36" t="str">
        <f>IF(IGRF!C23="","",IGRF!C23)</f>
        <v>P. Wilhelm</v>
      </c>
      <c r="C17" s="37"/>
      <c r="D17" s="38"/>
      <c r="E17" s="38"/>
      <c r="F17" s="38"/>
      <c r="G17" s="39"/>
      <c r="H17" s="35" t="str">
        <f t="shared" si="0"/>
        <v>9</v>
      </c>
      <c r="I17" s="36" t="str">
        <f t="shared" si="1"/>
        <v>P. Wilhelm</v>
      </c>
      <c r="J17" s="37"/>
      <c r="K17" s="38"/>
      <c r="L17" s="38"/>
      <c r="M17" s="38"/>
      <c r="N17" s="39"/>
    </row>
    <row r="18" spans="1:14" ht="15.75" customHeight="1" x14ac:dyDescent="0.3">
      <c r="A18" s="40" t="str">
        <f>IF(IGRF!B24="","",IGRF!B24)</f>
        <v>911</v>
      </c>
      <c r="B18" s="41" t="str">
        <f>IF(IGRF!C24="","",IGRF!C24)</f>
        <v>Luna Negra</v>
      </c>
      <c r="C18" s="42"/>
      <c r="D18" s="43"/>
      <c r="E18" s="43"/>
      <c r="F18" s="43"/>
      <c r="G18" s="44"/>
      <c r="H18" s="40" t="str">
        <f t="shared" si="0"/>
        <v>911</v>
      </c>
      <c r="I18" s="41" t="str">
        <f t="shared" si="1"/>
        <v>Luna Negra</v>
      </c>
      <c r="J18" s="42"/>
      <c r="K18" s="43"/>
      <c r="L18" s="43"/>
      <c r="M18" s="43"/>
      <c r="N18" s="44"/>
    </row>
    <row r="19" spans="1:14" ht="15.75" customHeight="1" x14ac:dyDescent="0.3">
      <c r="A19" s="35" t="str">
        <f>IF(IGRF!B25="","",IGRF!B25)</f>
        <v>0</v>
      </c>
      <c r="B19" s="36" t="str">
        <f>IF(IGRF!C25="","",IGRF!C25)</f>
        <v>Enurgizer Bunny</v>
      </c>
      <c r="C19" s="37"/>
      <c r="D19" s="38"/>
      <c r="E19" s="38"/>
      <c r="F19" s="38"/>
      <c r="G19" s="39"/>
      <c r="H19" s="35" t="str">
        <f t="shared" si="0"/>
        <v>0</v>
      </c>
      <c r="I19" s="36" t="str">
        <f t="shared" si="1"/>
        <v>Enurgizer Bunny</v>
      </c>
      <c r="J19" s="37"/>
      <c r="K19" s="38"/>
      <c r="L19" s="38"/>
      <c r="M19" s="38"/>
      <c r="N19" s="39"/>
    </row>
    <row r="20" spans="1:14" ht="15.75" customHeight="1" x14ac:dyDescent="0.3">
      <c r="A20" s="40" t="str">
        <f>IF(IGRF!B26="","",IGRF!B26)</f>
        <v>88</v>
      </c>
      <c r="B20" s="41" t="str">
        <f>IF(IGRF!C26="","",IGRF!C26)</f>
        <v>Ophelia Melons</v>
      </c>
      <c r="C20" s="42"/>
      <c r="D20" s="43"/>
      <c r="E20" s="43"/>
      <c r="F20" s="43"/>
      <c r="G20" s="44"/>
      <c r="H20" s="40" t="str">
        <f t="shared" si="0"/>
        <v>88</v>
      </c>
      <c r="I20" s="41" t="str">
        <f t="shared" si="1"/>
        <v>Ophelia Melons</v>
      </c>
      <c r="J20" s="42"/>
      <c r="K20" s="43"/>
      <c r="L20" s="43"/>
      <c r="M20" s="43"/>
      <c r="N20" s="44"/>
    </row>
    <row r="21" spans="1:14" ht="15.75" customHeight="1" x14ac:dyDescent="0.3">
      <c r="A21" s="35" t="str">
        <f>IF(IGRF!B27="","",IGRF!B27)</f>
        <v/>
      </c>
      <c r="B21" s="36" t="str">
        <f>IF(IGRF!C27="","",IGRF!C27)</f>
        <v/>
      </c>
      <c r="C21" s="37"/>
      <c r="D21" s="38"/>
      <c r="E21" s="38"/>
      <c r="F21" s="38"/>
      <c r="G21" s="39"/>
      <c r="H21" s="35" t="str">
        <f t="shared" si="0"/>
        <v/>
      </c>
      <c r="I21" s="36" t="str">
        <f t="shared" si="1"/>
        <v/>
      </c>
      <c r="J21" s="37"/>
      <c r="K21" s="38"/>
      <c r="L21" s="38"/>
      <c r="M21" s="38"/>
      <c r="N21" s="39"/>
    </row>
    <row r="22" spans="1:14" ht="15.75" customHeight="1" x14ac:dyDescent="0.3">
      <c r="A22" s="40" t="str">
        <f>IF(IGRF!B28="","",IGRF!B28)</f>
        <v/>
      </c>
      <c r="B22" s="41" t="str">
        <f>IF(IGRF!C28="","",IGRF!C28)</f>
        <v/>
      </c>
      <c r="C22" s="42"/>
      <c r="D22" s="43"/>
      <c r="E22" s="43"/>
      <c r="F22" s="43"/>
      <c r="G22" s="44"/>
      <c r="H22" s="40" t="str">
        <f t="shared" si="0"/>
        <v/>
      </c>
      <c r="I22" s="41" t="str">
        <f t="shared" si="1"/>
        <v/>
      </c>
      <c r="J22" s="42"/>
      <c r="K22" s="43"/>
      <c r="L22" s="43"/>
      <c r="M22" s="43"/>
      <c r="N22" s="44"/>
    </row>
    <row r="23" spans="1:14" ht="15.75" customHeight="1" x14ac:dyDescent="0.3">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4" customHeight="1" x14ac:dyDescent="0.3">
      <c r="A25" s="1199" t="str">
        <f>C2</f>
        <v>Houston Roller Derby / All-Stars</v>
      </c>
      <c r="B25" s="1201"/>
      <c r="C25" s="445" t="s">
        <v>85</v>
      </c>
      <c r="D25" s="445" t="s">
        <v>86</v>
      </c>
      <c r="E25" s="445" t="s">
        <v>134</v>
      </c>
      <c r="F25" s="445" t="s">
        <v>135</v>
      </c>
      <c r="G25" s="445" t="s">
        <v>87</v>
      </c>
      <c r="H25" s="1199" t="str">
        <f t="shared" si="0"/>
        <v>Houston Roller Derby / All-Stars</v>
      </c>
      <c r="I25" s="1201"/>
      <c r="J25" s="445" t="s">
        <v>85</v>
      </c>
      <c r="K25" s="445" t="s">
        <v>86</v>
      </c>
      <c r="L25" s="445" t="s">
        <v>134</v>
      </c>
      <c r="M25" s="445" t="s">
        <v>135</v>
      </c>
      <c r="N25" s="445" t="s">
        <v>87</v>
      </c>
    </row>
    <row r="26" spans="1:14" ht="15.75" customHeight="1" x14ac:dyDescent="0.3">
      <c r="A26" s="35" t="str">
        <f>IF(IGRF!H11="","",IGRF!H11)</f>
        <v>112</v>
      </c>
      <c r="B26" s="36" t="str">
        <f>IF(IGRF!I11="","",IGRF!I11)</f>
        <v>Singapore Rogue</v>
      </c>
      <c r="C26" s="37"/>
      <c r="D26" s="38"/>
      <c r="E26" s="38"/>
      <c r="F26" s="38"/>
      <c r="G26" s="39"/>
      <c r="H26" s="35" t="str">
        <f t="shared" si="0"/>
        <v>112</v>
      </c>
      <c r="I26" s="36" t="str">
        <f t="shared" ref="I26:I45" si="2">B26</f>
        <v>Singapore Rogue</v>
      </c>
      <c r="J26" s="37"/>
      <c r="K26" s="38"/>
      <c r="L26" s="38"/>
      <c r="M26" s="38"/>
      <c r="N26" s="39"/>
    </row>
    <row r="27" spans="1:14" ht="15.75" customHeight="1" x14ac:dyDescent="0.3">
      <c r="A27" s="40" t="str">
        <f>IF(IGRF!H12="","",IGRF!H12)</f>
        <v>1542</v>
      </c>
      <c r="B27" s="41" t="str">
        <f>IF(IGRF!I12="","",IGRF!I12)</f>
        <v>Mary Queen of Skates</v>
      </c>
      <c r="C27" s="42"/>
      <c r="D27" s="43"/>
      <c r="E27" s="43"/>
      <c r="F27" s="43"/>
      <c r="G27" s="44"/>
      <c r="H27" s="40" t="str">
        <f t="shared" si="0"/>
        <v>1542</v>
      </c>
      <c r="I27" s="41" t="str">
        <f t="shared" si="2"/>
        <v>Mary Queen of Skates</v>
      </c>
      <c r="J27" s="42"/>
      <c r="K27" s="43"/>
      <c r="L27" s="43"/>
      <c r="M27" s="43"/>
      <c r="N27" s="44"/>
    </row>
    <row r="28" spans="1:14" ht="15.75" customHeight="1" x14ac:dyDescent="0.3">
      <c r="A28" s="35" t="str">
        <f>IF(IGRF!H13="","",IGRF!H13)</f>
        <v>16</v>
      </c>
      <c r="B28" s="36" t="str">
        <f>IF(IGRF!I13="","",IGRF!I13)</f>
        <v>Mistilla</v>
      </c>
      <c r="C28" s="37"/>
      <c r="D28" s="38"/>
      <c r="E28" s="38"/>
      <c r="F28" s="38"/>
      <c r="G28" s="39"/>
      <c r="H28" s="35" t="str">
        <f t="shared" si="0"/>
        <v>16</v>
      </c>
      <c r="I28" s="36" t="str">
        <f t="shared" si="2"/>
        <v>Mistilla</v>
      </c>
      <c r="J28" s="37"/>
      <c r="K28" s="38"/>
      <c r="L28" s="38"/>
      <c r="M28" s="38"/>
      <c r="N28" s="39"/>
    </row>
    <row r="29" spans="1:14" ht="15.75" customHeight="1" x14ac:dyDescent="0.3">
      <c r="A29" s="40" t="str">
        <f>IF(IGRF!H14="","",IGRF!H14)</f>
        <v>19</v>
      </c>
      <c r="B29" s="41" t="str">
        <f>IF(IGRF!I14="","",IGRF!I14)</f>
        <v>Betty Watchett</v>
      </c>
      <c r="C29" s="42"/>
      <c r="D29" s="43"/>
      <c r="E29" s="43"/>
      <c r="F29" s="43"/>
      <c r="G29" s="44"/>
      <c r="H29" s="40" t="str">
        <f t="shared" si="0"/>
        <v>19</v>
      </c>
      <c r="I29" s="41" t="str">
        <f t="shared" si="2"/>
        <v>Betty Watchett</v>
      </c>
      <c r="J29" s="42"/>
      <c r="K29" s="43"/>
      <c r="L29" s="43"/>
      <c r="M29" s="43"/>
      <c r="N29" s="44"/>
    </row>
    <row r="30" spans="1:14" ht="15.75" customHeight="1" x14ac:dyDescent="0.3">
      <c r="A30" s="35" t="str">
        <f>IF(IGRF!H15="","",IGRF!H15)</f>
        <v>2000</v>
      </c>
      <c r="B30" s="36" t="str">
        <f>IF(IGRF!I15="","",IGRF!I15)</f>
        <v>Lisa Lava</v>
      </c>
      <c r="C30" s="37"/>
      <c r="D30" s="38"/>
      <c r="E30" s="38"/>
      <c r="F30" s="38"/>
      <c r="G30" s="39"/>
      <c r="H30" s="35" t="str">
        <f t="shared" si="0"/>
        <v>2000</v>
      </c>
      <c r="I30" s="36" t="str">
        <f t="shared" si="2"/>
        <v>Lisa Lava</v>
      </c>
      <c r="J30" s="37"/>
      <c r="K30" s="38"/>
      <c r="L30" s="38"/>
      <c r="M30" s="38"/>
      <c r="N30" s="39"/>
    </row>
    <row r="31" spans="1:14" ht="15.75" customHeight="1" x14ac:dyDescent="0.3">
      <c r="A31" s="40" t="str">
        <f>IF(IGRF!H16="","",IGRF!H16)</f>
        <v>201</v>
      </c>
      <c r="B31" s="41" t="str">
        <f>IF(IGRF!I16="","",IGRF!I16)</f>
        <v>Dutch Destroyer</v>
      </c>
      <c r="C31" s="42"/>
      <c r="D31" s="43"/>
      <c r="E31" s="43"/>
      <c r="F31" s="43"/>
      <c r="G31" s="44"/>
      <c r="H31" s="40" t="str">
        <f t="shared" si="0"/>
        <v>201</v>
      </c>
      <c r="I31" s="41" t="str">
        <f t="shared" si="2"/>
        <v>Dutch Destroyer</v>
      </c>
      <c r="J31" s="42"/>
      <c r="K31" s="43"/>
      <c r="L31" s="43"/>
      <c r="M31" s="43"/>
      <c r="N31" s="44"/>
    </row>
    <row r="32" spans="1:14" ht="15.75" customHeight="1" x14ac:dyDescent="0.3">
      <c r="A32" s="35" t="str">
        <f>IF(IGRF!H17="","",IGRF!H17)</f>
        <v>21</v>
      </c>
      <c r="B32" s="36" t="str">
        <f>IF(IGRF!I17="","",IGRF!I17)</f>
        <v>Jekyll &amp; Heidi</v>
      </c>
      <c r="C32" s="37"/>
      <c r="D32" s="38"/>
      <c r="E32" s="38"/>
      <c r="F32" s="38"/>
      <c r="G32" s="39"/>
      <c r="H32" s="35" t="str">
        <f t="shared" si="0"/>
        <v>21</v>
      </c>
      <c r="I32" s="36" t="str">
        <f t="shared" si="2"/>
        <v>Jekyll &amp; Heidi</v>
      </c>
      <c r="J32" s="37"/>
      <c r="K32" s="38"/>
      <c r="L32" s="38"/>
      <c r="M32" s="38"/>
      <c r="N32" s="39"/>
    </row>
    <row r="33" spans="1:14" ht="15.75" customHeight="1" x14ac:dyDescent="0.3">
      <c r="A33" s="40" t="str">
        <f>IF(IGRF!H18="","",IGRF!H18)</f>
        <v>22</v>
      </c>
      <c r="B33" s="41" t="str">
        <f>IF(IGRF!I18="","",IGRF!I18)</f>
        <v>Freight Train</v>
      </c>
      <c r="C33" s="42"/>
      <c r="D33" s="43"/>
      <c r="E33" s="43"/>
      <c r="F33" s="43"/>
      <c r="G33" s="44"/>
      <c r="H33" s="40" t="str">
        <f t="shared" si="0"/>
        <v>22</v>
      </c>
      <c r="I33" s="41" t="str">
        <f t="shared" si="2"/>
        <v>Freight Train</v>
      </c>
      <c r="J33" s="42"/>
      <c r="K33" s="43"/>
      <c r="L33" s="43"/>
      <c r="M33" s="43"/>
      <c r="N33" s="44"/>
    </row>
    <row r="34" spans="1:14" ht="15.75" customHeight="1" x14ac:dyDescent="0.3">
      <c r="A34" s="35" t="str">
        <f>IF(IGRF!H19="","",IGRF!H19)</f>
        <v>312</v>
      </c>
      <c r="B34" s="36" t="str">
        <f>IF(IGRF!I19="","",IGRF!I19)</f>
        <v>2x Force</v>
      </c>
      <c r="C34" s="37"/>
      <c r="D34" s="38"/>
      <c r="E34" s="38"/>
      <c r="F34" s="38"/>
      <c r="G34" s="39"/>
      <c r="H34" s="35" t="str">
        <f t="shared" si="0"/>
        <v>312</v>
      </c>
      <c r="I34" s="36" t="str">
        <f t="shared" si="2"/>
        <v>2x Force</v>
      </c>
      <c r="J34" s="37"/>
      <c r="K34" s="38"/>
      <c r="L34" s="38"/>
      <c r="M34" s="38"/>
      <c r="N34" s="39"/>
    </row>
    <row r="35" spans="1:14" ht="15.75" customHeight="1" x14ac:dyDescent="0.3">
      <c r="A35" s="40" t="str">
        <f>IF(IGRF!H20="","",IGRF!H20)</f>
        <v>51</v>
      </c>
      <c r="B35" s="41" t="str">
        <f>IF(IGRF!I20="","",IGRF!I20)</f>
        <v>Bustin’ Beaver</v>
      </c>
      <c r="C35" s="42"/>
      <c r="D35" s="43"/>
      <c r="E35" s="43"/>
      <c r="F35" s="43"/>
      <c r="G35" s="44"/>
      <c r="H35" s="40" t="str">
        <f t="shared" si="0"/>
        <v>51</v>
      </c>
      <c r="I35" s="41" t="str">
        <f t="shared" si="2"/>
        <v>Bustin’ Beaver</v>
      </c>
      <c r="J35" s="42"/>
      <c r="K35" s="43"/>
      <c r="L35" s="43"/>
      <c r="M35" s="43"/>
      <c r="N35" s="44"/>
    </row>
    <row r="36" spans="1:14" ht="15.75" customHeight="1" x14ac:dyDescent="0.3">
      <c r="A36" s="35" t="str">
        <f>IF(IGRF!H21="","",IGRF!H21)</f>
        <v>5309</v>
      </c>
      <c r="B36" s="36" t="str">
        <f>IF(IGRF!I21="","",IGRF!I21)</f>
        <v>Toxic Assets</v>
      </c>
      <c r="C36" s="37"/>
      <c r="D36" s="38"/>
      <c r="E36" s="38"/>
      <c r="F36" s="38"/>
      <c r="G36" s="39"/>
      <c r="H36" s="35" t="str">
        <f t="shared" si="0"/>
        <v>5309</v>
      </c>
      <c r="I36" s="36" t="str">
        <f t="shared" si="2"/>
        <v>Toxic Assets</v>
      </c>
      <c r="J36" s="37"/>
      <c r="K36" s="38"/>
      <c r="L36" s="38"/>
      <c r="M36" s="38"/>
      <c r="N36" s="39"/>
    </row>
    <row r="37" spans="1:14" ht="15.75" customHeight="1" x14ac:dyDescent="0.3">
      <c r="A37" s="40" t="str">
        <f>IF(IGRF!H22="","",IGRF!H22)</f>
        <v>69</v>
      </c>
      <c r="B37" s="41" t="str">
        <f>IF(IGRF!I22="","",IGRF!I22)</f>
        <v>Death By Chocolate</v>
      </c>
      <c r="C37" s="42"/>
      <c r="D37" s="43"/>
      <c r="E37" s="43"/>
      <c r="F37" s="43"/>
      <c r="G37" s="44"/>
      <c r="H37" s="40" t="str">
        <f t="shared" si="0"/>
        <v>69</v>
      </c>
      <c r="I37" s="41" t="str">
        <f t="shared" si="2"/>
        <v>Death By Chocolate</v>
      </c>
      <c r="J37" s="42"/>
      <c r="K37" s="43"/>
      <c r="L37" s="43"/>
      <c r="M37" s="43"/>
      <c r="N37" s="44"/>
    </row>
    <row r="38" spans="1:14" ht="15.75" customHeight="1" x14ac:dyDescent="0.3">
      <c r="A38" s="35" t="str">
        <f>IF(IGRF!H23="","",IGRF!H23)</f>
        <v>9</v>
      </c>
      <c r="B38" s="36" t="str">
        <f>IF(IGRF!I23="","",IGRF!I23)</f>
        <v>Big Bad Voodoo Dollie</v>
      </c>
      <c r="C38" s="37"/>
      <c r="D38" s="38"/>
      <c r="E38" s="38"/>
      <c r="F38" s="38"/>
      <c r="G38" s="39"/>
      <c r="H38" s="35" t="str">
        <f t="shared" si="0"/>
        <v>9</v>
      </c>
      <c r="I38" s="36" t="str">
        <f t="shared" si="2"/>
        <v>Big Bad Voodoo Dollie</v>
      </c>
      <c r="J38" s="37"/>
      <c r="K38" s="38"/>
      <c r="L38" s="38"/>
      <c r="M38" s="38"/>
      <c r="N38" s="39"/>
    </row>
    <row r="39" spans="1:14" ht="15.75" customHeight="1" x14ac:dyDescent="0.3">
      <c r="A39" s="40" t="str">
        <f>IF(IGRF!H24="","",IGRF!H24)</f>
        <v>93</v>
      </c>
      <c r="B39" s="41" t="str">
        <f>IF(IGRF!I24="","",IGRF!I24)</f>
        <v>Erma Gerd</v>
      </c>
      <c r="C39" s="42"/>
      <c r="D39" s="43"/>
      <c r="E39" s="43"/>
      <c r="F39" s="43"/>
      <c r="G39" s="44"/>
      <c r="H39" s="40" t="str">
        <f t="shared" si="0"/>
        <v>93</v>
      </c>
      <c r="I39" s="41" t="str">
        <f t="shared" si="2"/>
        <v>Erma Gerd</v>
      </c>
      <c r="J39" s="42"/>
      <c r="K39" s="43"/>
      <c r="L39" s="43"/>
      <c r="M39" s="43"/>
      <c r="N39" s="44"/>
    </row>
    <row r="40" spans="1:14" ht="15.75" customHeight="1" x14ac:dyDescent="0.3">
      <c r="A40" s="35" t="str">
        <f>IF(IGRF!H25="","",IGRF!H25)</f>
        <v/>
      </c>
      <c r="B40" s="36" t="str">
        <f>IF(IGRF!I25="","",IGRF!I25)</f>
        <v/>
      </c>
      <c r="C40" s="37"/>
      <c r="D40" s="38"/>
      <c r="E40" s="38"/>
      <c r="F40" s="38"/>
      <c r="G40" s="39"/>
      <c r="H40" s="35" t="str">
        <f t="shared" si="0"/>
        <v/>
      </c>
      <c r="I40" s="36" t="str">
        <f t="shared" si="2"/>
        <v/>
      </c>
      <c r="J40" s="37"/>
      <c r="K40" s="38"/>
      <c r="L40" s="38"/>
      <c r="M40" s="38"/>
      <c r="N40" s="39"/>
    </row>
    <row r="41" spans="1:14" ht="15.75" customHeight="1" x14ac:dyDescent="0.3">
      <c r="A41" s="40" t="str">
        <f>IF(IGRF!H26="","",IGRF!H26)</f>
        <v/>
      </c>
      <c r="B41" s="41" t="str">
        <f>IF(IGRF!I26="","",IGRF!I26)</f>
        <v/>
      </c>
      <c r="C41" s="42"/>
      <c r="D41" s="43"/>
      <c r="E41" s="43"/>
      <c r="F41" s="43"/>
      <c r="G41" s="44"/>
      <c r="H41" s="40" t="str">
        <f t="shared" si="0"/>
        <v/>
      </c>
      <c r="I41" s="41" t="str">
        <f t="shared" si="2"/>
        <v/>
      </c>
      <c r="J41" s="42"/>
      <c r="K41" s="43"/>
      <c r="L41" s="43"/>
      <c r="M41" s="43"/>
      <c r="N41" s="44"/>
    </row>
    <row r="42" spans="1:14" ht="15.75" customHeight="1" x14ac:dyDescent="0.3">
      <c r="A42" s="35" t="str">
        <f>IF(IGRF!H27="","",IGRF!H27)</f>
        <v/>
      </c>
      <c r="B42" s="36" t="str">
        <f>IF(IGRF!I27="","",IGRF!I27)</f>
        <v/>
      </c>
      <c r="C42" s="37"/>
      <c r="D42" s="38"/>
      <c r="E42" s="38"/>
      <c r="F42" s="38"/>
      <c r="G42" s="39"/>
      <c r="H42" s="35" t="str">
        <f t="shared" si="0"/>
        <v/>
      </c>
      <c r="I42" s="36" t="str">
        <f t="shared" si="2"/>
        <v/>
      </c>
      <c r="J42" s="37"/>
      <c r="K42" s="38"/>
      <c r="L42" s="38"/>
      <c r="M42" s="38"/>
      <c r="N42" s="39"/>
    </row>
    <row r="43" spans="1:14" ht="15.75" customHeight="1" x14ac:dyDescent="0.3">
      <c r="A43" s="40" t="str">
        <f>IF(IGRF!H28="","",IGRF!H28)</f>
        <v/>
      </c>
      <c r="B43" s="41" t="str">
        <f>IF(IGRF!I28="","",IGRF!I28)</f>
        <v/>
      </c>
      <c r="C43" s="42"/>
      <c r="D43" s="43"/>
      <c r="E43" s="43"/>
      <c r="F43" s="43"/>
      <c r="G43" s="44"/>
      <c r="H43" s="40" t="str">
        <f t="shared" si="0"/>
        <v/>
      </c>
      <c r="I43" s="41" t="str">
        <f t="shared" si="2"/>
        <v/>
      </c>
      <c r="J43" s="42"/>
      <c r="K43" s="43"/>
      <c r="L43" s="43"/>
      <c r="M43" s="43"/>
      <c r="N43" s="44"/>
    </row>
    <row r="44" spans="1:14" ht="15.75" customHeight="1" x14ac:dyDescent="0.3">
      <c r="A44" s="35" t="str">
        <f>IF(IGRF!H29="","",IGRF!H29)</f>
        <v/>
      </c>
      <c r="B44" s="36" t="str">
        <f>IF(IGRF!I29="","",IGRF!I29)</f>
        <v/>
      </c>
      <c r="C44" s="37"/>
      <c r="D44" s="38"/>
      <c r="E44" s="38"/>
      <c r="F44" s="38"/>
      <c r="G44" s="39"/>
      <c r="H44" s="35" t="str">
        <f t="shared" si="0"/>
        <v/>
      </c>
      <c r="I44" s="36" t="str">
        <f t="shared" si="2"/>
        <v/>
      </c>
      <c r="J44" s="37"/>
      <c r="K44" s="38"/>
      <c r="L44" s="38"/>
      <c r="M44" s="38"/>
      <c r="N44" s="39"/>
    </row>
    <row r="45" spans="1:14" ht="15.75" customHeight="1" thickBot="1" x14ac:dyDescent="0.35">
      <c r="A45" s="40" t="str">
        <f>IF(IGRF!H30="","",IGRF!H30)</f>
        <v/>
      </c>
      <c r="B45" s="41" t="str">
        <f>IF(IGRF!I30="","",IGRF!I30)</f>
        <v/>
      </c>
      <c r="C45" s="42"/>
      <c r="D45" s="43"/>
      <c r="E45" s="43"/>
      <c r="F45" s="43"/>
      <c r="G45" s="44"/>
      <c r="H45" s="40" t="str">
        <f t="shared" si="0"/>
        <v/>
      </c>
      <c r="I45" s="41" t="str">
        <f t="shared" si="2"/>
        <v/>
      </c>
      <c r="J45" s="42"/>
      <c r="K45" s="43"/>
      <c r="L45" s="43"/>
      <c r="M45" s="43"/>
      <c r="N45" s="44"/>
    </row>
    <row r="46" spans="1:14" ht="13.5" customHeight="1" x14ac:dyDescent="0.3">
      <c r="A46" s="1198" t="s">
        <v>357</v>
      </c>
      <c r="B46" s="1198"/>
      <c r="C46" s="1198"/>
      <c r="D46" s="1198"/>
      <c r="E46" s="1198"/>
      <c r="F46" s="1198"/>
      <c r="G46" s="1198"/>
      <c r="H46" s="1198" t="s">
        <v>357</v>
      </c>
      <c r="I46" s="1198"/>
      <c r="J46" s="1198"/>
      <c r="K46" s="1198"/>
      <c r="L46" s="1198"/>
      <c r="M46" s="1198"/>
      <c r="N46" s="1198"/>
    </row>
    <row r="47" spans="1:14" ht="13.5" customHeight="1" x14ac:dyDescent="0.3">
      <c r="A47" s="1196" t="s">
        <v>358</v>
      </c>
      <c r="B47" s="1196"/>
      <c r="C47" s="1196"/>
      <c r="D47" s="1196"/>
      <c r="E47" s="1196"/>
      <c r="F47" s="1196"/>
      <c r="G47" s="1196"/>
      <c r="H47" s="1196" t="s">
        <v>358</v>
      </c>
      <c r="I47" s="1196"/>
      <c r="J47" s="1196"/>
      <c r="K47" s="1196"/>
      <c r="L47" s="1196"/>
      <c r="M47" s="1196"/>
      <c r="N47" s="1196"/>
    </row>
    <row r="48" spans="1:14" ht="13.5" customHeight="1" x14ac:dyDescent="0.3">
      <c r="A48" s="1196" t="s">
        <v>359</v>
      </c>
      <c r="B48" s="1196"/>
      <c r="C48" s="1196"/>
      <c r="D48" s="1196"/>
      <c r="E48" s="1196"/>
      <c r="F48" s="1196"/>
      <c r="G48" s="1196"/>
      <c r="H48" s="1196" t="s">
        <v>359</v>
      </c>
      <c r="I48" s="1196"/>
      <c r="J48" s="1196"/>
      <c r="K48" s="1196"/>
      <c r="L48" s="1196"/>
      <c r="M48" s="1196"/>
      <c r="N48" s="1196"/>
    </row>
    <row r="49" spans="1:14" ht="13.5" customHeight="1" thickBot="1" x14ac:dyDescent="0.35">
      <c r="A49" s="1197" t="s">
        <v>356</v>
      </c>
      <c r="B49" s="1197"/>
      <c r="C49" s="1197"/>
      <c r="D49" s="1197"/>
      <c r="E49" s="1197"/>
      <c r="F49" s="1197"/>
      <c r="G49" s="1197"/>
      <c r="H49" s="1197" t="s">
        <v>356</v>
      </c>
      <c r="I49" s="1197"/>
      <c r="J49" s="1197"/>
      <c r="K49" s="1197"/>
      <c r="L49" s="1197"/>
      <c r="M49" s="1197"/>
      <c r="N49" s="1197"/>
    </row>
    <row r="50" spans="1:14" s="8" customFormat="1" ht="15" customHeight="1" x14ac:dyDescent="0.3">
      <c r="A50" s="1189"/>
      <c r="B50" s="1189"/>
      <c r="C50" s="1192" t="s">
        <v>349</v>
      </c>
      <c r="D50" s="1192"/>
      <c r="E50" s="1192"/>
      <c r="F50" s="1193">
        <f>IF(ISBLANK(IGRF!$B$5), "", IGRF!$B$5)</f>
        <v>41832</v>
      </c>
      <c r="G50" s="1188">
        <v>1</v>
      </c>
      <c r="H50" s="1189"/>
      <c r="I50" s="1189"/>
      <c r="J50" s="1192" t="s">
        <v>349</v>
      </c>
      <c r="K50" s="1192"/>
      <c r="L50" s="1192"/>
      <c r="M50" s="1193">
        <f>IF(ISBLANK(IGRF!$B$5), "", IGRF!$B$5)</f>
        <v>41832</v>
      </c>
      <c r="N50" s="1188">
        <v>2</v>
      </c>
    </row>
    <row r="51" spans="1:14" s="8" customFormat="1" ht="15" customHeight="1" x14ac:dyDescent="0.3">
      <c r="A51" s="1190"/>
      <c r="B51" s="1190"/>
      <c r="C51" s="1195" t="str">
        <f>Score!$A$1</f>
        <v>Rat City Rollergirls / All-Stars</v>
      </c>
      <c r="D51" s="1195"/>
      <c r="E51" s="1195"/>
      <c r="F51" s="1194"/>
      <c r="G51" s="1188"/>
      <c r="H51" s="1190"/>
      <c r="I51" s="1190"/>
      <c r="J51" s="1195" t="str">
        <f>C51</f>
        <v>Rat City Rollergirls / All-Stars</v>
      </c>
      <c r="K51" s="1195"/>
      <c r="L51" s="1195"/>
      <c r="M51" s="1194"/>
      <c r="N51" s="1188"/>
    </row>
    <row r="52" spans="1:14" s="8" customFormat="1" ht="15" customHeight="1" x14ac:dyDescent="0.3">
      <c r="A52" s="1191" t="s">
        <v>348</v>
      </c>
      <c r="B52" s="1191"/>
      <c r="C52" s="1195"/>
      <c r="D52" s="1195"/>
      <c r="E52" s="1195"/>
      <c r="F52" s="33" t="s">
        <v>355</v>
      </c>
      <c r="G52" s="34" t="str">
        <f>G3</f>
        <v>GAME 2</v>
      </c>
      <c r="H52" s="1191" t="s">
        <v>348</v>
      </c>
      <c r="I52" s="1191"/>
      <c r="J52" s="1195"/>
      <c r="K52" s="1195"/>
      <c r="L52" s="1195"/>
      <c r="M52" s="33" t="s">
        <v>355</v>
      </c>
      <c r="N52" s="34" t="str">
        <f>G3</f>
        <v>GAME 2</v>
      </c>
    </row>
    <row r="53" spans="1:14" s="8" customFormat="1" ht="24" customHeight="1" x14ac:dyDescent="0.3">
      <c r="A53" s="1199" t="str">
        <f>Score!$T$1</f>
        <v>Houston Roller Derby / All-Stars</v>
      </c>
      <c r="B53" s="1200"/>
      <c r="C53" s="444" t="s">
        <v>80</v>
      </c>
      <c r="D53" s="445" t="s">
        <v>81</v>
      </c>
      <c r="E53" s="447" t="s">
        <v>82</v>
      </c>
      <c r="F53" s="448" t="s">
        <v>83</v>
      </c>
      <c r="G53" s="449" t="s">
        <v>84</v>
      </c>
      <c r="H53" s="1199" t="str">
        <f t="shared" ref="H53:H94" si="3">A53</f>
        <v>Houston Roller Derby / All-Stars</v>
      </c>
      <c r="I53" s="1200"/>
      <c r="J53" s="444" t="s">
        <v>80</v>
      </c>
      <c r="K53" s="445" t="s">
        <v>81</v>
      </c>
      <c r="L53" s="447" t="s">
        <v>82</v>
      </c>
      <c r="M53" s="448" t="s">
        <v>83</v>
      </c>
      <c r="N53" s="449" t="s">
        <v>84</v>
      </c>
    </row>
    <row r="54" spans="1:14" ht="15.75" customHeight="1" x14ac:dyDescent="0.3">
      <c r="A54" s="35" t="str">
        <f>IF(IGRF!H11="","",IGRF!H11)</f>
        <v>112</v>
      </c>
      <c r="B54" s="36" t="str">
        <f>IF(IGRF!I11="","",IGRF!I11)</f>
        <v>Singapore Rogue</v>
      </c>
      <c r="C54" s="37"/>
      <c r="D54" s="38"/>
      <c r="E54" s="38"/>
      <c r="F54" s="38"/>
      <c r="G54" s="39"/>
      <c r="H54" s="35" t="str">
        <f t="shared" si="3"/>
        <v>112</v>
      </c>
      <c r="I54" s="36" t="str">
        <f t="shared" ref="I54:I73" si="4">B54</f>
        <v>Singapore Rogue</v>
      </c>
      <c r="J54" s="37"/>
      <c r="K54" s="38"/>
      <c r="L54" s="38"/>
      <c r="M54" s="38"/>
      <c r="N54" s="39"/>
    </row>
    <row r="55" spans="1:14" ht="15.75" customHeight="1" x14ac:dyDescent="0.3">
      <c r="A55" s="40" t="str">
        <f>IF(IGRF!H12="","",IGRF!H12)</f>
        <v>1542</v>
      </c>
      <c r="B55" s="41" t="str">
        <f>IF(IGRF!I12="","",IGRF!I12)</f>
        <v>Mary Queen of Skates</v>
      </c>
      <c r="C55" s="42"/>
      <c r="D55" s="43"/>
      <c r="E55" s="43"/>
      <c r="F55" s="43"/>
      <c r="G55" s="44"/>
      <c r="H55" s="40" t="str">
        <f t="shared" si="3"/>
        <v>1542</v>
      </c>
      <c r="I55" s="41" t="str">
        <f t="shared" si="4"/>
        <v>Mary Queen of Skates</v>
      </c>
      <c r="J55" s="42"/>
      <c r="K55" s="43"/>
      <c r="L55" s="43"/>
      <c r="M55" s="43"/>
      <c r="N55" s="44"/>
    </row>
    <row r="56" spans="1:14" ht="15.75" customHeight="1" x14ac:dyDescent="0.3">
      <c r="A56" s="35" t="str">
        <f>IF(IGRF!H13="","",IGRF!H13)</f>
        <v>16</v>
      </c>
      <c r="B56" s="36" t="str">
        <f>IF(IGRF!I13="","",IGRF!I13)</f>
        <v>Mistilla</v>
      </c>
      <c r="C56" s="37"/>
      <c r="D56" s="38"/>
      <c r="E56" s="38"/>
      <c r="F56" s="38"/>
      <c r="G56" s="39"/>
      <c r="H56" s="35" t="str">
        <f t="shared" si="3"/>
        <v>16</v>
      </c>
      <c r="I56" s="36" t="str">
        <f t="shared" si="4"/>
        <v>Mistilla</v>
      </c>
      <c r="J56" s="37"/>
      <c r="K56" s="38"/>
      <c r="L56" s="38"/>
      <c r="M56" s="38"/>
      <c r="N56" s="39"/>
    </row>
    <row r="57" spans="1:14" ht="15.75" customHeight="1" x14ac:dyDescent="0.3">
      <c r="A57" s="40" t="str">
        <f>IF(IGRF!H14="","",IGRF!H14)</f>
        <v>19</v>
      </c>
      <c r="B57" s="41" t="str">
        <f>IF(IGRF!I14="","",IGRF!I14)</f>
        <v>Betty Watchett</v>
      </c>
      <c r="C57" s="42"/>
      <c r="D57" s="43"/>
      <c r="E57" s="43"/>
      <c r="F57" s="43"/>
      <c r="G57" s="44"/>
      <c r="H57" s="40" t="str">
        <f t="shared" si="3"/>
        <v>19</v>
      </c>
      <c r="I57" s="41" t="str">
        <f t="shared" si="4"/>
        <v>Betty Watchett</v>
      </c>
      <c r="J57" s="42"/>
      <c r="K57" s="43"/>
      <c r="L57" s="43"/>
      <c r="M57" s="43"/>
      <c r="N57" s="44"/>
    </row>
    <row r="58" spans="1:14" ht="15.75" customHeight="1" x14ac:dyDescent="0.3">
      <c r="A58" s="35" t="str">
        <f>IF(IGRF!H15="","",IGRF!H15)</f>
        <v>2000</v>
      </c>
      <c r="B58" s="36" t="str">
        <f>IF(IGRF!I15="","",IGRF!I15)</f>
        <v>Lisa Lava</v>
      </c>
      <c r="C58" s="37"/>
      <c r="D58" s="38"/>
      <c r="E58" s="38"/>
      <c r="F58" s="38"/>
      <c r="G58" s="39"/>
      <c r="H58" s="35" t="str">
        <f t="shared" si="3"/>
        <v>2000</v>
      </c>
      <c r="I58" s="36" t="str">
        <f t="shared" si="4"/>
        <v>Lisa Lava</v>
      </c>
      <c r="J58" s="37"/>
      <c r="K58" s="38"/>
      <c r="L58" s="38"/>
      <c r="M58" s="38"/>
      <c r="N58" s="39"/>
    </row>
    <row r="59" spans="1:14" ht="15.75" customHeight="1" x14ac:dyDescent="0.3">
      <c r="A59" s="40" t="str">
        <f>IF(IGRF!H16="","",IGRF!H16)</f>
        <v>201</v>
      </c>
      <c r="B59" s="41" t="str">
        <f>IF(IGRF!I16="","",IGRF!I16)</f>
        <v>Dutch Destroyer</v>
      </c>
      <c r="C59" s="42"/>
      <c r="D59" s="43"/>
      <c r="E59" s="43"/>
      <c r="F59" s="43"/>
      <c r="G59" s="44"/>
      <c r="H59" s="40" t="str">
        <f t="shared" si="3"/>
        <v>201</v>
      </c>
      <c r="I59" s="41" t="str">
        <f t="shared" si="4"/>
        <v>Dutch Destroyer</v>
      </c>
      <c r="J59" s="42"/>
      <c r="K59" s="43"/>
      <c r="L59" s="43"/>
      <c r="M59" s="43"/>
      <c r="N59" s="44"/>
    </row>
    <row r="60" spans="1:14" ht="15.75" customHeight="1" x14ac:dyDescent="0.3">
      <c r="A60" s="35" t="str">
        <f>IF(IGRF!H17="","",IGRF!H17)</f>
        <v>21</v>
      </c>
      <c r="B60" s="36" t="str">
        <f>IF(IGRF!I17="","",IGRF!I17)</f>
        <v>Jekyll &amp; Heidi</v>
      </c>
      <c r="C60" s="37"/>
      <c r="D60" s="38"/>
      <c r="E60" s="38"/>
      <c r="F60" s="38"/>
      <c r="G60" s="39"/>
      <c r="H60" s="35" t="str">
        <f t="shared" si="3"/>
        <v>21</v>
      </c>
      <c r="I60" s="36" t="str">
        <f t="shared" si="4"/>
        <v>Jekyll &amp; Heidi</v>
      </c>
      <c r="J60" s="37"/>
      <c r="K60" s="38"/>
      <c r="L60" s="38"/>
      <c r="M60" s="38"/>
      <c r="N60" s="39"/>
    </row>
    <row r="61" spans="1:14" ht="15.75" customHeight="1" x14ac:dyDescent="0.3">
      <c r="A61" s="40" t="str">
        <f>IF(IGRF!H18="","",IGRF!H18)</f>
        <v>22</v>
      </c>
      <c r="B61" s="41" t="str">
        <f>IF(IGRF!I18="","",IGRF!I18)</f>
        <v>Freight Train</v>
      </c>
      <c r="C61" s="42"/>
      <c r="D61" s="43"/>
      <c r="E61" s="43"/>
      <c r="F61" s="43"/>
      <c r="G61" s="44"/>
      <c r="H61" s="40" t="str">
        <f t="shared" si="3"/>
        <v>22</v>
      </c>
      <c r="I61" s="41" t="str">
        <f t="shared" si="4"/>
        <v>Freight Train</v>
      </c>
      <c r="J61" s="42"/>
      <c r="K61" s="43"/>
      <c r="L61" s="43"/>
      <c r="M61" s="43"/>
      <c r="N61" s="44"/>
    </row>
    <row r="62" spans="1:14" ht="15.75" customHeight="1" x14ac:dyDescent="0.3">
      <c r="A62" s="35" t="str">
        <f>IF(IGRF!H19="","",IGRF!H19)</f>
        <v>312</v>
      </c>
      <c r="B62" s="36" t="str">
        <f>IF(IGRF!I19="","",IGRF!I19)</f>
        <v>2x Force</v>
      </c>
      <c r="C62" s="37"/>
      <c r="D62" s="38"/>
      <c r="E62" s="38"/>
      <c r="F62" s="38"/>
      <c r="G62" s="39"/>
      <c r="H62" s="35" t="str">
        <f t="shared" si="3"/>
        <v>312</v>
      </c>
      <c r="I62" s="36" t="str">
        <f t="shared" si="4"/>
        <v>2x Force</v>
      </c>
      <c r="J62" s="37"/>
      <c r="K62" s="38"/>
      <c r="L62" s="38"/>
      <c r="M62" s="38"/>
      <c r="N62" s="39"/>
    </row>
    <row r="63" spans="1:14" ht="15.75" customHeight="1" x14ac:dyDescent="0.3">
      <c r="A63" s="40" t="str">
        <f>IF(IGRF!H20="","",IGRF!H20)</f>
        <v>51</v>
      </c>
      <c r="B63" s="41" t="str">
        <f>IF(IGRF!I20="","",IGRF!I20)</f>
        <v>Bustin’ Beaver</v>
      </c>
      <c r="C63" s="42"/>
      <c r="D63" s="43"/>
      <c r="E63" s="43"/>
      <c r="F63" s="43"/>
      <c r="G63" s="44"/>
      <c r="H63" s="40" t="str">
        <f t="shared" si="3"/>
        <v>51</v>
      </c>
      <c r="I63" s="41" t="str">
        <f t="shared" si="4"/>
        <v>Bustin’ Beaver</v>
      </c>
      <c r="J63" s="42"/>
      <c r="K63" s="43"/>
      <c r="L63" s="43"/>
      <c r="M63" s="43"/>
      <c r="N63" s="44"/>
    </row>
    <row r="64" spans="1:14" ht="15.75" customHeight="1" x14ac:dyDescent="0.3">
      <c r="A64" s="35" t="str">
        <f>IF(IGRF!H21="","",IGRF!H21)</f>
        <v>5309</v>
      </c>
      <c r="B64" s="36" t="str">
        <f>IF(IGRF!I21="","",IGRF!I21)</f>
        <v>Toxic Assets</v>
      </c>
      <c r="C64" s="37"/>
      <c r="D64" s="38"/>
      <c r="E64" s="38"/>
      <c r="F64" s="38"/>
      <c r="G64" s="39"/>
      <c r="H64" s="35" t="str">
        <f t="shared" si="3"/>
        <v>5309</v>
      </c>
      <c r="I64" s="36" t="str">
        <f t="shared" si="4"/>
        <v>Toxic Assets</v>
      </c>
      <c r="J64" s="37"/>
      <c r="K64" s="38"/>
      <c r="L64" s="38"/>
      <c r="M64" s="38"/>
      <c r="N64" s="39"/>
    </row>
    <row r="65" spans="1:14" ht="15.75" customHeight="1" x14ac:dyDescent="0.3">
      <c r="A65" s="40" t="str">
        <f>IF(IGRF!H22="","",IGRF!H22)</f>
        <v>69</v>
      </c>
      <c r="B65" s="41" t="str">
        <f>IF(IGRF!I22="","",IGRF!I22)</f>
        <v>Death By Chocolate</v>
      </c>
      <c r="C65" s="42"/>
      <c r="D65" s="43"/>
      <c r="E65" s="43"/>
      <c r="F65" s="43"/>
      <c r="G65" s="44"/>
      <c r="H65" s="40" t="str">
        <f t="shared" si="3"/>
        <v>69</v>
      </c>
      <c r="I65" s="41" t="str">
        <f t="shared" si="4"/>
        <v>Death By Chocolate</v>
      </c>
      <c r="J65" s="42"/>
      <c r="K65" s="43"/>
      <c r="L65" s="43"/>
      <c r="M65" s="43"/>
      <c r="N65" s="44"/>
    </row>
    <row r="66" spans="1:14" ht="15.75" customHeight="1" x14ac:dyDescent="0.3">
      <c r="A66" s="35" t="str">
        <f>IF(IGRF!H23="","",IGRF!H23)</f>
        <v>9</v>
      </c>
      <c r="B66" s="36" t="str">
        <f>IF(IGRF!I23="","",IGRF!I23)</f>
        <v>Big Bad Voodoo Dollie</v>
      </c>
      <c r="C66" s="37"/>
      <c r="D66" s="38"/>
      <c r="E66" s="38"/>
      <c r="F66" s="38"/>
      <c r="G66" s="39"/>
      <c r="H66" s="35" t="str">
        <f t="shared" si="3"/>
        <v>9</v>
      </c>
      <c r="I66" s="36" t="str">
        <f t="shared" si="4"/>
        <v>Big Bad Voodoo Dollie</v>
      </c>
      <c r="J66" s="37"/>
      <c r="K66" s="38"/>
      <c r="L66" s="38"/>
      <c r="M66" s="38"/>
      <c r="N66" s="39"/>
    </row>
    <row r="67" spans="1:14" ht="15.75" customHeight="1" x14ac:dyDescent="0.3">
      <c r="A67" s="40" t="str">
        <f>IF(IGRF!H24="","",IGRF!H24)</f>
        <v>93</v>
      </c>
      <c r="B67" s="41" t="str">
        <f>IF(IGRF!I24="","",IGRF!I24)</f>
        <v>Erma Gerd</v>
      </c>
      <c r="C67" s="42"/>
      <c r="D67" s="43"/>
      <c r="E67" s="43"/>
      <c r="F67" s="43"/>
      <c r="G67" s="44"/>
      <c r="H67" s="40" t="str">
        <f t="shared" si="3"/>
        <v>93</v>
      </c>
      <c r="I67" s="41" t="str">
        <f t="shared" si="4"/>
        <v>Erma Gerd</v>
      </c>
      <c r="J67" s="42"/>
      <c r="K67" s="43"/>
      <c r="L67" s="43"/>
      <c r="M67" s="43"/>
      <c r="N67" s="44"/>
    </row>
    <row r="68" spans="1:14" ht="15.75" customHeight="1" x14ac:dyDescent="0.3">
      <c r="A68" s="35" t="str">
        <f>IF(IGRF!H25="","",IGRF!H25)</f>
        <v/>
      </c>
      <c r="B68" s="36" t="str">
        <f>IF(IGRF!I25="","",IGRF!I25)</f>
        <v/>
      </c>
      <c r="C68" s="37"/>
      <c r="D68" s="38"/>
      <c r="E68" s="38"/>
      <c r="F68" s="38"/>
      <c r="G68" s="39"/>
      <c r="H68" s="35" t="str">
        <f t="shared" si="3"/>
        <v/>
      </c>
      <c r="I68" s="36" t="str">
        <f t="shared" si="4"/>
        <v/>
      </c>
      <c r="J68" s="37"/>
      <c r="K68" s="38"/>
      <c r="L68" s="38"/>
      <c r="M68" s="38"/>
      <c r="N68" s="39"/>
    </row>
    <row r="69" spans="1:14" ht="15.75" customHeight="1" x14ac:dyDescent="0.3">
      <c r="A69" s="40" t="str">
        <f>IF(IGRF!H26="","",IGRF!H26)</f>
        <v/>
      </c>
      <c r="B69" s="41" t="str">
        <f>IF(IGRF!I26="","",IGRF!I26)</f>
        <v/>
      </c>
      <c r="C69" s="42"/>
      <c r="D69" s="43"/>
      <c r="E69" s="43"/>
      <c r="F69" s="43"/>
      <c r="G69" s="44"/>
      <c r="H69" s="40" t="str">
        <f t="shared" si="3"/>
        <v/>
      </c>
      <c r="I69" s="41" t="str">
        <f t="shared" si="4"/>
        <v/>
      </c>
      <c r="J69" s="42"/>
      <c r="K69" s="43"/>
      <c r="L69" s="43"/>
      <c r="M69" s="43"/>
      <c r="N69" s="44"/>
    </row>
    <row r="70" spans="1:14" ht="15.75" customHeight="1" x14ac:dyDescent="0.3">
      <c r="A70" s="35" t="str">
        <f>IF(IGRF!H27="","",IGRF!H27)</f>
        <v/>
      </c>
      <c r="B70" s="36" t="str">
        <f>IF(IGRF!I27="","",IGRF!I27)</f>
        <v/>
      </c>
      <c r="C70" s="37"/>
      <c r="D70" s="38"/>
      <c r="E70" s="38"/>
      <c r="F70" s="38"/>
      <c r="G70" s="39"/>
      <c r="H70" s="35" t="str">
        <f t="shared" si="3"/>
        <v/>
      </c>
      <c r="I70" s="36" t="str">
        <f t="shared" si="4"/>
        <v/>
      </c>
      <c r="J70" s="37"/>
      <c r="K70" s="38"/>
      <c r="L70" s="38"/>
      <c r="M70" s="38"/>
      <c r="N70" s="39"/>
    </row>
    <row r="71" spans="1:14" ht="15.75" customHeight="1" x14ac:dyDescent="0.3">
      <c r="A71" s="40" t="str">
        <f>IF(IGRF!H28="","",IGRF!H28)</f>
        <v/>
      </c>
      <c r="B71" s="41" t="str">
        <f>IF(IGRF!I28="","",IGRF!I28)</f>
        <v/>
      </c>
      <c r="C71" s="42"/>
      <c r="D71" s="43"/>
      <c r="E71" s="43"/>
      <c r="F71" s="43"/>
      <c r="G71" s="44"/>
      <c r="H71" s="40" t="str">
        <f t="shared" si="3"/>
        <v/>
      </c>
      <c r="I71" s="41" t="str">
        <f t="shared" si="4"/>
        <v/>
      </c>
      <c r="J71" s="42"/>
      <c r="K71" s="43"/>
      <c r="L71" s="43"/>
      <c r="M71" s="43"/>
      <c r="N71" s="44"/>
    </row>
    <row r="72" spans="1:14" ht="15.75" customHeight="1" x14ac:dyDescent="0.3">
      <c r="A72" s="35" t="str">
        <f>IF(IGRF!H29="","",IGRF!H29)</f>
        <v/>
      </c>
      <c r="B72" s="36" t="str">
        <f>IF(IGRF!I29="","",IGRF!I29)</f>
        <v/>
      </c>
      <c r="C72" s="37"/>
      <c r="D72" s="38"/>
      <c r="E72" s="38"/>
      <c r="F72" s="38"/>
      <c r="G72" s="39"/>
      <c r="H72" s="35" t="str">
        <f t="shared" si="3"/>
        <v/>
      </c>
      <c r="I72" s="36" t="str">
        <f t="shared" si="4"/>
        <v/>
      </c>
      <c r="J72" s="37"/>
      <c r="K72" s="38"/>
      <c r="L72" s="38"/>
      <c r="M72" s="38"/>
      <c r="N72" s="39"/>
    </row>
    <row r="73" spans="1:14" ht="15.75" customHeight="1" x14ac:dyDescent="0.3">
      <c r="A73" s="40" t="str">
        <f>IF(IGRF!H30="","",IGRF!H30)</f>
        <v/>
      </c>
      <c r="B73" s="41" t="str">
        <f>IF(IGRF!I30="","",IGRF!I30)</f>
        <v/>
      </c>
      <c r="C73" s="42"/>
      <c r="D73" s="43"/>
      <c r="E73" s="43"/>
      <c r="F73" s="43"/>
      <c r="G73" s="44"/>
      <c r="H73" s="40" t="str">
        <f t="shared" si="3"/>
        <v/>
      </c>
      <c r="I73" s="41" t="str">
        <f t="shared" si="4"/>
        <v/>
      </c>
      <c r="J73" s="42"/>
      <c r="K73" s="43"/>
      <c r="L73" s="43"/>
      <c r="M73" s="43"/>
      <c r="N73" s="44"/>
    </row>
    <row r="74" spans="1:14" s="8" customFormat="1" ht="24" customHeight="1" x14ac:dyDescent="0.3">
      <c r="A74" s="1199" t="str">
        <f>C51</f>
        <v>Rat City Rollergirls / All-Stars</v>
      </c>
      <c r="B74" s="1201"/>
      <c r="C74" s="445" t="s">
        <v>85</v>
      </c>
      <c r="D74" s="445" t="s">
        <v>86</v>
      </c>
      <c r="E74" s="445" t="s">
        <v>134</v>
      </c>
      <c r="F74" s="445" t="s">
        <v>135</v>
      </c>
      <c r="G74" s="445" t="s">
        <v>87</v>
      </c>
      <c r="H74" s="1199" t="str">
        <f t="shared" si="3"/>
        <v>Rat City Rollergirls / All-Stars</v>
      </c>
      <c r="I74" s="1201"/>
      <c r="J74" s="445" t="s">
        <v>85</v>
      </c>
      <c r="K74" s="445" t="s">
        <v>86</v>
      </c>
      <c r="L74" s="445" t="s">
        <v>134</v>
      </c>
      <c r="M74" s="445" t="s">
        <v>135</v>
      </c>
      <c r="N74" s="445" t="s">
        <v>87</v>
      </c>
    </row>
    <row r="75" spans="1:14" ht="15.75" customHeight="1" x14ac:dyDescent="0.3">
      <c r="A75" s="35" t="str">
        <f>IF(IGRF!B11="","",IGRF!B11)</f>
        <v>12</v>
      </c>
      <c r="B75" s="36" t="str">
        <f>IF(IGRF!C11="","",IGRF!C11)</f>
        <v>Carmen Getsome</v>
      </c>
      <c r="C75" s="37"/>
      <c r="D75" s="38"/>
      <c r="E75" s="38"/>
      <c r="F75" s="38"/>
      <c r="G75" s="39"/>
      <c r="H75" s="35" t="str">
        <f t="shared" si="3"/>
        <v>12</v>
      </c>
      <c r="I75" s="36" t="str">
        <f t="shared" ref="I75:I94" si="5">B75</f>
        <v>Carmen Getsome</v>
      </c>
      <c r="J75" s="37"/>
      <c r="K75" s="38"/>
      <c r="L75" s="38"/>
      <c r="M75" s="38"/>
      <c r="N75" s="39"/>
    </row>
    <row r="76" spans="1:14" ht="15.75" customHeight="1" x14ac:dyDescent="0.3">
      <c r="A76" s="40" t="str">
        <f>IF(IGRF!B12="","",IGRF!B12)</f>
        <v>123</v>
      </c>
      <c r="B76" s="41" t="str">
        <f>IF(IGRF!C12="","",IGRF!C12)</f>
        <v>Nelson</v>
      </c>
      <c r="C76" s="42"/>
      <c r="D76" s="43"/>
      <c r="E76" s="43"/>
      <c r="F76" s="43"/>
      <c r="G76" s="44"/>
      <c r="H76" s="40" t="str">
        <f t="shared" si="3"/>
        <v>123</v>
      </c>
      <c r="I76" s="41" t="str">
        <f t="shared" si="5"/>
        <v>Nelson</v>
      </c>
      <c r="J76" s="42"/>
      <c r="K76" s="43"/>
      <c r="L76" s="43"/>
      <c r="M76" s="43"/>
      <c r="N76" s="44"/>
    </row>
    <row r="77" spans="1:14" ht="15.75" customHeight="1" x14ac:dyDescent="0.3">
      <c r="A77" s="35" t="str">
        <f>IF(IGRF!B13="","",IGRF!B13)</f>
        <v>14</v>
      </c>
      <c r="B77" s="36" t="str">
        <f>IF(IGRF!C13="","",IGRF!C13)</f>
        <v>Shorty Ounce</v>
      </c>
      <c r="C77" s="37"/>
      <c r="D77" s="38"/>
      <c r="E77" s="38"/>
      <c r="F77" s="38"/>
      <c r="G77" s="39"/>
      <c r="H77" s="35" t="str">
        <f t="shared" si="3"/>
        <v>14</v>
      </c>
      <c r="I77" s="36" t="str">
        <f t="shared" si="5"/>
        <v>Shorty Ounce</v>
      </c>
      <c r="J77" s="37"/>
      <c r="K77" s="38"/>
      <c r="L77" s="38"/>
      <c r="M77" s="38"/>
      <c r="N77" s="39"/>
    </row>
    <row r="78" spans="1:14" ht="15.75" customHeight="1" x14ac:dyDescent="0.3">
      <c r="A78" s="40" t="str">
        <f>IF(IGRF!B14="","",IGRF!B14)</f>
        <v>1618</v>
      </c>
      <c r="B78" s="41" t="str">
        <f>IF(IGRF!C14="","",IGRF!C14)</f>
        <v>Sintripital Force</v>
      </c>
      <c r="C78" s="42"/>
      <c r="D78" s="43"/>
      <c r="E78" s="43"/>
      <c r="F78" s="43"/>
      <c r="G78" s="44"/>
      <c r="H78" s="40" t="str">
        <f t="shared" si="3"/>
        <v>1618</v>
      </c>
      <c r="I78" s="41" t="str">
        <f t="shared" si="5"/>
        <v>Sintripital Force</v>
      </c>
      <c r="J78" s="42"/>
      <c r="K78" s="43"/>
      <c r="L78" s="43"/>
      <c r="M78" s="43"/>
      <c r="N78" s="44"/>
    </row>
    <row r="79" spans="1:14" ht="15.75" customHeight="1" x14ac:dyDescent="0.3">
      <c r="A79" s="35" t="str">
        <f>IF(IGRF!B15="","",IGRF!B15)</f>
        <v>22</v>
      </c>
      <c r="B79" s="36" t="str">
        <f>IF(IGRF!C15="","",IGRF!C15)</f>
        <v>Sami Automatic</v>
      </c>
      <c r="C79" s="37"/>
      <c r="D79" s="38"/>
      <c r="E79" s="38"/>
      <c r="F79" s="38"/>
      <c r="G79" s="39"/>
      <c r="H79" s="35" t="str">
        <f t="shared" si="3"/>
        <v>22</v>
      </c>
      <c r="I79" s="36" t="str">
        <f t="shared" si="5"/>
        <v>Sami Automatic</v>
      </c>
      <c r="J79" s="37"/>
      <c r="K79" s="38"/>
      <c r="L79" s="38"/>
      <c r="M79" s="38"/>
      <c r="N79" s="39"/>
    </row>
    <row r="80" spans="1:14" ht="15.75" customHeight="1" x14ac:dyDescent="0.3">
      <c r="A80" s="40" t="str">
        <f>IF(IGRF!B16="","",IGRF!B16)</f>
        <v>23</v>
      </c>
      <c r="B80" s="41" t="str">
        <f>IF(IGRF!C16="","",IGRF!C16)</f>
        <v>LeBrawn Maimes</v>
      </c>
      <c r="C80" s="42"/>
      <c r="D80" s="43"/>
      <c r="E80" s="43"/>
      <c r="F80" s="43"/>
      <c r="G80" s="44"/>
      <c r="H80" s="40" t="str">
        <f t="shared" si="3"/>
        <v>23</v>
      </c>
      <c r="I80" s="41" t="str">
        <f t="shared" si="5"/>
        <v>LeBrawn Maimes</v>
      </c>
      <c r="J80" s="42"/>
      <c r="K80" s="43"/>
      <c r="L80" s="43"/>
      <c r="M80" s="43"/>
      <c r="N80" s="44"/>
    </row>
    <row r="81" spans="1:14" ht="15.75" customHeight="1" x14ac:dyDescent="0.3">
      <c r="A81" s="35" t="str">
        <f>IF(IGRF!B17="","",IGRF!B17)</f>
        <v>321</v>
      </c>
      <c r="B81" s="36" t="str">
        <f>IF(IGRF!C17="","",IGRF!C17)</f>
        <v>Missile America</v>
      </c>
      <c r="C81" s="37"/>
      <c r="D81" s="38"/>
      <c r="E81" s="38"/>
      <c r="F81" s="38"/>
      <c r="G81" s="39"/>
      <c r="H81" s="35" t="str">
        <f t="shared" si="3"/>
        <v>321</v>
      </c>
      <c r="I81" s="36" t="str">
        <f t="shared" si="5"/>
        <v>Missile America</v>
      </c>
      <c r="J81" s="37"/>
      <c r="K81" s="38"/>
      <c r="L81" s="38"/>
      <c r="M81" s="38"/>
      <c r="N81" s="39"/>
    </row>
    <row r="82" spans="1:14" ht="15.75" customHeight="1" x14ac:dyDescent="0.3">
      <c r="A82" s="40" t="str">
        <f>IF(IGRF!B18="","",IGRF!B18)</f>
        <v>4</v>
      </c>
      <c r="B82" s="41" t="str">
        <f>IF(IGRF!C18="","",IGRF!C18)</f>
        <v>Belle Tolls</v>
      </c>
      <c r="C82" s="42"/>
      <c r="D82" s="43"/>
      <c r="E82" s="43"/>
      <c r="F82" s="43"/>
      <c r="G82" s="44"/>
      <c r="H82" s="40" t="str">
        <f t="shared" si="3"/>
        <v>4</v>
      </c>
      <c r="I82" s="41" t="str">
        <f t="shared" si="5"/>
        <v>Belle Tolls</v>
      </c>
      <c r="J82" s="42"/>
      <c r="K82" s="43"/>
      <c r="L82" s="43"/>
      <c r="M82" s="43"/>
      <c r="N82" s="44"/>
    </row>
    <row r="83" spans="1:14" ht="15.75" customHeight="1" x14ac:dyDescent="0.3">
      <c r="A83" s="35" t="str">
        <f>IF(IGRF!B19="","",IGRF!B19)</f>
        <v>505</v>
      </c>
      <c r="B83" s="36" t="str">
        <f>IF(IGRF!C19="","",IGRF!C19)</f>
        <v>Teddy Rupp</v>
      </c>
      <c r="C83" s="37"/>
      <c r="D83" s="38"/>
      <c r="E83" s="38"/>
      <c r="F83" s="38"/>
      <c r="G83" s="39"/>
      <c r="H83" s="35" t="str">
        <f t="shared" si="3"/>
        <v>505</v>
      </c>
      <c r="I83" s="36" t="str">
        <f t="shared" si="5"/>
        <v>Teddy Rupp</v>
      </c>
      <c r="J83" s="37"/>
      <c r="K83" s="38"/>
      <c r="L83" s="38"/>
      <c r="M83" s="38"/>
      <c r="N83" s="39"/>
    </row>
    <row r="84" spans="1:14" ht="15.75" customHeight="1" x14ac:dyDescent="0.3">
      <c r="A84" s="40" t="str">
        <f>IF(IGRF!B20="","",IGRF!B20)</f>
        <v>53</v>
      </c>
      <c r="B84" s="41" t="str">
        <f>IF(IGRF!C20="","",IGRF!C20)</f>
        <v>Raven Seaward</v>
      </c>
      <c r="C84" s="42"/>
      <c r="D84" s="43"/>
      <c r="E84" s="43"/>
      <c r="F84" s="43"/>
      <c r="G84" s="44"/>
      <c r="H84" s="40" t="str">
        <f t="shared" si="3"/>
        <v>53</v>
      </c>
      <c r="I84" s="41" t="str">
        <f t="shared" si="5"/>
        <v>Raven Seaward</v>
      </c>
      <c r="J84" s="42"/>
      <c r="K84" s="43"/>
      <c r="L84" s="43"/>
      <c r="M84" s="43"/>
      <c r="N84" s="44"/>
    </row>
    <row r="85" spans="1:14" ht="15.75" customHeight="1" x14ac:dyDescent="0.3">
      <c r="A85" s="35" t="str">
        <f>IF(IGRF!B21="","",IGRF!B21)</f>
        <v>761</v>
      </c>
      <c r="B85" s="36" t="str">
        <f>IF(IGRF!C21="","",IGRF!C21)</f>
        <v>Rawkhell SqWelch</v>
      </c>
      <c r="C85" s="37"/>
      <c r="D85" s="38"/>
      <c r="E85" s="38"/>
      <c r="F85" s="38"/>
      <c r="G85" s="39"/>
      <c r="H85" s="35" t="str">
        <f t="shared" si="3"/>
        <v>761</v>
      </c>
      <c r="I85" s="36" t="str">
        <f t="shared" si="5"/>
        <v>Rawkhell SqWelch</v>
      </c>
      <c r="J85" s="37"/>
      <c r="K85" s="38"/>
      <c r="L85" s="38"/>
      <c r="M85" s="38"/>
      <c r="N85" s="39"/>
    </row>
    <row r="86" spans="1:14" ht="15.75" customHeight="1" x14ac:dyDescent="0.3">
      <c r="A86" s="40" t="str">
        <f>IF(IGRF!B22="","",IGRF!B22)</f>
        <v>808</v>
      </c>
      <c r="B86" s="41" t="str">
        <f>IF(IGRF!C22="","",IGRF!C22)</f>
        <v>Kendle Bjelland</v>
      </c>
      <c r="C86" s="42"/>
      <c r="D86" s="43"/>
      <c r="E86" s="43"/>
      <c r="F86" s="43"/>
      <c r="G86" s="44"/>
      <c r="H86" s="40" t="str">
        <f t="shared" si="3"/>
        <v>808</v>
      </c>
      <c r="I86" s="41" t="str">
        <f t="shared" si="5"/>
        <v>Kendle Bjelland</v>
      </c>
      <c r="J86" s="42"/>
      <c r="K86" s="43"/>
      <c r="L86" s="43"/>
      <c r="M86" s="43"/>
      <c r="N86" s="44"/>
    </row>
    <row r="87" spans="1:14" ht="15.75" customHeight="1" x14ac:dyDescent="0.3">
      <c r="A87" s="35" t="str">
        <f>IF(IGRF!B23="","",IGRF!B23)</f>
        <v>9</v>
      </c>
      <c r="B87" s="36" t="str">
        <f>IF(IGRF!C23="","",IGRF!C23)</f>
        <v>P. Wilhelm</v>
      </c>
      <c r="C87" s="37"/>
      <c r="D87" s="38"/>
      <c r="E87" s="38"/>
      <c r="F87" s="38"/>
      <c r="G87" s="39"/>
      <c r="H87" s="35" t="str">
        <f t="shared" si="3"/>
        <v>9</v>
      </c>
      <c r="I87" s="36" t="str">
        <f t="shared" si="5"/>
        <v>P. Wilhelm</v>
      </c>
      <c r="J87" s="37"/>
      <c r="K87" s="38"/>
      <c r="L87" s="38"/>
      <c r="M87" s="38"/>
      <c r="N87" s="39"/>
    </row>
    <row r="88" spans="1:14" ht="15.75" customHeight="1" x14ac:dyDescent="0.3">
      <c r="A88" s="40" t="str">
        <f>IF(IGRF!B24="","",IGRF!B24)</f>
        <v>911</v>
      </c>
      <c r="B88" s="41" t="str">
        <f>IF(IGRF!C24="","",IGRF!C24)</f>
        <v>Luna Negra</v>
      </c>
      <c r="C88" s="42"/>
      <c r="D88" s="43"/>
      <c r="E88" s="43"/>
      <c r="F88" s="43"/>
      <c r="G88" s="44"/>
      <c r="H88" s="40" t="str">
        <f t="shared" si="3"/>
        <v>911</v>
      </c>
      <c r="I88" s="41" t="str">
        <f t="shared" si="5"/>
        <v>Luna Negra</v>
      </c>
      <c r="J88" s="42"/>
      <c r="K88" s="43"/>
      <c r="L88" s="43"/>
      <c r="M88" s="43"/>
      <c r="N88" s="44"/>
    </row>
    <row r="89" spans="1:14" ht="15.75" customHeight="1" x14ac:dyDescent="0.3">
      <c r="A89" s="35" t="str">
        <f>IF(IGRF!B25="","",IGRF!B25)</f>
        <v>0</v>
      </c>
      <c r="B89" s="36" t="str">
        <f>IF(IGRF!C25="","",IGRF!C25)</f>
        <v>Enurgizer Bunny</v>
      </c>
      <c r="C89" s="37"/>
      <c r="D89" s="38"/>
      <c r="E89" s="38"/>
      <c r="F89" s="38"/>
      <c r="G89" s="39"/>
      <c r="H89" s="35" t="str">
        <f t="shared" si="3"/>
        <v>0</v>
      </c>
      <c r="I89" s="36" t="str">
        <f t="shared" si="5"/>
        <v>Enurgizer Bunny</v>
      </c>
      <c r="J89" s="37"/>
      <c r="K89" s="38"/>
      <c r="L89" s="38"/>
      <c r="M89" s="38"/>
      <c r="N89" s="39"/>
    </row>
    <row r="90" spans="1:14" ht="15.75" customHeight="1" x14ac:dyDescent="0.3">
      <c r="A90" s="40" t="str">
        <f>IF(IGRF!B26="","",IGRF!B26)</f>
        <v>88</v>
      </c>
      <c r="B90" s="41" t="str">
        <f>IF(IGRF!C26="","",IGRF!C26)</f>
        <v>Ophelia Melons</v>
      </c>
      <c r="C90" s="42"/>
      <c r="D90" s="43"/>
      <c r="E90" s="43"/>
      <c r="F90" s="43"/>
      <c r="G90" s="44"/>
      <c r="H90" s="40" t="str">
        <f t="shared" si="3"/>
        <v>88</v>
      </c>
      <c r="I90" s="41" t="str">
        <f t="shared" si="5"/>
        <v>Ophelia Melons</v>
      </c>
      <c r="J90" s="42"/>
      <c r="K90" s="43"/>
      <c r="L90" s="43"/>
      <c r="M90" s="43"/>
      <c r="N90" s="44"/>
    </row>
    <row r="91" spans="1:14" ht="15.75" customHeight="1" x14ac:dyDescent="0.3">
      <c r="A91" s="35" t="str">
        <f>IF(IGRF!B27="","",IGRF!B27)</f>
        <v/>
      </c>
      <c r="B91" s="36" t="str">
        <f>IF(IGRF!C27="","",IGRF!C27)</f>
        <v/>
      </c>
      <c r="C91" s="37"/>
      <c r="D91" s="38"/>
      <c r="E91" s="38"/>
      <c r="F91" s="38"/>
      <c r="G91" s="39"/>
      <c r="H91" s="35" t="str">
        <f t="shared" si="3"/>
        <v/>
      </c>
      <c r="I91" s="36" t="str">
        <f t="shared" si="5"/>
        <v/>
      </c>
      <c r="J91" s="37"/>
      <c r="K91" s="38"/>
      <c r="L91" s="38"/>
      <c r="M91" s="38"/>
      <c r="N91" s="39"/>
    </row>
    <row r="92" spans="1:14" ht="15.75" customHeight="1" x14ac:dyDescent="0.3">
      <c r="A92" s="40" t="str">
        <f>IF(IGRF!B28="","",IGRF!B28)</f>
        <v/>
      </c>
      <c r="B92" s="41" t="str">
        <f>IF(IGRF!C28="","",IGRF!C28)</f>
        <v/>
      </c>
      <c r="C92" s="42"/>
      <c r="D92" s="43"/>
      <c r="E92" s="43"/>
      <c r="F92" s="43"/>
      <c r="G92" s="44"/>
      <c r="H92" s="40" t="str">
        <f t="shared" si="3"/>
        <v/>
      </c>
      <c r="I92" s="41" t="str">
        <f t="shared" si="5"/>
        <v/>
      </c>
      <c r="J92" s="42"/>
      <c r="K92" s="43"/>
      <c r="L92" s="43"/>
      <c r="M92" s="43"/>
      <c r="N92" s="44"/>
    </row>
    <row r="93" spans="1:14" ht="15.75" customHeight="1" x14ac:dyDescent="0.3">
      <c r="A93" s="35" t="str">
        <f>IF(IGRF!B29="","",IGRF!B29)</f>
        <v/>
      </c>
      <c r="B93" s="36" t="str">
        <f>IF(IGRF!C29="","",IGRF!C29)</f>
        <v/>
      </c>
      <c r="C93" s="37"/>
      <c r="D93" s="38"/>
      <c r="E93" s="38"/>
      <c r="F93" s="38"/>
      <c r="G93" s="39"/>
      <c r="H93" s="35" t="str">
        <f t="shared" si="3"/>
        <v/>
      </c>
      <c r="I93" s="36" t="str">
        <f t="shared" si="5"/>
        <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3"/>
        <v/>
      </c>
      <c r="I94" s="41" t="str">
        <f t="shared" si="5"/>
        <v/>
      </c>
      <c r="J94" s="42"/>
      <c r="K94" s="43"/>
      <c r="L94" s="43"/>
      <c r="M94" s="43"/>
      <c r="N94" s="44"/>
    </row>
    <row r="95" spans="1:14" ht="13.5" customHeight="1" x14ac:dyDescent="0.3">
      <c r="A95" s="1198" t="s">
        <v>357</v>
      </c>
      <c r="B95" s="1198"/>
      <c r="C95" s="1198"/>
      <c r="D95" s="1198"/>
      <c r="E95" s="1198"/>
      <c r="F95" s="1198"/>
      <c r="G95" s="1198"/>
      <c r="H95" s="1198" t="s">
        <v>357</v>
      </c>
      <c r="I95" s="1198"/>
      <c r="J95" s="1198"/>
      <c r="K95" s="1198"/>
      <c r="L95" s="1198"/>
      <c r="M95" s="1198"/>
      <c r="N95" s="1198"/>
    </row>
    <row r="96" spans="1:14" ht="13.5" customHeight="1" x14ac:dyDescent="0.3">
      <c r="A96" s="1196" t="s">
        <v>358</v>
      </c>
      <c r="B96" s="1196"/>
      <c r="C96" s="1196"/>
      <c r="D96" s="1196"/>
      <c r="E96" s="1196"/>
      <c r="F96" s="1196"/>
      <c r="G96" s="1196"/>
      <c r="H96" s="1196" t="s">
        <v>358</v>
      </c>
      <c r="I96" s="1196"/>
      <c r="J96" s="1196"/>
      <c r="K96" s="1196"/>
      <c r="L96" s="1196"/>
      <c r="M96" s="1196"/>
      <c r="N96" s="1196"/>
    </row>
    <row r="97" spans="1:14" ht="13.5" customHeight="1" x14ac:dyDescent="0.3">
      <c r="A97" s="1196" t="s">
        <v>359</v>
      </c>
      <c r="B97" s="1196"/>
      <c r="C97" s="1196"/>
      <c r="D97" s="1196"/>
      <c r="E97" s="1196"/>
      <c r="F97" s="1196"/>
      <c r="G97" s="1196"/>
      <c r="H97" s="1196" t="s">
        <v>359</v>
      </c>
      <c r="I97" s="1196"/>
      <c r="J97" s="1196"/>
      <c r="K97" s="1196"/>
      <c r="L97" s="1196"/>
      <c r="M97" s="1196"/>
      <c r="N97" s="1196"/>
    </row>
    <row r="98" spans="1:14" ht="13.5" customHeight="1" thickBot="1" x14ac:dyDescent="0.35">
      <c r="A98" s="1197" t="s">
        <v>356</v>
      </c>
      <c r="B98" s="1197"/>
      <c r="C98" s="1197"/>
      <c r="D98" s="1197"/>
      <c r="E98" s="1197"/>
      <c r="F98" s="1197"/>
      <c r="G98" s="1197"/>
      <c r="H98" s="1197" t="s">
        <v>356</v>
      </c>
      <c r="I98" s="1197"/>
      <c r="J98" s="1197"/>
      <c r="K98" s="1197"/>
      <c r="L98" s="1197"/>
      <c r="M98" s="1197"/>
      <c r="N98" s="1197"/>
    </row>
  </sheetData>
  <sheetProtection selectLockedCells="1" selectUnlockedCells="1"/>
  <mergeCells count="48">
    <mergeCell ref="A53:B53"/>
    <mergeCell ref="A74:B74"/>
    <mergeCell ref="H74:I74"/>
    <mergeCell ref="H53:I53"/>
    <mergeCell ref="H25:I25"/>
    <mergeCell ref="A25:B25"/>
    <mergeCell ref="A47:G47"/>
    <mergeCell ref="H47:N47"/>
    <mergeCell ref="A48:G48"/>
    <mergeCell ref="H48:N48"/>
    <mergeCell ref="A49:G49"/>
    <mergeCell ref="H49:N49"/>
    <mergeCell ref="A46:G46"/>
    <mergeCell ref="H46:N46"/>
    <mergeCell ref="N50:N51"/>
    <mergeCell ref="A50:B51"/>
    <mergeCell ref="M50:M51"/>
    <mergeCell ref="A4:B4"/>
    <mergeCell ref="G50:G51"/>
    <mergeCell ref="H4:I4"/>
    <mergeCell ref="C2:E3"/>
    <mergeCell ref="F1:F2"/>
    <mergeCell ref="H1:I2"/>
    <mergeCell ref="J1:L1"/>
    <mergeCell ref="C50:E50"/>
    <mergeCell ref="F50:F51"/>
    <mergeCell ref="H50:I51"/>
    <mergeCell ref="J50:L50"/>
    <mergeCell ref="C51:E52"/>
    <mergeCell ref="J51:L52"/>
    <mergeCell ref="A52:B52"/>
    <mergeCell ref="H52:I52"/>
    <mergeCell ref="A97:G97"/>
    <mergeCell ref="H97:N97"/>
    <mergeCell ref="A98:G98"/>
    <mergeCell ref="H98:N98"/>
    <mergeCell ref="A95:G95"/>
    <mergeCell ref="H95:N95"/>
    <mergeCell ref="A96:G96"/>
    <mergeCell ref="H96:N96"/>
    <mergeCell ref="N1:N2"/>
    <mergeCell ref="G1:G2"/>
    <mergeCell ref="A1:B2"/>
    <mergeCell ref="A3:B3"/>
    <mergeCell ref="C1:E1"/>
    <mergeCell ref="M1:M2"/>
    <mergeCell ref="J2:L3"/>
    <mergeCell ref="H3:I3"/>
  </mergeCells>
  <phoneticPr fontId="6" type="noConversion"/>
  <printOptions horizontalCentered="1"/>
  <pageMargins left="0.5" right="0.5" top="1.3" bottom="0.4" header="0.75" footer="0.4"/>
  <pageSetup scale="86" firstPageNumber="0" fitToWidth="0" fitToHeight="0" orientation="portrait" horizontalDpi="4294967294" verticalDpi="4294967294"/>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97" man="1"/>
  </colBreaks>
  <legacyDrawingHF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00FFFF"/>
  </sheetPr>
  <dimension ref="A1:N98"/>
  <sheetViews>
    <sheetView workbookViewId="0">
      <selection sqref="A1:B2"/>
    </sheetView>
  </sheetViews>
  <sheetFormatPr defaultColWidth="8.6640625" defaultRowHeight="13.5" customHeight="1" x14ac:dyDescent="0.3"/>
  <cols>
    <col min="1" max="1" width="7.33203125" style="3" customWidth="1"/>
    <col min="2" max="2" width="24.33203125" style="3" customWidth="1"/>
    <col min="3" max="7" width="12.44140625" style="3" customWidth="1"/>
    <col min="8" max="8" width="7.33203125" style="3" customWidth="1"/>
    <col min="9" max="9" width="24.33203125" style="3" customWidth="1"/>
    <col min="10" max="14" width="12.44140625" style="3" customWidth="1"/>
    <col min="15" max="252" width="11.44140625" style="3" customWidth="1"/>
    <col min="253" max="16384" width="8.6640625" style="3"/>
  </cols>
  <sheetData>
    <row r="1" spans="1:14" ht="15" customHeight="1" x14ac:dyDescent="0.3">
      <c r="A1" s="1189"/>
      <c r="B1" s="1189"/>
      <c r="C1" s="1192" t="s">
        <v>349</v>
      </c>
      <c r="D1" s="1192"/>
      <c r="E1" s="1192"/>
      <c r="F1" s="1193">
        <f>IF(ISBLANK(IGRF!$B$5), "", IGRF!$B$5)</f>
        <v>41832</v>
      </c>
      <c r="G1" s="1188">
        <v>1</v>
      </c>
      <c r="H1" s="1189"/>
      <c r="I1" s="1189"/>
      <c r="J1" s="1192" t="s">
        <v>349</v>
      </c>
      <c r="K1" s="1192"/>
      <c r="L1" s="1192"/>
      <c r="M1" s="1193">
        <f>IF(ISBLANK(IGRF!$B$5), "", IGRF!$B$5)</f>
        <v>41832</v>
      </c>
      <c r="N1" s="1188">
        <v>2</v>
      </c>
    </row>
    <row r="2" spans="1:14" ht="15" customHeight="1" x14ac:dyDescent="0.3">
      <c r="A2" s="1190"/>
      <c r="B2" s="1190"/>
      <c r="C2" s="1195" t="str">
        <f>Score!$T$1</f>
        <v>Houston Roller Derby / All-Stars</v>
      </c>
      <c r="D2" s="1195"/>
      <c r="E2" s="1195"/>
      <c r="F2" s="1194"/>
      <c r="G2" s="1188"/>
      <c r="H2" s="1190"/>
      <c r="I2" s="1190"/>
      <c r="J2" s="1195" t="str">
        <f>C2</f>
        <v>Houston Roller Derby / All-Stars</v>
      </c>
      <c r="K2" s="1195"/>
      <c r="L2" s="1195"/>
      <c r="M2" s="1194"/>
      <c r="N2" s="1188"/>
    </row>
    <row r="3" spans="1:14" ht="15" customHeight="1" x14ac:dyDescent="0.3">
      <c r="A3" s="1191" t="s">
        <v>350</v>
      </c>
      <c r="B3" s="1191"/>
      <c r="C3" s="1195"/>
      <c r="D3" s="1195"/>
      <c r="E3" s="1195"/>
      <c r="F3" s="33" t="s">
        <v>355</v>
      </c>
      <c r="G3" s="34" t="str">
        <f>IF(ISBLANK(IGRF!$K$3), "", "GAME " &amp; IGRF!$K$3)</f>
        <v>GAME 2</v>
      </c>
      <c r="H3" s="1191" t="s">
        <v>350</v>
      </c>
      <c r="I3" s="1191"/>
      <c r="J3" s="1195"/>
      <c r="K3" s="1195"/>
      <c r="L3" s="1195"/>
      <c r="M3" s="33" t="s">
        <v>355</v>
      </c>
      <c r="N3" s="34" t="str">
        <f>G3</f>
        <v>GAME 2</v>
      </c>
    </row>
    <row r="4" spans="1:14" s="8" customFormat="1" ht="19.95" customHeight="1" x14ac:dyDescent="0.3">
      <c r="A4" s="1202" t="str">
        <f>IF(IGRF!B9="","Home Team",IGRF!B9)</f>
        <v>All-Stars</v>
      </c>
      <c r="B4" s="1204"/>
      <c r="C4" s="242" t="s">
        <v>151</v>
      </c>
      <c r="D4" s="243" t="s">
        <v>152</v>
      </c>
      <c r="E4" s="243" t="s">
        <v>88</v>
      </c>
      <c r="F4" s="243" t="s">
        <v>89</v>
      </c>
      <c r="G4" s="244" t="s">
        <v>90</v>
      </c>
      <c r="H4" s="1202" t="str">
        <f t="shared" ref="H4:H45" si="0">A4</f>
        <v>All-Stars</v>
      </c>
      <c r="I4" s="1204"/>
      <c r="J4" s="242" t="s">
        <v>151</v>
      </c>
      <c r="K4" s="243" t="s">
        <v>152</v>
      </c>
      <c r="L4" s="243" t="s">
        <v>88</v>
      </c>
      <c r="M4" s="243" t="s">
        <v>89</v>
      </c>
      <c r="N4" s="244" t="s">
        <v>90</v>
      </c>
    </row>
    <row r="5" spans="1:14" ht="15.75" customHeight="1" x14ac:dyDescent="0.3">
      <c r="A5" s="35" t="str">
        <f>IF(IGRF!B11="","",IGRF!B11)</f>
        <v>12</v>
      </c>
      <c r="B5" s="36" t="str">
        <f>IF(IGRF!C11="","",IGRF!C11)</f>
        <v>Carmen Getsome</v>
      </c>
      <c r="C5" s="37"/>
      <c r="D5" s="38"/>
      <c r="E5" s="38"/>
      <c r="F5" s="38"/>
      <c r="G5" s="39"/>
      <c r="H5" s="35" t="str">
        <f t="shared" si="0"/>
        <v>12</v>
      </c>
      <c r="I5" s="36" t="str">
        <f t="shared" ref="I5:I45" si="1">B5</f>
        <v>Carmen Getsome</v>
      </c>
      <c r="J5" s="37"/>
      <c r="K5" s="38"/>
      <c r="L5" s="38"/>
      <c r="M5" s="38"/>
      <c r="N5" s="39"/>
    </row>
    <row r="6" spans="1:14" ht="15.75" customHeight="1" x14ac:dyDescent="0.3">
      <c r="A6" s="40" t="str">
        <f>IF(IGRF!B12="","",IGRF!B12)</f>
        <v>123</v>
      </c>
      <c r="B6" s="41" t="str">
        <f>IF(IGRF!C12="","",IGRF!C12)</f>
        <v>Nelson</v>
      </c>
      <c r="C6" s="42"/>
      <c r="D6" s="43"/>
      <c r="E6" s="43"/>
      <c r="F6" s="43"/>
      <c r="G6" s="44"/>
      <c r="H6" s="40" t="str">
        <f t="shared" si="0"/>
        <v>123</v>
      </c>
      <c r="I6" s="41" t="str">
        <f t="shared" si="1"/>
        <v>Nelson</v>
      </c>
      <c r="J6" s="42"/>
      <c r="K6" s="43"/>
      <c r="L6" s="43"/>
      <c r="M6" s="43"/>
      <c r="N6" s="44"/>
    </row>
    <row r="7" spans="1:14" ht="15.75" customHeight="1" x14ac:dyDescent="0.3">
      <c r="A7" s="35" t="str">
        <f>IF(IGRF!B13="","",IGRF!B13)</f>
        <v>14</v>
      </c>
      <c r="B7" s="36" t="str">
        <f>IF(IGRF!C13="","",IGRF!C13)</f>
        <v>Shorty Ounce</v>
      </c>
      <c r="C7" s="37"/>
      <c r="D7" s="38"/>
      <c r="E7" s="38"/>
      <c r="F7" s="38"/>
      <c r="G7" s="39"/>
      <c r="H7" s="35" t="str">
        <f t="shared" si="0"/>
        <v>14</v>
      </c>
      <c r="I7" s="36" t="str">
        <f t="shared" si="1"/>
        <v>Shorty Ounce</v>
      </c>
      <c r="J7" s="37"/>
      <c r="K7" s="38"/>
      <c r="L7" s="38"/>
      <c r="M7" s="38"/>
      <c r="N7" s="39"/>
    </row>
    <row r="8" spans="1:14" ht="15.75" customHeight="1" x14ac:dyDescent="0.3">
      <c r="A8" s="40" t="str">
        <f>IF(IGRF!B14="","",IGRF!B14)</f>
        <v>1618</v>
      </c>
      <c r="B8" s="41" t="str">
        <f>IF(IGRF!C14="","",IGRF!C14)</f>
        <v>Sintripital Force</v>
      </c>
      <c r="C8" s="42"/>
      <c r="D8" s="43"/>
      <c r="E8" s="43"/>
      <c r="F8" s="43"/>
      <c r="G8" s="44"/>
      <c r="H8" s="40" t="str">
        <f t="shared" si="0"/>
        <v>1618</v>
      </c>
      <c r="I8" s="41" t="str">
        <f t="shared" si="1"/>
        <v>Sintripital Force</v>
      </c>
      <c r="J8" s="42"/>
      <c r="K8" s="43"/>
      <c r="L8" s="43"/>
      <c r="M8" s="43"/>
      <c r="N8" s="44"/>
    </row>
    <row r="9" spans="1:14" ht="15.75" customHeight="1" x14ac:dyDescent="0.3">
      <c r="A9" s="35" t="str">
        <f>IF(IGRF!B15="","",IGRF!B15)</f>
        <v>22</v>
      </c>
      <c r="B9" s="36" t="str">
        <f>IF(IGRF!C15="","",IGRF!C15)</f>
        <v>Sami Automatic</v>
      </c>
      <c r="C9" s="37"/>
      <c r="D9" s="38"/>
      <c r="E9" s="38"/>
      <c r="F9" s="38"/>
      <c r="G9" s="39"/>
      <c r="H9" s="35" t="str">
        <f t="shared" si="0"/>
        <v>22</v>
      </c>
      <c r="I9" s="36" t="str">
        <f t="shared" si="1"/>
        <v>Sami Automatic</v>
      </c>
      <c r="J9" s="37"/>
      <c r="K9" s="38"/>
      <c r="L9" s="38"/>
      <c r="M9" s="38"/>
      <c r="N9" s="39"/>
    </row>
    <row r="10" spans="1:14" ht="15.75" customHeight="1" x14ac:dyDescent="0.3">
      <c r="A10" s="40" t="str">
        <f>IF(IGRF!B16="","",IGRF!B16)</f>
        <v>23</v>
      </c>
      <c r="B10" s="41" t="str">
        <f>IF(IGRF!C16="","",IGRF!C16)</f>
        <v>LeBrawn Maimes</v>
      </c>
      <c r="C10" s="42"/>
      <c r="D10" s="43"/>
      <c r="E10" s="43"/>
      <c r="F10" s="43"/>
      <c r="G10" s="44"/>
      <c r="H10" s="40" t="str">
        <f t="shared" si="0"/>
        <v>23</v>
      </c>
      <c r="I10" s="41" t="str">
        <f t="shared" si="1"/>
        <v>LeBrawn Maimes</v>
      </c>
      <c r="J10" s="42"/>
      <c r="K10" s="43"/>
      <c r="L10" s="43"/>
      <c r="M10" s="43"/>
      <c r="N10" s="44"/>
    </row>
    <row r="11" spans="1:14" ht="15.75" customHeight="1" x14ac:dyDescent="0.3">
      <c r="A11" s="35" t="str">
        <f>IF(IGRF!B17="","",IGRF!B17)</f>
        <v>321</v>
      </c>
      <c r="B11" s="36" t="str">
        <f>IF(IGRF!C17="","",IGRF!C17)</f>
        <v>Missile America</v>
      </c>
      <c r="C11" s="37"/>
      <c r="D11" s="38"/>
      <c r="E11" s="38"/>
      <c r="F11" s="38"/>
      <c r="G11" s="39"/>
      <c r="H11" s="35" t="str">
        <f t="shared" si="0"/>
        <v>321</v>
      </c>
      <c r="I11" s="36" t="str">
        <f t="shared" si="1"/>
        <v>Missile America</v>
      </c>
      <c r="J11" s="37"/>
      <c r="K11" s="38"/>
      <c r="L11" s="38"/>
      <c r="M11" s="38"/>
      <c r="N11" s="39"/>
    </row>
    <row r="12" spans="1:14" ht="15.75" customHeight="1" x14ac:dyDescent="0.3">
      <c r="A12" s="40" t="str">
        <f>IF(IGRF!B18="","",IGRF!B18)</f>
        <v>4</v>
      </c>
      <c r="B12" s="41" t="str">
        <f>IF(IGRF!C18="","",IGRF!C18)</f>
        <v>Belle Tolls</v>
      </c>
      <c r="C12" s="42"/>
      <c r="D12" s="43"/>
      <c r="E12" s="43"/>
      <c r="F12" s="43"/>
      <c r="G12" s="44"/>
      <c r="H12" s="40" t="str">
        <f t="shared" si="0"/>
        <v>4</v>
      </c>
      <c r="I12" s="41" t="str">
        <f t="shared" si="1"/>
        <v>Belle Tolls</v>
      </c>
      <c r="J12" s="42"/>
      <c r="K12" s="43"/>
      <c r="L12" s="43"/>
      <c r="M12" s="43"/>
      <c r="N12" s="44"/>
    </row>
    <row r="13" spans="1:14" ht="15.75" customHeight="1" x14ac:dyDescent="0.3">
      <c r="A13" s="35" t="str">
        <f>IF(IGRF!B19="","",IGRF!B19)</f>
        <v>505</v>
      </c>
      <c r="B13" s="36" t="str">
        <f>IF(IGRF!C19="","",IGRF!C19)</f>
        <v>Teddy Rupp</v>
      </c>
      <c r="C13" s="37"/>
      <c r="D13" s="38"/>
      <c r="E13" s="38"/>
      <c r="F13" s="38"/>
      <c r="G13" s="39"/>
      <c r="H13" s="35" t="str">
        <f t="shared" si="0"/>
        <v>505</v>
      </c>
      <c r="I13" s="36" t="str">
        <f t="shared" si="1"/>
        <v>Teddy Rupp</v>
      </c>
      <c r="J13" s="37"/>
      <c r="K13" s="38"/>
      <c r="L13" s="38"/>
      <c r="M13" s="38"/>
      <c r="N13" s="39"/>
    </row>
    <row r="14" spans="1:14" ht="15.75" customHeight="1" x14ac:dyDescent="0.3">
      <c r="A14" s="40" t="str">
        <f>IF(IGRF!B20="","",IGRF!B20)</f>
        <v>53</v>
      </c>
      <c r="B14" s="41" t="str">
        <f>IF(IGRF!C20="","",IGRF!C20)</f>
        <v>Raven Seaward</v>
      </c>
      <c r="C14" s="42"/>
      <c r="D14" s="43"/>
      <c r="E14" s="43"/>
      <c r="F14" s="43"/>
      <c r="G14" s="44"/>
      <c r="H14" s="40" t="str">
        <f t="shared" si="0"/>
        <v>53</v>
      </c>
      <c r="I14" s="41" t="str">
        <f t="shared" si="1"/>
        <v>Raven Seaward</v>
      </c>
      <c r="J14" s="42"/>
      <c r="K14" s="43"/>
      <c r="L14" s="43"/>
      <c r="M14" s="43"/>
      <c r="N14" s="44"/>
    </row>
    <row r="15" spans="1:14" ht="15.75" customHeight="1" x14ac:dyDescent="0.3">
      <c r="A15" s="35" t="str">
        <f>IF(IGRF!B21="","",IGRF!B21)</f>
        <v>761</v>
      </c>
      <c r="B15" s="36" t="str">
        <f>IF(IGRF!C21="","",IGRF!C21)</f>
        <v>Rawkhell SqWelch</v>
      </c>
      <c r="C15" s="37"/>
      <c r="D15" s="38"/>
      <c r="E15" s="38"/>
      <c r="F15" s="38"/>
      <c r="G15" s="39"/>
      <c r="H15" s="35" t="str">
        <f t="shared" si="0"/>
        <v>761</v>
      </c>
      <c r="I15" s="36" t="str">
        <f t="shared" si="1"/>
        <v>Rawkhell SqWelch</v>
      </c>
      <c r="J15" s="37"/>
      <c r="K15" s="38"/>
      <c r="L15" s="38"/>
      <c r="M15" s="38"/>
      <c r="N15" s="39"/>
    </row>
    <row r="16" spans="1:14" ht="15.75" customHeight="1" x14ac:dyDescent="0.3">
      <c r="A16" s="40" t="str">
        <f>IF(IGRF!B22="","",IGRF!B22)</f>
        <v>808</v>
      </c>
      <c r="B16" s="41" t="str">
        <f>IF(IGRF!C22="","",IGRF!C22)</f>
        <v>Kendle Bjelland</v>
      </c>
      <c r="C16" s="42"/>
      <c r="D16" s="43"/>
      <c r="E16" s="43"/>
      <c r="F16" s="43"/>
      <c r="G16" s="44"/>
      <c r="H16" s="40" t="str">
        <f t="shared" si="0"/>
        <v>808</v>
      </c>
      <c r="I16" s="41" t="str">
        <f t="shared" si="1"/>
        <v>Kendle Bjelland</v>
      </c>
      <c r="J16" s="42"/>
      <c r="K16" s="43"/>
      <c r="L16" s="43"/>
      <c r="M16" s="43"/>
      <c r="N16" s="44"/>
    </row>
    <row r="17" spans="1:14" ht="15.75" customHeight="1" x14ac:dyDescent="0.3">
      <c r="A17" s="35" t="str">
        <f>IF(IGRF!B23="","",IGRF!B23)</f>
        <v>9</v>
      </c>
      <c r="B17" s="36" t="str">
        <f>IF(IGRF!C23="","",IGRF!C23)</f>
        <v>P. Wilhelm</v>
      </c>
      <c r="C17" s="37"/>
      <c r="D17" s="38"/>
      <c r="E17" s="38"/>
      <c r="F17" s="38"/>
      <c r="G17" s="39"/>
      <c r="H17" s="35" t="str">
        <f t="shared" si="0"/>
        <v>9</v>
      </c>
      <c r="I17" s="36" t="str">
        <f t="shared" si="1"/>
        <v>P. Wilhelm</v>
      </c>
      <c r="J17" s="37"/>
      <c r="K17" s="38"/>
      <c r="L17" s="38"/>
      <c r="M17" s="38"/>
      <c r="N17" s="39"/>
    </row>
    <row r="18" spans="1:14" ht="15.75" customHeight="1" x14ac:dyDescent="0.3">
      <c r="A18" s="40" t="str">
        <f>IF(IGRF!B24="","",IGRF!B24)</f>
        <v>911</v>
      </c>
      <c r="B18" s="41" t="str">
        <f>IF(IGRF!C24="","",IGRF!C24)</f>
        <v>Luna Negra</v>
      </c>
      <c r="C18" s="42"/>
      <c r="D18" s="43"/>
      <c r="E18" s="43"/>
      <c r="F18" s="43"/>
      <c r="G18" s="44"/>
      <c r="H18" s="40" t="str">
        <f t="shared" si="0"/>
        <v>911</v>
      </c>
      <c r="I18" s="41" t="str">
        <f t="shared" si="1"/>
        <v>Luna Negra</v>
      </c>
      <c r="J18" s="42"/>
      <c r="K18" s="43"/>
      <c r="L18" s="43"/>
      <c r="M18" s="43"/>
      <c r="N18" s="44"/>
    </row>
    <row r="19" spans="1:14" ht="15.75" customHeight="1" x14ac:dyDescent="0.3">
      <c r="A19" s="35" t="str">
        <f>IF(IGRF!B25="","",IGRF!B25)</f>
        <v>0</v>
      </c>
      <c r="B19" s="36" t="str">
        <f>IF(IGRF!C25="","",IGRF!C25)</f>
        <v>Enurgizer Bunny</v>
      </c>
      <c r="C19" s="37"/>
      <c r="D19" s="38"/>
      <c r="E19" s="38"/>
      <c r="F19" s="38"/>
      <c r="G19" s="39"/>
      <c r="H19" s="35" t="str">
        <f t="shared" si="0"/>
        <v>0</v>
      </c>
      <c r="I19" s="36" t="str">
        <f t="shared" si="1"/>
        <v>Enurgizer Bunny</v>
      </c>
      <c r="J19" s="37"/>
      <c r="K19" s="38"/>
      <c r="L19" s="38"/>
      <c r="M19" s="38"/>
      <c r="N19" s="39"/>
    </row>
    <row r="20" spans="1:14" ht="15.75" customHeight="1" x14ac:dyDescent="0.3">
      <c r="A20" s="40" t="str">
        <f>IF(IGRF!B26="","",IGRF!B26)</f>
        <v>88</v>
      </c>
      <c r="B20" s="41" t="str">
        <f>IF(IGRF!C26="","",IGRF!C26)</f>
        <v>Ophelia Melons</v>
      </c>
      <c r="C20" s="42"/>
      <c r="D20" s="43"/>
      <c r="E20" s="43"/>
      <c r="F20" s="43"/>
      <c r="G20" s="44"/>
      <c r="H20" s="40" t="str">
        <f t="shared" si="0"/>
        <v>88</v>
      </c>
      <c r="I20" s="41" t="str">
        <f t="shared" si="1"/>
        <v>Ophelia Melons</v>
      </c>
      <c r="J20" s="42"/>
      <c r="K20" s="43"/>
      <c r="L20" s="43"/>
      <c r="M20" s="43"/>
      <c r="N20" s="44"/>
    </row>
    <row r="21" spans="1:14" ht="15.75" customHeight="1" x14ac:dyDescent="0.3">
      <c r="A21" s="35" t="str">
        <f>IF(IGRF!B27="","",IGRF!B27)</f>
        <v/>
      </c>
      <c r="B21" s="36" t="str">
        <f>IF(IGRF!C27="","",IGRF!C27)</f>
        <v/>
      </c>
      <c r="C21" s="37"/>
      <c r="D21" s="38"/>
      <c r="E21" s="38"/>
      <c r="F21" s="38"/>
      <c r="G21" s="39"/>
      <c r="H21" s="35" t="str">
        <f t="shared" si="0"/>
        <v/>
      </c>
      <c r="I21" s="36" t="str">
        <f t="shared" si="1"/>
        <v/>
      </c>
      <c r="J21" s="37"/>
      <c r="K21" s="38"/>
      <c r="L21" s="38"/>
      <c r="M21" s="38"/>
      <c r="N21" s="39"/>
    </row>
    <row r="22" spans="1:14" ht="15.75" customHeight="1" x14ac:dyDescent="0.3">
      <c r="A22" s="40" t="str">
        <f>IF(IGRF!B28="","",IGRF!B28)</f>
        <v/>
      </c>
      <c r="B22" s="41" t="str">
        <f>IF(IGRF!C28="","",IGRF!C28)</f>
        <v/>
      </c>
      <c r="C22" s="42"/>
      <c r="D22" s="43"/>
      <c r="E22" s="43"/>
      <c r="F22" s="43"/>
      <c r="G22" s="44"/>
      <c r="H22" s="40" t="str">
        <f t="shared" si="0"/>
        <v/>
      </c>
      <c r="I22" s="41" t="str">
        <f t="shared" si="1"/>
        <v/>
      </c>
      <c r="J22" s="42"/>
      <c r="K22" s="43"/>
      <c r="L22" s="43"/>
      <c r="M22" s="43"/>
      <c r="N22" s="44"/>
    </row>
    <row r="23" spans="1:14" ht="15.75" customHeight="1" x14ac:dyDescent="0.3">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19.95" customHeight="1" x14ac:dyDescent="0.3">
      <c r="A25" s="1202" t="str">
        <f>C2</f>
        <v>Houston Roller Derby / All-Stars</v>
      </c>
      <c r="B25" s="1203" t="str">
        <f>IF(IGRF!H9="","Away Team",IGRF!H9)</f>
        <v>All-Stars</v>
      </c>
      <c r="C25" s="243" t="s">
        <v>91</v>
      </c>
      <c r="D25" s="243" t="s">
        <v>160</v>
      </c>
      <c r="E25" s="243" t="s">
        <v>161</v>
      </c>
      <c r="F25" s="243" t="s">
        <v>162</v>
      </c>
      <c r="G25" s="243" t="s">
        <v>163</v>
      </c>
      <c r="H25" s="1202" t="str">
        <f t="shared" si="0"/>
        <v>Houston Roller Derby / All-Stars</v>
      </c>
      <c r="I25" s="1203" t="str">
        <f t="shared" si="1"/>
        <v>All-Stars</v>
      </c>
      <c r="J25" s="243" t="s">
        <v>91</v>
      </c>
      <c r="K25" s="243" t="s">
        <v>160</v>
      </c>
      <c r="L25" s="243" t="s">
        <v>161</v>
      </c>
      <c r="M25" s="243" t="s">
        <v>162</v>
      </c>
      <c r="N25" s="243" t="s">
        <v>163</v>
      </c>
    </row>
    <row r="26" spans="1:14" ht="15.75" customHeight="1" x14ac:dyDescent="0.3">
      <c r="A26" s="35" t="str">
        <f>IF(IGRF!H11="","",IGRF!H11)</f>
        <v>112</v>
      </c>
      <c r="B26" s="36" t="str">
        <f>IF(IGRF!I11="","",IGRF!I11)</f>
        <v>Singapore Rogue</v>
      </c>
      <c r="C26" s="37"/>
      <c r="D26" s="38"/>
      <c r="E26" s="38"/>
      <c r="F26" s="38"/>
      <c r="G26" s="39"/>
      <c r="H26" s="35" t="str">
        <f t="shared" si="0"/>
        <v>112</v>
      </c>
      <c r="I26" s="36" t="str">
        <f t="shared" si="1"/>
        <v>Singapore Rogue</v>
      </c>
      <c r="J26" s="37"/>
      <c r="K26" s="38"/>
      <c r="L26" s="38"/>
      <c r="M26" s="38"/>
      <c r="N26" s="39"/>
    </row>
    <row r="27" spans="1:14" ht="15.75" customHeight="1" x14ac:dyDescent="0.3">
      <c r="A27" s="40" t="str">
        <f>IF(IGRF!H12="","",IGRF!H12)</f>
        <v>1542</v>
      </c>
      <c r="B27" s="41" t="str">
        <f>IF(IGRF!I12="","",IGRF!I12)</f>
        <v>Mary Queen of Skates</v>
      </c>
      <c r="C27" s="42"/>
      <c r="D27" s="43"/>
      <c r="E27" s="43"/>
      <c r="F27" s="43"/>
      <c r="G27" s="44"/>
      <c r="H27" s="40" t="str">
        <f t="shared" si="0"/>
        <v>1542</v>
      </c>
      <c r="I27" s="41" t="str">
        <f t="shared" si="1"/>
        <v>Mary Queen of Skates</v>
      </c>
      <c r="J27" s="42"/>
      <c r="K27" s="43"/>
      <c r="L27" s="43"/>
      <c r="M27" s="43"/>
      <c r="N27" s="44"/>
    </row>
    <row r="28" spans="1:14" ht="15.75" customHeight="1" x14ac:dyDescent="0.3">
      <c r="A28" s="35" t="str">
        <f>IF(IGRF!H13="","",IGRF!H13)</f>
        <v>16</v>
      </c>
      <c r="B28" s="36" t="str">
        <f>IF(IGRF!I13="","",IGRF!I13)</f>
        <v>Mistilla</v>
      </c>
      <c r="C28" s="37"/>
      <c r="D28" s="38"/>
      <c r="E28" s="38"/>
      <c r="F28" s="38"/>
      <c r="G28" s="39"/>
      <c r="H28" s="35" t="str">
        <f t="shared" si="0"/>
        <v>16</v>
      </c>
      <c r="I28" s="36" t="str">
        <f t="shared" si="1"/>
        <v>Mistilla</v>
      </c>
      <c r="J28" s="37"/>
      <c r="K28" s="38"/>
      <c r="L28" s="38"/>
      <c r="M28" s="38"/>
      <c r="N28" s="39"/>
    </row>
    <row r="29" spans="1:14" ht="15.75" customHeight="1" x14ac:dyDescent="0.3">
      <c r="A29" s="40" t="str">
        <f>IF(IGRF!H14="","",IGRF!H14)</f>
        <v>19</v>
      </c>
      <c r="B29" s="41" t="str">
        <f>IF(IGRF!I14="","",IGRF!I14)</f>
        <v>Betty Watchett</v>
      </c>
      <c r="C29" s="42"/>
      <c r="D29" s="43"/>
      <c r="E29" s="43"/>
      <c r="F29" s="43"/>
      <c r="G29" s="44"/>
      <c r="H29" s="40" t="str">
        <f t="shared" si="0"/>
        <v>19</v>
      </c>
      <c r="I29" s="41" t="str">
        <f t="shared" si="1"/>
        <v>Betty Watchett</v>
      </c>
      <c r="J29" s="42"/>
      <c r="K29" s="43"/>
      <c r="L29" s="43"/>
      <c r="M29" s="43"/>
      <c r="N29" s="44"/>
    </row>
    <row r="30" spans="1:14" ht="15.75" customHeight="1" x14ac:dyDescent="0.3">
      <c r="A30" s="35" t="str">
        <f>IF(IGRF!H15="","",IGRF!H15)</f>
        <v>2000</v>
      </c>
      <c r="B30" s="36" t="str">
        <f>IF(IGRF!I15="","",IGRF!I15)</f>
        <v>Lisa Lava</v>
      </c>
      <c r="C30" s="37"/>
      <c r="D30" s="38"/>
      <c r="E30" s="38"/>
      <c r="F30" s="38"/>
      <c r="G30" s="39"/>
      <c r="H30" s="35" t="str">
        <f t="shared" si="0"/>
        <v>2000</v>
      </c>
      <c r="I30" s="36" t="str">
        <f t="shared" si="1"/>
        <v>Lisa Lava</v>
      </c>
      <c r="J30" s="37"/>
      <c r="K30" s="38"/>
      <c r="L30" s="38"/>
      <c r="M30" s="38"/>
      <c r="N30" s="39"/>
    </row>
    <row r="31" spans="1:14" ht="15.75" customHeight="1" x14ac:dyDescent="0.3">
      <c r="A31" s="40" t="str">
        <f>IF(IGRF!H16="","",IGRF!H16)</f>
        <v>201</v>
      </c>
      <c r="B31" s="41" t="str">
        <f>IF(IGRF!I16="","",IGRF!I16)</f>
        <v>Dutch Destroyer</v>
      </c>
      <c r="C31" s="42"/>
      <c r="D31" s="43"/>
      <c r="E31" s="43"/>
      <c r="F31" s="43"/>
      <c r="G31" s="44"/>
      <c r="H31" s="40" t="str">
        <f t="shared" si="0"/>
        <v>201</v>
      </c>
      <c r="I31" s="41" t="str">
        <f t="shared" si="1"/>
        <v>Dutch Destroyer</v>
      </c>
      <c r="J31" s="42"/>
      <c r="K31" s="43"/>
      <c r="L31" s="43"/>
      <c r="M31" s="43"/>
      <c r="N31" s="44"/>
    </row>
    <row r="32" spans="1:14" ht="15.75" customHeight="1" x14ac:dyDescent="0.3">
      <c r="A32" s="35" t="str">
        <f>IF(IGRF!H17="","",IGRF!H17)</f>
        <v>21</v>
      </c>
      <c r="B32" s="36" t="str">
        <f>IF(IGRF!I17="","",IGRF!I17)</f>
        <v>Jekyll &amp; Heidi</v>
      </c>
      <c r="C32" s="37"/>
      <c r="D32" s="38"/>
      <c r="E32" s="38"/>
      <c r="F32" s="38"/>
      <c r="G32" s="39"/>
      <c r="H32" s="35" t="str">
        <f t="shared" si="0"/>
        <v>21</v>
      </c>
      <c r="I32" s="36" t="str">
        <f t="shared" si="1"/>
        <v>Jekyll &amp; Heidi</v>
      </c>
      <c r="J32" s="37"/>
      <c r="K32" s="38"/>
      <c r="L32" s="38"/>
      <c r="M32" s="38"/>
      <c r="N32" s="39"/>
    </row>
    <row r="33" spans="1:14" ht="15.75" customHeight="1" x14ac:dyDescent="0.3">
      <c r="A33" s="40" t="str">
        <f>IF(IGRF!H18="","",IGRF!H18)</f>
        <v>22</v>
      </c>
      <c r="B33" s="41" t="str">
        <f>IF(IGRF!I18="","",IGRF!I18)</f>
        <v>Freight Train</v>
      </c>
      <c r="C33" s="42"/>
      <c r="D33" s="43"/>
      <c r="E33" s="43"/>
      <c r="F33" s="43"/>
      <c r="G33" s="44"/>
      <c r="H33" s="40" t="str">
        <f t="shared" si="0"/>
        <v>22</v>
      </c>
      <c r="I33" s="41" t="str">
        <f t="shared" si="1"/>
        <v>Freight Train</v>
      </c>
      <c r="J33" s="42"/>
      <c r="K33" s="43"/>
      <c r="L33" s="43"/>
      <c r="M33" s="43"/>
      <c r="N33" s="44"/>
    </row>
    <row r="34" spans="1:14" ht="15.75" customHeight="1" x14ac:dyDescent="0.3">
      <c r="A34" s="35" t="str">
        <f>IF(IGRF!H19="","",IGRF!H19)</f>
        <v>312</v>
      </c>
      <c r="B34" s="36" t="str">
        <f>IF(IGRF!I19="","",IGRF!I19)</f>
        <v>2x Force</v>
      </c>
      <c r="C34" s="37"/>
      <c r="D34" s="38"/>
      <c r="E34" s="38"/>
      <c r="F34" s="38"/>
      <c r="G34" s="39"/>
      <c r="H34" s="35" t="str">
        <f t="shared" si="0"/>
        <v>312</v>
      </c>
      <c r="I34" s="36" t="str">
        <f t="shared" si="1"/>
        <v>2x Force</v>
      </c>
      <c r="J34" s="37"/>
      <c r="K34" s="38"/>
      <c r="L34" s="38"/>
      <c r="M34" s="38"/>
      <c r="N34" s="39"/>
    </row>
    <row r="35" spans="1:14" ht="15.75" customHeight="1" x14ac:dyDescent="0.3">
      <c r="A35" s="40" t="str">
        <f>IF(IGRF!H20="","",IGRF!H20)</f>
        <v>51</v>
      </c>
      <c r="B35" s="41" t="str">
        <f>IF(IGRF!I20="","",IGRF!I20)</f>
        <v>Bustin’ Beaver</v>
      </c>
      <c r="C35" s="42"/>
      <c r="D35" s="43"/>
      <c r="E35" s="43"/>
      <c r="F35" s="43"/>
      <c r="G35" s="44"/>
      <c r="H35" s="40" t="str">
        <f t="shared" si="0"/>
        <v>51</v>
      </c>
      <c r="I35" s="41" t="str">
        <f t="shared" si="1"/>
        <v>Bustin’ Beaver</v>
      </c>
      <c r="J35" s="42"/>
      <c r="K35" s="43"/>
      <c r="L35" s="43"/>
      <c r="M35" s="43"/>
      <c r="N35" s="44"/>
    </row>
    <row r="36" spans="1:14" ht="15.75" customHeight="1" x14ac:dyDescent="0.3">
      <c r="A36" s="35" t="str">
        <f>IF(IGRF!H21="","",IGRF!H21)</f>
        <v>5309</v>
      </c>
      <c r="B36" s="36" t="str">
        <f>IF(IGRF!I21="","",IGRF!I21)</f>
        <v>Toxic Assets</v>
      </c>
      <c r="C36" s="37"/>
      <c r="D36" s="38"/>
      <c r="E36" s="38"/>
      <c r="F36" s="38"/>
      <c r="G36" s="39"/>
      <c r="H36" s="35" t="str">
        <f t="shared" si="0"/>
        <v>5309</v>
      </c>
      <c r="I36" s="36" t="str">
        <f t="shared" si="1"/>
        <v>Toxic Assets</v>
      </c>
      <c r="J36" s="37"/>
      <c r="K36" s="38"/>
      <c r="L36" s="38"/>
      <c r="M36" s="38"/>
      <c r="N36" s="39"/>
    </row>
    <row r="37" spans="1:14" ht="15.75" customHeight="1" x14ac:dyDescent="0.3">
      <c r="A37" s="40" t="str">
        <f>IF(IGRF!H22="","",IGRF!H22)</f>
        <v>69</v>
      </c>
      <c r="B37" s="41" t="str">
        <f>IF(IGRF!I22="","",IGRF!I22)</f>
        <v>Death By Chocolate</v>
      </c>
      <c r="C37" s="42"/>
      <c r="D37" s="43"/>
      <c r="E37" s="43"/>
      <c r="F37" s="43"/>
      <c r="G37" s="44"/>
      <c r="H37" s="40" t="str">
        <f t="shared" si="0"/>
        <v>69</v>
      </c>
      <c r="I37" s="41" t="str">
        <f t="shared" si="1"/>
        <v>Death By Chocolate</v>
      </c>
      <c r="J37" s="42"/>
      <c r="K37" s="43"/>
      <c r="L37" s="43"/>
      <c r="M37" s="43"/>
      <c r="N37" s="44"/>
    </row>
    <row r="38" spans="1:14" ht="15.75" customHeight="1" x14ac:dyDescent="0.3">
      <c r="A38" s="35" t="str">
        <f>IF(IGRF!H23="","",IGRF!H23)</f>
        <v>9</v>
      </c>
      <c r="B38" s="36" t="str">
        <f>IF(IGRF!I23="","",IGRF!I23)</f>
        <v>Big Bad Voodoo Dollie</v>
      </c>
      <c r="C38" s="37"/>
      <c r="D38" s="38"/>
      <c r="E38" s="38"/>
      <c r="F38" s="38"/>
      <c r="G38" s="39"/>
      <c r="H38" s="35" t="str">
        <f t="shared" si="0"/>
        <v>9</v>
      </c>
      <c r="I38" s="36" t="str">
        <f t="shared" si="1"/>
        <v>Big Bad Voodoo Dollie</v>
      </c>
      <c r="J38" s="37"/>
      <c r="K38" s="38"/>
      <c r="L38" s="38"/>
      <c r="M38" s="38"/>
      <c r="N38" s="39"/>
    </row>
    <row r="39" spans="1:14" ht="15.75" customHeight="1" x14ac:dyDescent="0.3">
      <c r="A39" s="40" t="str">
        <f>IF(IGRF!H24="","",IGRF!H24)</f>
        <v>93</v>
      </c>
      <c r="B39" s="41" t="str">
        <f>IF(IGRF!I24="","",IGRF!I24)</f>
        <v>Erma Gerd</v>
      </c>
      <c r="C39" s="42"/>
      <c r="D39" s="43"/>
      <c r="E39" s="43"/>
      <c r="F39" s="43"/>
      <c r="G39" s="44"/>
      <c r="H39" s="40" t="str">
        <f t="shared" si="0"/>
        <v>93</v>
      </c>
      <c r="I39" s="41" t="str">
        <f t="shared" si="1"/>
        <v>Erma Gerd</v>
      </c>
      <c r="J39" s="42"/>
      <c r="K39" s="43"/>
      <c r="L39" s="43"/>
      <c r="M39" s="43"/>
      <c r="N39" s="44"/>
    </row>
    <row r="40" spans="1:14" ht="15.75" customHeight="1" x14ac:dyDescent="0.3">
      <c r="A40" s="35" t="str">
        <f>IF(IGRF!H25="","",IGRF!H25)</f>
        <v/>
      </c>
      <c r="B40" s="36" t="str">
        <f>IF(IGRF!I25="","",IGRF!I25)</f>
        <v/>
      </c>
      <c r="C40" s="37"/>
      <c r="D40" s="38"/>
      <c r="E40" s="38"/>
      <c r="F40" s="38"/>
      <c r="G40" s="39"/>
      <c r="H40" s="35" t="str">
        <f t="shared" si="0"/>
        <v/>
      </c>
      <c r="I40" s="36" t="str">
        <f t="shared" si="1"/>
        <v/>
      </c>
      <c r="J40" s="37"/>
      <c r="K40" s="38"/>
      <c r="L40" s="38"/>
      <c r="M40" s="38"/>
      <c r="N40" s="39"/>
    </row>
    <row r="41" spans="1:14" ht="15.75" customHeight="1" x14ac:dyDescent="0.3">
      <c r="A41" s="40" t="str">
        <f>IF(IGRF!H26="","",IGRF!H26)</f>
        <v/>
      </c>
      <c r="B41" s="41" t="str">
        <f>IF(IGRF!I26="","",IGRF!I26)</f>
        <v/>
      </c>
      <c r="C41" s="42"/>
      <c r="D41" s="43"/>
      <c r="E41" s="43"/>
      <c r="F41" s="43"/>
      <c r="G41" s="44"/>
      <c r="H41" s="40" t="str">
        <f t="shared" si="0"/>
        <v/>
      </c>
      <c r="I41" s="41" t="str">
        <f t="shared" si="1"/>
        <v/>
      </c>
      <c r="J41" s="42"/>
      <c r="K41" s="43"/>
      <c r="L41" s="43"/>
      <c r="M41" s="43"/>
      <c r="N41" s="44"/>
    </row>
    <row r="42" spans="1:14" ht="15.75" customHeight="1" x14ac:dyDescent="0.3">
      <c r="A42" s="35" t="str">
        <f>IF(IGRF!H27="","",IGRF!H27)</f>
        <v/>
      </c>
      <c r="B42" s="36" t="str">
        <f>IF(IGRF!I27="","",IGRF!I27)</f>
        <v/>
      </c>
      <c r="C42" s="37"/>
      <c r="D42" s="38"/>
      <c r="E42" s="38"/>
      <c r="F42" s="38"/>
      <c r="G42" s="39"/>
      <c r="H42" s="35" t="str">
        <f t="shared" si="0"/>
        <v/>
      </c>
      <c r="I42" s="36" t="str">
        <f t="shared" si="1"/>
        <v/>
      </c>
      <c r="J42" s="37"/>
      <c r="K42" s="38"/>
      <c r="L42" s="38"/>
      <c r="M42" s="38"/>
      <c r="N42" s="39"/>
    </row>
    <row r="43" spans="1:14" ht="15.75" customHeight="1" x14ac:dyDescent="0.3">
      <c r="A43" s="40" t="str">
        <f>IF(IGRF!H28="","",IGRF!H28)</f>
        <v/>
      </c>
      <c r="B43" s="41" t="str">
        <f>IF(IGRF!I28="","",IGRF!I28)</f>
        <v/>
      </c>
      <c r="C43" s="42"/>
      <c r="D43" s="43"/>
      <c r="E43" s="43"/>
      <c r="F43" s="43"/>
      <c r="G43" s="44"/>
      <c r="H43" s="40" t="str">
        <f t="shared" si="0"/>
        <v/>
      </c>
      <c r="I43" s="41" t="str">
        <f t="shared" si="1"/>
        <v/>
      </c>
      <c r="J43" s="42"/>
      <c r="K43" s="43"/>
      <c r="L43" s="43"/>
      <c r="M43" s="43"/>
      <c r="N43" s="44"/>
    </row>
    <row r="44" spans="1:14" ht="15.75" customHeight="1" x14ac:dyDescent="0.3">
      <c r="A44" s="35" t="str">
        <f>IF(IGRF!H29="","",IGRF!H29)</f>
        <v/>
      </c>
      <c r="B44" s="36" t="str">
        <f>IF(IGRF!I29="","",IGRF!I29)</f>
        <v/>
      </c>
      <c r="C44" s="37"/>
      <c r="D44" s="38"/>
      <c r="E44" s="38"/>
      <c r="F44" s="38"/>
      <c r="G44" s="39"/>
      <c r="H44" s="35" t="str">
        <f t="shared" si="0"/>
        <v/>
      </c>
      <c r="I44" s="36" t="str">
        <f t="shared" si="1"/>
        <v/>
      </c>
      <c r="J44" s="37"/>
      <c r="K44" s="38"/>
      <c r="L44" s="38"/>
      <c r="M44" s="38"/>
      <c r="N44" s="39"/>
    </row>
    <row r="45" spans="1:14" ht="15.75" customHeight="1" thickBot="1" x14ac:dyDescent="0.35">
      <c r="A45" s="40" t="str">
        <f>IF(IGRF!H30="","",IGRF!H30)</f>
        <v/>
      </c>
      <c r="B45" s="41" t="str">
        <f>IF(IGRF!I30="","",IGRF!I30)</f>
        <v/>
      </c>
      <c r="C45" s="42"/>
      <c r="D45" s="43"/>
      <c r="E45" s="43"/>
      <c r="F45" s="43"/>
      <c r="G45" s="44"/>
      <c r="H45" s="40" t="str">
        <f t="shared" si="0"/>
        <v/>
      </c>
      <c r="I45" s="41" t="str">
        <f t="shared" si="1"/>
        <v/>
      </c>
      <c r="J45" s="42"/>
      <c r="K45" s="43"/>
      <c r="L45" s="43"/>
      <c r="M45" s="43"/>
      <c r="N45" s="44"/>
    </row>
    <row r="46" spans="1:14" ht="13.95" customHeight="1" x14ac:dyDescent="0.3">
      <c r="A46" s="1198" t="s">
        <v>360</v>
      </c>
      <c r="B46" s="1198"/>
      <c r="C46" s="1198"/>
      <c r="D46" s="1198"/>
      <c r="E46" s="1198"/>
      <c r="F46" s="1198"/>
      <c r="G46" s="1198"/>
      <c r="H46" s="1198" t="s">
        <v>360</v>
      </c>
      <c r="I46" s="1198"/>
      <c r="J46" s="1198"/>
      <c r="K46" s="1198"/>
      <c r="L46" s="1198"/>
      <c r="M46" s="1198"/>
      <c r="N46" s="1198"/>
    </row>
    <row r="47" spans="1:14" ht="13.95" customHeight="1" x14ac:dyDescent="0.3">
      <c r="A47" s="1196" t="s">
        <v>361</v>
      </c>
      <c r="B47" s="1196"/>
      <c r="C47" s="1196"/>
      <c r="D47" s="1196"/>
      <c r="E47" s="1196"/>
      <c r="F47" s="1196"/>
      <c r="G47" s="1196"/>
      <c r="H47" s="1196" t="s">
        <v>361</v>
      </c>
      <c r="I47" s="1196"/>
      <c r="J47" s="1196"/>
      <c r="K47" s="1196"/>
      <c r="L47" s="1196"/>
      <c r="M47" s="1196"/>
      <c r="N47" s="1196"/>
    </row>
    <row r="48" spans="1:14" ht="13.95" customHeight="1" x14ac:dyDescent="0.3">
      <c r="A48" s="1196" t="s">
        <v>362</v>
      </c>
      <c r="B48" s="1196"/>
      <c r="C48" s="1196"/>
      <c r="D48" s="1196"/>
      <c r="E48" s="1196"/>
      <c r="F48" s="1196"/>
      <c r="G48" s="1196"/>
      <c r="H48" s="1196" t="s">
        <v>362</v>
      </c>
      <c r="I48" s="1196"/>
      <c r="J48" s="1196"/>
      <c r="K48" s="1196"/>
      <c r="L48" s="1196"/>
      <c r="M48" s="1196"/>
      <c r="N48" s="1196"/>
    </row>
    <row r="49" spans="1:14" ht="13.5" customHeight="1" thickBot="1" x14ac:dyDescent="0.35">
      <c r="A49" s="1197" t="s">
        <v>363</v>
      </c>
      <c r="B49" s="1197"/>
      <c r="C49" s="1197"/>
      <c r="D49" s="1197"/>
      <c r="E49" s="1197"/>
      <c r="F49" s="1197"/>
      <c r="G49" s="1197"/>
      <c r="H49" s="1197" t="s">
        <v>363</v>
      </c>
      <c r="I49" s="1197"/>
      <c r="J49" s="1197"/>
      <c r="K49" s="1197"/>
      <c r="L49" s="1197"/>
      <c r="M49" s="1197"/>
      <c r="N49" s="1197"/>
    </row>
    <row r="50" spans="1:14" s="8" customFormat="1" ht="15" customHeight="1" x14ac:dyDescent="0.3">
      <c r="A50" s="1189"/>
      <c r="B50" s="1189"/>
      <c r="C50" s="1192" t="s">
        <v>349</v>
      </c>
      <c r="D50" s="1192"/>
      <c r="E50" s="1192"/>
      <c r="F50" s="1193">
        <f>IF(ISBLANK(IGRF!$B$5), "", IGRF!$B$5)</f>
        <v>41832</v>
      </c>
      <c r="G50" s="1188">
        <v>1</v>
      </c>
      <c r="H50" s="1189"/>
      <c r="I50" s="1189"/>
      <c r="J50" s="1192" t="s">
        <v>349</v>
      </c>
      <c r="K50" s="1192"/>
      <c r="L50" s="1192"/>
      <c r="M50" s="1193">
        <f>IF(ISBLANK(IGRF!$B$5), "", IGRF!$B$5)</f>
        <v>41832</v>
      </c>
      <c r="N50" s="1188">
        <v>2</v>
      </c>
    </row>
    <row r="51" spans="1:14" s="8" customFormat="1" ht="15" customHeight="1" x14ac:dyDescent="0.3">
      <c r="A51" s="1190"/>
      <c r="B51" s="1190"/>
      <c r="C51" s="1195" t="str">
        <f>Score!$A$1</f>
        <v>Rat City Rollergirls / All-Stars</v>
      </c>
      <c r="D51" s="1195"/>
      <c r="E51" s="1195"/>
      <c r="F51" s="1194"/>
      <c r="G51" s="1188"/>
      <c r="H51" s="1190"/>
      <c r="I51" s="1190"/>
      <c r="J51" s="1195" t="str">
        <f>C51</f>
        <v>Rat City Rollergirls / All-Stars</v>
      </c>
      <c r="K51" s="1195"/>
      <c r="L51" s="1195"/>
      <c r="M51" s="1194"/>
      <c r="N51" s="1188"/>
    </row>
    <row r="52" spans="1:14" s="8" customFormat="1" ht="15" customHeight="1" x14ac:dyDescent="0.3">
      <c r="A52" s="1191" t="s">
        <v>350</v>
      </c>
      <c r="B52" s="1191"/>
      <c r="C52" s="1195"/>
      <c r="D52" s="1195"/>
      <c r="E52" s="1195"/>
      <c r="F52" s="33" t="s">
        <v>355</v>
      </c>
      <c r="G52" s="34" t="str">
        <f>G3</f>
        <v>GAME 2</v>
      </c>
      <c r="H52" s="1191" t="s">
        <v>350</v>
      </c>
      <c r="I52" s="1191"/>
      <c r="J52" s="1195"/>
      <c r="K52" s="1195"/>
      <c r="L52" s="1195"/>
      <c r="M52" s="33" t="s">
        <v>355</v>
      </c>
      <c r="N52" s="34" t="str">
        <f>G3</f>
        <v>GAME 2</v>
      </c>
    </row>
    <row r="53" spans="1:14" s="8" customFormat="1" ht="19.95" customHeight="1" x14ac:dyDescent="0.3">
      <c r="A53" s="1202" t="str">
        <f>Score!$T$1</f>
        <v>Houston Roller Derby / All-Stars</v>
      </c>
      <c r="B53" s="1204"/>
      <c r="C53" s="242" t="s">
        <v>151</v>
      </c>
      <c r="D53" s="243" t="s">
        <v>152</v>
      </c>
      <c r="E53" s="243" t="s">
        <v>88</v>
      </c>
      <c r="F53" s="243" t="s">
        <v>89</v>
      </c>
      <c r="G53" s="244" t="s">
        <v>90</v>
      </c>
      <c r="H53" s="1202" t="str">
        <f t="shared" ref="H53:H94" si="2">A53</f>
        <v>Houston Roller Derby / All-Stars</v>
      </c>
      <c r="I53" s="1204"/>
      <c r="J53" s="242" t="s">
        <v>151</v>
      </c>
      <c r="K53" s="243" t="s">
        <v>152</v>
      </c>
      <c r="L53" s="243" t="s">
        <v>88</v>
      </c>
      <c r="M53" s="243" t="s">
        <v>89</v>
      </c>
      <c r="N53" s="244" t="s">
        <v>90</v>
      </c>
    </row>
    <row r="54" spans="1:14" ht="15.75" customHeight="1" x14ac:dyDescent="0.3">
      <c r="A54" s="35" t="str">
        <f>IF(IGRF!H11="","",IGRF!H11)</f>
        <v>112</v>
      </c>
      <c r="B54" s="36" t="str">
        <f>IF(IGRF!I11="","",IGRF!I11)</f>
        <v>Singapore Rogue</v>
      </c>
      <c r="C54" s="37"/>
      <c r="D54" s="38"/>
      <c r="E54" s="38"/>
      <c r="F54" s="38"/>
      <c r="G54" s="39"/>
      <c r="H54" s="35" t="str">
        <f t="shared" si="2"/>
        <v>112</v>
      </c>
      <c r="I54" s="36" t="str">
        <f t="shared" ref="I54:I73" si="3">B54</f>
        <v>Singapore Rogue</v>
      </c>
      <c r="J54" s="37"/>
      <c r="K54" s="38"/>
      <c r="L54" s="38"/>
      <c r="M54" s="38"/>
      <c r="N54" s="39"/>
    </row>
    <row r="55" spans="1:14" ht="15.75" customHeight="1" x14ac:dyDescent="0.3">
      <c r="A55" s="40" t="str">
        <f>IF(IGRF!H12="","",IGRF!H12)</f>
        <v>1542</v>
      </c>
      <c r="B55" s="41" t="str">
        <f>IF(IGRF!I12="","",IGRF!I12)</f>
        <v>Mary Queen of Skates</v>
      </c>
      <c r="C55" s="42"/>
      <c r="D55" s="43"/>
      <c r="E55" s="43"/>
      <c r="F55" s="43"/>
      <c r="G55" s="44"/>
      <c r="H55" s="40" t="str">
        <f t="shared" si="2"/>
        <v>1542</v>
      </c>
      <c r="I55" s="41" t="str">
        <f t="shared" si="3"/>
        <v>Mary Queen of Skates</v>
      </c>
      <c r="J55" s="42"/>
      <c r="K55" s="43"/>
      <c r="L55" s="43"/>
      <c r="M55" s="43"/>
      <c r="N55" s="44"/>
    </row>
    <row r="56" spans="1:14" ht="15.75" customHeight="1" x14ac:dyDescent="0.3">
      <c r="A56" s="35" t="str">
        <f>IF(IGRF!H13="","",IGRF!H13)</f>
        <v>16</v>
      </c>
      <c r="B56" s="36" t="str">
        <f>IF(IGRF!I13="","",IGRF!I13)</f>
        <v>Mistilla</v>
      </c>
      <c r="C56" s="37"/>
      <c r="D56" s="38"/>
      <c r="E56" s="38"/>
      <c r="F56" s="38"/>
      <c r="G56" s="39"/>
      <c r="H56" s="35" t="str">
        <f t="shared" si="2"/>
        <v>16</v>
      </c>
      <c r="I56" s="36" t="str">
        <f t="shared" si="3"/>
        <v>Mistilla</v>
      </c>
      <c r="J56" s="37"/>
      <c r="K56" s="38"/>
      <c r="L56" s="38"/>
      <c r="M56" s="38"/>
      <c r="N56" s="39"/>
    </row>
    <row r="57" spans="1:14" ht="15.75" customHeight="1" x14ac:dyDescent="0.3">
      <c r="A57" s="40" t="str">
        <f>IF(IGRF!H14="","",IGRF!H14)</f>
        <v>19</v>
      </c>
      <c r="B57" s="41" t="str">
        <f>IF(IGRF!I14="","",IGRF!I14)</f>
        <v>Betty Watchett</v>
      </c>
      <c r="C57" s="42"/>
      <c r="D57" s="43"/>
      <c r="E57" s="43"/>
      <c r="F57" s="43"/>
      <c r="G57" s="44"/>
      <c r="H57" s="40" t="str">
        <f t="shared" si="2"/>
        <v>19</v>
      </c>
      <c r="I57" s="41" t="str">
        <f t="shared" si="3"/>
        <v>Betty Watchett</v>
      </c>
      <c r="J57" s="42"/>
      <c r="K57" s="43"/>
      <c r="L57" s="43"/>
      <c r="M57" s="43"/>
      <c r="N57" s="44"/>
    </row>
    <row r="58" spans="1:14" ht="15.75" customHeight="1" x14ac:dyDescent="0.3">
      <c r="A58" s="35" t="str">
        <f>IF(IGRF!H15="","",IGRF!H15)</f>
        <v>2000</v>
      </c>
      <c r="B58" s="36" t="str">
        <f>IF(IGRF!I15="","",IGRF!I15)</f>
        <v>Lisa Lava</v>
      </c>
      <c r="C58" s="37"/>
      <c r="D58" s="38"/>
      <c r="E58" s="38"/>
      <c r="F58" s="38"/>
      <c r="G58" s="39"/>
      <c r="H58" s="35" t="str">
        <f t="shared" si="2"/>
        <v>2000</v>
      </c>
      <c r="I58" s="36" t="str">
        <f t="shared" si="3"/>
        <v>Lisa Lava</v>
      </c>
      <c r="J58" s="37"/>
      <c r="K58" s="38"/>
      <c r="L58" s="38"/>
      <c r="M58" s="38"/>
      <c r="N58" s="39"/>
    </row>
    <row r="59" spans="1:14" ht="15.75" customHeight="1" x14ac:dyDescent="0.3">
      <c r="A59" s="40" t="str">
        <f>IF(IGRF!H16="","",IGRF!H16)</f>
        <v>201</v>
      </c>
      <c r="B59" s="41" t="str">
        <f>IF(IGRF!I16="","",IGRF!I16)</f>
        <v>Dutch Destroyer</v>
      </c>
      <c r="C59" s="42"/>
      <c r="D59" s="43"/>
      <c r="E59" s="43"/>
      <c r="F59" s="43"/>
      <c r="G59" s="44"/>
      <c r="H59" s="40" t="str">
        <f t="shared" si="2"/>
        <v>201</v>
      </c>
      <c r="I59" s="41" t="str">
        <f t="shared" si="3"/>
        <v>Dutch Destroyer</v>
      </c>
      <c r="J59" s="42"/>
      <c r="K59" s="43"/>
      <c r="L59" s="43"/>
      <c r="M59" s="43"/>
      <c r="N59" s="44"/>
    </row>
    <row r="60" spans="1:14" ht="15.75" customHeight="1" x14ac:dyDescent="0.3">
      <c r="A60" s="35" t="str">
        <f>IF(IGRF!H17="","",IGRF!H17)</f>
        <v>21</v>
      </c>
      <c r="B60" s="36" t="str">
        <f>IF(IGRF!I17="","",IGRF!I17)</f>
        <v>Jekyll &amp; Heidi</v>
      </c>
      <c r="C60" s="37"/>
      <c r="D60" s="38"/>
      <c r="E60" s="38"/>
      <c r="F60" s="38"/>
      <c r="G60" s="39"/>
      <c r="H60" s="35" t="str">
        <f t="shared" si="2"/>
        <v>21</v>
      </c>
      <c r="I60" s="36" t="str">
        <f t="shared" si="3"/>
        <v>Jekyll &amp; Heidi</v>
      </c>
      <c r="J60" s="37"/>
      <c r="K60" s="38"/>
      <c r="L60" s="38"/>
      <c r="M60" s="38"/>
      <c r="N60" s="39"/>
    </row>
    <row r="61" spans="1:14" ht="15.75" customHeight="1" x14ac:dyDescent="0.3">
      <c r="A61" s="40" t="str">
        <f>IF(IGRF!H18="","",IGRF!H18)</f>
        <v>22</v>
      </c>
      <c r="B61" s="41" t="str">
        <f>IF(IGRF!I18="","",IGRF!I18)</f>
        <v>Freight Train</v>
      </c>
      <c r="C61" s="42"/>
      <c r="D61" s="43"/>
      <c r="E61" s="43"/>
      <c r="F61" s="43"/>
      <c r="G61" s="44"/>
      <c r="H61" s="40" t="str">
        <f t="shared" si="2"/>
        <v>22</v>
      </c>
      <c r="I61" s="41" t="str">
        <f t="shared" si="3"/>
        <v>Freight Train</v>
      </c>
      <c r="J61" s="42"/>
      <c r="K61" s="43"/>
      <c r="L61" s="43"/>
      <c r="M61" s="43"/>
      <c r="N61" s="44"/>
    </row>
    <row r="62" spans="1:14" ht="15.75" customHeight="1" x14ac:dyDescent="0.3">
      <c r="A62" s="35" t="str">
        <f>IF(IGRF!H19="","",IGRF!H19)</f>
        <v>312</v>
      </c>
      <c r="B62" s="36" t="str">
        <f>IF(IGRF!I19="","",IGRF!I19)</f>
        <v>2x Force</v>
      </c>
      <c r="C62" s="37"/>
      <c r="D62" s="38"/>
      <c r="E62" s="38"/>
      <c r="F62" s="38"/>
      <c r="G62" s="39"/>
      <c r="H62" s="35" t="str">
        <f t="shared" si="2"/>
        <v>312</v>
      </c>
      <c r="I62" s="36" t="str">
        <f t="shared" si="3"/>
        <v>2x Force</v>
      </c>
      <c r="J62" s="37"/>
      <c r="K62" s="38"/>
      <c r="L62" s="38"/>
      <c r="M62" s="38"/>
      <c r="N62" s="39"/>
    </row>
    <row r="63" spans="1:14" ht="15.75" customHeight="1" x14ac:dyDescent="0.3">
      <c r="A63" s="40" t="str">
        <f>IF(IGRF!H20="","",IGRF!H20)</f>
        <v>51</v>
      </c>
      <c r="B63" s="41" t="str">
        <f>IF(IGRF!I20="","",IGRF!I20)</f>
        <v>Bustin’ Beaver</v>
      </c>
      <c r="C63" s="42"/>
      <c r="D63" s="43"/>
      <c r="E63" s="43"/>
      <c r="F63" s="43"/>
      <c r="G63" s="44"/>
      <c r="H63" s="40" t="str">
        <f t="shared" si="2"/>
        <v>51</v>
      </c>
      <c r="I63" s="41" t="str">
        <f t="shared" si="3"/>
        <v>Bustin’ Beaver</v>
      </c>
      <c r="J63" s="42"/>
      <c r="K63" s="43"/>
      <c r="L63" s="43"/>
      <c r="M63" s="43"/>
      <c r="N63" s="44"/>
    </row>
    <row r="64" spans="1:14" ht="15.75" customHeight="1" x14ac:dyDescent="0.3">
      <c r="A64" s="35" t="str">
        <f>IF(IGRF!H21="","",IGRF!H21)</f>
        <v>5309</v>
      </c>
      <c r="B64" s="36" t="str">
        <f>IF(IGRF!I21="","",IGRF!I21)</f>
        <v>Toxic Assets</v>
      </c>
      <c r="C64" s="37"/>
      <c r="D64" s="38"/>
      <c r="E64" s="38"/>
      <c r="F64" s="38"/>
      <c r="G64" s="39"/>
      <c r="H64" s="35" t="str">
        <f t="shared" si="2"/>
        <v>5309</v>
      </c>
      <c r="I64" s="36" t="str">
        <f t="shared" si="3"/>
        <v>Toxic Assets</v>
      </c>
      <c r="J64" s="37"/>
      <c r="K64" s="38"/>
      <c r="L64" s="38"/>
      <c r="M64" s="38"/>
      <c r="N64" s="39"/>
    </row>
    <row r="65" spans="1:14" ht="15.75" customHeight="1" x14ac:dyDescent="0.3">
      <c r="A65" s="40" t="str">
        <f>IF(IGRF!H22="","",IGRF!H22)</f>
        <v>69</v>
      </c>
      <c r="B65" s="41" t="str">
        <f>IF(IGRF!I22="","",IGRF!I22)</f>
        <v>Death By Chocolate</v>
      </c>
      <c r="C65" s="42"/>
      <c r="D65" s="43"/>
      <c r="E65" s="43"/>
      <c r="F65" s="43"/>
      <c r="G65" s="44"/>
      <c r="H65" s="40" t="str">
        <f t="shared" si="2"/>
        <v>69</v>
      </c>
      <c r="I65" s="41" t="str">
        <f t="shared" si="3"/>
        <v>Death By Chocolate</v>
      </c>
      <c r="J65" s="42"/>
      <c r="K65" s="43"/>
      <c r="L65" s="43"/>
      <c r="M65" s="43"/>
      <c r="N65" s="44"/>
    </row>
    <row r="66" spans="1:14" ht="15.75" customHeight="1" x14ac:dyDescent="0.3">
      <c r="A66" s="35" t="str">
        <f>IF(IGRF!H23="","",IGRF!H23)</f>
        <v>9</v>
      </c>
      <c r="B66" s="36" t="str">
        <f>IF(IGRF!I23="","",IGRF!I23)</f>
        <v>Big Bad Voodoo Dollie</v>
      </c>
      <c r="C66" s="37"/>
      <c r="D66" s="38"/>
      <c r="E66" s="38"/>
      <c r="F66" s="38"/>
      <c r="G66" s="39"/>
      <c r="H66" s="35" t="str">
        <f t="shared" si="2"/>
        <v>9</v>
      </c>
      <c r="I66" s="36" t="str">
        <f t="shared" si="3"/>
        <v>Big Bad Voodoo Dollie</v>
      </c>
      <c r="J66" s="37"/>
      <c r="K66" s="38"/>
      <c r="L66" s="38"/>
      <c r="M66" s="38"/>
      <c r="N66" s="39"/>
    </row>
    <row r="67" spans="1:14" ht="15.75" customHeight="1" x14ac:dyDescent="0.3">
      <c r="A67" s="40" t="str">
        <f>IF(IGRF!H24="","",IGRF!H24)</f>
        <v>93</v>
      </c>
      <c r="B67" s="41" t="str">
        <f>IF(IGRF!I24="","",IGRF!I24)</f>
        <v>Erma Gerd</v>
      </c>
      <c r="C67" s="42"/>
      <c r="D67" s="43"/>
      <c r="E67" s="43"/>
      <c r="F67" s="43"/>
      <c r="G67" s="44"/>
      <c r="H67" s="40" t="str">
        <f t="shared" si="2"/>
        <v>93</v>
      </c>
      <c r="I67" s="41" t="str">
        <f t="shared" si="3"/>
        <v>Erma Gerd</v>
      </c>
      <c r="J67" s="42"/>
      <c r="K67" s="43"/>
      <c r="L67" s="43"/>
      <c r="M67" s="43"/>
      <c r="N67" s="44"/>
    </row>
    <row r="68" spans="1:14" ht="15.75" customHeight="1" x14ac:dyDescent="0.3">
      <c r="A68" s="35" t="str">
        <f>IF(IGRF!H25="","",IGRF!H25)</f>
        <v/>
      </c>
      <c r="B68" s="36" t="str">
        <f>IF(IGRF!I25="","",IGRF!I25)</f>
        <v/>
      </c>
      <c r="C68" s="37"/>
      <c r="D68" s="38"/>
      <c r="E68" s="38"/>
      <c r="F68" s="38"/>
      <c r="G68" s="39"/>
      <c r="H68" s="35" t="str">
        <f t="shared" si="2"/>
        <v/>
      </c>
      <c r="I68" s="36" t="str">
        <f t="shared" si="3"/>
        <v/>
      </c>
      <c r="J68" s="37"/>
      <c r="K68" s="38"/>
      <c r="L68" s="38"/>
      <c r="M68" s="38"/>
      <c r="N68" s="39"/>
    </row>
    <row r="69" spans="1:14" ht="15.75" customHeight="1" x14ac:dyDescent="0.3">
      <c r="A69" s="40" t="str">
        <f>IF(IGRF!H26="","",IGRF!H26)</f>
        <v/>
      </c>
      <c r="B69" s="41" t="str">
        <f>IF(IGRF!I26="","",IGRF!I26)</f>
        <v/>
      </c>
      <c r="C69" s="42"/>
      <c r="D69" s="43"/>
      <c r="E69" s="43"/>
      <c r="F69" s="43"/>
      <c r="G69" s="44"/>
      <c r="H69" s="40" t="str">
        <f t="shared" si="2"/>
        <v/>
      </c>
      <c r="I69" s="41" t="str">
        <f t="shared" si="3"/>
        <v/>
      </c>
      <c r="J69" s="42"/>
      <c r="K69" s="43"/>
      <c r="L69" s="43"/>
      <c r="M69" s="43"/>
      <c r="N69" s="44"/>
    </row>
    <row r="70" spans="1:14" ht="15.75" customHeight="1" x14ac:dyDescent="0.3">
      <c r="A70" s="35" t="str">
        <f>IF(IGRF!H27="","",IGRF!H27)</f>
        <v/>
      </c>
      <c r="B70" s="36" t="str">
        <f>IF(IGRF!I27="","",IGRF!I27)</f>
        <v/>
      </c>
      <c r="C70" s="37"/>
      <c r="D70" s="38"/>
      <c r="E70" s="38"/>
      <c r="F70" s="38"/>
      <c r="G70" s="39"/>
      <c r="H70" s="35" t="str">
        <f t="shared" si="2"/>
        <v/>
      </c>
      <c r="I70" s="36" t="str">
        <f t="shared" si="3"/>
        <v/>
      </c>
      <c r="J70" s="37"/>
      <c r="K70" s="38"/>
      <c r="L70" s="38"/>
      <c r="M70" s="38"/>
      <c r="N70" s="39"/>
    </row>
    <row r="71" spans="1:14" ht="15.75" customHeight="1" x14ac:dyDescent="0.3">
      <c r="A71" s="40" t="str">
        <f>IF(IGRF!H28="","",IGRF!H28)</f>
        <v/>
      </c>
      <c r="B71" s="41" t="str">
        <f>IF(IGRF!I28="","",IGRF!I28)</f>
        <v/>
      </c>
      <c r="C71" s="42"/>
      <c r="D71" s="43"/>
      <c r="E71" s="43"/>
      <c r="F71" s="43"/>
      <c r="G71" s="44"/>
      <c r="H71" s="40" t="str">
        <f t="shared" si="2"/>
        <v/>
      </c>
      <c r="I71" s="41" t="str">
        <f t="shared" si="3"/>
        <v/>
      </c>
      <c r="J71" s="42"/>
      <c r="K71" s="43"/>
      <c r="L71" s="43"/>
      <c r="M71" s="43"/>
      <c r="N71" s="44"/>
    </row>
    <row r="72" spans="1:14" ht="15.75" customHeight="1" x14ac:dyDescent="0.3">
      <c r="A72" s="35" t="str">
        <f>IF(IGRF!H29="","",IGRF!H29)</f>
        <v/>
      </c>
      <c r="B72" s="36" t="str">
        <f>IF(IGRF!I29="","",IGRF!I29)</f>
        <v/>
      </c>
      <c r="C72" s="37"/>
      <c r="D72" s="38"/>
      <c r="E72" s="38"/>
      <c r="F72" s="38"/>
      <c r="G72" s="39"/>
      <c r="H72" s="35" t="str">
        <f t="shared" si="2"/>
        <v/>
      </c>
      <c r="I72" s="36" t="str">
        <f t="shared" si="3"/>
        <v/>
      </c>
      <c r="J72" s="37"/>
      <c r="K72" s="38"/>
      <c r="L72" s="38"/>
      <c r="M72" s="38"/>
      <c r="N72" s="39"/>
    </row>
    <row r="73" spans="1:14" ht="15.75" customHeight="1" x14ac:dyDescent="0.3">
      <c r="A73" s="40" t="str">
        <f>IF(IGRF!H30="","",IGRF!H30)</f>
        <v/>
      </c>
      <c r="B73" s="41" t="str">
        <f>IF(IGRF!I30="","",IGRF!I30)</f>
        <v/>
      </c>
      <c r="C73" s="42"/>
      <c r="D73" s="43"/>
      <c r="E73" s="43"/>
      <c r="F73" s="43"/>
      <c r="G73" s="44"/>
      <c r="H73" s="40" t="str">
        <f t="shared" si="2"/>
        <v/>
      </c>
      <c r="I73" s="41" t="str">
        <f t="shared" si="3"/>
        <v/>
      </c>
      <c r="J73" s="42"/>
      <c r="K73" s="43"/>
      <c r="L73" s="43"/>
      <c r="M73" s="43"/>
      <c r="N73" s="44"/>
    </row>
    <row r="74" spans="1:14" s="8" customFormat="1" ht="19.95" customHeight="1" x14ac:dyDescent="0.3">
      <c r="A74" s="1202" t="str">
        <f>C51</f>
        <v>Rat City Rollergirls / All-Stars</v>
      </c>
      <c r="B74" s="1203"/>
      <c r="C74" s="243" t="s">
        <v>91</v>
      </c>
      <c r="D74" s="243" t="s">
        <v>160</v>
      </c>
      <c r="E74" s="243" t="s">
        <v>161</v>
      </c>
      <c r="F74" s="243" t="s">
        <v>162</v>
      </c>
      <c r="G74" s="243" t="s">
        <v>163</v>
      </c>
      <c r="H74" s="1202" t="str">
        <f t="shared" si="2"/>
        <v>Rat City Rollergirls / All-Stars</v>
      </c>
      <c r="I74" s="1203"/>
      <c r="J74" s="243" t="s">
        <v>91</v>
      </c>
      <c r="K74" s="243" t="s">
        <v>160</v>
      </c>
      <c r="L74" s="243" t="s">
        <v>161</v>
      </c>
      <c r="M74" s="243" t="s">
        <v>162</v>
      </c>
      <c r="N74" s="243" t="s">
        <v>163</v>
      </c>
    </row>
    <row r="75" spans="1:14" ht="15.75" customHeight="1" x14ac:dyDescent="0.3">
      <c r="A75" s="35" t="str">
        <f>IF(IGRF!B11="","",IGRF!B11)</f>
        <v>12</v>
      </c>
      <c r="B75" s="36" t="str">
        <f>IF(IGRF!C11="","",IGRF!C11)</f>
        <v>Carmen Getsome</v>
      </c>
      <c r="C75" s="37"/>
      <c r="D75" s="38"/>
      <c r="E75" s="38"/>
      <c r="F75" s="38"/>
      <c r="G75" s="39"/>
      <c r="H75" s="35" t="str">
        <f t="shared" si="2"/>
        <v>12</v>
      </c>
      <c r="I75" s="36" t="str">
        <f t="shared" ref="I75:I94" si="4">B75</f>
        <v>Carmen Getsome</v>
      </c>
      <c r="J75" s="37"/>
      <c r="K75" s="38"/>
      <c r="L75" s="38"/>
      <c r="M75" s="38"/>
      <c r="N75" s="39"/>
    </row>
    <row r="76" spans="1:14" ht="15.75" customHeight="1" x14ac:dyDescent="0.3">
      <c r="A76" s="40" t="str">
        <f>IF(IGRF!B12="","",IGRF!B12)</f>
        <v>123</v>
      </c>
      <c r="B76" s="41" t="str">
        <f>IF(IGRF!C12="","",IGRF!C12)</f>
        <v>Nelson</v>
      </c>
      <c r="C76" s="42"/>
      <c r="D76" s="43"/>
      <c r="E76" s="43"/>
      <c r="F76" s="43"/>
      <c r="G76" s="44"/>
      <c r="H76" s="40" t="str">
        <f t="shared" si="2"/>
        <v>123</v>
      </c>
      <c r="I76" s="41" t="str">
        <f t="shared" si="4"/>
        <v>Nelson</v>
      </c>
      <c r="J76" s="42"/>
      <c r="K76" s="43"/>
      <c r="L76" s="43"/>
      <c r="M76" s="43"/>
      <c r="N76" s="44"/>
    </row>
    <row r="77" spans="1:14" ht="15.75" customHeight="1" x14ac:dyDescent="0.3">
      <c r="A77" s="35" t="str">
        <f>IF(IGRF!B13="","",IGRF!B13)</f>
        <v>14</v>
      </c>
      <c r="B77" s="36" t="str">
        <f>IF(IGRF!C13="","",IGRF!C13)</f>
        <v>Shorty Ounce</v>
      </c>
      <c r="C77" s="37"/>
      <c r="D77" s="38"/>
      <c r="E77" s="38"/>
      <c r="F77" s="38"/>
      <c r="G77" s="39"/>
      <c r="H77" s="35" t="str">
        <f t="shared" si="2"/>
        <v>14</v>
      </c>
      <c r="I77" s="36" t="str">
        <f t="shared" si="4"/>
        <v>Shorty Ounce</v>
      </c>
      <c r="J77" s="37"/>
      <c r="K77" s="38"/>
      <c r="L77" s="38"/>
      <c r="M77" s="38"/>
      <c r="N77" s="39"/>
    </row>
    <row r="78" spans="1:14" ht="15.75" customHeight="1" x14ac:dyDescent="0.3">
      <c r="A78" s="40" t="str">
        <f>IF(IGRF!B14="","",IGRF!B14)</f>
        <v>1618</v>
      </c>
      <c r="B78" s="41" t="str">
        <f>IF(IGRF!C14="","",IGRF!C14)</f>
        <v>Sintripital Force</v>
      </c>
      <c r="C78" s="42"/>
      <c r="D78" s="43"/>
      <c r="E78" s="43"/>
      <c r="F78" s="43"/>
      <c r="G78" s="44"/>
      <c r="H78" s="40" t="str">
        <f t="shared" si="2"/>
        <v>1618</v>
      </c>
      <c r="I78" s="41" t="str">
        <f t="shared" si="4"/>
        <v>Sintripital Force</v>
      </c>
      <c r="J78" s="42"/>
      <c r="K78" s="43"/>
      <c r="L78" s="43"/>
      <c r="M78" s="43"/>
      <c r="N78" s="44"/>
    </row>
    <row r="79" spans="1:14" ht="15.75" customHeight="1" x14ac:dyDescent="0.3">
      <c r="A79" s="35" t="str">
        <f>IF(IGRF!B15="","",IGRF!B15)</f>
        <v>22</v>
      </c>
      <c r="B79" s="36" t="str">
        <f>IF(IGRF!C15="","",IGRF!C15)</f>
        <v>Sami Automatic</v>
      </c>
      <c r="C79" s="37"/>
      <c r="D79" s="38"/>
      <c r="E79" s="38"/>
      <c r="F79" s="38"/>
      <c r="G79" s="39"/>
      <c r="H79" s="35" t="str">
        <f t="shared" si="2"/>
        <v>22</v>
      </c>
      <c r="I79" s="36" t="str">
        <f t="shared" si="4"/>
        <v>Sami Automatic</v>
      </c>
      <c r="J79" s="37"/>
      <c r="K79" s="38"/>
      <c r="L79" s="38"/>
      <c r="M79" s="38"/>
      <c r="N79" s="39"/>
    </row>
    <row r="80" spans="1:14" ht="15.75" customHeight="1" x14ac:dyDescent="0.3">
      <c r="A80" s="40" t="str">
        <f>IF(IGRF!B16="","",IGRF!B16)</f>
        <v>23</v>
      </c>
      <c r="B80" s="41" t="str">
        <f>IF(IGRF!C16="","",IGRF!C16)</f>
        <v>LeBrawn Maimes</v>
      </c>
      <c r="C80" s="42"/>
      <c r="D80" s="43"/>
      <c r="E80" s="43"/>
      <c r="F80" s="43"/>
      <c r="G80" s="44"/>
      <c r="H80" s="40" t="str">
        <f t="shared" si="2"/>
        <v>23</v>
      </c>
      <c r="I80" s="41" t="str">
        <f t="shared" si="4"/>
        <v>LeBrawn Maimes</v>
      </c>
      <c r="J80" s="42"/>
      <c r="K80" s="43"/>
      <c r="L80" s="43"/>
      <c r="M80" s="43"/>
      <c r="N80" s="44"/>
    </row>
    <row r="81" spans="1:14" ht="15.75" customHeight="1" x14ac:dyDescent="0.3">
      <c r="A81" s="35" t="str">
        <f>IF(IGRF!B17="","",IGRF!B17)</f>
        <v>321</v>
      </c>
      <c r="B81" s="36" t="str">
        <f>IF(IGRF!C17="","",IGRF!C17)</f>
        <v>Missile America</v>
      </c>
      <c r="C81" s="37"/>
      <c r="D81" s="38"/>
      <c r="E81" s="38"/>
      <c r="F81" s="38"/>
      <c r="G81" s="39"/>
      <c r="H81" s="35" t="str">
        <f t="shared" si="2"/>
        <v>321</v>
      </c>
      <c r="I81" s="36" t="str">
        <f t="shared" si="4"/>
        <v>Missile America</v>
      </c>
      <c r="J81" s="37"/>
      <c r="K81" s="38"/>
      <c r="L81" s="38"/>
      <c r="M81" s="38"/>
      <c r="N81" s="39"/>
    </row>
    <row r="82" spans="1:14" ht="15.75" customHeight="1" x14ac:dyDescent="0.3">
      <c r="A82" s="40" t="str">
        <f>IF(IGRF!B18="","",IGRF!B18)</f>
        <v>4</v>
      </c>
      <c r="B82" s="41" t="str">
        <f>IF(IGRF!C18="","",IGRF!C18)</f>
        <v>Belle Tolls</v>
      </c>
      <c r="C82" s="42"/>
      <c r="D82" s="43"/>
      <c r="E82" s="43"/>
      <c r="F82" s="43"/>
      <c r="G82" s="44"/>
      <c r="H82" s="40" t="str">
        <f t="shared" si="2"/>
        <v>4</v>
      </c>
      <c r="I82" s="41" t="str">
        <f t="shared" si="4"/>
        <v>Belle Tolls</v>
      </c>
      <c r="J82" s="42"/>
      <c r="K82" s="43"/>
      <c r="L82" s="43"/>
      <c r="M82" s="43"/>
      <c r="N82" s="44"/>
    </row>
    <row r="83" spans="1:14" ht="15.75" customHeight="1" x14ac:dyDescent="0.3">
      <c r="A83" s="35" t="str">
        <f>IF(IGRF!B19="","",IGRF!B19)</f>
        <v>505</v>
      </c>
      <c r="B83" s="36" t="str">
        <f>IF(IGRF!C19="","",IGRF!C19)</f>
        <v>Teddy Rupp</v>
      </c>
      <c r="C83" s="37"/>
      <c r="D83" s="38"/>
      <c r="E83" s="38"/>
      <c r="F83" s="38"/>
      <c r="G83" s="39"/>
      <c r="H83" s="35" t="str">
        <f t="shared" si="2"/>
        <v>505</v>
      </c>
      <c r="I83" s="36" t="str">
        <f t="shared" si="4"/>
        <v>Teddy Rupp</v>
      </c>
      <c r="J83" s="37"/>
      <c r="K83" s="38"/>
      <c r="L83" s="38"/>
      <c r="M83" s="38"/>
      <c r="N83" s="39"/>
    </row>
    <row r="84" spans="1:14" ht="15.75" customHeight="1" x14ac:dyDescent="0.3">
      <c r="A84" s="40" t="str">
        <f>IF(IGRF!B20="","",IGRF!B20)</f>
        <v>53</v>
      </c>
      <c r="B84" s="41" t="str">
        <f>IF(IGRF!C20="","",IGRF!C20)</f>
        <v>Raven Seaward</v>
      </c>
      <c r="C84" s="42"/>
      <c r="D84" s="43"/>
      <c r="E84" s="43"/>
      <c r="F84" s="43"/>
      <c r="G84" s="44"/>
      <c r="H84" s="40" t="str">
        <f t="shared" si="2"/>
        <v>53</v>
      </c>
      <c r="I84" s="41" t="str">
        <f t="shared" si="4"/>
        <v>Raven Seaward</v>
      </c>
      <c r="J84" s="42"/>
      <c r="K84" s="43"/>
      <c r="L84" s="43"/>
      <c r="M84" s="43"/>
      <c r="N84" s="44"/>
    </row>
    <row r="85" spans="1:14" ht="15.75" customHeight="1" x14ac:dyDescent="0.3">
      <c r="A85" s="35" t="str">
        <f>IF(IGRF!B21="","",IGRF!B21)</f>
        <v>761</v>
      </c>
      <c r="B85" s="36" t="str">
        <f>IF(IGRF!C21="","",IGRF!C21)</f>
        <v>Rawkhell SqWelch</v>
      </c>
      <c r="C85" s="37"/>
      <c r="D85" s="38"/>
      <c r="E85" s="38"/>
      <c r="F85" s="38"/>
      <c r="G85" s="39"/>
      <c r="H85" s="35" t="str">
        <f t="shared" si="2"/>
        <v>761</v>
      </c>
      <c r="I85" s="36" t="str">
        <f t="shared" si="4"/>
        <v>Rawkhell SqWelch</v>
      </c>
      <c r="J85" s="37"/>
      <c r="K85" s="38"/>
      <c r="L85" s="38"/>
      <c r="M85" s="38"/>
      <c r="N85" s="39"/>
    </row>
    <row r="86" spans="1:14" ht="15.75" customHeight="1" x14ac:dyDescent="0.3">
      <c r="A86" s="40" t="str">
        <f>IF(IGRF!B22="","",IGRF!B22)</f>
        <v>808</v>
      </c>
      <c r="B86" s="41" t="str">
        <f>IF(IGRF!C22="","",IGRF!C22)</f>
        <v>Kendle Bjelland</v>
      </c>
      <c r="C86" s="42"/>
      <c r="D86" s="43"/>
      <c r="E86" s="43"/>
      <c r="F86" s="43"/>
      <c r="G86" s="44"/>
      <c r="H86" s="40" t="str">
        <f t="shared" si="2"/>
        <v>808</v>
      </c>
      <c r="I86" s="41" t="str">
        <f t="shared" si="4"/>
        <v>Kendle Bjelland</v>
      </c>
      <c r="J86" s="42"/>
      <c r="K86" s="43"/>
      <c r="L86" s="43"/>
      <c r="M86" s="43"/>
      <c r="N86" s="44"/>
    </row>
    <row r="87" spans="1:14" ht="15.75" customHeight="1" x14ac:dyDescent="0.3">
      <c r="A87" s="35" t="str">
        <f>IF(IGRF!B23="","",IGRF!B23)</f>
        <v>9</v>
      </c>
      <c r="B87" s="36" t="str">
        <f>IF(IGRF!C23="","",IGRF!C23)</f>
        <v>P. Wilhelm</v>
      </c>
      <c r="C87" s="37"/>
      <c r="D87" s="38"/>
      <c r="E87" s="38"/>
      <c r="F87" s="38"/>
      <c r="G87" s="39"/>
      <c r="H87" s="35" t="str">
        <f t="shared" si="2"/>
        <v>9</v>
      </c>
      <c r="I87" s="36" t="str">
        <f t="shared" si="4"/>
        <v>P. Wilhelm</v>
      </c>
      <c r="J87" s="37"/>
      <c r="K87" s="38"/>
      <c r="L87" s="38"/>
      <c r="M87" s="38"/>
      <c r="N87" s="39"/>
    </row>
    <row r="88" spans="1:14" ht="15.75" customHeight="1" x14ac:dyDescent="0.3">
      <c r="A88" s="40" t="str">
        <f>IF(IGRF!B24="","",IGRF!B24)</f>
        <v>911</v>
      </c>
      <c r="B88" s="41" t="str">
        <f>IF(IGRF!C24="","",IGRF!C24)</f>
        <v>Luna Negra</v>
      </c>
      <c r="C88" s="42"/>
      <c r="D88" s="43"/>
      <c r="E88" s="43"/>
      <c r="F88" s="43"/>
      <c r="G88" s="44"/>
      <c r="H88" s="40" t="str">
        <f t="shared" si="2"/>
        <v>911</v>
      </c>
      <c r="I88" s="41" t="str">
        <f t="shared" si="4"/>
        <v>Luna Negra</v>
      </c>
      <c r="J88" s="42"/>
      <c r="K88" s="43"/>
      <c r="L88" s="43"/>
      <c r="M88" s="43"/>
      <c r="N88" s="44"/>
    </row>
    <row r="89" spans="1:14" ht="15.75" customHeight="1" x14ac:dyDescent="0.3">
      <c r="A89" s="35" t="str">
        <f>IF(IGRF!B25="","",IGRF!B25)</f>
        <v>0</v>
      </c>
      <c r="B89" s="36" t="str">
        <f>IF(IGRF!C25="","",IGRF!C25)</f>
        <v>Enurgizer Bunny</v>
      </c>
      <c r="C89" s="37"/>
      <c r="D89" s="38"/>
      <c r="E89" s="38"/>
      <c r="F89" s="38"/>
      <c r="G89" s="39"/>
      <c r="H89" s="35" t="str">
        <f t="shared" si="2"/>
        <v>0</v>
      </c>
      <c r="I89" s="36" t="str">
        <f t="shared" si="4"/>
        <v>Enurgizer Bunny</v>
      </c>
      <c r="J89" s="37"/>
      <c r="K89" s="38"/>
      <c r="L89" s="38"/>
      <c r="M89" s="38"/>
      <c r="N89" s="39"/>
    </row>
    <row r="90" spans="1:14" ht="15.75" customHeight="1" x14ac:dyDescent="0.3">
      <c r="A90" s="40" t="str">
        <f>IF(IGRF!B26="","",IGRF!B26)</f>
        <v>88</v>
      </c>
      <c r="B90" s="41" t="str">
        <f>IF(IGRF!C26="","",IGRF!C26)</f>
        <v>Ophelia Melons</v>
      </c>
      <c r="C90" s="42"/>
      <c r="D90" s="43"/>
      <c r="E90" s="43"/>
      <c r="F90" s="43"/>
      <c r="G90" s="44"/>
      <c r="H90" s="40" t="str">
        <f t="shared" si="2"/>
        <v>88</v>
      </c>
      <c r="I90" s="41" t="str">
        <f t="shared" si="4"/>
        <v>Ophelia Melons</v>
      </c>
      <c r="J90" s="42"/>
      <c r="K90" s="43"/>
      <c r="L90" s="43"/>
      <c r="M90" s="43"/>
      <c r="N90" s="44"/>
    </row>
    <row r="91" spans="1:14" ht="15.75" customHeight="1" x14ac:dyDescent="0.3">
      <c r="A91" s="35" t="str">
        <f>IF(IGRF!B27="","",IGRF!B27)</f>
        <v/>
      </c>
      <c r="B91" s="36" t="str">
        <f>IF(IGRF!C27="","",IGRF!C27)</f>
        <v/>
      </c>
      <c r="C91" s="37"/>
      <c r="D91" s="38"/>
      <c r="E91" s="38"/>
      <c r="F91" s="38"/>
      <c r="G91" s="39"/>
      <c r="H91" s="35" t="str">
        <f t="shared" si="2"/>
        <v/>
      </c>
      <c r="I91" s="36" t="str">
        <f t="shared" si="4"/>
        <v/>
      </c>
      <c r="J91" s="37"/>
      <c r="K91" s="38"/>
      <c r="L91" s="38"/>
      <c r="M91" s="38"/>
      <c r="N91" s="39"/>
    </row>
    <row r="92" spans="1:14" ht="15.75" customHeight="1" x14ac:dyDescent="0.3">
      <c r="A92" s="40" t="str">
        <f>IF(IGRF!B28="","",IGRF!B28)</f>
        <v/>
      </c>
      <c r="B92" s="41" t="str">
        <f>IF(IGRF!C28="","",IGRF!C28)</f>
        <v/>
      </c>
      <c r="C92" s="42"/>
      <c r="D92" s="43"/>
      <c r="E92" s="43"/>
      <c r="F92" s="43"/>
      <c r="G92" s="44"/>
      <c r="H92" s="40" t="str">
        <f t="shared" si="2"/>
        <v/>
      </c>
      <c r="I92" s="41" t="str">
        <f t="shared" si="4"/>
        <v/>
      </c>
      <c r="J92" s="42"/>
      <c r="K92" s="43"/>
      <c r="L92" s="43"/>
      <c r="M92" s="43"/>
      <c r="N92" s="44"/>
    </row>
    <row r="93" spans="1:14" ht="15.75" customHeight="1" x14ac:dyDescent="0.3">
      <c r="A93" s="35" t="str">
        <f>IF(IGRF!B29="","",IGRF!B29)</f>
        <v/>
      </c>
      <c r="B93" s="36" t="str">
        <f>IF(IGRF!C29="","",IGRF!C29)</f>
        <v/>
      </c>
      <c r="C93" s="37"/>
      <c r="D93" s="38"/>
      <c r="E93" s="38"/>
      <c r="F93" s="38"/>
      <c r="G93" s="39"/>
      <c r="H93" s="35" t="str">
        <f t="shared" si="2"/>
        <v/>
      </c>
      <c r="I93" s="36" t="str">
        <f t="shared" si="4"/>
        <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2"/>
        <v/>
      </c>
      <c r="I94" s="41" t="str">
        <f t="shared" si="4"/>
        <v/>
      </c>
      <c r="J94" s="42"/>
      <c r="K94" s="43"/>
      <c r="L94" s="43"/>
      <c r="M94" s="43"/>
      <c r="N94" s="44"/>
    </row>
    <row r="95" spans="1:14" ht="13.95" customHeight="1" x14ac:dyDescent="0.3">
      <c r="A95" s="1198" t="s">
        <v>360</v>
      </c>
      <c r="B95" s="1198"/>
      <c r="C95" s="1198"/>
      <c r="D95" s="1198"/>
      <c r="E95" s="1198"/>
      <c r="F95" s="1198"/>
      <c r="G95" s="1198"/>
      <c r="H95" s="1198" t="s">
        <v>360</v>
      </c>
      <c r="I95" s="1198"/>
      <c r="J95" s="1198"/>
      <c r="K95" s="1198"/>
      <c r="L95" s="1198"/>
      <c r="M95" s="1198"/>
      <c r="N95" s="1198"/>
    </row>
    <row r="96" spans="1:14" ht="13.95" customHeight="1" x14ac:dyDescent="0.3">
      <c r="A96" s="1196" t="s">
        <v>361</v>
      </c>
      <c r="B96" s="1196"/>
      <c r="C96" s="1196"/>
      <c r="D96" s="1196"/>
      <c r="E96" s="1196"/>
      <c r="F96" s="1196"/>
      <c r="G96" s="1196"/>
      <c r="H96" s="1196" t="s">
        <v>361</v>
      </c>
      <c r="I96" s="1196"/>
      <c r="J96" s="1196"/>
      <c r="K96" s="1196"/>
      <c r="L96" s="1196"/>
      <c r="M96" s="1196"/>
      <c r="N96" s="1196"/>
    </row>
    <row r="97" spans="1:14" ht="13.95" customHeight="1" x14ac:dyDescent="0.3">
      <c r="A97" s="1196" t="s">
        <v>362</v>
      </c>
      <c r="B97" s="1196"/>
      <c r="C97" s="1196"/>
      <c r="D97" s="1196"/>
      <c r="E97" s="1196"/>
      <c r="F97" s="1196"/>
      <c r="G97" s="1196"/>
      <c r="H97" s="1196" t="s">
        <v>362</v>
      </c>
      <c r="I97" s="1196"/>
      <c r="J97" s="1196"/>
      <c r="K97" s="1196"/>
      <c r="L97" s="1196"/>
      <c r="M97" s="1196"/>
      <c r="N97" s="1196"/>
    </row>
    <row r="98" spans="1:14" ht="13.5" customHeight="1" thickBot="1" x14ac:dyDescent="0.35">
      <c r="A98" s="1197" t="s">
        <v>363</v>
      </c>
      <c r="B98" s="1197"/>
      <c r="C98" s="1197"/>
      <c r="D98" s="1197"/>
      <c r="E98" s="1197"/>
      <c r="F98" s="1197"/>
      <c r="G98" s="1197"/>
      <c r="H98" s="1197" t="s">
        <v>363</v>
      </c>
      <c r="I98" s="1197"/>
      <c r="J98" s="1197"/>
      <c r="K98" s="1197"/>
      <c r="L98" s="1197"/>
      <c r="M98" s="1197"/>
      <c r="N98" s="1197"/>
    </row>
  </sheetData>
  <sheetProtection selectLockedCells="1" selectUnlockedCells="1"/>
  <mergeCells count="48">
    <mergeCell ref="M1:M2"/>
    <mergeCell ref="C2:E3"/>
    <mergeCell ref="J2:L3"/>
    <mergeCell ref="A3:B3"/>
    <mergeCell ref="H3:I3"/>
    <mergeCell ref="A1:B2"/>
    <mergeCell ref="C1:E1"/>
    <mergeCell ref="F1:F2"/>
    <mergeCell ref="H1:I2"/>
    <mergeCell ref="J1:L1"/>
    <mergeCell ref="A98:G98"/>
    <mergeCell ref="H98:N98"/>
    <mergeCell ref="A95:G95"/>
    <mergeCell ref="H95:N95"/>
    <mergeCell ref="H74:I74"/>
    <mergeCell ref="A74:B74"/>
    <mergeCell ref="A96:G96"/>
    <mergeCell ref="H96:N96"/>
    <mergeCell ref="A97:G97"/>
    <mergeCell ref="H97:N97"/>
    <mergeCell ref="H53:I53"/>
    <mergeCell ref="A47:G47"/>
    <mergeCell ref="H47:N47"/>
    <mergeCell ref="A48:G48"/>
    <mergeCell ref="H48:N48"/>
    <mergeCell ref="A49:G49"/>
    <mergeCell ref="H49:N49"/>
    <mergeCell ref="A53:B53"/>
    <mergeCell ref="A50:B51"/>
    <mergeCell ref="C50:E50"/>
    <mergeCell ref="F50:F51"/>
    <mergeCell ref="H50:I51"/>
    <mergeCell ref="N1:N2"/>
    <mergeCell ref="G50:G51"/>
    <mergeCell ref="N50:N51"/>
    <mergeCell ref="G1:G2"/>
    <mergeCell ref="A25:B25"/>
    <mergeCell ref="C51:E52"/>
    <mergeCell ref="J51:L52"/>
    <mergeCell ref="A52:B52"/>
    <mergeCell ref="H52:I52"/>
    <mergeCell ref="A46:G46"/>
    <mergeCell ref="H46:N46"/>
    <mergeCell ref="H25:I25"/>
    <mergeCell ref="J50:L50"/>
    <mergeCell ref="M50:M51"/>
    <mergeCell ref="H4:I4"/>
    <mergeCell ref="A4:B4"/>
  </mergeCells>
  <phoneticPr fontId="6" type="noConversion"/>
  <printOptions horizontalCentered="1"/>
  <pageMargins left="0.7" right="0.7" top="1.3" bottom="0.4" header="0.75" footer="0.4"/>
  <pageSetup scale="88" firstPageNumber="0" fitToWidth="2" fitToHeight="2" orientation="portrait" horizontalDpi="4294967294" verticalDpi="4294967294"/>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1048575" man="1"/>
  </colBreaks>
  <legacyDrawingHF r:id="rId1"/>
  <extLst>
    <ext xmlns:mx="http://schemas.microsoft.com/office/mac/excel/2008/main" uri="{64002731-A6B0-56B0-2670-7721B7C09600}">
      <mx:PLV Mode="0" OnePage="0" WScale="10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rgb="FF00FFFF"/>
  </sheetPr>
  <dimension ref="A1:J102"/>
  <sheetViews>
    <sheetView workbookViewId="0"/>
  </sheetViews>
  <sheetFormatPr defaultColWidth="8.6640625" defaultRowHeight="13.8" x14ac:dyDescent="0.3"/>
  <cols>
    <col min="1" max="1" width="7.33203125" style="3" customWidth="1"/>
    <col min="2" max="2" width="14" style="3" customWidth="1"/>
    <col min="3" max="3" width="16.44140625" style="3" customWidth="1"/>
    <col min="4" max="8" width="11.6640625" style="3" customWidth="1"/>
    <col min="9" max="9" width="13.44140625" style="3" customWidth="1"/>
    <col min="10" max="10" width="10.6640625" style="3" customWidth="1"/>
    <col min="11" max="257" width="11.44140625" style="3" customWidth="1"/>
    <col min="258" max="16384" width="8.6640625" style="3"/>
  </cols>
  <sheetData>
    <row r="1" spans="1:10" s="2" customFormat="1" ht="30" customHeight="1" x14ac:dyDescent="0.3">
      <c r="A1" s="82" t="s">
        <v>364</v>
      </c>
      <c r="B1" s="1228" t="str">
        <f>Score!$A$1</f>
        <v>Rat City Rollergirls / All-Stars</v>
      </c>
      <c r="C1" s="1228"/>
      <c r="D1" s="1228"/>
      <c r="E1" s="1192"/>
      <c r="F1" s="1192"/>
      <c r="G1" s="1192"/>
      <c r="H1" s="1192"/>
      <c r="I1" s="1229">
        <f>IF(ISBLANK(IGRF!$B$5), "", IGRF!$B$5)</f>
        <v>41832</v>
      </c>
      <c r="J1" s="1236">
        <v>1</v>
      </c>
    </row>
    <row r="2" spans="1:10" s="2" customFormat="1" ht="15" customHeight="1" x14ac:dyDescent="0.3">
      <c r="A2" s="1231" t="s">
        <v>365</v>
      </c>
      <c r="B2" s="1228" t="str">
        <f>Score!$T$1</f>
        <v>Houston Roller Derby / All-Stars</v>
      </c>
      <c r="C2" s="1228"/>
      <c r="D2" s="1228"/>
      <c r="E2" s="1220"/>
      <c r="F2" s="1220"/>
      <c r="G2" s="1220"/>
      <c r="H2" s="1220"/>
      <c r="I2" s="1230"/>
      <c r="J2" s="1236"/>
    </row>
    <row r="3" spans="1:10" s="2" customFormat="1" ht="15" customHeight="1" thickBot="1" x14ac:dyDescent="0.35">
      <c r="A3" s="1231"/>
      <c r="B3" s="1228"/>
      <c r="C3" s="1228"/>
      <c r="D3" s="1228"/>
      <c r="E3" s="1221" t="s">
        <v>346</v>
      </c>
      <c r="F3" s="1221"/>
      <c r="G3" s="1221"/>
      <c r="H3" s="1221"/>
      <c r="I3" s="253" t="s">
        <v>355</v>
      </c>
      <c r="J3" s="254" t="str">
        <f>IF(ISBLANK(IGRF!$K$3), "", "GAME " &amp; IGRF!$K$3)</f>
        <v>GAME 2</v>
      </c>
    </row>
    <row r="4" spans="1:10" s="6" customFormat="1" ht="15" customHeight="1" thickBot="1" x14ac:dyDescent="0.3">
      <c r="A4" s="46"/>
      <c r="B4" s="1241" t="s">
        <v>55</v>
      </c>
      <c r="C4" s="1241"/>
      <c r="D4" s="1241" t="s">
        <v>56</v>
      </c>
      <c r="E4" s="1241"/>
      <c r="F4" s="1241"/>
      <c r="G4" s="1214" t="s">
        <v>57</v>
      </c>
      <c r="H4" s="1214"/>
      <c r="I4" s="1237" t="s">
        <v>230</v>
      </c>
      <c r="J4" s="1237"/>
    </row>
    <row r="5" spans="1:10" s="6" customFormat="1" ht="21" customHeight="1" thickBot="1" x14ac:dyDescent="0.3">
      <c r="A5" s="47" t="s">
        <v>195</v>
      </c>
      <c r="B5" s="1235"/>
      <c r="C5" s="1235"/>
      <c r="D5" s="1226"/>
      <c r="E5" s="1227"/>
      <c r="F5" s="1225"/>
      <c r="G5" s="1226"/>
      <c r="H5" s="1215"/>
      <c r="I5" s="1238" t="str">
        <f>B1</f>
        <v>Rat City Rollergirls / All-Stars</v>
      </c>
      <c r="J5" s="1239"/>
    </row>
    <row r="6" spans="1:10" s="6" customFormat="1" ht="21" customHeight="1" thickBot="1" x14ac:dyDescent="0.3">
      <c r="A6" s="48" t="s">
        <v>201</v>
      </c>
      <c r="B6" s="1240"/>
      <c r="C6" s="1240"/>
      <c r="D6" s="1226"/>
      <c r="E6" s="1227"/>
      <c r="F6" s="1225"/>
      <c r="G6" s="1226"/>
      <c r="H6" s="1216"/>
      <c r="I6" s="1238"/>
      <c r="J6" s="1239"/>
    </row>
    <row r="7" spans="1:10" s="6" customFormat="1" ht="21" customHeight="1" thickBot="1" x14ac:dyDescent="0.3">
      <c r="A7" s="47" t="s">
        <v>195</v>
      </c>
      <c r="B7" s="1235"/>
      <c r="C7" s="1235"/>
      <c r="D7" s="1226"/>
      <c r="E7" s="1227"/>
      <c r="F7" s="1225"/>
      <c r="G7" s="1226"/>
      <c r="H7" s="1217"/>
      <c r="I7" s="1239" t="str">
        <f>B2</f>
        <v>Houston Roller Derby / All-Stars</v>
      </c>
      <c r="J7" s="1239"/>
    </row>
    <row r="8" spans="1:10" s="6" customFormat="1" ht="21" customHeight="1" thickBot="1" x14ac:dyDescent="0.3">
      <c r="A8" s="48" t="s">
        <v>201</v>
      </c>
      <c r="B8" s="1240"/>
      <c r="C8" s="1240"/>
      <c r="D8" s="1226"/>
      <c r="E8" s="1227"/>
      <c r="F8" s="1225"/>
      <c r="G8" s="1226"/>
      <c r="H8" s="1218"/>
      <c r="I8" s="1239"/>
      <c r="J8" s="1239"/>
    </row>
    <row r="9" spans="1:10" x14ac:dyDescent="0.3">
      <c r="A9" s="1232" t="s">
        <v>58</v>
      </c>
      <c r="B9" s="1232"/>
      <c r="C9" s="1232"/>
      <c r="D9" s="1232"/>
      <c r="E9" s="1232"/>
      <c r="F9" s="1232"/>
      <c r="G9" s="1232"/>
      <c r="H9" s="1233"/>
      <c r="I9" s="1232"/>
      <c r="J9" s="1232"/>
    </row>
    <row r="10" spans="1:10" s="81" customFormat="1" ht="15" customHeight="1" x14ac:dyDescent="0.25">
      <c r="A10" s="78" t="s">
        <v>257</v>
      </c>
      <c r="B10" s="79" t="s">
        <v>59</v>
      </c>
      <c r="C10" s="79" t="s">
        <v>60</v>
      </c>
      <c r="D10" s="79" t="s">
        <v>61</v>
      </c>
      <c r="E10" s="1234" t="s">
        <v>62</v>
      </c>
      <c r="F10" s="1234"/>
      <c r="G10" s="1234"/>
      <c r="H10" s="565"/>
      <c r="I10" s="79" t="s">
        <v>63</v>
      </c>
      <c r="J10" s="80" t="s">
        <v>64</v>
      </c>
    </row>
    <row r="11" spans="1:10" s="8" customFormat="1" ht="21" customHeight="1" x14ac:dyDescent="0.3">
      <c r="A11" s="73">
        <f>IF(ISNUMBER(SK!B3), SK!A3, "")</f>
        <v>1</v>
      </c>
      <c r="B11" s="74"/>
      <c r="C11" s="75"/>
      <c r="D11" s="75"/>
      <c r="E11" s="1222"/>
      <c r="F11" s="1223"/>
      <c r="G11" s="1223"/>
      <c r="H11" s="1224"/>
      <c r="I11" s="76" t="str">
        <f>IF(OR(A11="",B11="",B11=0,C11=""),"",60*C11/IF(B11&lt;1,B11*1440,B11))</f>
        <v/>
      </c>
      <c r="J11" s="77" t="str">
        <f ca="1">IF(OR(A11="",B11="",B11=0),"",60*SUM(INDIRECT(ADDRESS(MATCH(A11,SK!A$3:A$78,0)+2,COLUMN(SK!E$2),1,,"SK")),INDIRECT(ADDRESS(MATCH(A11,SK!Q$3:Q$78,0)+2,COLUMN(SK!U$2),1,,"SK")))/IF(B11&lt;1,B11*1440,B11))</f>
        <v/>
      </c>
    </row>
    <row r="12" spans="1:10" ht="21" customHeight="1" x14ac:dyDescent="0.3">
      <c r="A12" s="55">
        <f>IF(ISNUMBER(SK!B5), SK!A5, "")</f>
        <v>2</v>
      </c>
      <c r="B12" s="56"/>
      <c r="C12" s="57"/>
      <c r="D12" s="57"/>
      <c r="E12" s="1208"/>
      <c r="F12" s="1209"/>
      <c r="G12" s="1209"/>
      <c r="H12" s="1210"/>
      <c r="I12" s="58" t="str">
        <f>IF(OR(A12="",B12="",B12=0,C12=""),"",60*C12/IF(B12&lt;1,B12*1440,B12))</f>
        <v/>
      </c>
      <c r="J12" s="59" t="str">
        <f ca="1">IF(OR(A12="",B12="",B12=0),"",60*SUM(INDIRECT(ADDRESS(MATCH(A12,SK!A$3:A$78,0)+2,COLUMN(SK!E$2),1,,"SK")),INDIRECT(ADDRESS(MATCH(A12,SK!Q$3:Q$78,0)+2,COLUMN(SK!U$2),1,,"SK")))/IF(B12&lt;1,B12*1440,B12))</f>
        <v/>
      </c>
    </row>
    <row r="13" spans="1:10" ht="21" customHeight="1" x14ac:dyDescent="0.3">
      <c r="A13" s="50">
        <f>IF(ISNUMBER(SK!B7), SK!A7, "")</f>
        <v>3</v>
      </c>
      <c r="B13" s="51"/>
      <c r="C13" s="52"/>
      <c r="D13" s="52"/>
      <c r="E13" s="1205"/>
      <c r="F13" s="1206"/>
      <c r="G13" s="1206"/>
      <c r="H13" s="1207"/>
      <c r="I13" s="53" t="str">
        <f>IF(OR(A13="",B13="",B13=0,C13=""),"",60*C13/IF(B13&lt;1,B13*1440,B13))</f>
        <v/>
      </c>
      <c r="J13" s="54" t="str">
        <f ca="1">IF(OR(A13="",B13="",B13=0),"",60*SUM(INDIRECT(ADDRESS(MATCH(A13,SK!A$3:A$78,0)+2,COLUMN(SK!E$2),1,,"SK")),INDIRECT(ADDRESS(MATCH(A13,SK!Q$3:Q$78,0)+2,COLUMN(SK!U$2),1,,"SK")))/IF(B13&lt;1,B13*1440,B13))</f>
        <v/>
      </c>
    </row>
    <row r="14" spans="1:10" ht="21" customHeight="1" x14ac:dyDescent="0.3">
      <c r="A14" s="55">
        <f>IF(ISNUMBER(SK!B9), SK!A9, "")</f>
        <v>4</v>
      </c>
      <c r="B14" s="56"/>
      <c r="C14" s="57"/>
      <c r="D14" s="57"/>
      <c r="E14" s="1208"/>
      <c r="F14" s="1209"/>
      <c r="G14" s="1209"/>
      <c r="H14" s="1210"/>
      <c r="I14" s="58" t="str">
        <f t="shared" ref="I14:I30" si="0">IF(OR(A14="",B14="",B14=0,C14=""),"",60*C14/IF(B14&lt;1,B14*1440,B14))</f>
        <v/>
      </c>
      <c r="J14" s="59" t="str">
        <f ca="1">IF(OR(A14="",B14="",B14=0),"",60*SUM(INDIRECT(ADDRESS(MATCH(A14,SK!A$3:A$78,0)+2,COLUMN(SK!E$2),1,,"SK")),INDIRECT(ADDRESS(MATCH(A14,SK!Q$3:Q$78,0)+2,COLUMN(SK!U$2),1,,"SK")))/IF(B14&lt;1,B14*1440,B14))</f>
        <v/>
      </c>
    </row>
    <row r="15" spans="1:10" ht="21" customHeight="1" x14ac:dyDescent="0.3">
      <c r="A15" s="50">
        <f>IF(ISNUMBER(SK!B11), SK!A11, "")</f>
        <v>5</v>
      </c>
      <c r="B15" s="51"/>
      <c r="C15" s="52"/>
      <c r="D15" s="52"/>
      <c r="E15" s="1205"/>
      <c r="F15" s="1206"/>
      <c r="G15" s="1206"/>
      <c r="H15" s="1207"/>
      <c r="I15" s="53" t="str">
        <f t="shared" si="0"/>
        <v/>
      </c>
      <c r="J15" s="54" t="str">
        <f ca="1">IF(OR(A15="",B15="",B15=0),"",60*SUM(INDIRECT(ADDRESS(MATCH(A15,SK!A$3:A$78,0)+2,COLUMN(SK!E$2),1,,"SK")),INDIRECT(ADDRESS(MATCH(A15,SK!Q$3:Q$78,0)+2,COLUMN(SK!U$2),1,,"SK")))/IF(B15&lt;1,B15*1440,B15))</f>
        <v/>
      </c>
    </row>
    <row r="16" spans="1:10" ht="21" customHeight="1" x14ac:dyDescent="0.3">
      <c r="A16" s="55">
        <f>IF(ISNUMBER(SK!B13), SK!A13, "")</f>
        <v>6</v>
      </c>
      <c r="B16" s="56"/>
      <c r="C16" s="57"/>
      <c r="D16" s="57"/>
      <c r="E16" s="1208"/>
      <c r="F16" s="1209"/>
      <c r="G16" s="1209"/>
      <c r="H16" s="1210"/>
      <c r="I16" s="58" t="str">
        <f t="shared" si="0"/>
        <v/>
      </c>
      <c r="J16" s="59" t="str">
        <f ca="1">IF(OR(A16="",B16="",B16=0),"",60*SUM(INDIRECT(ADDRESS(MATCH(A16,SK!A$3:A$78,0)+2,COLUMN(SK!E$2),1,,"SK")),INDIRECT(ADDRESS(MATCH(A16,SK!Q$3:Q$78,0)+2,COLUMN(SK!U$2),1,,"SK")))/IF(B16&lt;1,B16*1440,B16))</f>
        <v/>
      </c>
    </row>
    <row r="17" spans="1:10" ht="21" customHeight="1" x14ac:dyDescent="0.3">
      <c r="A17" s="50">
        <f>IF(ISNUMBER(SK!B15), SK!A15, "")</f>
        <v>7</v>
      </c>
      <c r="B17" s="51"/>
      <c r="C17" s="52"/>
      <c r="D17" s="52"/>
      <c r="E17" s="1205"/>
      <c r="F17" s="1206"/>
      <c r="G17" s="1206"/>
      <c r="H17" s="1207"/>
      <c r="I17" s="53" t="str">
        <f t="shared" si="0"/>
        <v/>
      </c>
      <c r="J17" s="54" t="str">
        <f ca="1">IF(OR(A17="",B17="",B17=0),"",60*SUM(INDIRECT(ADDRESS(MATCH(A17,SK!A$3:A$78,0)+2,COLUMN(SK!E$2),1,,"SK")),INDIRECT(ADDRESS(MATCH(A17,SK!Q$3:Q$78,0)+2,COLUMN(SK!U$2),1,,"SK")))/IF(B17&lt;1,B17*1440,B17))</f>
        <v/>
      </c>
    </row>
    <row r="18" spans="1:10" ht="21" customHeight="1" x14ac:dyDescent="0.3">
      <c r="A18" s="55">
        <f>IF(ISNUMBER(SK!B17), SK!A17, "")</f>
        <v>8</v>
      </c>
      <c r="B18" s="56"/>
      <c r="C18" s="57"/>
      <c r="D18" s="57"/>
      <c r="E18" s="1208"/>
      <c r="F18" s="1209"/>
      <c r="G18" s="1209"/>
      <c r="H18" s="1210"/>
      <c r="I18" s="58" t="str">
        <f t="shared" si="0"/>
        <v/>
      </c>
      <c r="J18" s="59" t="str">
        <f ca="1">IF(OR(A18="",B18="",B18=0),"",60*SUM(INDIRECT(ADDRESS(MATCH(A18,SK!A$3:A$78,0)+2,COLUMN(SK!E$2),1,,"SK")),INDIRECT(ADDRESS(MATCH(A18,SK!Q$3:Q$78,0)+2,COLUMN(SK!U$2),1,,"SK")))/IF(B18&lt;1,B18*1440,B18))</f>
        <v/>
      </c>
    </row>
    <row r="19" spans="1:10" ht="21" customHeight="1" x14ac:dyDescent="0.3">
      <c r="A19" s="50">
        <f>IF(ISNUMBER(SK!B19), SK!A19, "")</f>
        <v>9</v>
      </c>
      <c r="B19" s="51"/>
      <c r="C19" s="52"/>
      <c r="D19" s="52"/>
      <c r="E19" s="1205"/>
      <c r="F19" s="1206"/>
      <c r="G19" s="1206"/>
      <c r="H19" s="1207"/>
      <c r="I19" s="53" t="str">
        <f t="shared" si="0"/>
        <v/>
      </c>
      <c r="J19" s="54" t="str">
        <f ca="1">IF(OR(A19="",B19="",B19=0),"",60*SUM(INDIRECT(ADDRESS(MATCH(A19,SK!A$3:A$78,0)+2,COLUMN(SK!E$2),1,,"SK")),INDIRECT(ADDRESS(MATCH(A19,SK!Q$3:Q$78,0)+2,COLUMN(SK!U$2),1,,"SK")))/IF(B19&lt;1,B19*1440,B19))</f>
        <v/>
      </c>
    </row>
    <row r="20" spans="1:10" ht="21" customHeight="1" x14ac:dyDescent="0.3">
      <c r="A20" s="55">
        <f>IF(ISNUMBER(SK!B21), SK!A21, "")</f>
        <v>10</v>
      </c>
      <c r="B20" s="56"/>
      <c r="C20" s="57"/>
      <c r="D20" s="57"/>
      <c r="E20" s="1208"/>
      <c r="F20" s="1209"/>
      <c r="G20" s="1209"/>
      <c r="H20" s="1210"/>
      <c r="I20" s="58" t="str">
        <f t="shared" si="0"/>
        <v/>
      </c>
      <c r="J20" s="59" t="str">
        <f ca="1">IF(OR(A20="",B20="",B20=0),"",60*SUM(INDIRECT(ADDRESS(MATCH(A20,SK!A$3:A$78,0)+2,COLUMN(SK!E$2),1,,"SK")),INDIRECT(ADDRESS(MATCH(A20,SK!Q$3:Q$78,0)+2,COLUMN(SK!U$2),1,,"SK")))/IF(B20&lt;1,B20*1440,B20))</f>
        <v/>
      </c>
    </row>
    <row r="21" spans="1:10" ht="21" customHeight="1" x14ac:dyDescent="0.3">
      <c r="A21" s="50">
        <f>IF(ISNUMBER(SK!B23), SK!A23, "")</f>
        <v>11</v>
      </c>
      <c r="B21" s="51"/>
      <c r="C21" s="52"/>
      <c r="D21" s="52"/>
      <c r="E21" s="1205"/>
      <c r="F21" s="1206"/>
      <c r="G21" s="1206"/>
      <c r="H21" s="1207"/>
      <c r="I21" s="53" t="str">
        <f t="shared" si="0"/>
        <v/>
      </c>
      <c r="J21" s="54" t="str">
        <f ca="1">IF(OR(A21="",B21="",B21=0),"",60*SUM(INDIRECT(ADDRESS(MATCH(A21,SK!A$3:A$78,0)+2,COLUMN(SK!E$2),1,,"SK")),INDIRECT(ADDRESS(MATCH(A21,SK!Q$3:Q$78,0)+2,COLUMN(SK!U$2),1,,"SK")))/IF(B21&lt;1,B21*1440,B21))</f>
        <v/>
      </c>
    </row>
    <row r="22" spans="1:10" ht="21" customHeight="1" x14ac:dyDescent="0.3">
      <c r="A22" s="55">
        <f>IF(ISNUMBER(SK!B25), SK!A25, "")</f>
        <v>12</v>
      </c>
      <c r="B22" s="56"/>
      <c r="C22" s="57"/>
      <c r="D22" s="57"/>
      <c r="E22" s="1208"/>
      <c r="F22" s="1209"/>
      <c r="G22" s="1209"/>
      <c r="H22" s="1210"/>
      <c r="I22" s="58" t="str">
        <f t="shared" si="0"/>
        <v/>
      </c>
      <c r="J22" s="59" t="str">
        <f ca="1">IF(OR(A22="",B22="",B22=0),"",60*SUM(INDIRECT(ADDRESS(MATCH(A22,SK!A$3:A$78,0)+2,COLUMN(SK!E$2),1,,"SK")),INDIRECT(ADDRESS(MATCH(A22,SK!Q$3:Q$78,0)+2,COLUMN(SK!U$2),1,,"SK")))/IF(B22&lt;1,B22*1440,B22))</f>
        <v/>
      </c>
    </row>
    <row r="23" spans="1:10" ht="21" customHeight="1" x14ac:dyDescent="0.3">
      <c r="A23" s="50">
        <f>IF(ISNUMBER(SK!B27), SK!A27, "")</f>
        <v>13</v>
      </c>
      <c r="B23" s="51"/>
      <c r="C23" s="52"/>
      <c r="D23" s="52"/>
      <c r="E23" s="1205"/>
      <c r="F23" s="1206"/>
      <c r="G23" s="1206"/>
      <c r="H23" s="1207"/>
      <c r="I23" s="53" t="str">
        <f t="shared" si="0"/>
        <v/>
      </c>
      <c r="J23" s="54" t="str">
        <f ca="1">IF(OR(A23="",B23="",B23=0),"",60*SUM(INDIRECT(ADDRESS(MATCH(A23,SK!A$3:A$78,0)+2,COLUMN(SK!E$2),1,,"SK")),INDIRECT(ADDRESS(MATCH(A23,SK!Q$3:Q$78,0)+2,COLUMN(SK!U$2),1,,"SK")))/IF(B23&lt;1,B23*1440,B23))</f>
        <v/>
      </c>
    </row>
    <row r="24" spans="1:10" ht="21" customHeight="1" x14ac:dyDescent="0.3">
      <c r="A24" s="55">
        <f>IF(ISNUMBER(SK!B29), SK!A29, "")</f>
        <v>14</v>
      </c>
      <c r="B24" s="56"/>
      <c r="C24" s="57"/>
      <c r="D24" s="57"/>
      <c r="E24" s="1208"/>
      <c r="F24" s="1209"/>
      <c r="G24" s="1209"/>
      <c r="H24" s="1210"/>
      <c r="I24" s="58" t="str">
        <f t="shared" si="0"/>
        <v/>
      </c>
      <c r="J24" s="59" t="str">
        <f ca="1">IF(OR(A24="",B24="",B24=0),"",60*SUM(INDIRECT(ADDRESS(MATCH(A24,SK!A$3:A$78,0)+2,COLUMN(SK!E$2),1,,"SK")),INDIRECT(ADDRESS(MATCH(A24,SK!Q$3:Q$78,0)+2,COLUMN(SK!U$2),1,,"SK")))/IF(B24&lt;1,B24*1440,B24))</f>
        <v/>
      </c>
    </row>
    <row r="25" spans="1:10" ht="21" customHeight="1" x14ac:dyDescent="0.3">
      <c r="A25" s="50">
        <f>IF(ISNUMBER(SK!B31), SK!A31, "")</f>
        <v>15</v>
      </c>
      <c r="B25" s="51"/>
      <c r="C25" s="52"/>
      <c r="D25" s="52"/>
      <c r="E25" s="1205"/>
      <c r="F25" s="1206"/>
      <c r="G25" s="1206"/>
      <c r="H25" s="1207"/>
      <c r="I25" s="53" t="str">
        <f t="shared" si="0"/>
        <v/>
      </c>
      <c r="J25" s="54" t="str">
        <f ca="1">IF(OR(A25="",B25="",B25=0),"",60*SUM(INDIRECT(ADDRESS(MATCH(A25,SK!A$3:A$78,0)+2,COLUMN(SK!E$2),1,,"SK")),INDIRECT(ADDRESS(MATCH(A25,SK!Q$3:Q$78,0)+2,COLUMN(SK!U$2),1,,"SK")))/IF(B25&lt;1,B25*1440,B25))</f>
        <v/>
      </c>
    </row>
    <row r="26" spans="1:10" ht="21" customHeight="1" x14ac:dyDescent="0.3">
      <c r="A26" s="55">
        <f>IF(ISNUMBER(SK!B33), SK!A33, "")</f>
        <v>16</v>
      </c>
      <c r="B26" s="56"/>
      <c r="C26" s="57"/>
      <c r="D26" s="57"/>
      <c r="E26" s="1208"/>
      <c r="F26" s="1209"/>
      <c r="G26" s="1209"/>
      <c r="H26" s="1210"/>
      <c r="I26" s="58" t="str">
        <f t="shared" si="0"/>
        <v/>
      </c>
      <c r="J26" s="59" t="str">
        <f ca="1">IF(OR(A26="",B26="",B26=0),"",60*SUM(INDIRECT(ADDRESS(MATCH(A26,SK!A$3:A$78,0)+2,COLUMN(SK!E$2),1,,"SK")),INDIRECT(ADDRESS(MATCH(A26,SK!Q$3:Q$78,0)+2,COLUMN(SK!U$2),1,,"SK")))/IF(B26&lt;1,B26*1440,B26))</f>
        <v/>
      </c>
    </row>
    <row r="27" spans="1:10" ht="21" customHeight="1" x14ac:dyDescent="0.3">
      <c r="A27" s="50">
        <f>IF(ISNUMBER(SK!B35), SK!A35, "")</f>
        <v>17</v>
      </c>
      <c r="B27" s="51"/>
      <c r="C27" s="52"/>
      <c r="D27" s="52"/>
      <c r="E27" s="1205"/>
      <c r="F27" s="1206"/>
      <c r="G27" s="1206"/>
      <c r="H27" s="1207"/>
      <c r="I27" s="53" t="str">
        <f t="shared" si="0"/>
        <v/>
      </c>
      <c r="J27" s="54" t="str">
        <f ca="1">IF(OR(A27="",B27="",B27=0),"",60*SUM(INDIRECT(ADDRESS(MATCH(A27,SK!A$3:A$78,0)+2,COLUMN(SK!E$2),1,,"SK")),INDIRECT(ADDRESS(MATCH(A27,SK!Q$3:Q$78,0)+2,COLUMN(SK!U$2),1,,"SK")))/IF(B27&lt;1,B27*1440,B27))</f>
        <v/>
      </c>
    </row>
    <row r="28" spans="1:10" ht="21" customHeight="1" x14ac:dyDescent="0.3">
      <c r="A28" s="55">
        <f>IF(ISNUMBER(SK!B37), SK!A37, "")</f>
        <v>18</v>
      </c>
      <c r="B28" s="56"/>
      <c r="C28" s="57"/>
      <c r="D28" s="57"/>
      <c r="E28" s="1208"/>
      <c r="F28" s="1209"/>
      <c r="G28" s="1209"/>
      <c r="H28" s="1210"/>
      <c r="I28" s="58" t="str">
        <f t="shared" si="0"/>
        <v/>
      </c>
      <c r="J28" s="59" t="str">
        <f ca="1">IF(OR(A28="",B28="",B28=0),"",60*SUM(INDIRECT(ADDRESS(MATCH(A28,SK!A$3:A$78,0)+2,COLUMN(SK!E$2),1,,"SK")),INDIRECT(ADDRESS(MATCH(A28,SK!Q$3:Q$78,0)+2,COLUMN(SK!U$2),1,,"SK")))/IF(B28&lt;1,B28*1440,B28))</f>
        <v/>
      </c>
    </row>
    <row r="29" spans="1:10" ht="21" customHeight="1" x14ac:dyDescent="0.3">
      <c r="A29" s="50">
        <f>IF(ISNUMBER(SK!B39), SK!A39, "")</f>
        <v>19</v>
      </c>
      <c r="B29" s="51"/>
      <c r="C29" s="52"/>
      <c r="D29" s="52"/>
      <c r="E29" s="1205"/>
      <c r="F29" s="1206"/>
      <c r="G29" s="1206"/>
      <c r="H29" s="1207"/>
      <c r="I29" s="53" t="str">
        <f t="shared" si="0"/>
        <v/>
      </c>
      <c r="J29" s="54" t="str">
        <f ca="1">IF(OR(A29="",B29="",B29=0),"",60*SUM(INDIRECT(ADDRESS(MATCH(A29,SK!A$3:A$78,0)+2,COLUMN(SK!E$2),1,,"SK")),INDIRECT(ADDRESS(MATCH(A29,SK!Q$3:Q$78,0)+2,COLUMN(SK!U$2),1,,"SK")))/IF(B29&lt;1,B29*1440,B29))</f>
        <v/>
      </c>
    </row>
    <row r="30" spans="1:10" ht="21" customHeight="1" x14ac:dyDescent="0.3">
      <c r="A30" s="55">
        <f>IF(ISNUMBER(SK!B41), SK!A41, "")</f>
        <v>20</v>
      </c>
      <c r="B30" s="56"/>
      <c r="C30" s="57"/>
      <c r="D30" s="57"/>
      <c r="E30" s="1208"/>
      <c r="F30" s="1209"/>
      <c r="G30" s="1209"/>
      <c r="H30" s="1210"/>
      <c r="I30" s="58" t="str">
        <f t="shared" si="0"/>
        <v/>
      </c>
      <c r="J30" s="59" t="str">
        <f ca="1">IF(OR(A30="",B30="",B30=0),"",60*SUM(INDIRECT(ADDRESS(MATCH(A30,SK!A$3:A$78,0)+2,COLUMN(SK!E$2),1,,"SK")),INDIRECT(ADDRESS(MATCH(A30,SK!Q$3:Q$78,0)+2,COLUMN(SK!U$2),1,,"SK")))/IF(B30&lt;1,B30*1440,B30))</f>
        <v/>
      </c>
    </row>
    <row r="31" spans="1:10" ht="21" customHeight="1" x14ac:dyDescent="0.3">
      <c r="A31" s="50">
        <f>IF(ISNUMBER(SK!B43), SK!A43, "")</f>
        <v>21</v>
      </c>
      <c r="B31" s="51"/>
      <c r="C31" s="52"/>
      <c r="D31" s="52"/>
      <c r="E31" s="1205"/>
      <c r="F31" s="1206"/>
      <c r="G31" s="1206"/>
      <c r="H31" s="1207"/>
      <c r="I31" s="53" t="str">
        <f t="shared" ref="I31:I36" si="1">IF(OR(A31="",B31="",B31=0,C31=""),"",60*C31/IF(B31&lt;1,B31*1440,B31))</f>
        <v/>
      </c>
      <c r="J31" s="54" t="str">
        <f ca="1">IF(OR(A31="",B31="",B31=0),"",60*SUM(INDIRECT(ADDRESS(MATCH(A31,SK!A$3:A$78,0)+2,COLUMN(SK!E$2),1,,"SK")),INDIRECT(ADDRESS(MATCH(A31,SK!Q$3:Q$78,0)+2,COLUMN(SK!U$2),1,,"SK")))/IF(B31&lt;1,B31*1440,B31))</f>
        <v/>
      </c>
    </row>
    <row r="32" spans="1:10" ht="21" customHeight="1" x14ac:dyDescent="0.3">
      <c r="A32" s="55">
        <f>IF(ISNUMBER(SK!B45), SK!A45, "")</f>
        <v>22</v>
      </c>
      <c r="B32" s="56"/>
      <c r="C32" s="57"/>
      <c r="D32" s="57"/>
      <c r="E32" s="1208"/>
      <c r="F32" s="1209"/>
      <c r="G32" s="1209"/>
      <c r="H32" s="1210"/>
      <c r="I32" s="58" t="str">
        <f t="shared" si="1"/>
        <v/>
      </c>
      <c r="J32" s="59" t="str">
        <f ca="1">IF(OR(A32="",B32="",B32=0),"",60*SUM(INDIRECT(ADDRESS(MATCH(A32,SK!A$3:A$78,0)+2,COLUMN(SK!E$2),1,,"SK")),INDIRECT(ADDRESS(MATCH(A32,SK!Q$3:Q$78,0)+2,COLUMN(SK!U$2),1,,"SK")))/IF(B32&lt;1,B32*1440,B32))</f>
        <v/>
      </c>
    </row>
    <row r="33" spans="1:10" ht="21" customHeight="1" x14ac:dyDescent="0.3">
      <c r="A33" s="50">
        <f>IF(ISNUMBER(SK!B47), SK!A47, "")</f>
        <v>23</v>
      </c>
      <c r="B33" s="51"/>
      <c r="C33" s="52"/>
      <c r="D33" s="52"/>
      <c r="E33" s="1205"/>
      <c r="F33" s="1206"/>
      <c r="G33" s="1206"/>
      <c r="H33" s="1207"/>
      <c r="I33" s="53" t="str">
        <f t="shared" si="1"/>
        <v/>
      </c>
      <c r="J33" s="54" t="str">
        <f ca="1">IF(OR(A33="",B33="",B33=0),"",60*SUM(INDIRECT(ADDRESS(MATCH(A33,SK!A$3:A$78,0)+2,COLUMN(SK!E$2),1,,"SK")),INDIRECT(ADDRESS(MATCH(A33,SK!Q$3:Q$78,0)+2,COLUMN(SK!U$2),1,,"SK")))/IF(B33&lt;1,B33*1440,B33))</f>
        <v/>
      </c>
    </row>
    <row r="34" spans="1:10" ht="21" customHeight="1" x14ac:dyDescent="0.3">
      <c r="A34" s="55" t="str">
        <f>IF(ISNUMBER(SK!B49), SK!A49, "")</f>
        <v/>
      </c>
      <c r="B34" s="56"/>
      <c r="C34" s="57"/>
      <c r="D34" s="57"/>
      <c r="E34" s="1208"/>
      <c r="F34" s="1209"/>
      <c r="G34" s="1209"/>
      <c r="H34" s="1210"/>
      <c r="I34" s="58" t="str">
        <f t="shared" si="1"/>
        <v/>
      </c>
      <c r="J34" s="59" t="str">
        <f ca="1">IF(OR(A34="",B34="",B34=0),"",60*SUM(INDIRECT(ADDRESS(MATCH(A34,SK!A$3:A$78,0)+2,COLUMN(SK!E$2),1,,"SK")),INDIRECT(ADDRESS(MATCH(A34,SK!Q$3:Q$78,0)+2,COLUMN(SK!U$2),1,,"SK")))/IF(B34&lt;1,B34*1440,B34))</f>
        <v/>
      </c>
    </row>
    <row r="35" spans="1:10" ht="21" customHeight="1" x14ac:dyDescent="0.3">
      <c r="A35" s="50" t="str">
        <f>IF(ISNUMBER(SK!B51), SK!A51, "")</f>
        <v/>
      </c>
      <c r="B35" s="51"/>
      <c r="C35" s="52"/>
      <c r="D35" s="52"/>
      <c r="E35" s="1205"/>
      <c r="F35" s="1206"/>
      <c r="G35" s="1206"/>
      <c r="H35" s="1207"/>
      <c r="I35" s="53" t="str">
        <f t="shared" si="1"/>
        <v/>
      </c>
      <c r="J35" s="54" t="str">
        <f ca="1">IF(OR(A35="",B35="",B35=0),"",60*SUM(INDIRECT(ADDRESS(MATCH(A35,SK!A$3:A$78,0)+2,COLUMN(SK!E$2),1,,"SK")),INDIRECT(ADDRESS(MATCH(A35,SK!Q$3:Q$78,0)+2,COLUMN(SK!U$2),1,,"SK")))/IF(B35&lt;1,B35*1440,B35))</f>
        <v/>
      </c>
    </row>
    <row r="36" spans="1:10" ht="21" customHeight="1" x14ac:dyDescent="0.3">
      <c r="A36" s="55" t="str">
        <f>IF(ISNUMBER(SK!B53), SK!A53, "")</f>
        <v/>
      </c>
      <c r="B36" s="56"/>
      <c r="C36" s="57"/>
      <c r="D36" s="57"/>
      <c r="E36" s="1208"/>
      <c r="F36" s="1209"/>
      <c r="G36" s="1209"/>
      <c r="H36" s="1210"/>
      <c r="I36" s="58" t="str">
        <f t="shared" si="1"/>
        <v/>
      </c>
      <c r="J36" s="59" t="str">
        <f ca="1">IF(OR(A36="",B36="",B36=0),"",60*SUM(INDIRECT(ADDRESS(MATCH(A36,SK!A$3:A$78,0)+2,COLUMN(SK!E$2),1,,"SK")),INDIRECT(ADDRESS(MATCH(A36,SK!Q$3:Q$78,0)+2,COLUMN(SK!U$2),1,,"SK")))/IF(B36&lt;1,B36*1440,B36))</f>
        <v/>
      </c>
    </row>
    <row r="37" spans="1:10" ht="21" customHeight="1" x14ac:dyDescent="0.3">
      <c r="A37" s="50" t="str">
        <f>IF(ISNUMBER(SK!B55), SK!A55, "")</f>
        <v/>
      </c>
      <c r="B37" s="51"/>
      <c r="C37" s="52"/>
      <c r="D37" s="52"/>
      <c r="E37" s="1205"/>
      <c r="F37" s="1206"/>
      <c r="G37" s="1206"/>
      <c r="H37" s="1207"/>
      <c r="I37" s="53" t="str">
        <f>IF(OR(A37="",B37="",B37=0,C37=""),"",60*C37/IF(B37&lt;1,B37*1440,B37))</f>
        <v/>
      </c>
      <c r="J37" s="54" t="str">
        <f ca="1">IF(OR(A37="",B37="",B37=0),"",60*SUM(INDIRECT(ADDRESS(MATCH(A37,SK!A$3:A$78,0)+2,COLUMN(SK!E$2),1,,"SK")),INDIRECT(ADDRESS(MATCH(A37,SK!Q$3:Q$78,0)+2,COLUMN(SK!U$2),1,,"SK")))/IF(B37&lt;1,B37*1440,B37))</f>
        <v/>
      </c>
    </row>
    <row r="38" spans="1:10" ht="21" customHeight="1" x14ac:dyDescent="0.3">
      <c r="A38" s="55" t="str">
        <f>IF(ISNUMBER(SK!B57), SK!A57, "")</f>
        <v/>
      </c>
      <c r="B38" s="56"/>
      <c r="C38" s="57"/>
      <c r="D38" s="57"/>
      <c r="E38" s="1208"/>
      <c r="F38" s="1209"/>
      <c r="G38" s="1209"/>
      <c r="H38" s="1210"/>
      <c r="I38" s="58" t="str">
        <f>IF(OR(A38="",B38="",B38=0,C38=""),"",60*C38/IF(B38&lt;1,B38*1440,B38))</f>
        <v/>
      </c>
      <c r="J38" s="59" t="str">
        <f ca="1">IF(OR(A38="",B38="",B38=0),"",60*SUM(INDIRECT(ADDRESS(MATCH(A38,SK!A$3:A$78,0)+2,COLUMN(SK!E$2),1,,"SK")),INDIRECT(ADDRESS(MATCH(A38,SK!Q$3:Q$78,0)+2,COLUMN(SK!U$2),1,,"SK")))/IF(B38&lt;1,B38*1440,B38))</f>
        <v/>
      </c>
    </row>
    <row r="39" spans="1:10" ht="21" customHeight="1" x14ac:dyDescent="0.3">
      <c r="A39" s="50" t="str">
        <f>IF(ISNUMBER(SK!B59), SK!A59, "")</f>
        <v/>
      </c>
      <c r="B39" s="51"/>
      <c r="C39" s="52"/>
      <c r="D39" s="52"/>
      <c r="E39" s="1205"/>
      <c r="F39" s="1206"/>
      <c r="G39" s="1206"/>
      <c r="H39" s="1207"/>
      <c r="I39" s="53" t="str">
        <f>IF(OR(A39="",B39="",B39=0,C39=""),"",60*C39/IF(B39&lt;1,B39*1440,B39))</f>
        <v/>
      </c>
      <c r="J39" s="54" t="str">
        <f ca="1">IF(OR(A39="",B39="",B39=0),"",60*SUM(INDIRECT(ADDRESS(MATCH(A39,SK!A$3:A$78,0)+2,COLUMN(SK!E$2),1,,"SK")),INDIRECT(ADDRESS(MATCH(A39,SK!Q$3:Q$78,0)+2,COLUMN(SK!U$2),1,,"SK")))/IF(B39&lt;1,B39*1440,B39))</f>
        <v/>
      </c>
    </row>
    <row r="40" spans="1:10" ht="21" customHeight="1" x14ac:dyDescent="0.3">
      <c r="A40" s="55" t="str">
        <f>IF(ISNUMBER(SK!B61), SK!A61, "")</f>
        <v/>
      </c>
      <c r="B40" s="56"/>
      <c r="C40" s="57"/>
      <c r="D40" s="57"/>
      <c r="E40" s="1208"/>
      <c r="F40" s="1209"/>
      <c r="G40" s="1209"/>
      <c r="H40" s="1210"/>
      <c r="I40" s="58" t="str">
        <f>IF(OR(A40="",B40="",B40=0,C40=""),"",60*C40/IF(B40&lt;1,B40*1440,B40))</f>
        <v/>
      </c>
      <c r="J40" s="59" t="str">
        <f ca="1">IF(OR(A40="",B40="",B40=0),"",60*SUM(INDIRECT(ADDRESS(MATCH(A40,SK!A$3:A$78,0)+2,COLUMN(SK!E$2),1,,"SK")),INDIRECT(ADDRESS(MATCH(A40,SK!Q$3:Q$78,0)+2,COLUMN(SK!U$2),1,,"SK")))/IF(B40&lt;1,B40*1440,B40))</f>
        <v/>
      </c>
    </row>
    <row r="41" spans="1:10" ht="21" customHeight="1" x14ac:dyDescent="0.3">
      <c r="A41" s="50" t="str">
        <f>IF(ISNUMBER(SK!B63), SK!A63, "")</f>
        <v/>
      </c>
      <c r="B41" s="51"/>
      <c r="C41" s="52"/>
      <c r="D41" s="52"/>
      <c r="E41" s="1205"/>
      <c r="F41" s="1206"/>
      <c r="G41" s="1206"/>
      <c r="H41" s="1207"/>
      <c r="I41" s="53" t="str">
        <f t="shared" ref="I41:I48" si="2">IF(OR(A41="",B41="",B41=0,C41=""),"",60*C41/IF(B41&lt;1,B41*1440,B41))</f>
        <v/>
      </c>
      <c r="J41" s="54" t="str">
        <f ca="1">IF(OR(A41="",B41="",B41=0),"",60*SUM(INDIRECT(ADDRESS(MATCH(A41,SK!A$3:A$78,0)+2,COLUMN(SK!E$2),1,,"SK")),INDIRECT(ADDRESS(MATCH(A41,SK!Q$3:Q$78,0)+2,COLUMN(SK!U$2),1,,"SK")))/IF(B41&lt;1,B41*1440,B41))</f>
        <v/>
      </c>
    </row>
    <row r="42" spans="1:10" ht="21" customHeight="1" x14ac:dyDescent="0.3">
      <c r="A42" s="55" t="str">
        <f>IF(ISNUMBER(SK!B65), SK!A65, "")</f>
        <v/>
      </c>
      <c r="B42" s="56"/>
      <c r="C42" s="57"/>
      <c r="D42" s="57"/>
      <c r="E42" s="1208"/>
      <c r="F42" s="1209"/>
      <c r="G42" s="1209"/>
      <c r="H42" s="1210"/>
      <c r="I42" s="58" t="str">
        <f t="shared" si="2"/>
        <v/>
      </c>
      <c r="J42" s="59" t="str">
        <f ca="1">IF(OR(A42="",B42="",B42=0),"",60*SUM(INDIRECT(ADDRESS(MATCH(A42,SK!A$3:A$78,0)+2,COLUMN(SK!E$2),1,,"SK")),INDIRECT(ADDRESS(MATCH(A42,SK!Q$3:Q$78,0)+2,COLUMN(SK!U$2),1,,"SK")))/IF(B42&lt;1,B42*1440,B42))</f>
        <v/>
      </c>
    </row>
    <row r="43" spans="1:10" ht="21" customHeight="1" x14ac:dyDescent="0.3">
      <c r="A43" s="50" t="str">
        <f>IF(ISNUMBER(SK!B67), SK!A67, "")</f>
        <v/>
      </c>
      <c r="B43" s="51"/>
      <c r="C43" s="52"/>
      <c r="D43" s="52"/>
      <c r="E43" s="1205"/>
      <c r="F43" s="1206"/>
      <c r="G43" s="1206"/>
      <c r="H43" s="1207"/>
      <c r="I43" s="53" t="str">
        <f t="shared" si="2"/>
        <v/>
      </c>
      <c r="J43" s="54" t="str">
        <f ca="1">IF(OR(A43="",B43="",B43=0),"",60*SUM(INDIRECT(ADDRESS(MATCH(A43,SK!A$3:A$78,0)+2,COLUMN(SK!E$2),1,,"SK")),INDIRECT(ADDRESS(MATCH(A43,SK!Q$3:Q$78,0)+2,COLUMN(SK!U$2),1,,"SK")))/IF(B43&lt;1,B43*1440,B43))</f>
        <v/>
      </c>
    </row>
    <row r="44" spans="1:10" ht="21" customHeight="1" x14ac:dyDescent="0.3">
      <c r="A44" s="55" t="str">
        <f>IF(ISNUMBER(SK!B69), SK!A69, "")</f>
        <v/>
      </c>
      <c r="B44" s="56"/>
      <c r="C44" s="57"/>
      <c r="D44" s="57"/>
      <c r="E44" s="1208"/>
      <c r="F44" s="1209"/>
      <c r="G44" s="1209"/>
      <c r="H44" s="1210"/>
      <c r="I44" s="58" t="str">
        <f t="shared" si="2"/>
        <v/>
      </c>
      <c r="J44" s="59" t="str">
        <f ca="1">IF(OR(A44="",B44="",B44=0),"",60*SUM(INDIRECT(ADDRESS(MATCH(A44,SK!A$3:A$78,0)+2,COLUMN(SK!E$2),1,,"SK")),INDIRECT(ADDRESS(MATCH(A44,SK!Q$3:Q$78,0)+2,COLUMN(SK!U$2),1,,"SK")))/IF(B44&lt;1,B44*1440,B44))</f>
        <v/>
      </c>
    </row>
    <row r="45" spans="1:10" ht="21" customHeight="1" x14ac:dyDescent="0.3">
      <c r="A45" s="50" t="str">
        <f>IF(ISNUMBER(SK!B71), SK!A71, "")</f>
        <v/>
      </c>
      <c r="B45" s="51"/>
      <c r="C45" s="52"/>
      <c r="D45" s="52"/>
      <c r="E45" s="1205"/>
      <c r="F45" s="1206"/>
      <c r="G45" s="1206"/>
      <c r="H45" s="1207"/>
      <c r="I45" s="53" t="str">
        <f t="shared" si="2"/>
        <v/>
      </c>
      <c r="J45" s="54" t="str">
        <f ca="1">IF(OR(A45="",B45="",B45=0),"",60*SUM(INDIRECT(ADDRESS(MATCH(A45,SK!A$3:A$78,0)+2,COLUMN(SK!E$2),1,,"SK")),INDIRECT(ADDRESS(MATCH(A45,SK!Q$3:Q$78,0)+2,COLUMN(SK!U$2),1,,"SK")))/IF(B45&lt;1,B45*1440,B45))</f>
        <v/>
      </c>
    </row>
    <row r="46" spans="1:10" ht="21" customHeight="1" x14ac:dyDescent="0.3">
      <c r="A46" s="55" t="str">
        <f>IF(ISNUMBER(SK!B73), SK!A73, "")</f>
        <v/>
      </c>
      <c r="B46" s="56"/>
      <c r="C46" s="57"/>
      <c r="D46" s="57"/>
      <c r="E46" s="1208"/>
      <c r="F46" s="1209"/>
      <c r="G46" s="1209"/>
      <c r="H46" s="1210"/>
      <c r="I46" s="58" t="str">
        <f t="shared" si="2"/>
        <v/>
      </c>
      <c r="J46" s="59" t="str">
        <f ca="1">IF(OR(A46="",B46="",B46=0),"",60*SUM(INDIRECT(ADDRESS(MATCH(A46,SK!A$3:A$78,0)+2,COLUMN(SK!E$2),1,,"SK")),INDIRECT(ADDRESS(MATCH(A46,SK!Q$3:Q$78,0)+2,COLUMN(SK!U$2),1,,"SK")))/IF(B46&lt;1,B46*1440,B46))</f>
        <v/>
      </c>
    </row>
    <row r="47" spans="1:10" ht="21" customHeight="1" x14ac:dyDescent="0.3">
      <c r="A47" s="50" t="str">
        <f>IF(ISNUMBER(SK!B75), SK!A75, "")</f>
        <v/>
      </c>
      <c r="B47" s="51"/>
      <c r="C47" s="52"/>
      <c r="D47" s="52"/>
      <c r="E47" s="1205"/>
      <c r="F47" s="1206"/>
      <c r="G47" s="1206"/>
      <c r="H47" s="1207"/>
      <c r="I47" s="53" t="str">
        <f t="shared" si="2"/>
        <v/>
      </c>
      <c r="J47" s="54" t="str">
        <f ca="1">IF(OR(A47="",B47="",B47=0),"",60*SUM(INDIRECT(ADDRESS(MATCH(A47,SK!A$3:A$78,0)+2,COLUMN(SK!E$2),1,,"SK")),INDIRECT(ADDRESS(MATCH(A47,SK!Q$3:Q$78,0)+2,COLUMN(SK!U$2),1,,"SK")))/IF(B47&lt;1,B47*1440,B47))</f>
        <v/>
      </c>
    </row>
    <row r="48" spans="1:10" ht="21" customHeight="1" thickBot="1" x14ac:dyDescent="0.35">
      <c r="A48" s="55" t="str">
        <f>IF(ISNUMBER(SK!B77), SK!A77, "")</f>
        <v/>
      </c>
      <c r="B48" s="56"/>
      <c r="C48" s="57"/>
      <c r="D48" s="57"/>
      <c r="E48" s="1211"/>
      <c r="F48" s="1212"/>
      <c r="G48" s="1212"/>
      <c r="H48" s="1213"/>
      <c r="I48" s="58" t="str">
        <f t="shared" si="2"/>
        <v/>
      </c>
      <c r="J48" s="59" t="str">
        <f ca="1">IF(OR(A48="",B48="",B48=0),"",60*SUM(INDIRECT(ADDRESS(MATCH(A48,SK!A$3:A$78,0)+2,COLUMN(SK!E$2),1,,"SK")),INDIRECT(ADDRESS(MATCH(A48,SK!Q$3:Q$78,0)+2,COLUMN(SK!U$2),1,,"SK")))/IF(B48&lt;1,B48*1440,B48))</f>
        <v/>
      </c>
    </row>
    <row r="49" spans="1:10" x14ac:dyDescent="0.3">
      <c r="A49" s="60" t="s">
        <v>65</v>
      </c>
      <c r="B49" s="61"/>
      <c r="C49" s="61" t="s">
        <v>366</v>
      </c>
      <c r="D49" s="61"/>
      <c r="E49" s="61"/>
      <c r="F49" s="61"/>
      <c r="G49" s="61"/>
      <c r="H49" s="61"/>
      <c r="I49" s="61"/>
      <c r="J49" s="62"/>
    </row>
    <row r="50" spans="1:10" x14ac:dyDescent="0.3">
      <c r="A50" s="63" t="s">
        <v>66</v>
      </c>
      <c r="B50" s="64"/>
      <c r="C50" s="64" t="s">
        <v>367</v>
      </c>
      <c r="D50" s="64"/>
      <c r="E50" s="64"/>
      <c r="F50" s="64"/>
      <c r="G50" s="64"/>
      <c r="H50" s="64"/>
      <c r="I50" s="64"/>
      <c r="J50" s="65"/>
    </row>
    <row r="51" spans="1:10" ht="14.4" thickBot="1" x14ac:dyDescent="0.35">
      <c r="A51" s="66" t="s">
        <v>67</v>
      </c>
      <c r="B51" s="67"/>
      <c r="C51" s="68" t="s">
        <v>368</v>
      </c>
      <c r="D51" s="67"/>
      <c r="E51" s="67"/>
      <c r="F51" s="67"/>
      <c r="G51" s="67"/>
      <c r="H51" s="635"/>
      <c r="I51" s="67"/>
      <c r="J51" s="69"/>
    </row>
    <row r="52" spans="1:10" s="2" customFormat="1" ht="28.95" customHeight="1" x14ac:dyDescent="0.3">
      <c r="A52" s="82" t="s">
        <v>364</v>
      </c>
      <c r="B52" s="1228" t="str">
        <f>Score!$A$1</f>
        <v>Rat City Rollergirls / All-Stars</v>
      </c>
      <c r="C52" s="1228"/>
      <c r="D52" s="1228"/>
      <c r="E52" s="1219"/>
      <c r="F52" s="1219"/>
      <c r="G52" s="1219"/>
      <c r="H52" s="1219"/>
      <c r="I52" s="1229">
        <f>IF(ISBLANK(IGRF!$B$5), "", IGRF!$B$5)</f>
        <v>41832</v>
      </c>
      <c r="J52" s="1236">
        <v>2</v>
      </c>
    </row>
    <row r="53" spans="1:10" s="2" customFormat="1" ht="15" customHeight="1" x14ac:dyDescent="0.3">
      <c r="A53" s="1231" t="s">
        <v>365</v>
      </c>
      <c r="B53" s="1228" t="str">
        <f>Score!$T$1</f>
        <v>Houston Roller Derby / All-Stars</v>
      </c>
      <c r="C53" s="1228"/>
      <c r="D53" s="1228"/>
      <c r="E53" s="1220"/>
      <c r="F53" s="1220"/>
      <c r="G53" s="1220"/>
      <c r="H53" s="1220"/>
      <c r="I53" s="1230"/>
      <c r="J53" s="1236"/>
    </row>
    <row r="54" spans="1:10" s="2" customFormat="1" ht="15" customHeight="1" thickBot="1" x14ac:dyDescent="0.35">
      <c r="A54" s="1231"/>
      <c r="B54" s="1228"/>
      <c r="C54" s="1228"/>
      <c r="D54" s="1228"/>
      <c r="E54" s="1221" t="s">
        <v>346</v>
      </c>
      <c r="F54" s="1221"/>
      <c r="G54" s="1221"/>
      <c r="H54" s="1221"/>
      <c r="I54" s="253" t="s">
        <v>355</v>
      </c>
      <c r="J54" s="254" t="str">
        <f>J3</f>
        <v>GAME 2</v>
      </c>
    </row>
    <row r="55" spans="1:10" s="6" customFormat="1" ht="15" customHeight="1" thickBot="1" x14ac:dyDescent="0.3">
      <c r="A55" s="46"/>
      <c r="B55" s="1241" t="s">
        <v>55</v>
      </c>
      <c r="C55" s="1241"/>
      <c r="D55" s="1241" t="s">
        <v>56</v>
      </c>
      <c r="E55" s="1241"/>
      <c r="F55" s="1241"/>
      <c r="G55" s="1214" t="s">
        <v>57</v>
      </c>
      <c r="H55" s="1214"/>
      <c r="I55" s="1237" t="s">
        <v>230</v>
      </c>
      <c r="J55" s="1237"/>
    </row>
    <row r="56" spans="1:10" ht="21" customHeight="1" thickBot="1" x14ac:dyDescent="0.35">
      <c r="A56" s="47" t="s">
        <v>195</v>
      </c>
      <c r="B56" s="1242" t="str">
        <f>IF(B5="", "",B5 )</f>
        <v/>
      </c>
      <c r="C56" s="1242"/>
      <c r="D56" s="1226"/>
      <c r="E56" s="1227"/>
      <c r="F56" s="1225"/>
      <c r="G56" s="1226"/>
      <c r="H56" s="1215"/>
      <c r="I56" s="1239" t="str">
        <f>I5</f>
        <v>Rat City Rollergirls / All-Stars</v>
      </c>
      <c r="J56" s="1239"/>
    </row>
    <row r="57" spans="1:10" ht="21" customHeight="1" thickBot="1" x14ac:dyDescent="0.35">
      <c r="A57" s="48" t="s">
        <v>201</v>
      </c>
      <c r="B57" s="1243" t="str">
        <f>IF(B6="", "",B6 )</f>
        <v/>
      </c>
      <c r="C57" s="1243"/>
      <c r="D57" s="1226"/>
      <c r="E57" s="1227"/>
      <c r="F57" s="1225"/>
      <c r="G57" s="1226"/>
      <c r="H57" s="1216"/>
      <c r="I57" s="1239"/>
      <c r="J57" s="1239"/>
    </row>
    <row r="58" spans="1:10" ht="21" customHeight="1" thickBot="1" x14ac:dyDescent="0.35">
      <c r="A58" s="47" t="s">
        <v>195</v>
      </c>
      <c r="B58" s="1242" t="str">
        <f>IF(B7="", "",B7 )</f>
        <v/>
      </c>
      <c r="C58" s="1242"/>
      <c r="D58" s="1226"/>
      <c r="E58" s="1227"/>
      <c r="F58" s="1225"/>
      <c r="G58" s="1226"/>
      <c r="H58" s="1217"/>
      <c r="I58" s="1239" t="str">
        <f>I7</f>
        <v>Houston Roller Derby / All-Stars</v>
      </c>
      <c r="J58" s="1239"/>
    </row>
    <row r="59" spans="1:10" ht="21" customHeight="1" thickBot="1" x14ac:dyDescent="0.35">
      <c r="A59" s="48" t="s">
        <v>201</v>
      </c>
      <c r="B59" s="1243" t="str">
        <f>IF(B8="", "",B8 )</f>
        <v/>
      </c>
      <c r="C59" s="1243"/>
      <c r="D59" s="1226"/>
      <c r="E59" s="1227"/>
      <c r="F59" s="1225"/>
      <c r="G59" s="1226"/>
      <c r="H59" s="1218"/>
      <c r="I59" s="1239"/>
      <c r="J59" s="1239"/>
    </row>
    <row r="60" spans="1:10" ht="14.4" thickBot="1" x14ac:dyDescent="0.35">
      <c r="A60" s="1232" t="s">
        <v>58</v>
      </c>
      <c r="B60" s="1232"/>
      <c r="C60" s="1232"/>
      <c r="D60" s="1232"/>
      <c r="E60" s="1232"/>
      <c r="F60" s="1232"/>
      <c r="G60" s="1232"/>
      <c r="H60" s="1233"/>
      <c r="I60" s="1232"/>
      <c r="J60" s="1232"/>
    </row>
    <row r="61" spans="1:10" s="6" customFormat="1" ht="15" customHeight="1" x14ac:dyDescent="0.25">
      <c r="A61" s="70" t="s">
        <v>257</v>
      </c>
      <c r="B61" s="71" t="s">
        <v>59</v>
      </c>
      <c r="C61" s="71" t="s">
        <v>60</v>
      </c>
      <c r="D61" s="71" t="s">
        <v>61</v>
      </c>
      <c r="E61" s="1244" t="s">
        <v>62</v>
      </c>
      <c r="F61" s="1244"/>
      <c r="G61" s="1244"/>
      <c r="H61" s="636"/>
      <c r="I61" s="71" t="s">
        <v>63</v>
      </c>
      <c r="J61" s="72" t="s">
        <v>64</v>
      </c>
    </row>
    <row r="62" spans="1:10" ht="21" customHeight="1" x14ac:dyDescent="0.3">
      <c r="A62" s="50">
        <f>IF(ISNUMBER(SK!B88), SK!A88, "")</f>
        <v>1</v>
      </c>
      <c r="B62" s="51"/>
      <c r="C62" s="52"/>
      <c r="D62" s="52"/>
      <c r="E62" s="1205"/>
      <c r="F62" s="1206"/>
      <c r="G62" s="1206"/>
      <c r="H62" s="1207"/>
      <c r="I62" s="53" t="str">
        <f t="shared" ref="I62:I92" si="3">IF(OR(A62="",B62="",B62=0,C62=""),"",60*C62/IF(B62&lt;1,B62*1440,B62))</f>
        <v/>
      </c>
      <c r="J62" s="54" t="str">
        <f ca="1">IF(OR(A62="",B62="",B62=0),"",60*SUM(INDIRECT(ADDRESS(MATCH(A62,SK!A$88:A$162,0)+87,COLUMN(SK!E$2),1,,"SK")),INDIRECT(ADDRESS(MATCH(A62,SK!Q$88:Q$162,0)+87,COLUMN(SK!U$2),1,,"SK")))/IF(B62&lt;1,B62*1440,B62))</f>
        <v/>
      </c>
    </row>
    <row r="63" spans="1:10" ht="21" customHeight="1" x14ac:dyDescent="0.3">
      <c r="A63" s="55">
        <f>IF(ISNUMBER(SK!B90), SK!A90, "")</f>
        <v>2</v>
      </c>
      <c r="B63" s="56"/>
      <c r="C63" s="57"/>
      <c r="D63" s="57"/>
      <c r="E63" s="1208"/>
      <c r="F63" s="1209"/>
      <c r="G63" s="1209"/>
      <c r="H63" s="1210"/>
      <c r="I63" s="58" t="str">
        <f t="shared" si="3"/>
        <v/>
      </c>
      <c r="J63" s="59" t="str">
        <f ca="1">IF(OR(A63="",B63="",B63=0),"",60*SUM(INDIRECT(ADDRESS(MATCH(A63,SK!A$88:A$162,0)+87,COLUMN(SK!E$2),1,,"SK")),INDIRECT(ADDRESS(MATCH(A63,SK!Q$88:Q$162,0)+87,COLUMN(SK!U$2),1,,"SK")))/IF(B63&lt;1,B63*1440,B63))</f>
        <v/>
      </c>
    </row>
    <row r="64" spans="1:10" ht="21" customHeight="1" x14ac:dyDescent="0.3">
      <c r="A64" s="50">
        <f>IF(ISNUMBER(SK!B92), SK!A92, "")</f>
        <v>3</v>
      </c>
      <c r="B64" s="51"/>
      <c r="C64" s="52"/>
      <c r="D64" s="52"/>
      <c r="E64" s="1205"/>
      <c r="F64" s="1206"/>
      <c r="G64" s="1206"/>
      <c r="H64" s="1207"/>
      <c r="I64" s="53" t="str">
        <f t="shared" si="3"/>
        <v/>
      </c>
      <c r="J64" s="54" t="str">
        <f ca="1">IF(OR(A64="",B64="",B64=0),"",60*SUM(INDIRECT(ADDRESS(MATCH(A64,SK!A$88:A$162,0)+87,COLUMN(SK!E$2),1,,"SK")),INDIRECT(ADDRESS(MATCH(A64,SK!Q$88:Q$162,0)+87,COLUMN(SK!U$2),1,,"SK")))/IF(B64&lt;1,B64*1440,B64))</f>
        <v/>
      </c>
    </row>
    <row r="65" spans="1:10" ht="21" customHeight="1" x14ac:dyDescent="0.3">
      <c r="A65" s="55">
        <f>IF(ISNUMBER(SK!B94), SK!A94, "")</f>
        <v>4</v>
      </c>
      <c r="B65" s="56"/>
      <c r="C65" s="57"/>
      <c r="D65" s="57"/>
      <c r="E65" s="1208"/>
      <c r="F65" s="1209"/>
      <c r="G65" s="1209"/>
      <c r="H65" s="1210"/>
      <c r="I65" s="58" t="str">
        <f t="shared" si="3"/>
        <v/>
      </c>
      <c r="J65" s="59" t="str">
        <f ca="1">IF(OR(A65="",B65="",B65=0),"",60*SUM(INDIRECT(ADDRESS(MATCH(A65,SK!A$88:A$162,0)+87,COLUMN(SK!E$2),1,,"SK")),INDIRECT(ADDRESS(MATCH(A65,SK!Q$88:Q$162,0)+87,COLUMN(SK!U$2),1,,"SK")))/IF(B65&lt;1,B65*1440,B65))</f>
        <v/>
      </c>
    </row>
    <row r="66" spans="1:10" ht="21" customHeight="1" x14ac:dyDescent="0.3">
      <c r="A66" s="50">
        <f>IF(ISNUMBER(SK!B96), SK!A96, "")</f>
        <v>5</v>
      </c>
      <c r="B66" s="51"/>
      <c r="C66" s="52"/>
      <c r="D66" s="52"/>
      <c r="E66" s="1205"/>
      <c r="F66" s="1206"/>
      <c r="G66" s="1206"/>
      <c r="H66" s="1207"/>
      <c r="I66" s="53" t="str">
        <f t="shared" si="3"/>
        <v/>
      </c>
      <c r="J66" s="54" t="str">
        <f ca="1">IF(OR(A66="",B66="",B66=0),"",60*SUM(INDIRECT(ADDRESS(MATCH(A66,SK!A$88:A$162,0)+87,COLUMN(SK!E$2),1,,"SK")),INDIRECT(ADDRESS(MATCH(A66,SK!Q$88:Q$162,0)+87,COLUMN(SK!U$2),1,,"SK")))/IF(B66&lt;1,B66*1440,B66))</f>
        <v/>
      </c>
    </row>
    <row r="67" spans="1:10" ht="21" customHeight="1" x14ac:dyDescent="0.3">
      <c r="A67" s="55">
        <f>IF(ISNUMBER(SK!B98), SK!A98, "")</f>
        <v>6</v>
      </c>
      <c r="B67" s="56"/>
      <c r="C67" s="57"/>
      <c r="D67" s="57"/>
      <c r="E67" s="1208"/>
      <c r="F67" s="1209"/>
      <c r="G67" s="1209"/>
      <c r="H67" s="1210"/>
      <c r="I67" s="58" t="str">
        <f t="shared" si="3"/>
        <v/>
      </c>
      <c r="J67" s="59" t="str">
        <f ca="1">IF(OR(A67="",B67="",B67=0),"",60*SUM(INDIRECT(ADDRESS(MATCH(A67,SK!A$88:A$162,0)+87,COLUMN(SK!E$2),1,,"SK")),INDIRECT(ADDRESS(MATCH(A67,SK!Q$88:Q$162,0)+87,COLUMN(SK!U$2),1,,"SK")))/IF(B67&lt;1,B67*1440,B67))</f>
        <v/>
      </c>
    </row>
    <row r="68" spans="1:10" ht="21" customHeight="1" x14ac:dyDescent="0.3">
      <c r="A68" s="50">
        <f>IF(ISNUMBER(SK!B100), SK!A100, "")</f>
        <v>7</v>
      </c>
      <c r="B68" s="51"/>
      <c r="C68" s="52"/>
      <c r="D68" s="52"/>
      <c r="E68" s="1205"/>
      <c r="F68" s="1206"/>
      <c r="G68" s="1206"/>
      <c r="H68" s="1207"/>
      <c r="I68" s="53" t="str">
        <f t="shared" si="3"/>
        <v/>
      </c>
      <c r="J68" s="54" t="str">
        <f ca="1">IF(OR(A68="",B68="",B68=0),"",60*SUM(INDIRECT(ADDRESS(MATCH(A68,SK!A$88:A$162,0)+87,COLUMN(SK!E$2),1,,"SK")),INDIRECT(ADDRESS(MATCH(A68,SK!Q$88:Q$162,0)+87,COLUMN(SK!U$2),1,,"SK")))/IF(B68&lt;1,B68*1440,B68))</f>
        <v/>
      </c>
    </row>
    <row r="69" spans="1:10" ht="21" customHeight="1" x14ac:dyDescent="0.3">
      <c r="A69" s="55">
        <f>IF(ISNUMBER(SK!B102), SK!A102, "")</f>
        <v>8</v>
      </c>
      <c r="B69" s="56"/>
      <c r="C69" s="57"/>
      <c r="D69" s="57"/>
      <c r="E69" s="1208"/>
      <c r="F69" s="1209"/>
      <c r="G69" s="1209"/>
      <c r="H69" s="1210"/>
      <c r="I69" s="58" t="str">
        <f t="shared" si="3"/>
        <v/>
      </c>
      <c r="J69" s="59" t="str">
        <f ca="1">IF(OR(A69="",B69="",B69=0),"",60*SUM(INDIRECT(ADDRESS(MATCH(A69,SK!A$88:A$162,0)+87,COLUMN(SK!E$2),1,,"SK")),INDIRECT(ADDRESS(MATCH(A69,SK!Q$88:Q$162,0)+87,COLUMN(SK!U$2),1,,"SK")))/IF(B69&lt;1,B69*1440,B69))</f>
        <v/>
      </c>
    </row>
    <row r="70" spans="1:10" ht="21" customHeight="1" x14ac:dyDescent="0.3">
      <c r="A70" s="50">
        <f>IF(ISNUMBER(SK!B104), SK!A104, "")</f>
        <v>9</v>
      </c>
      <c r="B70" s="51"/>
      <c r="C70" s="52"/>
      <c r="D70" s="52"/>
      <c r="E70" s="1205"/>
      <c r="F70" s="1206"/>
      <c r="G70" s="1206"/>
      <c r="H70" s="1207"/>
      <c r="I70" s="53" t="str">
        <f t="shared" si="3"/>
        <v/>
      </c>
      <c r="J70" s="54" t="str">
        <f ca="1">IF(OR(A70="",B70="",B70=0),"",60*SUM(INDIRECT(ADDRESS(MATCH(A70,SK!A$88:A$162,0)+87,COLUMN(SK!E$2),1,,"SK")),INDIRECT(ADDRESS(MATCH(A70,SK!Q$88:Q$162,0)+87,COLUMN(SK!U$2),1,,"SK")))/IF(B70&lt;1,B70*1440,B70))</f>
        <v/>
      </c>
    </row>
    <row r="71" spans="1:10" ht="21" customHeight="1" x14ac:dyDescent="0.3">
      <c r="A71" s="55">
        <f>IF(ISNUMBER(SK!B106), SK!A106, "")</f>
        <v>10</v>
      </c>
      <c r="B71" s="56"/>
      <c r="C71" s="57"/>
      <c r="D71" s="57"/>
      <c r="E71" s="1208"/>
      <c r="F71" s="1209"/>
      <c r="G71" s="1209"/>
      <c r="H71" s="1210"/>
      <c r="I71" s="58" t="str">
        <f t="shared" si="3"/>
        <v/>
      </c>
      <c r="J71" s="59" t="str">
        <f ca="1">IF(OR(A71="",B71="",B71=0),"",60*SUM(INDIRECT(ADDRESS(MATCH(A71,SK!A$88:A$162,0)+87,COLUMN(SK!E$2),1,,"SK")),INDIRECT(ADDRESS(MATCH(A71,SK!Q$88:Q$162,0)+87,COLUMN(SK!U$2),1,,"SK")))/IF(B71&lt;1,B71*1440,B71))</f>
        <v/>
      </c>
    </row>
    <row r="72" spans="1:10" ht="21" customHeight="1" x14ac:dyDescent="0.3">
      <c r="A72" s="50">
        <f>IF(ISNUMBER(SK!B108), SK!A108, "")</f>
        <v>11</v>
      </c>
      <c r="B72" s="51"/>
      <c r="C72" s="52"/>
      <c r="D72" s="52"/>
      <c r="E72" s="1205"/>
      <c r="F72" s="1206"/>
      <c r="G72" s="1206"/>
      <c r="H72" s="1207"/>
      <c r="I72" s="53" t="str">
        <f t="shared" si="3"/>
        <v/>
      </c>
      <c r="J72" s="54" t="str">
        <f ca="1">IF(OR(A72="",B72="",B72=0),"",60*SUM(INDIRECT(ADDRESS(MATCH(A72,SK!A$88:A$162,0)+87,COLUMN(SK!E$2),1,,"SK")),INDIRECT(ADDRESS(MATCH(A72,SK!Q$88:Q$162,0)+87,COLUMN(SK!U$2),1,,"SK")))/IF(B72&lt;1,B72*1440,B72))</f>
        <v/>
      </c>
    </row>
    <row r="73" spans="1:10" ht="21" customHeight="1" x14ac:dyDescent="0.3">
      <c r="A73" s="55">
        <f>IF(ISNUMBER(SK!B110), SK!A110, "")</f>
        <v>12</v>
      </c>
      <c r="B73" s="56"/>
      <c r="C73" s="57"/>
      <c r="D73" s="57"/>
      <c r="E73" s="1208"/>
      <c r="F73" s="1209"/>
      <c r="G73" s="1209"/>
      <c r="H73" s="1210"/>
      <c r="I73" s="58" t="str">
        <f t="shared" si="3"/>
        <v/>
      </c>
      <c r="J73" s="59" t="str">
        <f ca="1">IF(OR(A73="",B73="",B73=0),"",60*SUM(INDIRECT(ADDRESS(MATCH(A73,SK!A$88:A$162,0)+87,COLUMN(SK!E$2),1,,"SK")),INDIRECT(ADDRESS(MATCH(A73,SK!Q$88:Q$162,0)+87,COLUMN(SK!U$2),1,,"SK")))/IF(B73&lt;1,B73*1440,B73))</f>
        <v/>
      </c>
    </row>
    <row r="74" spans="1:10" ht="21" customHeight="1" x14ac:dyDescent="0.3">
      <c r="A74" s="50">
        <f>IF(ISNUMBER(SK!B112), SK!A112, "")</f>
        <v>13</v>
      </c>
      <c r="B74" s="51"/>
      <c r="C74" s="52"/>
      <c r="D74" s="52"/>
      <c r="E74" s="1205"/>
      <c r="F74" s="1206"/>
      <c r="G74" s="1206"/>
      <c r="H74" s="1207"/>
      <c r="I74" s="53" t="str">
        <f t="shared" si="3"/>
        <v/>
      </c>
      <c r="J74" s="54" t="str">
        <f ca="1">IF(OR(A74="",B74="",B74=0),"",60*SUM(INDIRECT(ADDRESS(MATCH(A74,SK!A$88:A$162,0)+87,COLUMN(SK!E$2),1,,"SK")),INDIRECT(ADDRESS(MATCH(A74,SK!Q$88:Q$162,0)+87,COLUMN(SK!U$2),1,,"SK")))/IF(B74&lt;1,B74*1440,B74))</f>
        <v/>
      </c>
    </row>
    <row r="75" spans="1:10" ht="21" customHeight="1" x14ac:dyDescent="0.3">
      <c r="A75" s="55">
        <f>IF(ISNUMBER(SK!B114), SK!A114, "")</f>
        <v>14</v>
      </c>
      <c r="B75" s="56"/>
      <c r="C75" s="57"/>
      <c r="D75" s="57"/>
      <c r="E75" s="1208"/>
      <c r="F75" s="1209"/>
      <c r="G75" s="1209"/>
      <c r="H75" s="1210"/>
      <c r="I75" s="58" t="str">
        <f t="shared" si="3"/>
        <v/>
      </c>
      <c r="J75" s="59" t="str">
        <f ca="1">IF(OR(A75="",B75="",B75=0),"",60*SUM(INDIRECT(ADDRESS(MATCH(A75,SK!A$88:A$162,0)+87,COLUMN(SK!E$2),1,,"SK")),INDIRECT(ADDRESS(MATCH(A75,SK!Q$88:Q$162,0)+87,COLUMN(SK!U$2),1,,"SK")))/IF(B75&lt;1,B75*1440,B75))</f>
        <v/>
      </c>
    </row>
    <row r="76" spans="1:10" ht="21" customHeight="1" x14ac:dyDescent="0.3">
      <c r="A76" s="50">
        <f>IF(ISNUMBER(SK!B116), SK!A116, "")</f>
        <v>15</v>
      </c>
      <c r="B76" s="51"/>
      <c r="C76" s="52"/>
      <c r="D76" s="52"/>
      <c r="E76" s="1205"/>
      <c r="F76" s="1206"/>
      <c r="G76" s="1206"/>
      <c r="H76" s="1207"/>
      <c r="I76" s="53" t="str">
        <f t="shared" si="3"/>
        <v/>
      </c>
      <c r="J76" s="54" t="str">
        <f ca="1">IF(OR(A76="",B76="",B76=0),"",60*SUM(INDIRECT(ADDRESS(MATCH(A76,SK!A$88:A$162,0)+87,COLUMN(SK!E$2),1,,"SK")),INDIRECT(ADDRESS(MATCH(A76,SK!Q$88:Q$162,0)+87,COLUMN(SK!U$2),1,,"SK")))/IF(B76&lt;1,B76*1440,B76))</f>
        <v/>
      </c>
    </row>
    <row r="77" spans="1:10" ht="21" customHeight="1" x14ac:dyDescent="0.3">
      <c r="A77" s="55">
        <f>IF(ISNUMBER(SK!B118), SK!A118, "")</f>
        <v>16</v>
      </c>
      <c r="B77" s="56"/>
      <c r="C77" s="57"/>
      <c r="D77" s="57"/>
      <c r="E77" s="1208"/>
      <c r="F77" s="1209"/>
      <c r="G77" s="1209"/>
      <c r="H77" s="1210"/>
      <c r="I77" s="58" t="str">
        <f t="shared" si="3"/>
        <v/>
      </c>
      <c r="J77" s="59" t="str">
        <f ca="1">IF(OR(A77="",B77="",B77=0),"",60*SUM(INDIRECT(ADDRESS(MATCH(A77,SK!A$88:A$162,0)+87,COLUMN(SK!E$2),1,,"SK")),INDIRECT(ADDRESS(MATCH(A77,SK!Q$88:Q$162,0)+87,COLUMN(SK!U$2),1,,"SK")))/IF(B77&lt;1,B77*1440,B77))</f>
        <v/>
      </c>
    </row>
    <row r="78" spans="1:10" ht="21" customHeight="1" x14ac:dyDescent="0.3">
      <c r="A78" s="50">
        <f>IF(ISNUMBER(SK!B120), SK!A120, "")</f>
        <v>17</v>
      </c>
      <c r="B78" s="51"/>
      <c r="C78" s="52"/>
      <c r="D78" s="52"/>
      <c r="E78" s="1205"/>
      <c r="F78" s="1206"/>
      <c r="G78" s="1206"/>
      <c r="H78" s="1207"/>
      <c r="I78" s="53" t="str">
        <f t="shared" si="3"/>
        <v/>
      </c>
      <c r="J78" s="54" t="str">
        <f ca="1">IF(OR(A78="",B78="",B78=0),"",60*SUM(INDIRECT(ADDRESS(MATCH(A78,SK!A$88:A$162,0)+87,COLUMN(SK!E$2),1,,"SK")),INDIRECT(ADDRESS(MATCH(A78,SK!Q$88:Q$162,0)+87,COLUMN(SK!U$2),1,,"SK")))/IF(B78&lt;1,B78*1440,B78))</f>
        <v/>
      </c>
    </row>
    <row r="79" spans="1:10" ht="21" customHeight="1" x14ac:dyDescent="0.3">
      <c r="A79" s="55">
        <f>IF(ISNUMBER(SK!B122), SK!A122, "")</f>
        <v>18</v>
      </c>
      <c r="B79" s="56"/>
      <c r="C79" s="57"/>
      <c r="D79" s="57"/>
      <c r="E79" s="1208"/>
      <c r="F79" s="1209"/>
      <c r="G79" s="1209"/>
      <c r="H79" s="1210"/>
      <c r="I79" s="58" t="str">
        <f t="shared" si="3"/>
        <v/>
      </c>
      <c r="J79" s="59" t="str">
        <f ca="1">IF(OR(A79="",B79="",B79=0),"",60*SUM(INDIRECT(ADDRESS(MATCH(A79,SK!A$88:A$162,0)+87,COLUMN(SK!E$2),1,,"SK")),INDIRECT(ADDRESS(MATCH(A79,SK!Q$88:Q$162,0)+87,COLUMN(SK!U$2),1,,"SK")))/IF(B79&lt;1,B79*1440,B79))</f>
        <v/>
      </c>
    </row>
    <row r="80" spans="1:10" ht="21" customHeight="1" x14ac:dyDescent="0.3">
      <c r="A80" s="50">
        <f>IF(ISNUMBER(SK!B124), SK!A124, "")</f>
        <v>19</v>
      </c>
      <c r="B80" s="51"/>
      <c r="C80" s="52"/>
      <c r="D80" s="52"/>
      <c r="E80" s="1205"/>
      <c r="F80" s="1206"/>
      <c r="G80" s="1206"/>
      <c r="H80" s="1207"/>
      <c r="I80" s="53" t="str">
        <f t="shared" si="3"/>
        <v/>
      </c>
      <c r="J80" s="54" t="str">
        <f ca="1">IF(OR(A80="",B80="",B80=0),"",60*SUM(INDIRECT(ADDRESS(MATCH(A80,SK!A$88:A$162,0)+87,COLUMN(SK!E$2),1,,"SK")),INDIRECT(ADDRESS(MATCH(A80,SK!Q$88:Q$162,0)+87,COLUMN(SK!U$2),1,,"SK")))/IF(B80&lt;1,B80*1440,B80))</f>
        <v/>
      </c>
    </row>
    <row r="81" spans="1:10" ht="21" customHeight="1" x14ac:dyDescent="0.3">
      <c r="A81" s="55">
        <f>IF(ISNUMBER(SK!B126), SK!A126, "")</f>
        <v>20</v>
      </c>
      <c r="B81" s="56"/>
      <c r="C81" s="57"/>
      <c r="D81" s="57"/>
      <c r="E81" s="1208"/>
      <c r="F81" s="1209"/>
      <c r="G81" s="1209"/>
      <c r="H81" s="1210"/>
      <c r="I81" s="58" t="str">
        <f t="shared" si="3"/>
        <v/>
      </c>
      <c r="J81" s="59" t="str">
        <f ca="1">IF(OR(A81="",B81="",B81=0),"",60*SUM(INDIRECT(ADDRESS(MATCH(A81,SK!A$88:A$162,0)+87,COLUMN(SK!E$2),1,,"SK")),INDIRECT(ADDRESS(MATCH(A81,SK!Q$88:Q$162,0)+87,COLUMN(SK!U$2),1,,"SK")))/IF(B81&lt;1,B81*1440,B81))</f>
        <v/>
      </c>
    </row>
    <row r="82" spans="1:10" ht="21" customHeight="1" x14ac:dyDescent="0.3">
      <c r="A82" s="50">
        <f>IF(ISNUMBER(SK!B128), SK!A128, "")</f>
        <v>21</v>
      </c>
      <c r="B82" s="51"/>
      <c r="C82" s="52"/>
      <c r="D82" s="52"/>
      <c r="E82" s="1205"/>
      <c r="F82" s="1206"/>
      <c r="G82" s="1206"/>
      <c r="H82" s="1207"/>
      <c r="I82" s="53" t="str">
        <f>IF(OR(A82="",B82="",B82=0,C82=""),"",60*C82/IF(B82&lt;1,B82*1440,B82))</f>
        <v/>
      </c>
      <c r="J82" s="54" t="str">
        <f ca="1">IF(OR(A82="",B82="",B82=0),"",60*SUM(INDIRECT(ADDRESS(MATCH(A82,SK!A$88:A$162,0)+87,COLUMN(SK!E$2),1,,"SK")),INDIRECT(ADDRESS(MATCH(A82,SK!Q$88:Q$162,0)+87,COLUMN(SK!U$2),1,,"SK")))/IF(B82&lt;1,B82*1440,B82))</f>
        <v/>
      </c>
    </row>
    <row r="83" spans="1:10" ht="21" customHeight="1" x14ac:dyDescent="0.3">
      <c r="A83" s="55">
        <f>IF(ISNUMBER(SK!B130), SK!A130, "")</f>
        <v>22</v>
      </c>
      <c r="B83" s="56"/>
      <c r="C83" s="57"/>
      <c r="D83" s="57"/>
      <c r="E83" s="1208"/>
      <c r="F83" s="1209"/>
      <c r="G83" s="1209"/>
      <c r="H83" s="1210"/>
      <c r="I83" s="58" t="str">
        <f>IF(OR(A83="",B83="",B83=0,C83=""),"",60*C83/IF(B83&lt;1,B83*1440,B83))</f>
        <v/>
      </c>
      <c r="J83" s="59" t="str">
        <f ca="1">IF(OR(A83="",B83="",B83=0),"",60*SUM(INDIRECT(ADDRESS(MATCH(A83,SK!A$88:A$162,0)+87,COLUMN(SK!E$2),1,,"SK")),INDIRECT(ADDRESS(MATCH(A83,SK!Q$88:Q$162,0)+87,COLUMN(SK!U$2),1,,"SK")))/IF(B83&lt;1,B83*1440,B83))</f>
        <v/>
      </c>
    </row>
    <row r="84" spans="1:10" ht="21" customHeight="1" x14ac:dyDescent="0.3">
      <c r="A84" s="50">
        <f>IF(ISNUMBER(SK!B132), SK!A132, "")</f>
        <v>23</v>
      </c>
      <c r="B84" s="51"/>
      <c r="C84" s="52"/>
      <c r="D84" s="52"/>
      <c r="E84" s="1205"/>
      <c r="F84" s="1206"/>
      <c r="G84" s="1206"/>
      <c r="H84" s="1207"/>
      <c r="I84" s="53" t="str">
        <f>IF(OR(A84="",B84="",B84=0,C84=""),"",60*C84/IF(B84&lt;1,B84*1440,B84))</f>
        <v/>
      </c>
      <c r="J84" s="54" t="str">
        <f ca="1">IF(OR(A84="",B84="",B84=0),"",60*SUM(INDIRECT(ADDRESS(MATCH(A84,SK!A$88:A$162,0)+87,COLUMN(SK!E$2),1,,"SK")),INDIRECT(ADDRESS(MATCH(A84,SK!Q$88:Q$162,0)+87,COLUMN(SK!U$2),1,,"SK")))/IF(B84&lt;1,B84*1440,B84))</f>
        <v/>
      </c>
    </row>
    <row r="85" spans="1:10" ht="21" customHeight="1" x14ac:dyDescent="0.3">
      <c r="A85" s="55">
        <f>IF(ISNUMBER(SK!B134), SK!A134, "")</f>
        <v>24</v>
      </c>
      <c r="B85" s="56"/>
      <c r="C85" s="57"/>
      <c r="D85" s="57"/>
      <c r="E85" s="1208"/>
      <c r="F85" s="1209"/>
      <c r="G85" s="1209"/>
      <c r="H85" s="1210"/>
      <c r="I85" s="58" t="str">
        <f>IF(OR(A85="",B85="",B85=0,C85=""),"",60*C85/IF(B85&lt;1,B85*1440,B85))</f>
        <v/>
      </c>
      <c r="J85" s="59" t="str">
        <f ca="1">IF(OR(A85="",B85="",B85=0),"",60*SUM(INDIRECT(ADDRESS(MATCH(A85,SK!A$88:A$162,0)+87,COLUMN(SK!E$2),1,,"SK")),INDIRECT(ADDRESS(MATCH(A85,SK!Q$88:Q$162,0)+87,COLUMN(SK!U$2),1,,"SK")))/IF(B85&lt;1,B85*1440,B85))</f>
        <v/>
      </c>
    </row>
    <row r="86" spans="1:10" ht="21" customHeight="1" x14ac:dyDescent="0.3">
      <c r="A86" s="50" t="str">
        <f>IF(ISNUMBER(SK!B136), SK!A136, "")</f>
        <v/>
      </c>
      <c r="B86" s="51"/>
      <c r="C86" s="52"/>
      <c r="D86" s="52"/>
      <c r="E86" s="1205"/>
      <c r="F86" s="1206"/>
      <c r="G86" s="1206"/>
      <c r="H86" s="1207"/>
      <c r="I86" s="53" t="str">
        <f t="shared" si="3"/>
        <v/>
      </c>
      <c r="J86" s="54" t="str">
        <f ca="1">IF(OR(A86="",B86="",B86=0),"",60*SUM(INDIRECT(ADDRESS(MATCH(A86,SK!A$88:A$162,0)+87,COLUMN(SK!E$2),1,,"SK")),INDIRECT(ADDRESS(MATCH(A86,SK!Q$88:Q$162,0)+87,COLUMN(SK!U$2),1,,"SK")))/IF(B86&lt;1,B86*1440,B86))</f>
        <v/>
      </c>
    </row>
    <row r="87" spans="1:10" ht="21" customHeight="1" x14ac:dyDescent="0.3">
      <c r="A87" s="55" t="str">
        <f>IF(ISNUMBER(SK!B138), SK!A138, "")</f>
        <v/>
      </c>
      <c r="B87" s="56"/>
      <c r="C87" s="57"/>
      <c r="D87" s="57"/>
      <c r="E87" s="1208"/>
      <c r="F87" s="1209"/>
      <c r="G87" s="1209"/>
      <c r="H87" s="1210"/>
      <c r="I87" s="58" t="str">
        <f t="shared" si="3"/>
        <v/>
      </c>
      <c r="J87" s="59" t="str">
        <f ca="1">IF(OR(A87="",B87="",B87=0),"",60*SUM(INDIRECT(ADDRESS(MATCH(A87,SK!A$88:A$162,0)+87,COLUMN(SK!E$2),1,,"SK")),INDIRECT(ADDRESS(MATCH(A87,SK!Q$88:Q$162,0)+87,COLUMN(SK!U$2),1,,"SK")))/IF(B87&lt;1,B87*1440,B87))</f>
        <v/>
      </c>
    </row>
    <row r="88" spans="1:10" ht="21" customHeight="1" x14ac:dyDescent="0.3">
      <c r="A88" s="50" t="str">
        <f>IF(ISNUMBER(SK!B140), SK!A140, "")</f>
        <v/>
      </c>
      <c r="B88" s="51"/>
      <c r="C88" s="52"/>
      <c r="D88" s="52"/>
      <c r="E88" s="1205"/>
      <c r="F88" s="1206"/>
      <c r="G88" s="1206"/>
      <c r="H88" s="1207"/>
      <c r="I88" s="53" t="str">
        <f t="shared" si="3"/>
        <v/>
      </c>
      <c r="J88" s="54" t="str">
        <f ca="1">IF(OR(A88="",B88="",B88=0),"",60*SUM(INDIRECT(ADDRESS(MATCH(A88,SK!A$88:A$162,0)+87,COLUMN(SK!E$2),1,,"SK")),INDIRECT(ADDRESS(MATCH(A88,SK!Q$88:Q$162,0)+87,COLUMN(SK!U$2),1,,"SK")))/IF(B88&lt;1,B88*1440,B88))</f>
        <v/>
      </c>
    </row>
    <row r="89" spans="1:10" ht="21" customHeight="1" x14ac:dyDescent="0.3">
      <c r="A89" s="55" t="str">
        <f>IF(ISNUMBER(SK!B142), SK!A142, "")</f>
        <v/>
      </c>
      <c r="B89" s="56"/>
      <c r="C89" s="57"/>
      <c r="D89" s="57"/>
      <c r="E89" s="1208"/>
      <c r="F89" s="1209"/>
      <c r="G89" s="1209"/>
      <c r="H89" s="1210"/>
      <c r="I89" s="58" t="str">
        <f t="shared" si="3"/>
        <v/>
      </c>
      <c r="J89" s="59" t="str">
        <f ca="1">IF(OR(A89="",B89="",B89=0),"",60*SUM(INDIRECT(ADDRESS(MATCH(A89,SK!A$88:A$162,0)+87,COLUMN(SK!E$2),1,,"SK")),INDIRECT(ADDRESS(MATCH(A89,SK!Q$88:Q$162,0)+87,COLUMN(SK!U$2),1,,"SK")))/IF(B89&lt;1,B89*1440,B89))</f>
        <v/>
      </c>
    </row>
    <row r="90" spans="1:10" ht="21" customHeight="1" x14ac:dyDescent="0.3">
      <c r="A90" s="50" t="str">
        <f>IF(ISNUMBER(SK!B144), SK!A144, "")</f>
        <v/>
      </c>
      <c r="B90" s="51"/>
      <c r="C90" s="52"/>
      <c r="D90" s="52"/>
      <c r="E90" s="1205"/>
      <c r="F90" s="1206"/>
      <c r="G90" s="1206"/>
      <c r="H90" s="1207"/>
      <c r="I90" s="53" t="str">
        <f>IF(OR(A90="",B90="",B90=0,C90=""),"",60*C90/IF(B90&lt;1,B90*1440,B90))</f>
        <v/>
      </c>
      <c r="J90" s="54" t="str">
        <f ca="1">IF(OR(A90="",B90="",B90=0),"",60*SUM(INDIRECT(ADDRESS(MATCH(A90,SK!A$88:A$162,0)+87,COLUMN(SK!E$2),1,,"SK")),INDIRECT(ADDRESS(MATCH(A90,SK!Q$88:Q$162,0)+87,COLUMN(SK!U$2),1,,"SK")))/IF(B90&lt;1,B90*1440,B90))</f>
        <v/>
      </c>
    </row>
    <row r="91" spans="1:10" ht="21" customHeight="1" x14ac:dyDescent="0.3">
      <c r="A91" s="55" t="str">
        <f>IF(ISNUMBER(SK!B146), SK!A146, "")</f>
        <v/>
      </c>
      <c r="B91" s="56"/>
      <c r="C91" s="57"/>
      <c r="D91" s="57"/>
      <c r="E91" s="1208"/>
      <c r="F91" s="1209"/>
      <c r="G91" s="1209"/>
      <c r="H91" s="1210"/>
      <c r="I91" s="58" t="str">
        <f t="shared" si="3"/>
        <v/>
      </c>
      <c r="J91" s="59" t="str">
        <f ca="1">IF(OR(A91="",B91="",B91=0),"",60*SUM(INDIRECT(ADDRESS(MATCH(A91,SK!A$88:A$162,0)+87,COLUMN(SK!E$2),1,,"SK")),INDIRECT(ADDRESS(MATCH(A91,SK!Q$88:Q$162,0)+87,COLUMN(SK!U$2),1,,"SK")))/IF(B91&lt;1,B91*1440,B91))</f>
        <v/>
      </c>
    </row>
    <row r="92" spans="1:10" ht="21" customHeight="1" x14ac:dyDescent="0.3">
      <c r="A92" s="50" t="str">
        <f>IF(ISNUMBER(SK!B148), SK!A148, "")</f>
        <v/>
      </c>
      <c r="B92" s="51"/>
      <c r="C92" s="52"/>
      <c r="D92" s="52"/>
      <c r="E92" s="1205"/>
      <c r="F92" s="1206"/>
      <c r="G92" s="1206"/>
      <c r="H92" s="1207"/>
      <c r="I92" s="53" t="str">
        <f t="shared" si="3"/>
        <v/>
      </c>
      <c r="J92" s="54" t="str">
        <f ca="1">IF(OR(A92="",B92="",B92=0),"",60*SUM(INDIRECT(ADDRESS(MATCH(A92,SK!A$88:A$162,0)+87,COLUMN(SK!E$2),1,,"SK")),INDIRECT(ADDRESS(MATCH(A92,SK!Q$88:Q$162,0)+87,COLUMN(SK!U$2),1,,"SK")))/IF(B92&lt;1,B92*1440,B92))</f>
        <v/>
      </c>
    </row>
    <row r="93" spans="1:10" ht="21" customHeight="1" x14ac:dyDescent="0.3">
      <c r="A93" s="55" t="str">
        <f>IF(ISNUMBER(SK!B150), SK!A150, "")</f>
        <v/>
      </c>
      <c r="B93" s="56"/>
      <c r="C93" s="57"/>
      <c r="D93" s="57"/>
      <c r="E93" s="1208"/>
      <c r="F93" s="1209"/>
      <c r="G93" s="1209"/>
      <c r="H93" s="1210"/>
      <c r="I93" s="58" t="str">
        <f t="shared" ref="I93:I99" si="4">IF(OR(A93="",B93="",B93=0,C93=""),"",60*C93/IF(B93&lt;1,B93*1440,B93))</f>
        <v/>
      </c>
      <c r="J93" s="59" t="str">
        <f ca="1">IF(OR(A93="",B93="",B93=0),"",60*SUM(INDIRECT(ADDRESS(MATCH(A93,SK!A$88:A$162,0)+87,COLUMN(SK!E$2),1,,"SK")),INDIRECT(ADDRESS(MATCH(A93,SK!Q$88:Q$162,0)+87,COLUMN(SK!U$2),1,,"SK")))/IF(B93&lt;1,B93*1440,B93))</f>
        <v/>
      </c>
    </row>
    <row r="94" spans="1:10" ht="21" customHeight="1" x14ac:dyDescent="0.3">
      <c r="A94" s="50" t="str">
        <f>IF(ISNUMBER(SK!B152), SK!A152, "")</f>
        <v/>
      </c>
      <c r="B94" s="51"/>
      <c r="C94" s="52"/>
      <c r="D94" s="52"/>
      <c r="E94" s="1205"/>
      <c r="F94" s="1206"/>
      <c r="G94" s="1206"/>
      <c r="H94" s="1207"/>
      <c r="I94" s="53" t="str">
        <f t="shared" si="4"/>
        <v/>
      </c>
      <c r="J94" s="54" t="str">
        <f ca="1">IF(OR(A94="",B94="",B94=0),"",60*SUM(INDIRECT(ADDRESS(MATCH(A94,SK!A$88:A$162,0)+87,COLUMN(SK!E$2),1,,"SK")),INDIRECT(ADDRESS(MATCH(A94,SK!Q$88:Q$162,0)+87,COLUMN(SK!U$2),1,,"SK")))/IF(B94&lt;1,B94*1440,B94))</f>
        <v/>
      </c>
    </row>
    <row r="95" spans="1:10" ht="21" customHeight="1" x14ac:dyDescent="0.3">
      <c r="A95" s="55" t="str">
        <f>IF(ISNUMBER(SK!B154), SK!A154, "")</f>
        <v/>
      </c>
      <c r="B95" s="56"/>
      <c r="C95" s="57"/>
      <c r="D95" s="57"/>
      <c r="E95" s="1208"/>
      <c r="F95" s="1209"/>
      <c r="G95" s="1209"/>
      <c r="H95" s="1210"/>
      <c r="I95" s="58" t="str">
        <f t="shared" si="4"/>
        <v/>
      </c>
      <c r="J95" s="59" t="str">
        <f ca="1">IF(OR(A95="",B95="",B95=0),"",60*SUM(INDIRECT(ADDRESS(MATCH(A95,SK!A$88:A$162,0)+87,COLUMN(SK!E$2),1,,"SK")),INDIRECT(ADDRESS(MATCH(A95,SK!Q$88:Q$162,0)+87,COLUMN(SK!U$2),1,,"SK")))/IF(B95&lt;1,B95*1440,B95))</f>
        <v/>
      </c>
    </row>
    <row r="96" spans="1:10" ht="21" customHeight="1" x14ac:dyDescent="0.3">
      <c r="A96" s="50" t="str">
        <f>IF(ISNUMBER(SK!B156), SK!A156, "")</f>
        <v/>
      </c>
      <c r="B96" s="51"/>
      <c r="C96" s="52"/>
      <c r="D96" s="52"/>
      <c r="E96" s="1205"/>
      <c r="F96" s="1206"/>
      <c r="G96" s="1206"/>
      <c r="H96" s="1207"/>
      <c r="I96" s="53" t="str">
        <f t="shared" si="4"/>
        <v/>
      </c>
      <c r="J96" s="54" t="str">
        <f ca="1">IF(OR(A96="",B96="",B96=0),"",60*SUM(INDIRECT(ADDRESS(MATCH(A96,SK!A$88:A$162,0)+87,COLUMN(SK!E$2),1,,"SK")),INDIRECT(ADDRESS(MATCH(A96,SK!Q$88:Q$162,0)+87,COLUMN(SK!U$2),1,,"SK")))/IF(B96&lt;1,B96*1440,B96))</f>
        <v/>
      </c>
    </row>
    <row r="97" spans="1:10" ht="21" customHeight="1" x14ac:dyDescent="0.3">
      <c r="A97" s="55" t="str">
        <f>IF(ISNUMBER(SK!B158), SK!A158, "")</f>
        <v/>
      </c>
      <c r="B97" s="56"/>
      <c r="C97" s="57"/>
      <c r="D97" s="57"/>
      <c r="E97" s="1208"/>
      <c r="F97" s="1209"/>
      <c r="G97" s="1209"/>
      <c r="H97" s="1210"/>
      <c r="I97" s="58" t="str">
        <f t="shared" si="4"/>
        <v/>
      </c>
      <c r="J97" s="59" t="str">
        <f ca="1">IF(OR(A97="",B97="",B97=0),"",60*SUM(INDIRECT(ADDRESS(MATCH(A97,SK!A$88:A$162,0)+87,COLUMN(SK!E$2),1,,"SK")),INDIRECT(ADDRESS(MATCH(A97,SK!Q$88:Q$162,0)+87,COLUMN(SK!U$2),1,,"SK")))/IF(B97&lt;1,B97*1440,B97))</f>
        <v/>
      </c>
    </row>
    <row r="98" spans="1:10" ht="21" customHeight="1" x14ac:dyDescent="0.3">
      <c r="A98" s="50" t="str">
        <f>IF(ISNUMBER(SK!B160), SK!A160, "")</f>
        <v/>
      </c>
      <c r="B98" s="51"/>
      <c r="C98" s="52"/>
      <c r="D98" s="52"/>
      <c r="E98" s="1205"/>
      <c r="F98" s="1206"/>
      <c r="G98" s="1206"/>
      <c r="H98" s="1207"/>
      <c r="I98" s="53" t="str">
        <f t="shared" si="4"/>
        <v/>
      </c>
      <c r="J98" s="54" t="str">
        <f ca="1">IF(OR(A98="",B98="",B98=0),"",60*SUM(INDIRECT(ADDRESS(MATCH(A98,SK!A$88:A$162,0)+87,COLUMN(SK!E$2),1,,"SK")),INDIRECT(ADDRESS(MATCH(A98,SK!Q$88:Q$162,0)+87,COLUMN(SK!U$2),1,,"SK")))/IF(B98&lt;1,B98*1440,B98))</f>
        <v/>
      </c>
    </row>
    <row r="99" spans="1:10" ht="21" customHeight="1" thickBot="1" x14ac:dyDescent="0.35">
      <c r="A99" s="55" t="str">
        <f>IF(ISNUMBER(SK!B162), SK!A162, "")</f>
        <v/>
      </c>
      <c r="B99" s="56"/>
      <c r="C99" s="57"/>
      <c r="D99" s="57"/>
      <c r="E99" s="1211"/>
      <c r="F99" s="1212"/>
      <c r="G99" s="1212"/>
      <c r="H99" s="1213"/>
      <c r="I99" s="58" t="str">
        <f t="shared" si="4"/>
        <v/>
      </c>
      <c r="J99" s="59" t="str">
        <f ca="1">IF(OR(A99="",B99="",B99=0),"",60*SUM(INDIRECT(ADDRESS(MATCH(A99,SK!A$88:A$162,0)+87,COLUMN(SK!E$2),1,,"SK")),INDIRECT(ADDRESS(MATCH(A99,SK!Q$88:Q$162,0)+87,COLUMN(SK!U$2),1,,"SK")))/IF(B99&lt;1,B99*1440,B99))</f>
        <v/>
      </c>
    </row>
    <row r="100" spans="1:10" x14ac:dyDescent="0.3">
      <c r="A100" s="60" t="s">
        <v>65</v>
      </c>
      <c r="B100" s="61"/>
      <c r="C100" s="61" t="s">
        <v>366</v>
      </c>
      <c r="D100" s="61"/>
      <c r="E100" s="61"/>
      <c r="F100" s="61"/>
      <c r="G100" s="61"/>
      <c r="H100" s="61"/>
      <c r="I100" s="61"/>
      <c r="J100" s="62"/>
    </row>
    <row r="101" spans="1:10" x14ac:dyDescent="0.3">
      <c r="A101" s="63" t="s">
        <v>66</v>
      </c>
      <c r="B101" s="64"/>
      <c r="C101" s="64" t="s">
        <v>367</v>
      </c>
      <c r="D101" s="64"/>
      <c r="E101" s="64"/>
      <c r="F101" s="64"/>
      <c r="G101" s="64"/>
      <c r="H101" s="64"/>
      <c r="I101" s="64"/>
      <c r="J101" s="65"/>
    </row>
    <row r="102" spans="1:10" ht="14.4" thickBot="1" x14ac:dyDescent="0.35">
      <c r="A102" s="66" t="s">
        <v>67</v>
      </c>
      <c r="B102" s="67"/>
      <c r="C102" s="68" t="s">
        <v>368</v>
      </c>
      <c r="D102" s="67"/>
      <c r="E102" s="67"/>
      <c r="F102" s="67"/>
      <c r="G102" s="67"/>
      <c r="H102" s="635"/>
      <c r="I102" s="67"/>
      <c r="J102" s="69"/>
    </row>
  </sheetData>
  <sheetProtection selectLockedCells="1" selectUnlockedCells="1"/>
  <mergeCells count="134">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E1:H2"/>
    <mergeCell ref="E3:H3"/>
    <mergeCell ref="E11:H11"/>
    <mergeCell ref="E12:H12"/>
    <mergeCell ref="E13:H13"/>
    <mergeCell ref="E14:H14"/>
    <mergeCell ref="F7:F8"/>
    <mergeCell ref="G7:G8"/>
    <mergeCell ref="E15:H15"/>
    <mergeCell ref="E7:E8"/>
    <mergeCell ref="H5:H6"/>
    <mergeCell ref="G4:H4"/>
    <mergeCell ref="E26:H26"/>
    <mergeCell ref="E27:H27"/>
    <mergeCell ref="E28:H28"/>
    <mergeCell ref="E29:H29"/>
    <mergeCell ref="E30:H30"/>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E52:H53"/>
    <mergeCell ref="E54:H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8" type="noConversion"/>
  <printOptions horizontalCentered="1"/>
  <pageMargins left="0.75" right="0.75" top="1.2" bottom="0.4" header="0.75" footer="0.4"/>
  <pageSetup scale="64" firstPageNumber="0" fitToHeight="2" orientation="portrait" horizontalDpi="4294967294" verticalDpi="4294967294"/>
  <headerFooter alignWithMargins="0">
    <oddHeader>&amp;L&amp;K000000&amp;G&amp;"Calibri,Regular"&amp;36&amp;A&amp;R&amp;"Calibri,Regular"&amp;K000000‘&amp;A’ revision 140421
StatsBook © 2008–2014 WFTDA</oddHeader>
  </headerFooter>
  <rowBreaks count="1" manualBreakCount="1">
    <brk id="51" max="9" man="1"/>
  </rowBreaks>
  <ignoredErrors>
    <ignoredError sqref="A13" formula="1"/>
  </ignoredErrors>
  <legacyDrawingHF r:id="rId1"/>
  <extLst>
    <ext xmlns:mx="http://schemas.microsoft.com/office/mac/excel/2008/main" uri="{64002731-A6B0-56B0-2670-7721B7C09600}">
      <mx:PLV Mode="0" OnePage="0" WScale="65"/>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indexed="12"/>
  </sheetPr>
  <dimension ref="A1:AH88"/>
  <sheetViews>
    <sheetView workbookViewId="0">
      <selection sqref="A1:G2"/>
    </sheetView>
  </sheetViews>
  <sheetFormatPr defaultColWidth="8.6640625" defaultRowHeight="21" customHeight="1" x14ac:dyDescent="0.3"/>
  <cols>
    <col min="1" max="4" width="6.6640625" style="3" customWidth="1"/>
    <col min="5" max="5" width="10.6640625" style="3" customWidth="1"/>
    <col min="6" max="6" width="4.6640625" style="3" customWidth="1"/>
    <col min="7" max="12" width="8.6640625" style="3"/>
    <col min="13" max="13" width="2.44140625" style="3" customWidth="1"/>
    <col min="14" max="15" width="3.6640625" style="3" customWidth="1"/>
    <col min="16" max="16" width="2.44140625" style="3" customWidth="1"/>
    <col min="17" max="17" width="12.33203125" style="98" customWidth="1"/>
    <col min="18" max="21" width="6.6640625" style="3" customWidth="1"/>
    <col min="22" max="22" width="10.6640625" style="3" customWidth="1"/>
    <col min="23" max="23" width="4.6640625" style="3" customWidth="1"/>
    <col min="24" max="29" width="8.6640625" style="3"/>
    <col min="30" max="30" width="2.44140625" style="3" customWidth="1"/>
    <col min="31" max="32" width="3.6640625" style="3" customWidth="1"/>
    <col min="33" max="33" width="2.44140625" style="3" customWidth="1"/>
    <col min="34" max="34" width="12.33203125" style="98" customWidth="1"/>
    <col min="35" max="16384" width="8.6640625" style="3"/>
  </cols>
  <sheetData>
    <row r="1" spans="1:34" ht="30" customHeight="1" x14ac:dyDescent="0.45">
      <c r="A1" s="1254" t="str">
        <f>Score!$A$1</f>
        <v>Rat City Rollergirls / All-Stars</v>
      </c>
      <c r="B1" s="1254"/>
      <c r="C1" s="1254"/>
      <c r="D1" s="1254"/>
      <c r="E1" s="1254"/>
      <c r="F1" s="1254"/>
      <c r="G1" s="1254"/>
      <c r="H1" s="1257" t="str">
        <f>IF(ISBLANK(Score!$I$1), "", Score!$I$1)</f>
        <v>Green</v>
      </c>
      <c r="I1" s="1257"/>
      <c r="J1" s="1258">
        <f>IF(ISBLANK(IGRF!$B$5), "", IGRF!$B$5)</f>
        <v>41832</v>
      </c>
      <c r="K1" s="1258"/>
      <c r="L1" s="1190"/>
      <c r="M1" s="1190"/>
      <c r="N1" s="1190"/>
      <c r="O1" s="1190"/>
      <c r="P1" s="1190"/>
      <c r="Q1" s="1190"/>
      <c r="R1" s="1254" t="str">
        <f>Score!$A$1</f>
        <v>Rat City Rollergirls / All-Stars</v>
      </c>
      <c r="S1" s="1254"/>
      <c r="T1" s="1254"/>
      <c r="U1" s="1254"/>
      <c r="V1" s="1254"/>
      <c r="W1" s="1254"/>
      <c r="X1" s="1254"/>
      <c r="Y1" s="1257" t="str">
        <f>IF(ISBLANK(Score!$I$1), "", Score!$I$1)</f>
        <v>Green</v>
      </c>
      <c r="Z1" s="1257"/>
      <c r="AA1" s="1258">
        <f>IF(ISBLANK(IGRF!$B$5), "", IGRF!$B$5)</f>
        <v>41832</v>
      </c>
      <c r="AB1" s="1258"/>
      <c r="AC1" s="1190"/>
      <c r="AD1" s="1190"/>
      <c r="AE1" s="1190"/>
      <c r="AF1" s="1190"/>
      <c r="AG1" s="1190"/>
      <c r="AH1" s="1190"/>
    </row>
    <row r="2" spans="1:34" ht="11.25" customHeight="1" thickBot="1" x14ac:dyDescent="0.35">
      <c r="A2" s="1255"/>
      <c r="B2" s="1255"/>
      <c r="C2" s="1256"/>
      <c r="D2" s="1255"/>
      <c r="E2" s="1255"/>
      <c r="F2" s="1255"/>
      <c r="G2" s="1255"/>
      <c r="H2" s="1261" t="s">
        <v>351</v>
      </c>
      <c r="I2" s="1261"/>
      <c r="J2" s="1260" t="s">
        <v>355</v>
      </c>
      <c r="K2" s="1260"/>
      <c r="L2" s="1191" t="s">
        <v>345</v>
      </c>
      <c r="M2" s="1191"/>
      <c r="N2" s="1191"/>
      <c r="O2" s="1191"/>
      <c r="P2" s="1191"/>
      <c r="Q2" s="332" t="str">
        <f>IF(ISBLANK(IGRF!$K$3), "", "GAME " &amp; IGRF!$K$3)</f>
        <v>GAME 2</v>
      </c>
      <c r="R2" s="1255"/>
      <c r="S2" s="1255"/>
      <c r="T2" s="1256"/>
      <c r="U2" s="1255"/>
      <c r="V2" s="1255"/>
      <c r="W2" s="1255"/>
      <c r="X2" s="1255"/>
      <c r="Y2" s="1261" t="s">
        <v>351</v>
      </c>
      <c r="Z2" s="1261"/>
      <c r="AA2" s="1260" t="s">
        <v>355</v>
      </c>
      <c r="AB2" s="1260"/>
      <c r="AC2" s="1191" t="s">
        <v>345</v>
      </c>
      <c r="AD2" s="1191"/>
      <c r="AE2" s="1191"/>
      <c r="AF2" s="1191"/>
      <c r="AG2" s="1191"/>
      <c r="AH2" s="332" t="str">
        <f>Q2</f>
        <v>GAME 2</v>
      </c>
    </row>
    <row r="3" spans="1:34" s="49" customFormat="1" ht="25.5" customHeight="1" thickBot="1" x14ac:dyDescent="0.3">
      <c r="A3" s="83" t="s">
        <v>295</v>
      </c>
      <c r="B3" s="84" t="s">
        <v>8</v>
      </c>
      <c r="C3" s="851" t="s">
        <v>622</v>
      </c>
      <c r="D3" s="84" t="s">
        <v>68</v>
      </c>
      <c r="E3" s="84" t="s">
        <v>232</v>
      </c>
      <c r="F3" s="84" t="s">
        <v>3</v>
      </c>
      <c r="G3" s="84" t="s">
        <v>4</v>
      </c>
      <c r="H3" s="84" t="s">
        <v>5</v>
      </c>
      <c r="I3" s="84" t="s">
        <v>6</v>
      </c>
      <c r="J3" s="1245" t="s">
        <v>7</v>
      </c>
      <c r="K3" s="1245"/>
      <c r="L3" s="1246"/>
      <c r="M3" s="85"/>
      <c r="N3" s="1247" t="s">
        <v>8</v>
      </c>
      <c r="O3" s="1247"/>
      <c r="Q3" s="86" t="s">
        <v>606</v>
      </c>
      <c r="R3" s="83" t="s">
        <v>295</v>
      </c>
      <c r="S3" s="568" t="s">
        <v>8</v>
      </c>
      <c r="T3" s="851" t="s">
        <v>622</v>
      </c>
      <c r="U3" s="568" t="s">
        <v>68</v>
      </c>
      <c r="V3" s="568" t="s">
        <v>232</v>
      </c>
      <c r="W3" s="568" t="s">
        <v>3</v>
      </c>
      <c r="X3" s="568" t="s">
        <v>4</v>
      </c>
      <c r="Y3" s="568" t="s">
        <v>5</v>
      </c>
      <c r="Z3" s="568" t="s">
        <v>6</v>
      </c>
      <c r="AA3" s="1245" t="s">
        <v>7</v>
      </c>
      <c r="AB3" s="1245"/>
      <c r="AC3" s="1246"/>
      <c r="AD3" s="85"/>
      <c r="AE3" s="1247" t="s">
        <v>8</v>
      </c>
      <c r="AF3" s="1247"/>
      <c r="AH3" s="86" t="str">
        <f>Q3</f>
        <v>Total penalties</v>
      </c>
    </row>
    <row r="4" spans="1:34" ht="23.7" customHeight="1" x14ac:dyDescent="0.4">
      <c r="A4" s="87"/>
      <c r="B4" s="88"/>
      <c r="C4" s="88"/>
      <c r="D4" s="75"/>
      <c r="E4" s="89"/>
      <c r="F4" s="75"/>
      <c r="G4" s="88"/>
      <c r="H4" s="88"/>
      <c r="I4" s="88"/>
      <c r="J4" s="75"/>
      <c r="K4" s="75"/>
      <c r="L4" s="90"/>
      <c r="M4" s="91"/>
      <c r="N4" s="92">
        <v>1</v>
      </c>
      <c r="O4" s="92">
        <f t="shared" ref="O4:O28" si="0">N4</f>
        <v>1</v>
      </c>
      <c r="Q4" s="860" t="str">
        <f>IF(IGRF!B11="","",IGRF!B11)</f>
        <v>12</v>
      </c>
      <c r="R4" s="87"/>
      <c r="S4" s="88"/>
      <c r="T4" s="88"/>
      <c r="U4" s="75"/>
      <c r="V4" s="566"/>
      <c r="W4" s="75"/>
      <c r="X4" s="88"/>
      <c r="Y4" s="88"/>
      <c r="Z4" s="88"/>
      <c r="AA4" s="75"/>
      <c r="AB4" s="75"/>
      <c r="AC4" s="90"/>
      <c r="AD4" s="91"/>
      <c r="AE4" s="567">
        <v>1</v>
      </c>
      <c r="AF4" s="567">
        <f t="shared" ref="AF4:AF28" si="1">AE4</f>
        <v>1</v>
      </c>
      <c r="AH4" s="860" t="str">
        <f>Q4</f>
        <v>12</v>
      </c>
    </row>
    <row r="5" spans="1:34" ht="23.7" customHeight="1" x14ac:dyDescent="0.4">
      <c r="A5" s="93"/>
      <c r="B5" s="94"/>
      <c r="C5" s="94"/>
      <c r="D5" s="57"/>
      <c r="E5" s="95"/>
      <c r="F5" s="57"/>
      <c r="G5" s="94"/>
      <c r="H5" s="94"/>
      <c r="I5" s="94"/>
      <c r="J5" s="57"/>
      <c r="K5" s="57"/>
      <c r="L5" s="96"/>
      <c r="M5" s="91"/>
      <c r="N5" s="92">
        <f t="shared" ref="N5:N28" si="2">N4+1</f>
        <v>2</v>
      </c>
      <c r="O5" s="92">
        <f t="shared" si="0"/>
        <v>2</v>
      </c>
      <c r="Q5" s="861"/>
      <c r="R5" s="93"/>
      <c r="S5" s="94"/>
      <c r="T5" s="94"/>
      <c r="U5" s="57"/>
      <c r="V5" s="564"/>
      <c r="W5" s="57"/>
      <c r="X5" s="94"/>
      <c r="Y5" s="94"/>
      <c r="Z5" s="94"/>
      <c r="AA5" s="57"/>
      <c r="AB5" s="57"/>
      <c r="AC5" s="96"/>
      <c r="AD5" s="91"/>
      <c r="AE5" s="567">
        <f t="shared" ref="AE5:AE28" si="3">AE4+1</f>
        <v>2</v>
      </c>
      <c r="AF5" s="567">
        <f t="shared" si="1"/>
        <v>2</v>
      </c>
      <c r="AH5" s="861"/>
    </row>
    <row r="6" spans="1:34" ht="23.7" customHeight="1" x14ac:dyDescent="0.4">
      <c r="A6" s="87"/>
      <c r="B6" s="88"/>
      <c r="C6" s="88"/>
      <c r="D6" s="75"/>
      <c r="E6" s="89"/>
      <c r="F6" s="75"/>
      <c r="G6" s="88"/>
      <c r="H6" s="88"/>
      <c r="I6" s="88"/>
      <c r="J6" s="75"/>
      <c r="K6" s="75"/>
      <c r="L6" s="90"/>
      <c r="M6" s="91"/>
      <c r="N6" s="92">
        <f t="shared" si="2"/>
        <v>3</v>
      </c>
      <c r="O6" s="92">
        <f t="shared" si="0"/>
        <v>3</v>
      </c>
      <c r="Q6" s="860" t="str">
        <f>IF(IGRF!B12="","",IGRF!B12)</f>
        <v>123</v>
      </c>
      <c r="R6" s="87"/>
      <c r="S6" s="88"/>
      <c r="T6" s="88"/>
      <c r="U6" s="75"/>
      <c r="V6" s="566"/>
      <c r="W6" s="75"/>
      <c r="X6" s="88"/>
      <c r="Y6" s="88"/>
      <c r="Z6" s="88"/>
      <c r="AA6" s="75"/>
      <c r="AB6" s="75"/>
      <c r="AC6" s="90"/>
      <c r="AD6" s="91"/>
      <c r="AE6" s="567">
        <f t="shared" si="3"/>
        <v>3</v>
      </c>
      <c r="AF6" s="567">
        <f t="shared" si="1"/>
        <v>3</v>
      </c>
      <c r="AH6" s="860" t="str">
        <f>Q6</f>
        <v>123</v>
      </c>
    </row>
    <row r="7" spans="1:34" ht="23.7" customHeight="1" x14ac:dyDescent="0.4">
      <c r="A7" s="93"/>
      <c r="B7" s="94"/>
      <c r="C7" s="94"/>
      <c r="D7" s="57"/>
      <c r="E7" s="95"/>
      <c r="F7" s="57"/>
      <c r="G7" s="94"/>
      <c r="H7" s="94"/>
      <c r="I7" s="94"/>
      <c r="J7" s="57"/>
      <c r="K7" s="57"/>
      <c r="L7" s="96"/>
      <c r="M7" s="91"/>
      <c r="N7" s="92">
        <f t="shared" si="2"/>
        <v>4</v>
      </c>
      <c r="O7" s="92">
        <f t="shared" si="0"/>
        <v>4</v>
      </c>
      <c r="Q7" s="861"/>
      <c r="R7" s="93"/>
      <c r="S7" s="94"/>
      <c r="T7" s="94"/>
      <c r="U7" s="57"/>
      <c r="V7" s="564"/>
      <c r="W7" s="57"/>
      <c r="X7" s="94"/>
      <c r="Y7" s="94"/>
      <c r="Z7" s="94"/>
      <c r="AA7" s="57"/>
      <c r="AB7" s="57"/>
      <c r="AC7" s="96"/>
      <c r="AD7" s="91"/>
      <c r="AE7" s="567">
        <f t="shared" si="3"/>
        <v>4</v>
      </c>
      <c r="AF7" s="567">
        <f t="shared" si="1"/>
        <v>4</v>
      </c>
      <c r="AH7" s="861"/>
    </row>
    <row r="8" spans="1:34" ht="23.7" customHeight="1" x14ac:dyDescent="0.4">
      <c r="A8" s="87"/>
      <c r="B8" s="88"/>
      <c r="C8" s="88"/>
      <c r="D8" s="75"/>
      <c r="E8" s="89"/>
      <c r="F8" s="75"/>
      <c r="G8" s="88"/>
      <c r="H8" s="88"/>
      <c r="I8" s="88"/>
      <c r="J8" s="75"/>
      <c r="K8" s="75"/>
      <c r="L8" s="90"/>
      <c r="M8" s="91"/>
      <c r="N8" s="92">
        <f t="shared" si="2"/>
        <v>5</v>
      </c>
      <c r="O8" s="92">
        <f t="shared" si="0"/>
        <v>5</v>
      </c>
      <c r="Q8" s="860" t="str">
        <f>IF(IGRF!B13="","",IGRF!B13)</f>
        <v>14</v>
      </c>
      <c r="R8" s="87"/>
      <c r="S8" s="88"/>
      <c r="T8" s="88"/>
      <c r="U8" s="75"/>
      <c r="V8" s="566"/>
      <c r="W8" s="75"/>
      <c r="X8" s="88"/>
      <c r="Y8" s="88"/>
      <c r="Z8" s="88"/>
      <c r="AA8" s="75"/>
      <c r="AB8" s="75"/>
      <c r="AC8" s="90"/>
      <c r="AD8" s="91"/>
      <c r="AE8" s="567">
        <f t="shared" si="3"/>
        <v>5</v>
      </c>
      <c r="AF8" s="567">
        <f t="shared" si="1"/>
        <v>5</v>
      </c>
      <c r="AH8" s="860" t="str">
        <f>Q8</f>
        <v>14</v>
      </c>
    </row>
    <row r="9" spans="1:34" ht="23.7" customHeight="1" x14ac:dyDescent="0.4">
      <c r="A9" s="93"/>
      <c r="B9" s="94"/>
      <c r="C9" s="94"/>
      <c r="D9" s="57"/>
      <c r="E9" s="95"/>
      <c r="F9" s="57"/>
      <c r="G9" s="94"/>
      <c r="H9" s="94"/>
      <c r="I9" s="94"/>
      <c r="J9" s="57"/>
      <c r="K9" s="57"/>
      <c r="L9" s="96"/>
      <c r="M9" s="91"/>
      <c r="N9" s="92">
        <f t="shared" si="2"/>
        <v>6</v>
      </c>
      <c r="O9" s="92">
        <f t="shared" si="0"/>
        <v>6</v>
      </c>
      <c r="Q9" s="861"/>
      <c r="R9" s="93"/>
      <c r="S9" s="94"/>
      <c r="T9" s="94"/>
      <c r="U9" s="57"/>
      <c r="V9" s="564"/>
      <c r="W9" s="57"/>
      <c r="X9" s="94"/>
      <c r="Y9" s="94"/>
      <c r="Z9" s="94"/>
      <c r="AA9" s="57"/>
      <c r="AB9" s="57"/>
      <c r="AC9" s="96"/>
      <c r="AD9" s="91"/>
      <c r="AE9" s="567">
        <f t="shared" si="3"/>
        <v>6</v>
      </c>
      <c r="AF9" s="567">
        <f t="shared" si="1"/>
        <v>6</v>
      </c>
      <c r="AH9" s="861"/>
    </row>
    <row r="10" spans="1:34" ht="23.7" customHeight="1" x14ac:dyDescent="0.4">
      <c r="A10" s="87"/>
      <c r="B10" s="88"/>
      <c r="C10" s="88"/>
      <c r="D10" s="75"/>
      <c r="E10" s="89"/>
      <c r="F10" s="75"/>
      <c r="G10" s="88"/>
      <c r="H10" s="88"/>
      <c r="I10" s="88"/>
      <c r="J10" s="75"/>
      <c r="K10" s="75"/>
      <c r="L10" s="90"/>
      <c r="M10" s="91"/>
      <c r="N10" s="92">
        <f t="shared" si="2"/>
        <v>7</v>
      </c>
      <c r="O10" s="92">
        <f t="shared" si="0"/>
        <v>7</v>
      </c>
      <c r="Q10" s="860" t="str">
        <f>IF(IGRF!B14="","",IGRF!B14)</f>
        <v>1618</v>
      </c>
      <c r="R10" s="87"/>
      <c r="S10" s="88"/>
      <c r="T10" s="88"/>
      <c r="U10" s="75"/>
      <c r="V10" s="566"/>
      <c r="W10" s="75"/>
      <c r="X10" s="88"/>
      <c r="Y10" s="88"/>
      <c r="Z10" s="88"/>
      <c r="AA10" s="75"/>
      <c r="AB10" s="75"/>
      <c r="AC10" s="90"/>
      <c r="AD10" s="91"/>
      <c r="AE10" s="567">
        <f t="shared" si="3"/>
        <v>7</v>
      </c>
      <c r="AF10" s="567">
        <f t="shared" si="1"/>
        <v>7</v>
      </c>
      <c r="AH10" s="860" t="str">
        <f>Q10</f>
        <v>1618</v>
      </c>
    </row>
    <row r="11" spans="1:34" ht="23.7" customHeight="1" x14ac:dyDescent="0.4">
      <c r="A11" s="93"/>
      <c r="B11" s="94"/>
      <c r="C11" s="94"/>
      <c r="D11" s="57"/>
      <c r="E11" s="95"/>
      <c r="F11" s="57"/>
      <c r="G11" s="94"/>
      <c r="H11" s="94"/>
      <c r="I11" s="94"/>
      <c r="J11" s="57"/>
      <c r="K11" s="57"/>
      <c r="L11" s="96"/>
      <c r="M11" s="91"/>
      <c r="N11" s="92">
        <f t="shared" si="2"/>
        <v>8</v>
      </c>
      <c r="O11" s="92">
        <f t="shared" si="0"/>
        <v>8</v>
      </c>
      <c r="Q11" s="861"/>
      <c r="R11" s="93"/>
      <c r="S11" s="94"/>
      <c r="T11" s="94"/>
      <c r="U11" s="57"/>
      <c r="V11" s="564"/>
      <c r="W11" s="57"/>
      <c r="X11" s="94"/>
      <c r="Y11" s="94"/>
      <c r="Z11" s="94"/>
      <c r="AA11" s="57"/>
      <c r="AB11" s="57"/>
      <c r="AC11" s="96"/>
      <c r="AD11" s="91"/>
      <c r="AE11" s="567">
        <f t="shared" si="3"/>
        <v>8</v>
      </c>
      <c r="AF11" s="567">
        <f t="shared" si="1"/>
        <v>8</v>
      </c>
      <c r="AH11" s="861"/>
    </row>
    <row r="12" spans="1:34" ht="23.7" customHeight="1" x14ac:dyDescent="0.4">
      <c r="A12" s="87"/>
      <c r="B12" s="88"/>
      <c r="C12" s="88"/>
      <c r="D12" s="75"/>
      <c r="E12" s="89"/>
      <c r="F12" s="75"/>
      <c r="G12" s="88"/>
      <c r="H12" s="88"/>
      <c r="I12" s="88"/>
      <c r="J12" s="75"/>
      <c r="K12" s="75"/>
      <c r="L12" s="90"/>
      <c r="M12" s="91"/>
      <c r="N12" s="92">
        <f t="shared" si="2"/>
        <v>9</v>
      </c>
      <c r="O12" s="92">
        <f t="shared" si="0"/>
        <v>9</v>
      </c>
      <c r="Q12" s="860" t="str">
        <f>IF(IGRF!B15="","",IGRF!B15)</f>
        <v>22</v>
      </c>
      <c r="R12" s="87"/>
      <c r="S12" s="88"/>
      <c r="T12" s="88"/>
      <c r="U12" s="75"/>
      <c r="V12" s="566"/>
      <c r="W12" s="75"/>
      <c r="X12" s="88"/>
      <c r="Y12" s="88"/>
      <c r="Z12" s="88"/>
      <c r="AA12" s="75"/>
      <c r="AB12" s="75"/>
      <c r="AC12" s="90"/>
      <c r="AD12" s="91"/>
      <c r="AE12" s="567">
        <f t="shared" si="3"/>
        <v>9</v>
      </c>
      <c r="AF12" s="567">
        <f t="shared" si="1"/>
        <v>9</v>
      </c>
      <c r="AH12" s="860" t="str">
        <f>Q12</f>
        <v>22</v>
      </c>
    </row>
    <row r="13" spans="1:34" ht="23.7" customHeight="1" x14ac:dyDescent="0.4">
      <c r="A13" s="93"/>
      <c r="B13" s="94"/>
      <c r="C13" s="94"/>
      <c r="D13" s="57"/>
      <c r="E13" s="95"/>
      <c r="F13" s="57"/>
      <c r="G13" s="94"/>
      <c r="H13" s="94"/>
      <c r="I13" s="94"/>
      <c r="J13" s="57"/>
      <c r="K13" s="57"/>
      <c r="L13" s="96"/>
      <c r="M13" s="91"/>
      <c r="N13" s="92">
        <f t="shared" si="2"/>
        <v>10</v>
      </c>
      <c r="O13" s="92">
        <f t="shared" si="0"/>
        <v>10</v>
      </c>
      <c r="Q13" s="861"/>
      <c r="R13" s="93"/>
      <c r="S13" s="94"/>
      <c r="T13" s="94"/>
      <c r="U13" s="57"/>
      <c r="V13" s="564"/>
      <c r="W13" s="57"/>
      <c r="X13" s="94"/>
      <c r="Y13" s="94"/>
      <c r="Z13" s="94"/>
      <c r="AA13" s="57"/>
      <c r="AB13" s="57"/>
      <c r="AC13" s="96"/>
      <c r="AD13" s="91"/>
      <c r="AE13" s="567">
        <f t="shared" si="3"/>
        <v>10</v>
      </c>
      <c r="AF13" s="567">
        <f t="shared" si="1"/>
        <v>10</v>
      </c>
      <c r="AH13" s="861"/>
    </row>
    <row r="14" spans="1:34" ht="23.7" customHeight="1" x14ac:dyDescent="0.4">
      <c r="A14" s="87"/>
      <c r="B14" s="88"/>
      <c r="C14" s="88"/>
      <c r="D14" s="75"/>
      <c r="E14" s="89"/>
      <c r="F14" s="75"/>
      <c r="G14" s="88"/>
      <c r="H14" s="88"/>
      <c r="I14" s="88"/>
      <c r="J14" s="75"/>
      <c r="K14" s="75"/>
      <c r="L14" s="90"/>
      <c r="M14" s="91"/>
      <c r="N14" s="92">
        <f t="shared" si="2"/>
        <v>11</v>
      </c>
      <c r="O14" s="92">
        <f t="shared" si="0"/>
        <v>11</v>
      </c>
      <c r="Q14" s="860" t="str">
        <f>IF(IGRF!B16="","",IGRF!B16)</f>
        <v>23</v>
      </c>
      <c r="R14" s="87"/>
      <c r="S14" s="88"/>
      <c r="T14" s="88"/>
      <c r="U14" s="75"/>
      <c r="V14" s="566"/>
      <c r="W14" s="75"/>
      <c r="X14" s="88"/>
      <c r="Y14" s="88"/>
      <c r="Z14" s="88"/>
      <c r="AA14" s="75"/>
      <c r="AB14" s="75"/>
      <c r="AC14" s="90"/>
      <c r="AD14" s="91"/>
      <c r="AE14" s="567">
        <f t="shared" si="3"/>
        <v>11</v>
      </c>
      <c r="AF14" s="567">
        <f t="shared" si="1"/>
        <v>11</v>
      </c>
      <c r="AH14" s="860" t="str">
        <f>Q14</f>
        <v>23</v>
      </c>
    </row>
    <row r="15" spans="1:34" ht="23.7" customHeight="1" x14ac:dyDescent="0.4">
      <c r="A15" s="93"/>
      <c r="B15" s="94"/>
      <c r="C15" s="94"/>
      <c r="D15" s="57"/>
      <c r="E15" s="95"/>
      <c r="F15" s="57"/>
      <c r="G15" s="94"/>
      <c r="H15" s="94"/>
      <c r="I15" s="94"/>
      <c r="J15" s="57"/>
      <c r="K15" s="57"/>
      <c r="L15" s="96"/>
      <c r="M15" s="91"/>
      <c r="N15" s="92">
        <f t="shared" si="2"/>
        <v>12</v>
      </c>
      <c r="O15" s="92">
        <f t="shared" si="0"/>
        <v>12</v>
      </c>
      <c r="Q15" s="861"/>
      <c r="R15" s="93"/>
      <c r="S15" s="94"/>
      <c r="T15" s="94"/>
      <c r="U15" s="57"/>
      <c r="V15" s="564"/>
      <c r="W15" s="57"/>
      <c r="X15" s="94"/>
      <c r="Y15" s="94"/>
      <c r="Z15" s="94"/>
      <c r="AA15" s="57"/>
      <c r="AB15" s="57"/>
      <c r="AC15" s="96"/>
      <c r="AD15" s="91"/>
      <c r="AE15" s="567">
        <f t="shared" si="3"/>
        <v>12</v>
      </c>
      <c r="AF15" s="567">
        <f t="shared" si="1"/>
        <v>12</v>
      </c>
      <c r="AH15" s="861"/>
    </row>
    <row r="16" spans="1:34" ht="23.7" customHeight="1" x14ac:dyDescent="0.4">
      <c r="A16" s="87"/>
      <c r="B16" s="88"/>
      <c r="C16" s="88"/>
      <c r="D16" s="75"/>
      <c r="E16" s="89"/>
      <c r="F16" s="75"/>
      <c r="G16" s="88"/>
      <c r="H16" s="88"/>
      <c r="I16" s="88"/>
      <c r="J16" s="75"/>
      <c r="K16" s="75"/>
      <c r="L16" s="90"/>
      <c r="M16" s="91"/>
      <c r="N16" s="92">
        <f t="shared" si="2"/>
        <v>13</v>
      </c>
      <c r="O16" s="92">
        <f t="shared" si="0"/>
        <v>13</v>
      </c>
      <c r="Q16" s="860" t="str">
        <f>IF(IGRF!B17="","",IGRF!B17)</f>
        <v>321</v>
      </c>
      <c r="R16" s="87"/>
      <c r="S16" s="88"/>
      <c r="T16" s="88"/>
      <c r="U16" s="75"/>
      <c r="V16" s="566"/>
      <c r="W16" s="75"/>
      <c r="X16" s="88"/>
      <c r="Y16" s="88"/>
      <c r="Z16" s="88"/>
      <c r="AA16" s="75"/>
      <c r="AB16" s="75"/>
      <c r="AC16" s="90"/>
      <c r="AD16" s="91"/>
      <c r="AE16" s="567">
        <f t="shared" si="3"/>
        <v>13</v>
      </c>
      <c r="AF16" s="567">
        <f t="shared" si="1"/>
        <v>13</v>
      </c>
      <c r="AH16" s="860" t="str">
        <f>Q16</f>
        <v>321</v>
      </c>
    </row>
    <row r="17" spans="1:34" ht="23.7" customHeight="1" x14ac:dyDescent="0.4">
      <c r="A17" s="93"/>
      <c r="B17" s="94"/>
      <c r="C17" s="94"/>
      <c r="D17" s="57"/>
      <c r="E17" s="95"/>
      <c r="F17" s="57"/>
      <c r="G17" s="94"/>
      <c r="H17" s="94"/>
      <c r="I17" s="94"/>
      <c r="J17" s="57"/>
      <c r="K17" s="57"/>
      <c r="L17" s="96"/>
      <c r="M17" s="91"/>
      <c r="N17" s="92">
        <f t="shared" si="2"/>
        <v>14</v>
      </c>
      <c r="O17" s="92">
        <f t="shared" si="0"/>
        <v>14</v>
      </c>
      <c r="Q17" s="861"/>
      <c r="R17" s="93"/>
      <c r="S17" s="94"/>
      <c r="T17" s="94"/>
      <c r="U17" s="57"/>
      <c r="V17" s="564"/>
      <c r="W17" s="57"/>
      <c r="X17" s="94"/>
      <c r="Y17" s="94"/>
      <c r="Z17" s="94"/>
      <c r="AA17" s="57"/>
      <c r="AB17" s="57"/>
      <c r="AC17" s="96"/>
      <c r="AD17" s="91"/>
      <c r="AE17" s="567">
        <f t="shared" si="3"/>
        <v>14</v>
      </c>
      <c r="AF17" s="567">
        <f t="shared" si="1"/>
        <v>14</v>
      </c>
      <c r="AH17" s="861"/>
    </row>
    <row r="18" spans="1:34" ht="23.7" customHeight="1" x14ac:dyDescent="0.4">
      <c r="A18" s="87"/>
      <c r="B18" s="88"/>
      <c r="C18" s="88"/>
      <c r="D18" s="75"/>
      <c r="E18" s="89"/>
      <c r="F18" s="75"/>
      <c r="G18" s="88"/>
      <c r="H18" s="88"/>
      <c r="I18" s="88"/>
      <c r="J18" s="75"/>
      <c r="K18" s="75"/>
      <c r="L18" s="90"/>
      <c r="M18" s="91"/>
      <c r="N18" s="92">
        <f t="shared" si="2"/>
        <v>15</v>
      </c>
      <c r="O18" s="92">
        <f t="shared" si="0"/>
        <v>15</v>
      </c>
      <c r="Q18" s="860" t="str">
        <f>IF(IGRF!B18="","",IGRF!B18)</f>
        <v>4</v>
      </c>
      <c r="R18" s="87"/>
      <c r="S18" s="88"/>
      <c r="T18" s="88"/>
      <c r="U18" s="75"/>
      <c r="V18" s="566"/>
      <c r="W18" s="75"/>
      <c r="X18" s="88"/>
      <c r="Y18" s="88"/>
      <c r="Z18" s="88"/>
      <c r="AA18" s="75"/>
      <c r="AB18" s="75"/>
      <c r="AC18" s="90"/>
      <c r="AD18" s="91"/>
      <c r="AE18" s="567">
        <f t="shared" si="3"/>
        <v>15</v>
      </c>
      <c r="AF18" s="567">
        <f t="shared" si="1"/>
        <v>15</v>
      </c>
      <c r="AH18" s="860" t="str">
        <f>Q18</f>
        <v>4</v>
      </c>
    </row>
    <row r="19" spans="1:34" ht="23.7" customHeight="1" x14ac:dyDescent="0.4">
      <c r="A19" s="93"/>
      <c r="B19" s="94"/>
      <c r="C19" s="94"/>
      <c r="D19" s="57"/>
      <c r="E19" s="95"/>
      <c r="F19" s="57"/>
      <c r="G19" s="94"/>
      <c r="H19" s="94"/>
      <c r="I19" s="94"/>
      <c r="J19" s="57"/>
      <c r="K19" s="57"/>
      <c r="L19" s="96"/>
      <c r="M19" s="91"/>
      <c r="N19" s="92">
        <f t="shared" si="2"/>
        <v>16</v>
      </c>
      <c r="O19" s="92">
        <f t="shared" si="0"/>
        <v>16</v>
      </c>
      <c r="Q19" s="861"/>
      <c r="R19" s="93"/>
      <c r="S19" s="94"/>
      <c r="T19" s="94"/>
      <c r="U19" s="57"/>
      <c r="V19" s="564"/>
      <c r="W19" s="57"/>
      <c r="X19" s="94"/>
      <c r="Y19" s="94"/>
      <c r="Z19" s="94"/>
      <c r="AA19" s="57"/>
      <c r="AB19" s="57"/>
      <c r="AC19" s="96"/>
      <c r="AD19" s="91"/>
      <c r="AE19" s="567">
        <f t="shared" si="3"/>
        <v>16</v>
      </c>
      <c r="AF19" s="567">
        <f t="shared" si="1"/>
        <v>16</v>
      </c>
      <c r="AH19" s="861"/>
    </row>
    <row r="20" spans="1:34" ht="23.7" customHeight="1" x14ac:dyDescent="0.4">
      <c r="A20" s="87"/>
      <c r="B20" s="88"/>
      <c r="C20" s="88"/>
      <c r="D20" s="75"/>
      <c r="E20" s="89"/>
      <c r="F20" s="75"/>
      <c r="G20" s="88"/>
      <c r="H20" s="88"/>
      <c r="I20" s="88"/>
      <c r="J20" s="75"/>
      <c r="K20" s="75"/>
      <c r="L20" s="90"/>
      <c r="M20" s="91"/>
      <c r="N20" s="92">
        <f t="shared" si="2"/>
        <v>17</v>
      </c>
      <c r="O20" s="92">
        <f t="shared" si="0"/>
        <v>17</v>
      </c>
      <c r="Q20" s="860" t="str">
        <f>IF(IGRF!B19="","",IGRF!B19)</f>
        <v>505</v>
      </c>
      <c r="R20" s="87"/>
      <c r="S20" s="88"/>
      <c r="T20" s="88"/>
      <c r="U20" s="75"/>
      <c r="V20" s="566"/>
      <c r="W20" s="75"/>
      <c r="X20" s="88"/>
      <c r="Y20" s="88"/>
      <c r="Z20" s="88"/>
      <c r="AA20" s="75"/>
      <c r="AB20" s="75"/>
      <c r="AC20" s="90"/>
      <c r="AD20" s="91"/>
      <c r="AE20" s="567">
        <f t="shared" si="3"/>
        <v>17</v>
      </c>
      <c r="AF20" s="567">
        <f t="shared" si="1"/>
        <v>17</v>
      </c>
      <c r="AH20" s="860" t="str">
        <f>Q20</f>
        <v>505</v>
      </c>
    </row>
    <row r="21" spans="1:34" ht="23.7" customHeight="1" x14ac:dyDescent="0.4">
      <c r="A21" s="93"/>
      <c r="B21" s="94"/>
      <c r="C21" s="94"/>
      <c r="D21" s="57"/>
      <c r="E21" s="95"/>
      <c r="F21" s="57"/>
      <c r="G21" s="94"/>
      <c r="H21" s="94"/>
      <c r="I21" s="94"/>
      <c r="J21" s="57"/>
      <c r="K21" s="57"/>
      <c r="L21" s="96"/>
      <c r="M21" s="91"/>
      <c r="N21" s="92">
        <f t="shared" si="2"/>
        <v>18</v>
      </c>
      <c r="O21" s="92">
        <f t="shared" si="0"/>
        <v>18</v>
      </c>
      <c r="Q21" s="861"/>
      <c r="R21" s="93"/>
      <c r="S21" s="94"/>
      <c r="T21" s="94"/>
      <c r="U21" s="57"/>
      <c r="V21" s="564"/>
      <c r="W21" s="57"/>
      <c r="X21" s="94"/>
      <c r="Y21" s="94"/>
      <c r="Z21" s="94"/>
      <c r="AA21" s="57"/>
      <c r="AB21" s="57"/>
      <c r="AC21" s="96"/>
      <c r="AD21" s="91"/>
      <c r="AE21" s="567">
        <f t="shared" si="3"/>
        <v>18</v>
      </c>
      <c r="AF21" s="567">
        <f t="shared" si="1"/>
        <v>18</v>
      </c>
      <c r="AH21" s="861"/>
    </row>
    <row r="22" spans="1:34" ht="23.7" customHeight="1" x14ac:dyDescent="0.4">
      <c r="A22" s="87"/>
      <c r="B22" s="88"/>
      <c r="C22" s="88"/>
      <c r="D22" s="75"/>
      <c r="E22" s="89"/>
      <c r="F22" s="75"/>
      <c r="G22" s="88"/>
      <c r="H22" s="88"/>
      <c r="I22" s="88"/>
      <c r="J22" s="75"/>
      <c r="K22" s="75"/>
      <c r="L22" s="90"/>
      <c r="M22" s="91"/>
      <c r="N22" s="92">
        <f t="shared" si="2"/>
        <v>19</v>
      </c>
      <c r="O22" s="92">
        <f t="shared" si="0"/>
        <v>19</v>
      </c>
      <c r="Q22" s="860" t="str">
        <f>IF(IGRF!B20="","",IGRF!B20)</f>
        <v>53</v>
      </c>
      <c r="R22" s="87"/>
      <c r="S22" s="88"/>
      <c r="T22" s="88"/>
      <c r="U22" s="75"/>
      <c r="V22" s="566"/>
      <c r="W22" s="75"/>
      <c r="X22" s="88"/>
      <c r="Y22" s="88"/>
      <c r="Z22" s="88"/>
      <c r="AA22" s="75"/>
      <c r="AB22" s="75"/>
      <c r="AC22" s="90"/>
      <c r="AD22" s="91"/>
      <c r="AE22" s="567">
        <f t="shared" si="3"/>
        <v>19</v>
      </c>
      <c r="AF22" s="567">
        <f t="shared" si="1"/>
        <v>19</v>
      </c>
      <c r="AH22" s="860" t="str">
        <f>Q22</f>
        <v>53</v>
      </c>
    </row>
    <row r="23" spans="1:34" ht="23.7" customHeight="1" x14ac:dyDescent="0.4">
      <c r="A23" s="93"/>
      <c r="B23" s="94"/>
      <c r="C23" s="94"/>
      <c r="D23" s="57"/>
      <c r="E23" s="95"/>
      <c r="F23" s="57"/>
      <c r="G23" s="94"/>
      <c r="H23" s="94"/>
      <c r="I23" s="94"/>
      <c r="J23" s="57"/>
      <c r="K23" s="57"/>
      <c r="L23" s="96"/>
      <c r="M23" s="91"/>
      <c r="N23" s="92">
        <f t="shared" si="2"/>
        <v>20</v>
      </c>
      <c r="O23" s="92">
        <f t="shared" si="0"/>
        <v>20</v>
      </c>
      <c r="Q23" s="861"/>
      <c r="R23" s="93"/>
      <c r="S23" s="94"/>
      <c r="T23" s="94"/>
      <c r="U23" s="57"/>
      <c r="V23" s="564"/>
      <c r="W23" s="57"/>
      <c r="X23" s="94"/>
      <c r="Y23" s="94"/>
      <c r="Z23" s="94"/>
      <c r="AA23" s="57"/>
      <c r="AB23" s="57"/>
      <c r="AC23" s="96"/>
      <c r="AD23" s="91"/>
      <c r="AE23" s="567">
        <f t="shared" si="3"/>
        <v>20</v>
      </c>
      <c r="AF23" s="567">
        <f t="shared" si="1"/>
        <v>20</v>
      </c>
      <c r="AH23" s="861"/>
    </row>
    <row r="24" spans="1:34" ht="23.7" customHeight="1" x14ac:dyDescent="0.4">
      <c r="A24" s="87"/>
      <c r="B24" s="88"/>
      <c r="C24" s="88"/>
      <c r="D24" s="75"/>
      <c r="E24" s="89"/>
      <c r="F24" s="75"/>
      <c r="G24" s="88"/>
      <c r="H24" s="88"/>
      <c r="I24" s="88"/>
      <c r="J24" s="75"/>
      <c r="K24" s="75"/>
      <c r="L24" s="90"/>
      <c r="M24" s="91"/>
      <c r="N24" s="92">
        <f t="shared" si="2"/>
        <v>21</v>
      </c>
      <c r="O24" s="92">
        <f t="shared" si="0"/>
        <v>21</v>
      </c>
      <c r="Q24" s="860" t="str">
        <f>IF(IGRF!B21="","",IGRF!B21)</f>
        <v>761</v>
      </c>
      <c r="R24" s="87"/>
      <c r="S24" s="88"/>
      <c r="T24" s="88"/>
      <c r="U24" s="75"/>
      <c r="V24" s="566"/>
      <c r="W24" s="75"/>
      <c r="X24" s="88"/>
      <c r="Y24" s="88"/>
      <c r="Z24" s="88"/>
      <c r="AA24" s="75"/>
      <c r="AB24" s="75"/>
      <c r="AC24" s="90"/>
      <c r="AD24" s="91"/>
      <c r="AE24" s="567">
        <f t="shared" si="3"/>
        <v>21</v>
      </c>
      <c r="AF24" s="567">
        <f t="shared" si="1"/>
        <v>21</v>
      </c>
      <c r="AH24" s="860" t="str">
        <f>Q24</f>
        <v>761</v>
      </c>
    </row>
    <row r="25" spans="1:34" ht="23.7" customHeight="1" x14ac:dyDescent="0.4">
      <c r="A25" s="93"/>
      <c r="B25" s="94"/>
      <c r="C25" s="94"/>
      <c r="D25" s="57"/>
      <c r="E25" s="95"/>
      <c r="F25" s="57"/>
      <c r="G25" s="94"/>
      <c r="H25" s="94"/>
      <c r="I25" s="94"/>
      <c r="J25" s="57"/>
      <c r="K25" s="57"/>
      <c r="L25" s="96"/>
      <c r="M25" s="91"/>
      <c r="N25" s="92">
        <f t="shared" si="2"/>
        <v>22</v>
      </c>
      <c r="O25" s="92">
        <f t="shared" si="0"/>
        <v>22</v>
      </c>
      <c r="Q25" s="861"/>
      <c r="R25" s="93"/>
      <c r="S25" s="94"/>
      <c r="T25" s="94"/>
      <c r="U25" s="57"/>
      <c r="V25" s="564"/>
      <c r="W25" s="57"/>
      <c r="X25" s="94"/>
      <c r="Y25" s="94"/>
      <c r="Z25" s="94"/>
      <c r="AA25" s="57"/>
      <c r="AB25" s="57"/>
      <c r="AC25" s="96"/>
      <c r="AD25" s="91"/>
      <c r="AE25" s="567">
        <f t="shared" si="3"/>
        <v>22</v>
      </c>
      <c r="AF25" s="567">
        <f t="shared" si="1"/>
        <v>22</v>
      </c>
      <c r="AH25" s="861"/>
    </row>
    <row r="26" spans="1:34" ht="23.7" customHeight="1" x14ac:dyDescent="0.4">
      <c r="A26" s="87"/>
      <c r="B26" s="88"/>
      <c r="C26" s="88"/>
      <c r="D26" s="75"/>
      <c r="E26" s="89"/>
      <c r="F26" s="75"/>
      <c r="G26" s="88"/>
      <c r="H26" s="88"/>
      <c r="I26" s="88"/>
      <c r="J26" s="75"/>
      <c r="K26" s="75"/>
      <c r="L26" s="90"/>
      <c r="M26" s="91"/>
      <c r="N26" s="92">
        <f t="shared" si="2"/>
        <v>23</v>
      </c>
      <c r="O26" s="92">
        <f t="shared" si="0"/>
        <v>23</v>
      </c>
      <c r="Q26" s="860" t="str">
        <f>IF(IGRF!B22="","",IGRF!B22)</f>
        <v>808</v>
      </c>
      <c r="R26" s="87"/>
      <c r="S26" s="88"/>
      <c r="T26" s="88"/>
      <c r="U26" s="75"/>
      <c r="V26" s="566"/>
      <c r="W26" s="75"/>
      <c r="X26" s="88"/>
      <c r="Y26" s="88"/>
      <c r="Z26" s="88"/>
      <c r="AA26" s="75"/>
      <c r="AB26" s="75"/>
      <c r="AC26" s="90"/>
      <c r="AD26" s="91"/>
      <c r="AE26" s="567">
        <f t="shared" si="3"/>
        <v>23</v>
      </c>
      <c r="AF26" s="567">
        <f t="shared" si="1"/>
        <v>23</v>
      </c>
      <c r="AH26" s="860" t="str">
        <f>Q26</f>
        <v>808</v>
      </c>
    </row>
    <row r="27" spans="1:34" ht="23.7" customHeight="1" x14ac:dyDescent="0.4">
      <c r="A27" s="93"/>
      <c r="B27" s="94"/>
      <c r="C27" s="94"/>
      <c r="D27" s="57"/>
      <c r="E27" s="95"/>
      <c r="F27" s="57"/>
      <c r="G27" s="94"/>
      <c r="H27" s="94"/>
      <c r="I27" s="94"/>
      <c r="J27" s="57"/>
      <c r="K27" s="57"/>
      <c r="L27" s="96"/>
      <c r="M27" s="91"/>
      <c r="N27" s="92">
        <f t="shared" si="2"/>
        <v>24</v>
      </c>
      <c r="O27" s="92">
        <f t="shared" si="0"/>
        <v>24</v>
      </c>
      <c r="Q27" s="861"/>
      <c r="R27" s="93"/>
      <c r="S27" s="94"/>
      <c r="T27" s="94"/>
      <c r="U27" s="57"/>
      <c r="V27" s="564"/>
      <c r="W27" s="57"/>
      <c r="X27" s="94"/>
      <c r="Y27" s="94"/>
      <c r="Z27" s="94"/>
      <c r="AA27" s="57"/>
      <c r="AB27" s="57"/>
      <c r="AC27" s="96"/>
      <c r="AD27" s="91"/>
      <c r="AE27" s="567">
        <f t="shared" si="3"/>
        <v>24</v>
      </c>
      <c r="AF27" s="567">
        <f t="shared" si="1"/>
        <v>24</v>
      </c>
      <c r="AH27" s="861"/>
    </row>
    <row r="28" spans="1:34" ht="23.7" customHeight="1" x14ac:dyDescent="0.4">
      <c r="A28" s="87"/>
      <c r="B28" s="88"/>
      <c r="C28" s="88"/>
      <c r="D28" s="75"/>
      <c r="E28" s="89"/>
      <c r="F28" s="75"/>
      <c r="G28" s="88"/>
      <c r="H28" s="88"/>
      <c r="I28" s="88"/>
      <c r="J28" s="75"/>
      <c r="K28" s="75"/>
      <c r="L28" s="90"/>
      <c r="M28" s="91"/>
      <c r="N28" s="92">
        <f t="shared" si="2"/>
        <v>25</v>
      </c>
      <c r="O28" s="92">
        <f t="shared" si="0"/>
        <v>25</v>
      </c>
      <c r="Q28" s="860" t="str">
        <f>IF(IGRF!B23="","",IGRF!B23)</f>
        <v>9</v>
      </c>
      <c r="R28" s="87"/>
      <c r="S28" s="88"/>
      <c r="T28" s="88"/>
      <c r="U28" s="75"/>
      <c r="V28" s="566"/>
      <c r="W28" s="75"/>
      <c r="X28" s="88"/>
      <c r="Y28" s="88"/>
      <c r="Z28" s="88"/>
      <c r="AA28" s="75"/>
      <c r="AB28" s="75"/>
      <c r="AC28" s="90"/>
      <c r="AD28" s="91"/>
      <c r="AE28" s="567">
        <f t="shared" si="3"/>
        <v>25</v>
      </c>
      <c r="AF28" s="567">
        <f t="shared" si="1"/>
        <v>25</v>
      </c>
      <c r="AH28" s="860" t="str">
        <f>Q28</f>
        <v>9</v>
      </c>
    </row>
    <row r="29" spans="1:34" ht="23.7" customHeight="1" x14ac:dyDescent="0.4">
      <c r="A29" s="93"/>
      <c r="B29" s="94"/>
      <c r="C29" s="94"/>
      <c r="D29" s="57"/>
      <c r="E29" s="95"/>
      <c r="F29" s="57"/>
      <c r="G29" s="94"/>
      <c r="H29" s="94"/>
      <c r="I29" s="94"/>
      <c r="J29" s="57"/>
      <c r="K29" s="57"/>
      <c r="L29" s="96"/>
      <c r="M29" s="91"/>
      <c r="N29" s="92">
        <v>26</v>
      </c>
      <c r="O29" s="92">
        <v>26</v>
      </c>
      <c r="Q29" s="861"/>
      <c r="R29" s="93"/>
      <c r="S29" s="94"/>
      <c r="T29" s="94"/>
      <c r="U29" s="57"/>
      <c r="V29" s="564"/>
      <c r="W29" s="57"/>
      <c r="X29" s="94"/>
      <c r="Y29" s="94"/>
      <c r="Z29" s="94"/>
      <c r="AA29" s="57"/>
      <c r="AB29" s="57"/>
      <c r="AC29" s="96"/>
      <c r="AD29" s="91"/>
      <c r="AE29" s="567">
        <v>26</v>
      </c>
      <c r="AF29" s="567">
        <v>26</v>
      </c>
      <c r="AH29" s="861"/>
    </row>
    <row r="30" spans="1:34" ht="23.7" customHeight="1" x14ac:dyDescent="0.4">
      <c r="A30" s="87"/>
      <c r="B30" s="88"/>
      <c r="C30" s="88"/>
      <c r="D30" s="75"/>
      <c r="E30" s="89"/>
      <c r="F30" s="75"/>
      <c r="G30" s="88"/>
      <c r="H30" s="88"/>
      <c r="I30" s="88"/>
      <c r="J30" s="75"/>
      <c r="K30" s="75"/>
      <c r="L30" s="90"/>
      <c r="M30" s="91"/>
      <c r="N30" s="92">
        <v>27</v>
      </c>
      <c r="O30" s="92">
        <v>27</v>
      </c>
      <c r="Q30" s="860" t="str">
        <f>IF(IGRF!B24="","",IGRF!B24)</f>
        <v>911</v>
      </c>
      <c r="R30" s="87"/>
      <c r="S30" s="88"/>
      <c r="T30" s="88"/>
      <c r="U30" s="75"/>
      <c r="V30" s="566"/>
      <c r="W30" s="75"/>
      <c r="X30" s="88"/>
      <c r="Y30" s="88"/>
      <c r="Z30" s="88"/>
      <c r="AA30" s="75"/>
      <c r="AB30" s="75"/>
      <c r="AC30" s="90"/>
      <c r="AD30" s="91"/>
      <c r="AE30" s="567">
        <v>27</v>
      </c>
      <c r="AF30" s="567">
        <v>27</v>
      </c>
      <c r="AH30" s="860" t="str">
        <f>Q30</f>
        <v>911</v>
      </c>
    </row>
    <row r="31" spans="1:34" ht="23.7" customHeight="1" x14ac:dyDescent="0.4">
      <c r="A31" s="93"/>
      <c r="B31" s="94"/>
      <c r="C31" s="94"/>
      <c r="D31" s="57"/>
      <c r="E31" s="95"/>
      <c r="F31" s="57"/>
      <c r="G31" s="94"/>
      <c r="H31" s="94"/>
      <c r="I31" s="94"/>
      <c r="J31" s="57"/>
      <c r="K31" s="57"/>
      <c r="L31" s="96"/>
      <c r="M31" s="91"/>
      <c r="N31" s="92">
        <v>28</v>
      </c>
      <c r="O31" s="92">
        <v>28</v>
      </c>
      <c r="Q31" s="861"/>
      <c r="R31" s="93"/>
      <c r="S31" s="94"/>
      <c r="T31" s="94"/>
      <c r="U31" s="57"/>
      <c r="V31" s="564"/>
      <c r="W31" s="57"/>
      <c r="X31" s="94"/>
      <c r="Y31" s="94"/>
      <c r="Z31" s="94"/>
      <c r="AA31" s="57"/>
      <c r="AB31" s="57"/>
      <c r="AC31" s="96"/>
      <c r="AD31" s="91"/>
      <c r="AE31" s="567">
        <v>28</v>
      </c>
      <c r="AF31" s="567">
        <v>28</v>
      </c>
      <c r="AH31" s="861"/>
    </row>
    <row r="32" spans="1:34" ht="23.7" customHeight="1" x14ac:dyDescent="0.4">
      <c r="A32" s="87"/>
      <c r="B32" s="88"/>
      <c r="C32" s="88"/>
      <c r="D32" s="75"/>
      <c r="E32" s="89"/>
      <c r="F32" s="75"/>
      <c r="G32" s="88"/>
      <c r="H32" s="88"/>
      <c r="I32" s="88"/>
      <c r="J32" s="75"/>
      <c r="K32" s="75"/>
      <c r="L32" s="90"/>
      <c r="M32" s="91"/>
      <c r="N32" s="92">
        <v>29</v>
      </c>
      <c r="O32" s="92">
        <v>29</v>
      </c>
      <c r="Q32" s="860" t="str">
        <f>IF(IGRF!B25="","",IGRF!B25)</f>
        <v>0</v>
      </c>
      <c r="R32" s="87"/>
      <c r="S32" s="88"/>
      <c r="T32" s="88"/>
      <c r="U32" s="75"/>
      <c r="V32" s="566"/>
      <c r="W32" s="75"/>
      <c r="X32" s="88"/>
      <c r="Y32" s="88"/>
      <c r="Z32" s="88"/>
      <c r="AA32" s="75"/>
      <c r="AB32" s="75"/>
      <c r="AC32" s="90"/>
      <c r="AD32" s="91"/>
      <c r="AE32" s="567">
        <v>29</v>
      </c>
      <c r="AF32" s="567">
        <v>29</v>
      </c>
      <c r="AH32" s="860" t="str">
        <f>Q32</f>
        <v>0</v>
      </c>
    </row>
    <row r="33" spans="1:34" ht="23.7" customHeight="1" x14ac:dyDescent="0.4">
      <c r="A33" s="93"/>
      <c r="B33" s="94"/>
      <c r="C33" s="94"/>
      <c r="D33" s="57"/>
      <c r="E33" s="95"/>
      <c r="F33" s="57"/>
      <c r="G33" s="94"/>
      <c r="H33" s="94"/>
      <c r="I33" s="94"/>
      <c r="J33" s="57"/>
      <c r="K33" s="57"/>
      <c r="L33" s="96"/>
      <c r="M33" s="91"/>
      <c r="N33" s="92">
        <v>30</v>
      </c>
      <c r="O33" s="92">
        <v>30</v>
      </c>
      <c r="Q33" s="861"/>
      <c r="R33" s="93"/>
      <c r="S33" s="94"/>
      <c r="T33" s="94"/>
      <c r="U33" s="57"/>
      <c r="V33" s="564"/>
      <c r="W33" s="57"/>
      <c r="X33" s="94"/>
      <c r="Y33" s="94"/>
      <c r="Z33" s="94"/>
      <c r="AA33" s="57"/>
      <c r="AB33" s="57"/>
      <c r="AC33" s="96"/>
      <c r="AD33" s="91"/>
      <c r="AE33" s="567">
        <v>30</v>
      </c>
      <c r="AF33" s="567">
        <v>30</v>
      </c>
      <c r="AH33" s="861"/>
    </row>
    <row r="34" spans="1:34" ht="23.7" customHeight="1" x14ac:dyDescent="0.4">
      <c r="A34" s="87"/>
      <c r="B34" s="88"/>
      <c r="C34" s="88"/>
      <c r="D34" s="75"/>
      <c r="E34" s="89"/>
      <c r="F34" s="75"/>
      <c r="G34" s="88"/>
      <c r="H34" s="88"/>
      <c r="I34" s="88"/>
      <c r="J34" s="75"/>
      <c r="K34" s="75"/>
      <c r="L34" s="90"/>
      <c r="M34" s="91"/>
      <c r="N34" s="92">
        <v>31</v>
      </c>
      <c r="O34" s="92">
        <v>31</v>
      </c>
      <c r="Q34" s="860" t="str">
        <f>IF(IGRF!B26="","",IGRF!B26)</f>
        <v>88</v>
      </c>
      <c r="R34" s="87"/>
      <c r="S34" s="88"/>
      <c r="T34" s="88"/>
      <c r="U34" s="75"/>
      <c r="V34" s="566"/>
      <c r="W34" s="75"/>
      <c r="X34" s="88"/>
      <c r="Y34" s="88"/>
      <c r="Z34" s="88"/>
      <c r="AA34" s="75"/>
      <c r="AB34" s="75"/>
      <c r="AC34" s="90"/>
      <c r="AD34" s="91"/>
      <c r="AE34" s="567">
        <v>31</v>
      </c>
      <c r="AF34" s="567">
        <v>31</v>
      </c>
      <c r="AH34" s="860" t="str">
        <f>Q34</f>
        <v>88</v>
      </c>
    </row>
    <row r="35" spans="1:34" ht="23.7" customHeight="1" x14ac:dyDescent="0.4">
      <c r="A35" s="93"/>
      <c r="B35" s="94"/>
      <c r="C35" s="94"/>
      <c r="D35" s="57"/>
      <c r="E35" s="95"/>
      <c r="F35" s="57"/>
      <c r="G35" s="94"/>
      <c r="H35" s="94"/>
      <c r="I35" s="94"/>
      <c r="J35" s="57"/>
      <c r="K35" s="57"/>
      <c r="L35" s="96"/>
      <c r="M35" s="91"/>
      <c r="N35" s="92">
        <v>32</v>
      </c>
      <c r="O35" s="92">
        <v>32</v>
      </c>
      <c r="Q35" s="861"/>
      <c r="R35" s="93"/>
      <c r="S35" s="94"/>
      <c r="T35" s="94"/>
      <c r="U35" s="57"/>
      <c r="V35" s="564"/>
      <c r="W35" s="57"/>
      <c r="X35" s="94"/>
      <c r="Y35" s="94"/>
      <c r="Z35" s="94"/>
      <c r="AA35" s="57"/>
      <c r="AB35" s="57"/>
      <c r="AC35" s="96"/>
      <c r="AD35" s="91"/>
      <c r="AE35" s="567">
        <v>32</v>
      </c>
      <c r="AF35" s="567">
        <v>32</v>
      </c>
      <c r="AH35" s="861"/>
    </row>
    <row r="36" spans="1:34" ht="23.7" customHeight="1" x14ac:dyDescent="0.4">
      <c r="A36" s="87"/>
      <c r="B36" s="88"/>
      <c r="C36" s="88"/>
      <c r="D36" s="75"/>
      <c r="E36" s="89"/>
      <c r="F36" s="75"/>
      <c r="G36" s="88"/>
      <c r="H36" s="88"/>
      <c r="I36" s="88"/>
      <c r="J36" s="75"/>
      <c r="K36" s="75"/>
      <c r="L36" s="90"/>
      <c r="M36" s="91"/>
      <c r="N36" s="92">
        <v>33</v>
      </c>
      <c r="O36" s="92">
        <v>33</v>
      </c>
      <c r="Q36" s="860" t="str">
        <f>IF(IGRF!B27="","",IGRF!B27)</f>
        <v/>
      </c>
      <c r="R36" s="87"/>
      <c r="S36" s="88"/>
      <c r="T36" s="88"/>
      <c r="U36" s="75"/>
      <c r="V36" s="566"/>
      <c r="W36" s="75"/>
      <c r="X36" s="88"/>
      <c r="Y36" s="88"/>
      <c r="Z36" s="88"/>
      <c r="AA36" s="75"/>
      <c r="AB36" s="75"/>
      <c r="AC36" s="90"/>
      <c r="AD36" s="91"/>
      <c r="AE36" s="567">
        <v>33</v>
      </c>
      <c r="AF36" s="567">
        <v>33</v>
      </c>
      <c r="AH36" s="860" t="str">
        <f>Q36</f>
        <v/>
      </c>
    </row>
    <row r="37" spans="1:34" ht="23.7" customHeight="1" x14ac:dyDescent="0.4">
      <c r="A37" s="93"/>
      <c r="B37" s="94"/>
      <c r="C37" s="94"/>
      <c r="D37" s="57"/>
      <c r="E37" s="95"/>
      <c r="F37" s="57"/>
      <c r="G37" s="94"/>
      <c r="H37" s="94"/>
      <c r="I37" s="94"/>
      <c r="J37" s="57"/>
      <c r="K37" s="57"/>
      <c r="L37" s="96"/>
      <c r="M37" s="91"/>
      <c r="N37" s="92">
        <v>34</v>
      </c>
      <c r="O37" s="92">
        <v>34</v>
      </c>
      <c r="Q37" s="861"/>
      <c r="R37" s="93"/>
      <c r="S37" s="94"/>
      <c r="T37" s="94"/>
      <c r="U37" s="57"/>
      <c r="V37" s="564"/>
      <c r="W37" s="57"/>
      <c r="X37" s="94"/>
      <c r="Y37" s="94"/>
      <c r="Z37" s="94"/>
      <c r="AA37" s="57"/>
      <c r="AB37" s="57"/>
      <c r="AC37" s="96"/>
      <c r="AD37" s="91"/>
      <c r="AE37" s="567">
        <v>34</v>
      </c>
      <c r="AF37" s="567">
        <v>34</v>
      </c>
      <c r="AH37" s="861"/>
    </row>
    <row r="38" spans="1:34" ht="23.7" customHeight="1" x14ac:dyDescent="0.4">
      <c r="A38" s="87"/>
      <c r="B38" s="88"/>
      <c r="C38" s="88"/>
      <c r="D38" s="75"/>
      <c r="E38" s="89"/>
      <c r="F38" s="75"/>
      <c r="G38" s="88"/>
      <c r="H38" s="88"/>
      <c r="I38" s="88"/>
      <c r="J38" s="75"/>
      <c r="K38" s="75"/>
      <c r="L38" s="90"/>
      <c r="M38" s="91"/>
      <c r="N38" s="92">
        <v>35</v>
      </c>
      <c r="O38" s="92">
        <v>35</v>
      </c>
      <c r="Q38" s="860" t="str">
        <f>IF(IGRF!B28="","",IGRF!B28)</f>
        <v/>
      </c>
      <c r="R38" s="87"/>
      <c r="S38" s="88"/>
      <c r="T38" s="88"/>
      <c r="U38" s="75"/>
      <c r="V38" s="566"/>
      <c r="W38" s="75"/>
      <c r="X38" s="88"/>
      <c r="Y38" s="88"/>
      <c r="Z38" s="88"/>
      <c r="AA38" s="75"/>
      <c r="AB38" s="75"/>
      <c r="AC38" s="90"/>
      <c r="AD38" s="91"/>
      <c r="AE38" s="567">
        <v>35</v>
      </c>
      <c r="AF38" s="567">
        <v>35</v>
      </c>
      <c r="AH38" s="860" t="str">
        <f>Q38</f>
        <v/>
      </c>
    </row>
    <row r="39" spans="1:34" ht="23.7" customHeight="1" x14ac:dyDescent="0.4">
      <c r="A39" s="93"/>
      <c r="B39" s="94"/>
      <c r="C39" s="94"/>
      <c r="D39" s="57"/>
      <c r="E39" s="95"/>
      <c r="F39" s="57"/>
      <c r="G39" s="94"/>
      <c r="H39" s="94"/>
      <c r="I39" s="94"/>
      <c r="J39" s="57"/>
      <c r="K39" s="57"/>
      <c r="L39" s="96"/>
      <c r="M39" s="91"/>
      <c r="N39" s="92">
        <v>36</v>
      </c>
      <c r="O39" s="92">
        <v>36</v>
      </c>
      <c r="Q39" s="861"/>
      <c r="R39" s="93"/>
      <c r="S39" s="94"/>
      <c r="T39" s="94"/>
      <c r="U39" s="57"/>
      <c r="V39" s="564"/>
      <c r="W39" s="57"/>
      <c r="X39" s="94"/>
      <c r="Y39" s="94"/>
      <c r="Z39" s="94"/>
      <c r="AA39" s="57"/>
      <c r="AB39" s="57"/>
      <c r="AC39" s="96"/>
      <c r="AD39" s="91"/>
      <c r="AE39" s="567">
        <v>36</v>
      </c>
      <c r="AF39" s="567">
        <v>36</v>
      </c>
      <c r="AH39" s="861"/>
    </row>
    <row r="40" spans="1:34" s="97" customFormat="1" ht="23.7" customHeight="1" x14ac:dyDescent="0.4">
      <c r="A40" s="87"/>
      <c r="B40" s="88"/>
      <c r="C40" s="88"/>
      <c r="D40" s="75"/>
      <c r="E40" s="89"/>
      <c r="F40" s="75"/>
      <c r="G40" s="88"/>
      <c r="H40" s="88"/>
      <c r="I40" s="88"/>
      <c r="J40" s="75"/>
      <c r="K40" s="75"/>
      <c r="L40" s="90"/>
      <c r="M40" s="91"/>
      <c r="N40" s="92">
        <v>37</v>
      </c>
      <c r="O40" s="92">
        <v>37</v>
      </c>
      <c r="Q40" s="860" t="str">
        <f>IF(IGRF!B29="","",IGRF!B29)</f>
        <v/>
      </c>
      <c r="R40" s="87"/>
      <c r="S40" s="88"/>
      <c r="T40" s="88"/>
      <c r="U40" s="75"/>
      <c r="V40" s="566"/>
      <c r="W40" s="75"/>
      <c r="X40" s="88"/>
      <c r="Y40" s="88"/>
      <c r="Z40" s="88"/>
      <c r="AA40" s="75"/>
      <c r="AB40" s="75"/>
      <c r="AC40" s="90"/>
      <c r="AD40" s="91"/>
      <c r="AE40" s="567">
        <v>37</v>
      </c>
      <c r="AF40" s="567">
        <v>37</v>
      </c>
      <c r="AH40" s="860" t="str">
        <f>Q40</f>
        <v/>
      </c>
    </row>
    <row r="41" spans="1:34" s="97" customFormat="1" ht="23.7" customHeight="1" x14ac:dyDescent="0.4">
      <c r="A41" s="93"/>
      <c r="B41" s="94"/>
      <c r="C41" s="94"/>
      <c r="D41" s="57"/>
      <c r="E41" s="95"/>
      <c r="F41" s="57"/>
      <c r="G41" s="94"/>
      <c r="H41" s="94"/>
      <c r="I41" s="94"/>
      <c r="J41" s="57"/>
      <c r="K41" s="57"/>
      <c r="L41" s="96"/>
      <c r="M41" s="91"/>
      <c r="N41" s="92">
        <v>38</v>
      </c>
      <c r="O41" s="92">
        <v>38</v>
      </c>
      <c r="Q41" s="861"/>
      <c r="R41" s="93"/>
      <c r="S41" s="94"/>
      <c r="T41" s="94"/>
      <c r="U41" s="57"/>
      <c r="V41" s="564"/>
      <c r="W41" s="57"/>
      <c r="X41" s="94"/>
      <c r="Y41" s="94"/>
      <c r="Z41" s="94"/>
      <c r="AA41" s="57"/>
      <c r="AB41" s="57"/>
      <c r="AC41" s="96"/>
      <c r="AD41" s="91"/>
      <c r="AE41" s="567">
        <v>38</v>
      </c>
      <c r="AF41" s="567">
        <v>38</v>
      </c>
      <c r="AH41" s="861"/>
    </row>
    <row r="42" spans="1:34" s="97" customFormat="1" ht="23.7" customHeight="1" x14ac:dyDescent="0.4">
      <c r="A42" s="87"/>
      <c r="B42" s="88"/>
      <c r="C42" s="88"/>
      <c r="D42" s="75"/>
      <c r="E42" s="89"/>
      <c r="F42" s="75"/>
      <c r="G42" s="88"/>
      <c r="H42" s="88"/>
      <c r="I42" s="88"/>
      <c r="J42" s="75"/>
      <c r="K42" s="75"/>
      <c r="L42" s="90"/>
      <c r="M42" s="91"/>
      <c r="N42" s="85"/>
      <c r="O42" s="85"/>
      <c r="Q42" s="860" t="str">
        <f>IF(IGRF!B30="","",IGRF!B30)</f>
        <v/>
      </c>
      <c r="R42" s="87"/>
      <c r="S42" s="88"/>
      <c r="T42" s="88"/>
      <c r="U42" s="75"/>
      <c r="V42" s="566"/>
      <c r="W42" s="75"/>
      <c r="X42" s="88"/>
      <c r="Y42" s="88"/>
      <c r="Z42" s="88"/>
      <c r="AA42" s="75"/>
      <c r="AB42" s="75"/>
      <c r="AC42" s="90"/>
      <c r="AD42" s="91"/>
      <c r="AE42" s="85"/>
      <c r="AF42" s="85"/>
      <c r="AH42" s="860" t="str">
        <f>Q42</f>
        <v/>
      </c>
    </row>
    <row r="43" spans="1:34" s="97" customFormat="1" ht="23.7" customHeight="1" x14ac:dyDescent="0.4">
      <c r="A43" s="99"/>
      <c r="B43" s="100"/>
      <c r="C43" s="100"/>
      <c r="D43" s="101"/>
      <c r="E43" s="102"/>
      <c r="F43" s="101"/>
      <c r="G43" s="100"/>
      <c r="H43" s="100"/>
      <c r="I43" s="100"/>
      <c r="J43" s="101"/>
      <c r="K43" s="101"/>
      <c r="L43" s="103"/>
      <c r="M43" s="91"/>
      <c r="N43" s="85"/>
      <c r="O43" s="85"/>
      <c r="Q43" s="862"/>
      <c r="R43" s="99"/>
      <c r="S43" s="100"/>
      <c r="T43" s="100"/>
      <c r="U43" s="101"/>
      <c r="V43" s="102"/>
      <c r="W43" s="101"/>
      <c r="X43" s="100"/>
      <c r="Y43" s="100"/>
      <c r="Z43" s="100"/>
      <c r="AA43" s="101"/>
      <c r="AB43" s="101"/>
      <c r="AC43" s="103"/>
      <c r="AD43" s="91"/>
      <c r="AE43" s="85"/>
      <c r="AF43" s="85"/>
      <c r="AH43" s="862"/>
    </row>
    <row r="44" spans="1:34" s="97" customFormat="1" ht="48" customHeight="1" x14ac:dyDescent="0.3">
      <c r="A44" s="1251" t="s">
        <v>643</v>
      </c>
      <c r="B44" s="1252"/>
      <c r="C44" s="1252"/>
      <c r="D44" s="1252"/>
      <c r="E44" s="1252"/>
      <c r="F44" s="1252"/>
      <c r="G44" s="1252"/>
      <c r="H44" s="1252"/>
      <c r="I44" s="1252"/>
      <c r="J44" s="1252"/>
      <c r="K44" s="1252"/>
      <c r="L44" s="1252"/>
      <c r="M44" s="1252"/>
      <c r="N44" s="1252"/>
      <c r="O44" s="1252"/>
      <c r="P44" s="1252"/>
      <c r="Q44" s="1253"/>
      <c r="R44" s="1251"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44" s="1252"/>
      <c r="T44" s="1252"/>
      <c r="U44" s="1252"/>
      <c r="V44" s="1252"/>
      <c r="W44" s="1252"/>
      <c r="X44" s="1252"/>
      <c r="Y44" s="1252"/>
      <c r="Z44" s="1252"/>
      <c r="AA44" s="1252"/>
      <c r="AB44" s="1252"/>
      <c r="AC44" s="1252"/>
      <c r="AD44" s="1252"/>
      <c r="AE44" s="1252"/>
      <c r="AF44" s="1252"/>
      <c r="AG44" s="1252"/>
      <c r="AH44" s="1253"/>
    </row>
    <row r="45" spans="1:34" s="97" customFormat="1" ht="30" customHeight="1" x14ac:dyDescent="0.45">
      <c r="A45" s="1254" t="str">
        <f>Score!$T$1</f>
        <v>Houston Roller Derby / All-Stars</v>
      </c>
      <c r="B45" s="1254"/>
      <c r="C45" s="1254"/>
      <c r="D45" s="1254"/>
      <c r="E45" s="1254"/>
      <c r="F45" s="1254"/>
      <c r="G45" s="1254"/>
      <c r="H45" s="1257" t="str">
        <f>IF(ISBLANK(Score!$AB$1),"",Score!$AB$1)</f>
        <v>White</v>
      </c>
      <c r="I45" s="1257"/>
      <c r="J45" s="1262">
        <f>IF(ISBLANK(IGRF!$B$5), "", IGRF!$B$5)</f>
        <v>41832</v>
      </c>
      <c r="K45" s="1262"/>
      <c r="L45" s="1190"/>
      <c r="M45" s="1190"/>
      <c r="N45" s="1190"/>
      <c r="O45" s="1190"/>
      <c r="P45" s="1190"/>
      <c r="Q45" s="1190"/>
      <c r="R45" s="1254" t="str">
        <f>Score!$T$1</f>
        <v>Houston Roller Derby / All-Stars</v>
      </c>
      <c r="S45" s="1254"/>
      <c r="T45" s="1254"/>
      <c r="U45" s="1254"/>
      <c r="V45" s="1254"/>
      <c r="W45" s="1254"/>
      <c r="X45" s="1254"/>
      <c r="Y45" s="1257" t="str">
        <f>IF(ISBLANK(Score!$AB$1),"",Score!$AB$1)</f>
        <v>White</v>
      </c>
      <c r="Z45" s="1257"/>
      <c r="AA45" s="1258">
        <f>IF(ISBLANK(IGRF!$B$5), "", IGRF!$B$5)</f>
        <v>41832</v>
      </c>
      <c r="AB45" s="1258"/>
      <c r="AC45" s="1190"/>
      <c r="AD45" s="1190"/>
      <c r="AE45" s="1190"/>
      <c r="AF45" s="1190"/>
      <c r="AG45" s="1190"/>
      <c r="AH45" s="1190"/>
    </row>
    <row r="46" spans="1:34" ht="11.25" customHeight="1" thickBot="1" x14ac:dyDescent="0.35">
      <c r="A46" s="1255"/>
      <c r="B46" s="1255"/>
      <c r="C46" s="1256"/>
      <c r="D46" s="1255"/>
      <c r="E46" s="1255"/>
      <c r="F46" s="1255"/>
      <c r="G46" s="1255"/>
      <c r="H46" s="1259" t="s">
        <v>351</v>
      </c>
      <c r="I46" s="1259"/>
      <c r="J46" s="1263" t="s">
        <v>355</v>
      </c>
      <c r="K46" s="1263"/>
      <c r="L46" s="1191" t="s">
        <v>345</v>
      </c>
      <c r="M46" s="1191"/>
      <c r="N46" s="1191"/>
      <c r="O46" s="1191"/>
      <c r="P46" s="1191"/>
      <c r="Q46" s="332" t="str">
        <f>Q2</f>
        <v>GAME 2</v>
      </c>
      <c r="R46" s="1255"/>
      <c r="S46" s="1255"/>
      <c r="T46" s="1256"/>
      <c r="U46" s="1255"/>
      <c r="V46" s="1255"/>
      <c r="W46" s="1255"/>
      <c r="X46" s="1255"/>
      <c r="Y46" s="1259" t="s">
        <v>351</v>
      </c>
      <c r="Z46" s="1259"/>
      <c r="AA46" s="1260" t="s">
        <v>355</v>
      </c>
      <c r="AB46" s="1260"/>
      <c r="AC46" s="1191" t="s">
        <v>345</v>
      </c>
      <c r="AD46" s="1191"/>
      <c r="AE46" s="1191"/>
      <c r="AF46" s="1191"/>
      <c r="AG46" s="1191"/>
      <c r="AH46" s="332" t="str">
        <f>Q2</f>
        <v>GAME 2</v>
      </c>
    </row>
    <row r="47" spans="1:34" s="49" customFormat="1" ht="25.5" customHeight="1" thickBot="1" x14ac:dyDescent="0.3">
      <c r="A47" s="83" t="s">
        <v>295</v>
      </c>
      <c r="B47" s="84" t="s">
        <v>8</v>
      </c>
      <c r="C47" s="851" t="s">
        <v>622</v>
      </c>
      <c r="D47" s="84" t="s">
        <v>68</v>
      </c>
      <c r="E47" s="84" t="s">
        <v>232</v>
      </c>
      <c r="F47" s="84" t="s">
        <v>3</v>
      </c>
      <c r="G47" s="84" t="s">
        <v>4</v>
      </c>
      <c r="H47" s="84" t="s">
        <v>5</v>
      </c>
      <c r="I47" s="84" t="s">
        <v>6</v>
      </c>
      <c r="J47" s="1245" t="s">
        <v>7</v>
      </c>
      <c r="K47" s="1245"/>
      <c r="L47" s="1246"/>
      <c r="M47" s="85"/>
      <c r="N47" s="1247" t="s">
        <v>8</v>
      </c>
      <c r="O47" s="1247"/>
      <c r="Q47" s="86" t="str">
        <f>Q3</f>
        <v>Total penalties</v>
      </c>
      <c r="R47" s="83" t="s">
        <v>295</v>
      </c>
      <c r="S47" s="568" t="s">
        <v>8</v>
      </c>
      <c r="T47" s="851" t="s">
        <v>622</v>
      </c>
      <c r="U47" s="568" t="s">
        <v>68</v>
      </c>
      <c r="V47" s="568" t="s">
        <v>232</v>
      </c>
      <c r="W47" s="568" t="s">
        <v>3</v>
      </c>
      <c r="X47" s="568" t="s">
        <v>4</v>
      </c>
      <c r="Y47" s="568" t="s">
        <v>5</v>
      </c>
      <c r="Z47" s="568" t="s">
        <v>6</v>
      </c>
      <c r="AA47" s="1245" t="s">
        <v>7</v>
      </c>
      <c r="AB47" s="1245"/>
      <c r="AC47" s="1246"/>
      <c r="AD47" s="85"/>
      <c r="AE47" s="1247" t="s">
        <v>8</v>
      </c>
      <c r="AF47" s="1247"/>
      <c r="AH47" s="86" t="str">
        <f>AH3</f>
        <v>Total penalties</v>
      </c>
    </row>
    <row r="48" spans="1:34" ht="23.7" customHeight="1" x14ac:dyDescent="0.4">
      <c r="A48" s="87"/>
      <c r="B48" s="88"/>
      <c r="C48" s="88"/>
      <c r="D48" s="75"/>
      <c r="E48" s="89"/>
      <c r="F48" s="75"/>
      <c r="G48" s="88"/>
      <c r="H48" s="88"/>
      <c r="I48" s="88"/>
      <c r="J48" s="75"/>
      <c r="K48" s="75"/>
      <c r="L48" s="90"/>
      <c r="M48" s="91"/>
      <c r="N48" s="92">
        <v>1</v>
      </c>
      <c r="O48" s="92">
        <f t="shared" ref="O48:O72" si="4">N48</f>
        <v>1</v>
      </c>
      <c r="Q48" s="860" t="str">
        <f>IF(IGRF!H11="","",IGRF!H11)</f>
        <v>112</v>
      </c>
      <c r="R48" s="87"/>
      <c r="S48" s="88"/>
      <c r="T48" s="88"/>
      <c r="U48" s="75"/>
      <c r="V48" s="566"/>
      <c r="W48" s="75"/>
      <c r="X48" s="88"/>
      <c r="Y48" s="88"/>
      <c r="Z48" s="88"/>
      <c r="AA48" s="75"/>
      <c r="AB48" s="75"/>
      <c r="AC48" s="90"/>
      <c r="AD48" s="91"/>
      <c r="AE48" s="567">
        <v>1</v>
      </c>
      <c r="AF48" s="567">
        <f t="shared" ref="AF48:AF72" si="5">AE48</f>
        <v>1</v>
      </c>
      <c r="AH48" s="860" t="str">
        <f>Q48</f>
        <v>112</v>
      </c>
    </row>
    <row r="49" spans="1:34" ht="23.7" customHeight="1" x14ac:dyDescent="0.4">
      <c r="A49" s="93"/>
      <c r="B49" s="94"/>
      <c r="C49" s="94"/>
      <c r="D49" s="57"/>
      <c r="E49" s="95"/>
      <c r="F49" s="57"/>
      <c r="G49" s="94"/>
      <c r="H49" s="94"/>
      <c r="I49" s="94"/>
      <c r="J49" s="57"/>
      <c r="K49" s="57"/>
      <c r="L49" s="96"/>
      <c r="M49" s="91"/>
      <c r="N49" s="92">
        <f t="shared" ref="N49:N72" si="6">N48+1</f>
        <v>2</v>
      </c>
      <c r="O49" s="92">
        <f t="shared" si="4"/>
        <v>2</v>
      </c>
      <c r="Q49" s="861"/>
      <c r="R49" s="93"/>
      <c r="S49" s="94"/>
      <c r="T49" s="94"/>
      <c r="U49" s="57"/>
      <c r="V49" s="564"/>
      <c r="W49" s="57"/>
      <c r="X49" s="94"/>
      <c r="Y49" s="94"/>
      <c r="Z49" s="94"/>
      <c r="AA49" s="57"/>
      <c r="AB49" s="57"/>
      <c r="AC49" s="96"/>
      <c r="AD49" s="91"/>
      <c r="AE49" s="567">
        <f t="shared" ref="AE49:AE72" si="7">AE48+1</f>
        <v>2</v>
      </c>
      <c r="AF49" s="567">
        <f t="shared" si="5"/>
        <v>2</v>
      </c>
      <c r="AH49" s="861"/>
    </row>
    <row r="50" spans="1:34" ht="23.7" customHeight="1" x14ac:dyDescent="0.4">
      <c r="A50" s="87"/>
      <c r="B50" s="88"/>
      <c r="C50" s="88"/>
      <c r="D50" s="75"/>
      <c r="E50" s="89"/>
      <c r="F50" s="75"/>
      <c r="G50" s="88"/>
      <c r="H50" s="88"/>
      <c r="I50" s="88"/>
      <c r="J50" s="75"/>
      <c r="K50" s="75"/>
      <c r="L50" s="90"/>
      <c r="M50" s="91"/>
      <c r="N50" s="92">
        <f t="shared" si="6"/>
        <v>3</v>
      </c>
      <c r="O50" s="92">
        <f t="shared" si="4"/>
        <v>3</v>
      </c>
      <c r="Q50" s="860" t="str">
        <f>IF(IGRF!H12="","",IGRF!H12)</f>
        <v>1542</v>
      </c>
      <c r="R50" s="87"/>
      <c r="S50" s="88"/>
      <c r="T50" s="88"/>
      <c r="U50" s="75"/>
      <c r="V50" s="566"/>
      <c r="W50" s="75"/>
      <c r="X50" s="88"/>
      <c r="Y50" s="88"/>
      <c r="Z50" s="88"/>
      <c r="AA50" s="75"/>
      <c r="AB50" s="75"/>
      <c r="AC50" s="90"/>
      <c r="AD50" s="91"/>
      <c r="AE50" s="567">
        <f t="shared" si="7"/>
        <v>3</v>
      </c>
      <c r="AF50" s="567">
        <f t="shared" si="5"/>
        <v>3</v>
      </c>
      <c r="AH50" s="860" t="str">
        <f>Q50</f>
        <v>1542</v>
      </c>
    </row>
    <row r="51" spans="1:34" ht="23.7" customHeight="1" x14ac:dyDescent="0.4">
      <c r="A51" s="93"/>
      <c r="B51" s="94"/>
      <c r="C51" s="94"/>
      <c r="D51" s="57"/>
      <c r="E51" s="95"/>
      <c r="F51" s="57"/>
      <c r="G51" s="94"/>
      <c r="H51" s="94"/>
      <c r="I51" s="94"/>
      <c r="J51" s="57"/>
      <c r="K51" s="57"/>
      <c r="L51" s="96"/>
      <c r="M51" s="91"/>
      <c r="N51" s="92">
        <f t="shared" si="6"/>
        <v>4</v>
      </c>
      <c r="O51" s="92">
        <f t="shared" si="4"/>
        <v>4</v>
      </c>
      <c r="Q51" s="861"/>
      <c r="R51" s="93"/>
      <c r="S51" s="94"/>
      <c r="T51" s="94"/>
      <c r="U51" s="57"/>
      <c r="V51" s="564"/>
      <c r="W51" s="57"/>
      <c r="X51" s="94"/>
      <c r="Y51" s="94"/>
      <c r="Z51" s="94"/>
      <c r="AA51" s="57"/>
      <c r="AB51" s="57"/>
      <c r="AC51" s="96"/>
      <c r="AD51" s="91"/>
      <c r="AE51" s="567">
        <f t="shared" si="7"/>
        <v>4</v>
      </c>
      <c r="AF51" s="567">
        <f t="shared" si="5"/>
        <v>4</v>
      </c>
      <c r="AH51" s="861"/>
    </row>
    <row r="52" spans="1:34" ht="23.7" customHeight="1" x14ac:dyDescent="0.4">
      <c r="A52" s="87"/>
      <c r="B52" s="88"/>
      <c r="C52" s="88"/>
      <c r="D52" s="75"/>
      <c r="E52" s="89"/>
      <c r="F52" s="75"/>
      <c r="G52" s="88"/>
      <c r="H52" s="88"/>
      <c r="I52" s="88"/>
      <c r="J52" s="75"/>
      <c r="K52" s="75"/>
      <c r="L52" s="90"/>
      <c r="M52" s="91"/>
      <c r="N52" s="92">
        <f t="shared" si="6"/>
        <v>5</v>
      </c>
      <c r="O52" s="92">
        <f t="shared" si="4"/>
        <v>5</v>
      </c>
      <c r="Q52" s="860" t="str">
        <f>IF(IGRF!H13="","",IGRF!H13)</f>
        <v>16</v>
      </c>
      <c r="R52" s="87"/>
      <c r="S52" s="88"/>
      <c r="T52" s="88"/>
      <c r="U52" s="75"/>
      <c r="V52" s="566"/>
      <c r="W52" s="75"/>
      <c r="X52" s="88"/>
      <c r="Y52" s="88"/>
      <c r="Z52" s="88"/>
      <c r="AA52" s="75"/>
      <c r="AB52" s="75"/>
      <c r="AC52" s="90"/>
      <c r="AD52" s="91"/>
      <c r="AE52" s="567">
        <f t="shared" si="7"/>
        <v>5</v>
      </c>
      <c r="AF52" s="567">
        <f t="shared" si="5"/>
        <v>5</v>
      </c>
      <c r="AH52" s="860" t="str">
        <f>Q52</f>
        <v>16</v>
      </c>
    </row>
    <row r="53" spans="1:34" ht="23.7" customHeight="1" x14ac:dyDescent="0.4">
      <c r="A53" s="93"/>
      <c r="B53" s="94"/>
      <c r="C53" s="94"/>
      <c r="D53" s="57"/>
      <c r="E53" s="95"/>
      <c r="F53" s="57"/>
      <c r="G53" s="94"/>
      <c r="H53" s="94"/>
      <c r="I53" s="94"/>
      <c r="J53" s="57"/>
      <c r="K53" s="57"/>
      <c r="L53" s="96"/>
      <c r="M53" s="91"/>
      <c r="N53" s="92">
        <f t="shared" si="6"/>
        <v>6</v>
      </c>
      <c r="O53" s="92">
        <f t="shared" si="4"/>
        <v>6</v>
      </c>
      <c r="Q53" s="861"/>
      <c r="R53" s="93"/>
      <c r="S53" s="94"/>
      <c r="T53" s="94"/>
      <c r="U53" s="57"/>
      <c r="V53" s="564"/>
      <c r="W53" s="57"/>
      <c r="X53" s="94"/>
      <c r="Y53" s="94"/>
      <c r="Z53" s="94"/>
      <c r="AA53" s="57"/>
      <c r="AB53" s="57"/>
      <c r="AC53" s="96"/>
      <c r="AD53" s="91"/>
      <c r="AE53" s="567">
        <f t="shared" si="7"/>
        <v>6</v>
      </c>
      <c r="AF53" s="567">
        <f t="shared" si="5"/>
        <v>6</v>
      </c>
      <c r="AH53" s="861"/>
    </row>
    <row r="54" spans="1:34" ht="23.7" customHeight="1" x14ac:dyDescent="0.4">
      <c r="A54" s="87"/>
      <c r="B54" s="88"/>
      <c r="C54" s="88"/>
      <c r="D54" s="75"/>
      <c r="E54" s="89"/>
      <c r="F54" s="75"/>
      <c r="G54" s="88"/>
      <c r="H54" s="88"/>
      <c r="I54" s="88"/>
      <c r="J54" s="75"/>
      <c r="K54" s="75"/>
      <c r="L54" s="90"/>
      <c r="M54" s="91"/>
      <c r="N54" s="92">
        <f t="shared" si="6"/>
        <v>7</v>
      </c>
      <c r="O54" s="92">
        <f t="shared" si="4"/>
        <v>7</v>
      </c>
      <c r="Q54" s="860" t="str">
        <f>IF(IGRF!H14="","",IGRF!H14)</f>
        <v>19</v>
      </c>
      <c r="R54" s="87"/>
      <c r="S54" s="88"/>
      <c r="T54" s="88"/>
      <c r="U54" s="75"/>
      <c r="V54" s="566"/>
      <c r="W54" s="75"/>
      <c r="X54" s="88"/>
      <c r="Y54" s="88"/>
      <c r="Z54" s="88"/>
      <c r="AA54" s="75"/>
      <c r="AB54" s="75"/>
      <c r="AC54" s="90"/>
      <c r="AD54" s="91"/>
      <c r="AE54" s="567">
        <f t="shared" si="7"/>
        <v>7</v>
      </c>
      <c r="AF54" s="567">
        <f t="shared" si="5"/>
        <v>7</v>
      </c>
      <c r="AH54" s="860" t="str">
        <f>Q54</f>
        <v>19</v>
      </c>
    </row>
    <row r="55" spans="1:34" ht="23.7" customHeight="1" x14ac:dyDescent="0.4">
      <c r="A55" s="93"/>
      <c r="B55" s="94"/>
      <c r="C55" s="94"/>
      <c r="D55" s="57"/>
      <c r="E55" s="95"/>
      <c r="F55" s="57"/>
      <c r="G55" s="94"/>
      <c r="H55" s="94"/>
      <c r="I55" s="94"/>
      <c r="J55" s="57"/>
      <c r="K55" s="57"/>
      <c r="L55" s="96"/>
      <c r="M55" s="91"/>
      <c r="N55" s="92">
        <f t="shared" si="6"/>
        <v>8</v>
      </c>
      <c r="O55" s="92">
        <f t="shared" si="4"/>
        <v>8</v>
      </c>
      <c r="Q55" s="861"/>
      <c r="R55" s="93"/>
      <c r="S55" s="94"/>
      <c r="T55" s="94"/>
      <c r="U55" s="57"/>
      <c r="V55" s="564"/>
      <c r="W55" s="57"/>
      <c r="X55" s="94"/>
      <c r="Y55" s="94"/>
      <c r="Z55" s="94"/>
      <c r="AA55" s="57"/>
      <c r="AB55" s="57"/>
      <c r="AC55" s="96"/>
      <c r="AD55" s="91"/>
      <c r="AE55" s="567">
        <f t="shared" si="7"/>
        <v>8</v>
      </c>
      <c r="AF55" s="567">
        <f t="shared" si="5"/>
        <v>8</v>
      </c>
      <c r="AH55" s="861"/>
    </row>
    <row r="56" spans="1:34" ht="23.7" customHeight="1" x14ac:dyDescent="0.4">
      <c r="A56" s="87"/>
      <c r="B56" s="88"/>
      <c r="C56" s="88"/>
      <c r="D56" s="75"/>
      <c r="E56" s="89"/>
      <c r="F56" s="75"/>
      <c r="G56" s="88"/>
      <c r="H56" s="88"/>
      <c r="I56" s="88"/>
      <c r="J56" s="75"/>
      <c r="K56" s="75"/>
      <c r="L56" s="90"/>
      <c r="M56" s="91"/>
      <c r="N56" s="92">
        <f t="shared" si="6"/>
        <v>9</v>
      </c>
      <c r="O56" s="92">
        <f t="shared" si="4"/>
        <v>9</v>
      </c>
      <c r="Q56" s="860" t="str">
        <f>IF(IGRF!H15="","",IGRF!H15)</f>
        <v>2000</v>
      </c>
      <c r="R56" s="87"/>
      <c r="S56" s="88"/>
      <c r="T56" s="88"/>
      <c r="U56" s="75"/>
      <c r="V56" s="566"/>
      <c r="W56" s="75"/>
      <c r="X56" s="88"/>
      <c r="Y56" s="88"/>
      <c r="Z56" s="88"/>
      <c r="AA56" s="75"/>
      <c r="AB56" s="75"/>
      <c r="AC56" s="90"/>
      <c r="AD56" s="91"/>
      <c r="AE56" s="567">
        <f t="shared" si="7"/>
        <v>9</v>
      </c>
      <c r="AF56" s="567">
        <f t="shared" si="5"/>
        <v>9</v>
      </c>
      <c r="AH56" s="860" t="str">
        <f>Q56</f>
        <v>2000</v>
      </c>
    </row>
    <row r="57" spans="1:34" ht="23.7" customHeight="1" x14ac:dyDescent="0.4">
      <c r="A57" s="93"/>
      <c r="B57" s="94"/>
      <c r="C57" s="94"/>
      <c r="D57" s="57"/>
      <c r="E57" s="95"/>
      <c r="F57" s="57"/>
      <c r="G57" s="94"/>
      <c r="H57" s="94"/>
      <c r="I57" s="94"/>
      <c r="J57" s="57"/>
      <c r="K57" s="57"/>
      <c r="L57" s="96"/>
      <c r="M57" s="91"/>
      <c r="N57" s="92">
        <f t="shared" si="6"/>
        <v>10</v>
      </c>
      <c r="O57" s="92">
        <f t="shared" si="4"/>
        <v>10</v>
      </c>
      <c r="Q57" s="861"/>
      <c r="R57" s="93"/>
      <c r="S57" s="94"/>
      <c r="T57" s="94"/>
      <c r="U57" s="57"/>
      <c r="V57" s="564"/>
      <c r="W57" s="57"/>
      <c r="X57" s="94"/>
      <c r="Y57" s="94"/>
      <c r="Z57" s="94"/>
      <c r="AA57" s="57"/>
      <c r="AB57" s="57"/>
      <c r="AC57" s="96"/>
      <c r="AD57" s="91"/>
      <c r="AE57" s="567">
        <f t="shared" si="7"/>
        <v>10</v>
      </c>
      <c r="AF57" s="567">
        <f t="shared" si="5"/>
        <v>10</v>
      </c>
      <c r="AH57" s="861"/>
    </row>
    <row r="58" spans="1:34" ht="23.7" customHeight="1" x14ac:dyDescent="0.4">
      <c r="A58" s="87"/>
      <c r="B58" s="88"/>
      <c r="C58" s="88"/>
      <c r="D58" s="75"/>
      <c r="E58" s="89"/>
      <c r="F58" s="75"/>
      <c r="G58" s="88"/>
      <c r="H58" s="88"/>
      <c r="I58" s="88"/>
      <c r="J58" s="75"/>
      <c r="K58" s="75"/>
      <c r="L58" s="90"/>
      <c r="M58" s="91"/>
      <c r="N58" s="92">
        <f t="shared" si="6"/>
        <v>11</v>
      </c>
      <c r="O58" s="92">
        <f t="shared" si="4"/>
        <v>11</v>
      </c>
      <c r="Q58" s="860" t="str">
        <f>IF(IGRF!H16="","",IGRF!H16)</f>
        <v>201</v>
      </c>
      <c r="R58" s="87"/>
      <c r="S58" s="88"/>
      <c r="T58" s="88"/>
      <c r="U58" s="75"/>
      <c r="V58" s="566"/>
      <c r="W58" s="75"/>
      <c r="X58" s="88"/>
      <c r="Y58" s="88"/>
      <c r="Z58" s="88"/>
      <c r="AA58" s="75"/>
      <c r="AB58" s="75"/>
      <c r="AC58" s="90"/>
      <c r="AD58" s="91"/>
      <c r="AE58" s="567">
        <f t="shared" si="7"/>
        <v>11</v>
      </c>
      <c r="AF58" s="567">
        <f t="shared" si="5"/>
        <v>11</v>
      </c>
      <c r="AH58" s="860" t="str">
        <f>Q58</f>
        <v>201</v>
      </c>
    </row>
    <row r="59" spans="1:34" ht="23.7" customHeight="1" x14ac:dyDescent="0.4">
      <c r="A59" s="93"/>
      <c r="B59" s="94"/>
      <c r="C59" s="94"/>
      <c r="D59" s="57"/>
      <c r="E59" s="95"/>
      <c r="F59" s="57"/>
      <c r="G59" s="94"/>
      <c r="H59" s="94"/>
      <c r="I59" s="94"/>
      <c r="J59" s="57"/>
      <c r="K59" s="57"/>
      <c r="L59" s="96"/>
      <c r="M59" s="91"/>
      <c r="N59" s="92">
        <f t="shared" si="6"/>
        <v>12</v>
      </c>
      <c r="O59" s="92">
        <f t="shared" si="4"/>
        <v>12</v>
      </c>
      <c r="Q59" s="861"/>
      <c r="R59" s="93"/>
      <c r="S59" s="94"/>
      <c r="T59" s="94"/>
      <c r="U59" s="57"/>
      <c r="V59" s="564"/>
      <c r="W59" s="57"/>
      <c r="X59" s="94"/>
      <c r="Y59" s="94"/>
      <c r="Z59" s="94"/>
      <c r="AA59" s="57"/>
      <c r="AB59" s="57"/>
      <c r="AC59" s="96"/>
      <c r="AD59" s="91"/>
      <c r="AE59" s="567">
        <f t="shared" si="7"/>
        <v>12</v>
      </c>
      <c r="AF59" s="567">
        <f t="shared" si="5"/>
        <v>12</v>
      </c>
      <c r="AH59" s="861"/>
    </row>
    <row r="60" spans="1:34" ht="23.7" customHeight="1" x14ac:dyDescent="0.4">
      <c r="A60" s="87"/>
      <c r="B60" s="88"/>
      <c r="C60" s="88"/>
      <c r="D60" s="75"/>
      <c r="E60" s="89"/>
      <c r="F60" s="75"/>
      <c r="G60" s="88"/>
      <c r="H60" s="88"/>
      <c r="I60" s="88"/>
      <c r="J60" s="75"/>
      <c r="K60" s="75"/>
      <c r="L60" s="90"/>
      <c r="M60" s="91"/>
      <c r="N60" s="92">
        <f t="shared" si="6"/>
        <v>13</v>
      </c>
      <c r="O60" s="92">
        <f t="shared" si="4"/>
        <v>13</v>
      </c>
      <c r="Q60" s="860" t="str">
        <f>IF(IGRF!H17="","",IGRF!H17)</f>
        <v>21</v>
      </c>
      <c r="R60" s="87"/>
      <c r="S60" s="88"/>
      <c r="T60" s="88"/>
      <c r="U60" s="75"/>
      <c r="V60" s="566"/>
      <c r="W60" s="75"/>
      <c r="X60" s="88"/>
      <c r="Y60" s="88"/>
      <c r="Z60" s="88"/>
      <c r="AA60" s="75"/>
      <c r="AB60" s="75"/>
      <c r="AC60" s="90"/>
      <c r="AD60" s="91"/>
      <c r="AE60" s="567">
        <f t="shared" si="7"/>
        <v>13</v>
      </c>
      <c r="AF60" s="567">
        <f t="shared" si="5"/>
        <v>13</v>
      </c>
      <c r="AH60" s="860" t="str">
        <f>Q60</f>
        <v>21</v>
      </c>
    </row>
    <row r="61" spans="1:34" ht="23.7" customHeight="1" x14ac:dyDescent="0.4">
      <c r="A61" s="93"/>
      <c r="B61" s="94"/>
      <c r="C61" s="94"/>
      <c r="D61" s="57"/>
      <c r="E61" s="95"/>
      <c r="F61" s="57"/>
      <c r="G61" s="94"/>
      <c r="H61" s="94"/>
      <c r="I61" s="94"/>
      <c r="J61" s="57"/>
      <c r="K61" s="57"/>
      <c r="L61" s="96"/>
      <c r="M61" s="91"/>
      <c r="N61" s="92">
        <f t="shared" si="6"/>
        <v>14</v>
      </c>
      <c r="O61" s="92">
        <f t="shared" si="4"/>
        <v>14</v>
      </c>
      <c r="Q61" s="861"/>
      <c r="R61" s="93"/>
      <c r="S61" s="94"/>
      <c r="T61" s="94"/>
      <c r="U61" s="57"/>
      <c r="V61" s="564"/>
      <c r="W61" s="57"/>
      <c r="X61" s="94"/>
      <c r="Y61" s="94"/>
      <c r="Z61" s="94"/>
      <c r="AA61" s="57"/>
      <c r="AB61" s="57"/>
      <c r="AC61" s="96"/>
      <c r="AD61" s="91"/>
      <c r="AE61" s="567">
        <f t="shared" si="7"/>
        <v>14</v>
      </c>
      <c r="AF61" s="567">
        <f t="shared" si="5"/>
        <v>14</v>
      </c>
      <c r="AH61" s="861"/>
    </row>
    <row r="62" spans="1:34" ht="23.7" customHeight="1" x14ac:dyDescent="0.4">
      <c r="A62" s="87"/>
      <c r="B62" s="88"/>
      <c r="C62" s="88"/>
      <c r="D62" s="75"/>
      <c r="E62" s="89"/>
      <c r="F62" s="75"/>
      <c r="G62" s="88"/>
      <c r="H62" s="88"/>
      <c r="I62" s="88"/>
      <c r="J62" s="75"/>
      <c r="K62" s="75"/>
      <c r="L62" s="90"/>
      <c r="M62" s="91"/>
      <c r="N62" s="92">
        <f t="shared" si="6"/>
        <v>15</v>
      </c>
      <c r="O62" s="92">
        <f t="shared" si="4"/>
        <v>15</v>
      </c>
      <c r="Q62" s="860" t="str">
        <f>IF(IGRF!H18="","",IGRF!H18)</f>
        <v>22</v>
      </c>
      <c r="R62" s="87"/>
      <c r="S62" s="88"/>
      <c r="T62" s="88"/>
      <c r="U62" s="75"/>
      <c r="V62" s="566"/>
      <c r="W62" s="75"/>
      <c r="X62" s="88"/>
      <c r="Y62" s="88"/>
      <c r="Z62" s="88"/>
      <c r="AA62" s="75"/>
      <c r="AB62" s="75"/>
      <c r="AC62" s="90"/>
      <c r="AD62" s="91"/>
      <c r="AE62" s="567">
        <f t="shared" si="7"/>
        <v>15</v>
      </c>
      <c r="AF62" s="567">
        <f t="shared" si="5"/>
        <v>15</v>
      </c>
      <c r="AH62" s="860" t="str">
        <f>Q62</f>
        <v>22</v>
      </c>
    </row>
    <row r="63" spans="1:34" ht="23.7" customHeight="1" x14ac:dyDescent="0.4">
      <c r="A63" s="93"/>
      <c r="B63" s="94"/>
      <c r="C63" s="94"/>
      <c r="D63" s="57"/>
      <c r="E63" s="95"/>
      <c r="F63" s="57"/>
      <c r="G63" s="94"/>
      <c r="H63" s="94"/>
      <c r="I63" s="94"/>
      <c r="J63" s="57"/>
      <c r="K63" s="57"/>
      <c r="L63" s="96"/>
      <c r="M63" s="91"/>
      <c r="N63" s="92">
        <f t="shared" si="6"/>
        <v>16</v>
      </c>
      <c r="O63" s="92">
        <f t="shared" si="4"/>
        <v>16</v>
      </c>
      <c r="Q63" s="861"/>
      <c r="R63" s="93"/>
      <c r="S63" s="94"/>
      <c r="T63" s="94"/>
      <c r="U63" s="57"/>
      <c r="V63" s="564"/>
      <c r="W63" s="57"/>
      <c r="X63" s="94"/>
      <c r="Y63" s="94"/>
      <c r="Z63" s="94"/>
      <c r="AA63" s="57"/>
      <c r="AB63" s="57"/>
      <c r="AC63" s="96"/>
      <c r="AD63" s="91"/>
      <c r="AE63" s="567">
        <f t="shared" si="7"/>
        <v>16</v>
      </c>
      <c r="AF63" s="567">
        <f t="shared" si="5"/>
        <v>16</v>
      </c>
      <c r="AH63" s="861"/>
    </row>
    <row r="64" spans="1:34" ht="23.7" customHeight="1" x14ac:dyDescent="0.4">
      <c r="A64" s="87"/>
      <c r="B64" s="88"/>
      <c r="C64" s="88"/>
      <c r="D64" s="75"/>
      <c r="E64" s="89"/>
      <c r="F64" s="75"/>
      <c r="G64" s="88"/>
      <c r="H64" s="88"/>
      <c r="I64" s="88"/>
      <c r="J64" s="75"/>
      <c r="K64" s="75"/>
      <c r="L64" s="90"/>
      <c r="M64" s="91"/>
      <c r="N64" s="92">
        <f t="shared" si="6"/>
        <v>17</v>
      </c>
      <c r="O64" s="92">
        <f t="shared" si="4"/>
        <v>17</v>
      </c>
      <c r="Q64" s="860" t="str">
        <f>IF(IGRF!H19="","",IGRF!H19)</f>
        <v>312</v>
      </c>
      <c r="R64" s="87"/>
      <c r="S64" s="88"/>
      <c r="T64" s="88"/>
      <c r="U64" s="75"/>
      <c r="V64" s="566"/>
      <c r="W64" s="75"/>
      <c r="X64" s="88"/>
      <c r="Y64" s="88"/>
      <c r="Z64" s="88"/>
      <c r="AA64" s="75"/>
      <c r="AB64" s="75"/>
      <c r="AC64" s="90"/>
      <c r="AD64" s="91"/>
      <c r="AE64" s="567">
        <f t="shared" si="7"/>
        <v>17</v>
      </c>
      <c r="AF64" s="567">
        <f t="shared" si="5"/>
        <v>17</v>
      </c>
      <c r="AH64" s="860" t="str">
        <f>Q64</f>
        <v>312</v>
      </c>
    </row>
    <row r="65" spans="1:34" ht="23.7" customHeight="1" x14ac:dyDescent="0.4">
      <c r="A65" s="93"/>
      <c r="B65" s="94"/>
      <c r="C65" s="94"/>
      <c r="D65" s="57"/>
      <c r="E65" s="95"/>
      <c r="F65" s="57"/>
      <c r="G65" s="94"/>
      <c r="H65" s="94"/>
      <c r="I65" s="94"/>
      <c r="J65" s="57"/>
      <c r="K65" s="57"/>
      <c r="L65" s="96"/>
      <c r="M65" s="91"/>
      <c r="N65" s="92">
        <f t="shared" si="6"/>
        <v>18</v>
      </c>
      <c r="O65" s="92">
        <f t="shared" si="4"/>
        <v>18</v>
      </c>
      <c r="Q65" s="861"/>
      <c r="R65" s="93"/>
      <c r="S65" s="94"/>
      <c r="T65" s="94"/>
      <c r="U65" s="57"/>
      <c r="V65" s="564"/>
      <c r="W65" s="57"/>
      <c r="X65" s="94"/>
      <c r="Y65" s="94"/>
      <c r="Z65" s="94"/>
      <c r="AA65" s="57"/>
      <c r="AB65" s="57"/>
      <c r="AC65" s="96"/>
      <c r="AD65" s="91"/>
      <c r="AE65" s="567">
        <f t="shared" si="7"/>
        <v>18</v>
      </c>
      <c r="AF65" s="567">
        <f t="shared" si="5"/>
        <v>18</v>
      </c>
      <c r="AH65" s="861"/>
    </row>
    <row r="66" spans="1:34" ht="23.7" customHeight="1" x14ac:dyDescent="0.4">
      <c r="A66" s="87"/>
      <c r="B66" s="88"/>
      <c r="C66" s="88"/>
      <c r="D66" s="75"/>
      <c r="E66" s="89"/>
      <c r="F66" s="75"/>
      <c r="G66" s="88"/>
      <c r="H66" s="88"/>
      <c r="I66" s="88"/>
      <c r="J66" s="75"/>
      <c r="K66" s="75"/>
      <c r="L66" s="90"/>
      <c r="M66" s="91"/>
      <c r="N66" s="92">
        <f t="shared" si="6"/>
        <v>19</v>
      </c>
      <c r="O66" s="92">
        <f t="shared" si="4"/>
        <v>19</v>
      </c>
      <c r="Q66" s="860" t="str">
        <f>IF(IGRF!H20="","",IGRF!H20)</f>
        <v>51</v>
      </c>
      <c r="R66" s="87"/>
      <c r="S66" s="88"/>
      <c r="T66" s="88"/>
      <c r="U66" s="75"/>
      <c r="V66" s="566"/>
      <c r="W66" s="75"/>
      <c r="X66" s="88"/>
      <c r="Y66" s="88"/>
      <c r="Z66" s="88"/>
      <c r="AA66" s="75"/>
      <c r="AB66" s="75"/>
      <c r="AC66" s="90"/>
      <c r="AD66" s="91"/>
      <c r="AE66" s="567">
        <f t="shared" si="7"/>
        <v>19</v>
      </c>
      <c r="AF66" s="567">
        <f t="shared" si="5"/>
        <v>19</v>
      </c>
      <c r="AH66" s="860" t="str">
        <f>Q66</f>
        <v>51</v>
      </c>
    </row>
    <row r="67" spans="1:34" ht="23.7" customHeight="1" x14ac:dyDescent="0.4">
      <c r="A67" s="93"/>
      <c r="B67" s="94"/>
      <c r="C67" s="94"/>
      <c r="D67" s="57"/>
      <c r="E67" s="95"/>
      <c r="F67" s="57"/>
      <c r="G67" s="94"/>
      <c r="H67" s="94"/>
      <c r="I67" s="94"/>
      <c r="J67" s="57"/>
      <c r="K67" s="57"/>
      <c r="L67" s="96"/>
      <c r="M67" s="91"/>
      <c r="N67" s="92">
        <f t="shared" si="6"/>
        <v>20</v>
      </c>
      <c r="O67" s="92">
        <f t="shared" si="4"/>
        <v>20</v>
      </c>
      <c r="Q67" s="861"/>
      <c r="R67" s="93"/>
      <c r="S67" s="94"/>
      <c r="T67" s="94"/>
      <c r="U67" s="57"/>
      <c r="V67" s="564"/>
      <c r="W67" s="57"/>
      <c r="X67" s="94"/>
      <c r="Y67" s="94"/>
      <c r="Z67" s="94"/>
      <c r="AA67" s="57"/>
      <c r="AB67" s="57"/>
      <c r="AC67" s="96"/>
      <c r="AD67" s="91"/>
      <c r="AE67" s="567">
        <f t="shared" si="7"/>
        <v>20</v>
      </c>
      <c r="AF67" s="567">
        <f t="shared" si="5"/>
        <v>20</v>
      </c>
      <c r="AH67" s="861"/>
    </row>
    <row r="68" spans="1:34" ht="23.7" customHeight="1" x14ac:dyDescent="0.4">
      <c r="A68" s="87"/>
      <c r="B68" s="88"/>
      <c r="C68" s="88"/>
      <c r="D68" s="75"/>
      <c r="E68" s="89"/>
      <c r="F68" s="75"/>
      <c r="G68" s="88"/>
      <c r="H68" s="88"/>
      <c r="I68" s="88"/>
      <c r="J68" s="75"/>
      <c r="K68" s="75"/>
      <c r="L68" s="90"/>
      <c r="M68" s="91"/>
      <c r="N68" s="92">
        <f t="shared" si="6"/>
        <v>21</v>
      </c>
      <c r="O68" s="92">
        <f t="shared" si="4"/>
        <v>21</v>
      </c>
      <c r="Q68" s="860" t="str">
        <f>IF(IGRF!H21="","",IGRF!H21)</f>
        <v>5309</v>
      </c>
      <c r="R68" s="87"/>
      <c r="S68" s="88"/>
      <c r="T68" s="88"/>
      <c r="U68" s="75"/>
      <c r="V68" s="566"/>
      <c r="W68" s="75"/>
      <c r="X68" s="88"/>
      <c r="Y68" s="88"/>
      <c r="Z68" s="88"/>
      <c r="AA68" s="75"/>
      <c r="AB68" s="75"/>
      <c r="AC68" s="90"/>
      <c r="AD68" s="91"/>
      <c r="AE68" s="567">
        <f t="shared" si="7"/>
        <v>21</v>
      </c>
      <c r="AF68" s="567">
        <f t="shared" si="5"/>
        <v>21</v>
      </c>
      <c r="AH68" s="860" t="str">
        <f>Q68</f>
        <v>5309</v>
      </c>
    </row>
    <row r="69" spans="1:34" ht="23.7" customHeight="1" x14ac:dyDescent="0.4">
      <c r="A69" s="93"/>
      <c r="B69" s="94"/>
      <c r="C69" s="94"/>
      <c r="D69" s="57"/>
      <c r="E69" s="95"/>
      <c r="F69" s="57"/>
      <c r="G69" s="94"/>
      <c r="H69" s="94"/>
      <c r="I69" s="94"/>
      <c r="J69" s="57"/>
      <c r="K69" s="57"/>
      <c r="L69" s="96"/>
      <c r="M69" s="91"/>
      <c r="N69" s="92">
        <f t="shared" si="6"/>
        <v>22</v>
      </c>
      <c r="O69" s="92">
        <f t="shared" si="4"/>
        <v>22</v>
      </c>
      <c r="Q69" s="861"/>
      <c r="R69" s="93"/>
      <c r="S69" s="94"/>
      <c r="T69" s="94"/>
      <c r="U69" s="57"/>
      <c r="V69" s="564"/>
      <c r="W69" s="57"/>
      <c r="X69" s="94"/>
      <c r="Y69" s="94"/>
      <c r="Z69" s="94"/>
      <c r="AA69" s="57"/>
      <c r="AB69" s="57"/>
      <c r="AC69" s="96"/>
      <c r="AD69" s="91"/>
      <c r="AE69" s="567">
        <f t="shared" si="7"/>
        <v>22</v>
      </c>
      <c r="AF69" s="567">
        <f t="shared" si="5"/>
        <v>22</v>
      </c>
      <c r="AH69" s="861"/>
    </row>
    <row r="70" spans="1:34" ht="23.7" customHeight="1" x14ac:dyDescent="0.4">
      <c r="A70" s="87"/>
      <c r="B70" s="88"/>
      <c r="C70" s="88"/>
      <c r="D70" s="75"/>
      <c r="E70" s="89"/>
      <c r="F70" s="75"/>
      <c r="G70" s="88"/>
      <c r="H70" s="88"/>
      <c r="I70" s="88"/>
      <c r="J70" s="75"/>
      <c r="K70" s="75"/>
      <c r="L70" s="90"/>
      <c r="M70" s="91"/>
      <c r="N70" s="92">
        <f t="shared" si="6"/>
        <v>23</v>
      </c>
      <c r="O70" s="92">
        <f t="shared" si="4"/>
        <v>23</v>
      </c>
      <c r="Q70" s="860" t="str">
        <f>IF(IGRF!H22="","",IGRF!H22)</f>
        <v>69</v>
      </c>
      <c r="R70" s="87"/>
      <c r="S70" s="88"/>
      <c r="T70" s="88"/>
      <c r="U70" s="75"/>
      <c r="V70" s="566"/>
      <c r="W70" s="75"/>
      <c r="X70" s="88"/>
      <c r="Y70" s="88"/>
      <c r="Z70" s="88"/>
      <c r="AA70" s="75"/>
      <c r="AB70" s="75"/>
      <c r="AC70" s="90"/>
      <c r="AD70" s="91"/>
      <c r="AE70" s="567">
        <f t="shared" si="7"/>
        <v>23</v>
      </c>
      <c r="AF70" s="567">
        <f t="shared" si="5"/>
        <v>23</v>
      </c>
      <c r="AH70" s="860" t="str">
        <f>Q70</f>
        <v>69</v>
      </c>
    </row>
    <row r="71" spans="1:34" ht="23.7" customHeight="1" x14ac:dyDescent="0.4">
      <c r="A71" s="93"/>
      <c r="B71" s="94"/>
      <c r="C71" s="94"/>
      <c r="D71" s="57"/>
      <c r="E71" s="95"/>
      <c r="F71" s="57"/>
      <c r="G71" s="94"/>
      <c r="H71" s="94"/>
      <c r="I71" s="94"/>
      <c r="J71" s="57"/>
      <c r="K71" s="57"/>
      <c r="L71" s="96"/>
      <c r="M71" s="91"/>
      <c r="N71" s="92">
        <f t="shared" si="6"/>
        <v>24</v>
      </c>
      <c r="O71" s="92">
        <f t="shared" si="4"/>
        <v>24</v>
      </c>
      <c r="Q71" s="861"/>
      <c r="R71" s="93"/>
      <c r="S71" s="94"/>
      <c r="T71" s="94"/>
      <c r="U71" s="57"/>
      <c r="V71" s="564"/>
      <c r="W71" s="57"/>
      <c r="X71" s="94"/>
      <c r="Y71" s="94"/>
      <c r="Z71" s="94"/>
      <c r="AA71" s="57"/>
      <c r="AB71" s="57"/>
      <c r="AC71" s="96"/>
      <c r="AD71" s="91"/>
      <c r="AE71" s="567">
        <f t="shared" si="7"/>
        <v>24</v>
      </c>
      <c r="AF71" s="567">
        <f t="shared" si="5"/>
        <v>24</v>
      </c>
      <c r="AH71" s="861"/>
    </row>
    <row r="72" spans="1:34" ht="23.7" customHeight="1" x14ac:dyDescent="0.4">
      <c r="A72" s="87"/>
      <c r="B72" s="88"/>
      <c r="C72" s="88"/>
      <c r="D72" s="75"/>
      <c r="E72" s="89"/>
      <c r="F72" s="75"/>
      <c r="G72" s="88"/>
      <c r="H72" s="88"/>
      <c r="I72" s="88"/>
      <c r="J72" s="75"/>
      <c r="K72" s="75"/>
      <c r="L72" s="90"/>
      <c r="M72" s="91"/>
      <c r="N72" s="92">
        <f t="shared" si="6"/>
        <v>25</v>
      </c>
      <c r="O72" s="92">
        <f t="shared" si="4"/>
        <v>25</v>
      </c>
      <c r="Q72" s="860" t="str">
        <f>IF(IGRF!H23="","",IGRF!H23)</f>
        <v>9</v>
      </c>
      <c r="R72" s="87"/>
      <c r="S72" s="88"/>
      <c r="T72" s="88"/>
      <c r="U72" s="75"/>
      <c r="V72" s="566"/>
      <c r="W72" s="75"/>
      <c r="X72" s="88"/>
      <c r="Y72" s="88"/>
      <c r="Z72" s="88"/>
      <c r="AA72" s="75"/>
      <c r="AB72" s="75"/>
      <c r="AC72" s="90"/>
      <c r="AD72" s="91"/>
      <c r="AE72" s="567">
        <f t="shared" si="7"/>
        <v>25</v>
      </c>
      <c r="AF72" s="567">
        <f t="shared" si="5"/>
        <v>25</v>
      </c>
      <c r="AH72" s="860" t="str">
        <f>Q72</f>
        <v>9</v>
      </c>
    </row>
    <row r="73" spans="1:34" ht="23.7" customHeight="1" x14ac:dyDescent="0.4">
      <c r="A73" s="93"/>
      <c r="B73" s="94"/>
      <c r="C73" s="94"/>
      <c r="D73" s="57"/>
      <c r="E73" s="95"/>
      <c r="F73" s="57"/>
      <c r="G73" s="94"/>
      <c r="H73" s="94"/>
      <c r="I73" s="94"/>
      <c r="J73" s="57"/>
      <c r="K73" s="57"/>
      <c r="L73" s="96"/>
      <c r="M73" s="91"/>
      <c r="N73" s="92">
        <v>26</v>
      </c>
      <c r="O73" s="92">
        <v>26</v>
      </c>
      <c r="Q73" s="861"/>
      <c r="R73" s="93"/>
      <c r="S73" s="94"/>
      <c r="T73" s="94"/>
      <c r="U73" s="57"/>
      <c r="V73" s="564"/>
      <c r="W73" s="57"/>
      <c r="X73" s="94"/>
      <c r="Y73" s="94"/>
      <c r="Z73" s="94"/>
      <c r="AA73" s="57"/>
      <c r="AB73" s="57"/>
      <c r="AC73" s="96"/>
      <c r="AD73" s="91"/>
      <c r="AE73" s="567">
        <v>26</v>
      </c>
      <c r="AF73" s="567">
        <v>26</v>
      </c>
      <c r="AH73" s="861"/>
    </row>
    <row r="74" spans="1:34" ht="23.7" customHeight="1" x14ac:dyDescent="0.4">
      <c r="A74" s="87"/>
      <c r="B74" s="88"/>
      <c r="C74" s="88"/>
      <c r="D74" s="75"/>
      <c r="E74" s="89"/>
      <c r="F74" s="75"/>
      <c r="G74" s="88"/>
      <c r="H74" s="88"/>
      <c r="I74" s="88"/>
      <c r="J74" s="75"/>
      <c r="K74" s="75"/>
      <c r="L74" s="90"/>
      <c r="M74" s="91"/>
      <c r="N74" s="92">
        <v>27</v>
      </c>
      <c r="O74" s="92">
        <v>27</v>
      </c>
      <c r="Q74" s="860" t="str">
        <f>IF(IGRF!H24="","",IGRF!H24)</f>
        <v>93</v>
      </c>
      <c r="R74" s="87"/>
      <c r="S74" s="88"/>
      <c r="T74" s="88"/>
      <c r="U74" s="75"/>
      <c r="V74" s="566"/>
      <c r="W74" s="75"/>
      <c r="X74" s="88"/>
      <c r="Y74" s="88"/>
      <c r="Z74" s="88"/>
      <c r="AA74" s="75"/>
      <c r="AB74" s="75"/>
      <c r="AC74" s="90"/>
      <c r="AD74" s="91"/>
      <c r="AE74" s="567">
        <v>27</v>
      </c>
      <c r="AF74" s="567">
        <v>27</v>
      </c>
      <c r="AH74" s="860" t="str">
        <f>Q74</f>
        <v>93</v>
      </c>
    </row>
    <row r="75" spans="1:34" ht="23.7" customHeight="1" x14ac:dyDescent="0.4">
      <c r="A75" s="93"/>
      <c r="B75" s="94"/>
      <c r="C75" s="94"/>
      <c r="D75" s="57"/>
      <c r="E75" s="95"/>
      <c r="F75" s="57"/>
      <c r="G75" s="94"/>
      <c r="H75" s="94"/>
      <c r="I75" s="94"/>
      <c r="J75" s="57"/>
      <c r="K75" s="57"/>
      <c r="L75" s="96"/>
      <c r="M75" s="91"/>
      <c r="N75" s="92">
        <v>28</v>
      </c>
      <c r="O75" s="92">
        <v>28</v>
      </c>
      <c r="Q75" s="861"/>
      <c r="R75" s="93"/>
      <c r="S75" s="94"/>
      <c r="T75" s="94"/>
      <c r="U75" s="57"/>
      <c r="V75" s="564"/>
      <c r="W75" s="57"/>
      <c r="X75" s="94"/>
      <c r="Y75" s="94"/>
      <c r="Z75" s="94"/>
      <c r="AA75" s="57"/>
      <c r="AB75" s="57"/>
      <c r="AC75" s="96"/>
      <c r="AD75" s="91"/>
      <c r="AE75" s="567">
        <v>28</v>
      </c>
      <c r="AF75" s="567">
        <v>28</v>
      </c>
      <c r="AH75" s="861"/>
    </row>
    <row r="76" spans="1:34" ht="23.7" customHeight="1" x14ac:dyDescent="0.4">
      <c r="A76" s="87"/>
      <c r="B76" s="88"/>
      <c r="C76" s="88"/>
      <c r="D76" s="75"/>
      <c r="E76" s="89"/>
      <c r="F76" s="75"/>
      <c r="G76" s="88"/>
      <c r="H76" s="88"/>
      <c r="I76" s="88"/>
      <c r="J76" s="75"/>
      <c r="K76" s="75"/>
      <c r="L76" s="90"/>
      <c r="M76" s="91"/>
      <c r="N76" s="92">
        <v>29</v>
      </c>
      <c r="O76" s="92">
        <v>29</v>
      </c>
      <c r="Q76" s="860" t="str">
        <f>IF(IGRF!H25="","",IGRF!H25)</f>
        <v/>
      </c>
      <c r="R76" s="87"/>
      <c r="S76" s="88"/>
      <c r="T76" s="88"/>
      <c r="U76" s="75"/>
      <c r="V76" s="566"/>
      <c r="W76" s="75"/>
      <c r="X76" s="88"/>
      <c r="Y76" s="88"/>
      <c r="Z76" s="88"/>
      <c r="AA76" s="75"/>
      <c r="AB76" s="75"/>
      <c r="AC76" s="90"/>
      <c r="AD76" s="91"/>
      <c r="AE76" s="567">
        <v>29</v>
      </c>
      <c r="AF76" s="567">
        <v>29</v>
      </c>
      <c r="AH76" s="860" t="str">
        <f>Q76</f>
        <v/>
      </c>
    </row>
    <row r="77" spans="1:34" ht="23.7" customHeight="1" x14ac:dyDescent="0.4">
      <c r="A77" s="93"/>
      <c r="B77" s="94"/>
      <c r="C77" s="94"/>
      <c r="D77" s="57"/>
      <c r="E77" s="95"/>
      <c r="F77" s="57"/>
      <c r="G77" s="94"/>
      <c r="H77" s="94"/>
      <c r="I77" s="94"/>
      <c r="J77" s="57"/>
      <c r="K77" s="57"/>
      <c r="L77" s="96"/>
      <c r="M77" s="91"/>
      <c r="N77" s="92">
        <v>30</v>
      </c>
      <c r="O77" s="92">
        <v>30</v>
      </c>
      <c r="Q77" s="861"/>
      <c r="R77" s="93"/>
      <c r="S77" s="94"/>
      <c r="T77" s="94"/>
      <c r="U77" s="57"/>
      <c r="V77" s="564"/>
      <c r="W77" s="57"/>
      <c r="X77" s="94"/>
      <c r="Y77" s="94"/>
      <c r="Z77" s="94"/>
      <c r="AA77" s="57"/>
      <c r="AB77" s="57"/>
      <c r="AC77" s="96"/>
      <c r="AD77" s="91"/>
      <c r="AE77" s="567">
        <v>30</v>
      </c>
      <c r="AF77" s="567">
        <v>30</v>
      </c>
      <c r="AH77" s="861"/>
    </row>
    <row r="78" spans="1:34" ht="23.7" customHeight="1" x14ac:dyDescent="0.4">
      <c r="A78" s="87"/>
      <c r="B78" s="88"/>
      <c r="C78" s="88"/>
      <c r="D78" s="75"/>
      <c r="E78" s="89"/>
      <c r="F78" s="75"/>
      <c r="G78" s="88"/>
      <c r="H78" s="88"/>
      <c r="I78" s="88"/>
      <c r="J78" s="75"/>
      <c r="K78" s="75"/>
      <c r="L78" s="90"/>
      <c r="M78" s="91"/>
      <c r="N78" s="92">
        <v>31</v>
      </c>
      <c r="O78" s="92">
        <v>31</v>
      </c>
      <c r="Q78" s="860" t="str">
        <f>IF(IGRF!H26="","",IGRF!H26)</f>
        <v/>
      </c>
      <c r="R78" s="87"/>
      <c r="S78" s="88"/>
      <c r="T78" s="88"/>
      <c r="U78" s="75"/>
      <c r="V78" s="566"/>
      <c r="W78" s="75"/>
      <c r="X78" s="88"/>
      <c r="Y78" s="88"/>
      <c r="Z78" s="88"/>
      <c r="AA78" s="75"/>
      <c r="AB78" s="75"/>
      <c r="AC78" s="90"/>
      <c r="AD78" s="91"/>
      <c r="AE78" s="567">
        <v>31</v>
      </c>
      <c r="AF78" s="567">
        <v>31</v>
      </c>
      <c r="AH78" s="860" t="str">
        <f>Q78</f>
        <v/>
      </c>
    </row>
    <row r="79" spans="1:34" ht="23.7" customHeight="1" x14ac:dyDescent="0.4">
      <c r="A79" s="93"/>
      <c r="B79" s="94"/>
      <c r="C79" s="94"/>
      <c r="D79" s="57"/>
      <c r="E79" s="95"/>
      <c r="F79" s="57"/>
      <c r="G79" s="94"/>
      <c r="H79" s="94"/>
      <c r="I79" s="94"/>
      <c r="J79" s="57"/>
      <c r="K79" s="57"/>
      <c r="L79" s="96"/>
      <c r="M79" s="91"/>
      <c r="N79" s="92">
        <v>32</v>
      </c>
      <c r="O79" s="92">
        <v>32</v>
      </c>
      <c r="Q79" s="861"/>
      <c r="R79" s="93"/>
      <c r="S79" s="94"/>
      <c r="T79" s="94"/>
      <c r="U79" s="57"/>
      <c r="V79" s="564"/>
      <c r="W79" s="57"/>
      <c r="X79" s="94"/>
      <c r="Y79" s="94"/>
      <c r="Z79" s="94"/>
      <c r="AA79" s="57"/>
      <c r="AB79" s="57"/>
      <c r="AC79" s="96"/>
      <c r="AD79" s="91"/>
      <c r="AE79" s="567">
        <v>32</v>
      </c>
      <c r="AF79" s="567">
        <v>32</v>
      </c>
      <c r="AH79" s="861"/>
    </row>
    <row r="80" spans="1:34" ht="23.7" customHeight="1" x14ac:dyDescent="0.4">
      <c r="A80" s="87"/>
      <c r="B80" s="88"/>
      <c r="C80" s="88"/>
      <c r="D80" s="75"/>
      <c r="E80" s="89"/>
      <c r="F80" s="75"/>
      <c r="G80" s="88"/>
      <c r="H80" s="88"/>
      <c r="I80" s="88"/>
      <c r="J80" s="75"/>
      <c r="K80" s="75"/>
      <c r="L80" s="90"/>
      <c r="M80" s="91"/>
      <c r="N80" s="92">
        <v>33</v>
      </c>
      <c r="O80" s="92">
        <v>33</v>
      </c>
      <c r="Q80" s="860" t="str">
        <f>IF(IGRF!H27="","",IGRF!H27)</f>
        <v/>
      </c>
      <c r="R80" s="87"/>
      <c r="S80" s="88"/>
      <c r="T80" s="88"/>
      <c r="U80" s="75"/>
      <c r="V80" s="566"/>
      <c r="W80" s="75"/>
      <c r="X80" s="88"/>
      <c r="Y80" s="88"/>
      <c r="Z80" s="88"/>
      <c r="AA80" s="75"/>
      <c r="AB80" s="75"/>
      <c r="AC80" s="90"/>
      <c r="AD80" s="91"/>
      <c r="AE80" s="567">
        <v>33</v>
      </c>
      <c r="AF80" s="567">
        <v>33</v>
      </c>
      <c r="AH80" s="860" t="str">
        <f>Q80</f>
        <v/>
      </c>
    </row>
    <row r="81" spans="1:34" ht="23.7" customHeight="1" x14ac:dyDescent="0.4">
      <c r="A81" s="93"/>
      <c r="B81" s="94"/>
      <c r="C81" s="94"/>
      <c r="D81" s="57"/>
      <c r="E81" s="95"/>
      <c r="F81" s="57"/>
      <c r="G81" s="94"/>
      <c r="H81" s="94"/>
      <c r="I81" s="94"/>
      <c r="J81" s="57"/>
      <c r="K81" s="57"/>
      <c r="L81" s="96"/>
      <c r="M81" s="91"/>
      <c r="N81" s="92">
        <v>34</v>
      </c>
      <c r="O81" s="92">
        <v>34</v>
      </c>
      <c r="Q81" s="861"/>
      <c r="R81" s="93"/>
      <c r="S81" s="94"/>
      <c r="T81" s="94"/>
      <c r="U81" s="57"/>
      <c r="V81" s="564"/>
      <c r="W81" s="57"/>
      <c r="X81" s="94"/>
      <c r="Y81" s="94"/>
      <c r="Z81" s="94"/>
      <c r="AA81" s="57"/>
      <c r="AB81" s="57"/>
      <c r="AC81" s="96"/>
      <c r="AD81" s="91"/>
      <c r="AE81" s="567">
        <v>34</v>
      </c>
      <c r="AF81" s="567">
        <v>34</v>
      </c>
      <c r="AH81" s="861"/>
    </row>
    <row r="82" spans="1:34" ht="23.7" customHeight="1" x14ac:dyDescent="0.4">
      <c r="A82" s="87"/>
      <c r="B82" s="88"/>
      <c r="C82" s="88"/>
      <c r="D82" s="75"/>
      <c r="E82" s="89"/>
      <c r="F82" s="75"/>
      <c r="G82" s="88"/>
      <c r="H82" s="88"/>
      <c r="I82" s="88"/>
      <c r="J82" s="75"/>
      <c r="K82" s="75"/>
      <c r="L82" s="90"/>
      <c r="M82" s="91"/>
      <c r="N82" s="92">
        <v>35</v>
      </c>
      <c r="O82" s="92">
        <v>35</v>
      </c>
      <c r="Q82" s="860" t="str">
        <f>IF(IGRF!H28="","",IGRF!H28)</f>
        <v/>
      </c>
      <c r="R82" s="87"/>
      <c r="S82" s="88"/>
      <c r="T82" s="88"/>
      <c r="U82" s="75"/>
      <c r="V82" s="566"/>
      <c r="W82" s="75"/>
      <c r="X82" s="88"/>
      <c r="Y82" s="88"/>
      <c r="Z82" s="88"/>
      <c r="AA82" s="75"/>
      <c r="AB82" s="75"/>
      <c r="AC82" s="90"/>
      <c r="AD82" s="91"/>
      <c r="AE82" s="567">
        <v>35</v>
      </c>
      <c r="AF82" s="567">
        <v>35</v>
      </c>
      <c r="AH82" s="860" t="str">
        <f>Q82</f>
        <v/>
      </c>
    </row>
    <row r="83" spans="1:34" ht="23.7" customHeight="1" x14ac:dyDescent="0.4">
      <c r="A83" s="93"/>
      <c r="B83" s="94"/>
      <c r="C83" s="94"/>
      <c r="D83" s="57"/>
      <c r="E83" s="95"/>
      <c r="F83" s="57"/>
      <c r="G83" s="94"/>
      <c r="H83" s="94"/>
      <c r="I83" s="94"/>
      <c r="J83" s="57"/>
      <c r="K83" s="57"/>
      <c r="L83" s="96"/>
      <c r="M83" s="91"/>
      <c r="N83" s="92">
        <v>36</v>
      </c>
      <c r="O83" s="92">
        <v>36</v>
      </c>
      <c r="Q83" s="861"/>
      <c r="R83" s="93"/>
      <c r="S83" s="94"/>
      <c r="T83" s="94"/>
      <c r="U83" s="57"/>
      <c r="V83" s="564"/>
      <c r="W83" s="57"/>
      <c r="X83" s="94"/>
      <c r="Y83" s="94"/>
      <c r="Z83" s="94"/>
      <c r="AA83" s="57"/>
      <c r="AB83" s="57"/>
      <c r="AC83" s="96"/>
      <c r="AD83" s="91"/>
      <c r="AE83" s="567">
        <v>36</v>
      </c>
      <c r="AF83" s="567">
        <v>36</v>
      </c>
      <c r="AH83" s="861"/>
    </row>
    <row r="84" spans="1:34" ht="23.7" customHeight="1" x14ac:dyDescent="0.4">
      <c r="A84" s="87"/>
      <c r="B84" s="88"/>
      <c r="C84" s="88"/>
      <c r="D84" s="75"/>
      <c r="E84" s="89"/>
      <c r="F84" s="75"/>
      <c r="G84" s="88"/>
      <c r="H84" s="88"/>
      <c r="I84" s="88"/>
      <c r="J84" s="75"/>
      <c r="K84" s="75"/>
      <c r="L84" s="90"/>
      <c r="M84" s="91"/>
      <c r="N84" s="92">
        <v>37</v>
      </c>
      <c r="O84" s="92">
        <v>37</v>
      </c>
      <c r="P84" s="97"/>
      <c r="Q84" s="860" t="str">
        <f>IF(IGRF!H29="","",IGRF!H29)</f>
        <v/>
      </c>
      <c r="R84" s="87"/>
      <c r="S84" s="88"/>
      <c r="T84" s="88"/>
      <c r="U84" s="75"/>
      <c r="V84" s="566"/>
      <c r="W84" s="75"/>
      <c r="X84" s="88"/>
      <c r="Y84" s="88"/>
      <c r="Z84" s="88"/>
      <c r="AA84" s="75"/>
      <c r="AB84" s="75"/>
      <c r="AC84" s="90"/>
      <c r="AD84" s="91"/>
      <c r="AE84" s="567">
        <v>37</v>
      </c>
      <c r="AF84" s="567">
        <v>37</v>
      </c>
      <c r="AG84" s="97"/>
      <c r="AH84" s="860" t="str">
        <f>Q84</f>
        <v/>
      </c>
    </row>
    <row r="85" spans="1:34" ht="23.7" customHeight="1" x14ac:dyDescent="0.4">
      <c r="A85" s="93"/>
      <c r="B85" s="94"/>
      <c r="C85" s="94"/>
      <c r="D85" s="57"/>
      <c r="E85" s="95"/>
      <c r="F85" s="57"/>
      <c r="G85" s="94"/>
      <c r="H85" s="94"/>
      <c r="I85" s="94"/>
      <c r="J85" s="57"/>
      <c r="K85" s="57"/>
      <c r="L85" s="96"/>
      <c r="M85" s="91"/>
      <c r="N85" s="92">
        <v>38</v>
      </c>
      <c r="O85" s="92">
        <v>38</v>
      </c>
      <c r="P85" s="97"/>
      <c r="Q85" s="861"/>
      <c r="R85" s="93"/>
      <c r="S85" s="94"/>
      <c r="T85" s="94"/>
      <c r="U85" s="57"/>
      <c r="V85" s="564"/>
      <c r="W85" s="57"/>
      <c r="X85" s="94"/>
      <c r="Y85" s="94"/>
      <c r="Z85" s="94"/>
      <c r="AA85" s="57"/>
      <c r="AB85" s="57"/>
      <c r="AC85" s="96"/>
      <c r="AD85" s="91"/>
      <c r="AE85" s="567">
        <v>38</v>
      </c>
      <c r="AF85" s="567">
        <v>38</v>
      </c>
      <c r="AG85" s="97"/>
      <c r="AH85" s="861"/>
    </row>
    <row r="86" spans="1:34" ht="23.7" customHeight="1" x14ac:dyDescent="0.4">
      <c r="A86" s="87"/>
      <c r="B86" s="88"/>
      <c r="C86" s="88"/>
      <c r="D86" s="75"/>
      <c r="E86" s="89"/>
      <c r="F86" s="75"/>
      <c r="G86" s="88"/>
      <c r="H86" s="88"/>
      <c r="I86" s="88"/>
      <c r="J86" s="75"/>
      <c r="K86" s="75"/>
      <c r="L86" s="90"/>
      <c r="M86" s="91"/>
      <c r="N86" s="85"/>
      <c r="O86" s="85"/>
      <c r="P86" s="97"/>
      <c r="Q86" s="860" t="str">
        <f>IF(IGRF!H30="","",IGRF!H30)</f>
        <v/>
      </c>
      <c r="R86" s="87"/>
      <c r="S86" s="88"/>
      <c r="T86" s="88"/>
      <c r="U86" s="75"/>
      <c r="V86" s="566"/>
      <c r="W86" s="75"/>
      <c r="X86" s="88"/>
      <c r="Y86" s="88"/>
      <c r="Z86" s="88"/>
      <c r="AA86" s="75"/>
      <c r="AB86" s="75"/>
      <c r="AC86" s="90"/>
      <c r="AD86" s="91"/>
      <c r="AE86" s="85"/>
      <c r="AF86" s="85"/>
      <c r="AG86" s="97"/>
      <c r="AH86" s="860" t="str">
        <f>Q86</f>
        <v/>
      </c>
    </row>
    <row r="87" spans="1:34" ht="23.7" customHeight="1" x14ac:dyDescent="0.4">
      <c r="A87" s="93"/>
      <c r="B87" s="94"/>
      <c r="C87" s="94"/>
      <c r="D87" s="57"/>
      <c r="E87" s="95"/>
      <c r="F87" s="57"/>
      <c r="G87" s="94"/>
      <c r="H87" s="94"/>
      <c r="I87" s="94"/>
      <c r="J87" s="57"/>
      <c r="K87" s="57"/>
      <c r="L87" s="96"/>
      <c r="M87" s="91"/>
      <c r="N87" s="85"/>
      <c r="O87" s="85"/>
      <c r="P87" s="97"/>
      <c r="Q87" s="861"/>
      <c r="R87" s="93"/>
      <c r="S87" s="94"/>
      <c r="T87" s="94"/>
      <c r="U87" s="57"/>
      <c r="V87" s="564"/>
      <c r="W87" s="57"/>
      <c r="X87" s="94"/>
      <c r="Y87" s="94"/>
      <c r="Z87" s="94"/>
      <c r="AA87" s="57"/>
      <c r="AB87" s="57"/>
      <c r="AC87" s="96"/>
      <c r="AD87" s="91"/>
      <c r="AE87" s="85"/>
      <c r="AF87" s="85"/>
      <c r="AG87" s="97"/>
      <c r="AH87" s="861"/>
    </row>
    <row r="88" spans="1:34" s="97" customFormat="1" ht="48" customHeight="1" x14ac:dyDescent="0.3">
      <c r="A88" s="1248"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B88" s="1249"/>
      <c r="C88" s="1249"/>
      <c r="D88" s="1249"/>
      <c r="E88" s="1249"/>
      <c r="F88" s="1249"/>
      <c r="G88" s="1249"/>
      <c r="H88" s="1249"/>
      <c r="I88" s="1249"/>
      <c r="J88" s="1249"/>
      <c r="K88" s="1249"/>
      <c r="L88" s="1249"/>
      <c r="M88" s="1249"/>
      <c r="N88" s="1249"/>
      <c r="O88" s="1249"/>
      <c r="P88" s="1249"/>
      <c r="Q88" s="1250"/>
      <c r="R88" s="1248" t="str">
        <f>R44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88" s="1249"/>
      <c r="T88" s="1249"/>
      <c r="U88" s="1249"/>
      <c r="V88" s="1249"/>
      <c r="W88" s="1249"/>
      <c r="X88" s="1249"/>
      <c r="Y88" s="1249"/>
      <c r="Z88" s="1249"/>
      <c r="AA88" s="1249"/>
      <c r="AB88" s="1249"/>
      <c r="AC88" s="1249"/>
      <c r="AD88" s="1249"/>
      <c r="AE88" s="1249"/>
      <c r="AF88" s="1249"/>
      <c r="AG88" s="1249"/>
      <c r="AH88" s="1250"/>
    </row>
  </sheetData>
  <sheetProtection selectLockedCells="1" selectUnlockedCells="1"/>
  <mergeCells count="40">
    <mergeCell ref="A88:Q88"/>
    <mergeCell ref="J47:L47"/>
    <mergeCell ref="N47:O47"/>
    <mergeCell ref="L1:Q1"/>
    <mergeCell ref="L2:P2"/>
    <mergeCell ref="A45:G46"/>
    <mergeCell ref="H45:I45"/>
    <mergeCell ref="J45:K45"/>
    <mergeCell ref="L45:Q45"/>
    <mergeCell ref="H46:I46"/>
    <mergeCell ref="J46:K46"/>
    <mergeCell ref="L46:P46"/>
    <mergeCell ref="A1:G2"/>
    <mergeCell ref="H2:I2"/>
    <mergeCell ref="H1:I1"/>
    <mergeCell ref="J1:K1"/>
    <mergeCell ref="J2:K2"/>
    <mergeCell ref="N3:O3"/>
    <mergeCell ref="J3:L3"/>
    <mergeCell ref="A44:Q44"/>
    <mergeCell ref="R1:X2"/>
    <mergeCell ref="Y1:Z1"/>
    <mergeCell ref="AA1:AB1"/>
    <mergeCell ref="AC1:AH1"/>
    <mergeCell ref="Y2:Z2"/>
    <mergeCell ref="AA2:AB2"/>
    <mergeCell ref="AC2:AG2"/>
    <mergeCell ref="AA47:AC47"/>
    <mergeCell ref="AE47:AF47"/>
    <mergeCell ref="R88:AH88"/>
    <mergeCell ref="AA3:AC3"/>
    <mergeCell ref="AE3:AF3"/>
    <mergeCell ref="R44:AH44"/>
    <mergeCell ref="R45:X46"/>
    <mergeCell ref="Y45:Z45"/>
    <mergeCell ref="AA45:AB45"/>
    <mergeCell ref="AC45:AH45"/>
    <mergeCell ref="Y46:Z46"/>
    <mergeCell ref="AA46:AB46"/>
    <mergeCell ref="AC46:AG46"/>
  </mergeCells>
  <phoneticPr fontId="8" type="noConversion"/>
  <printOptions horizontalCentered="1"/>
  <pageMargins left="0.2" right="0.2" top="0.5" bottom="0.1" header="0.1" footer="0.1"/>
  <pageSetup scale="71" firstPageNumber="0" fitToHeight="2" orientation="portrait" horizontalDpi="4294967294" verticalDpi="4294967294"/>
  <headerFooter alignWithMargins="0">
    <oddHeader>&amp;L&amp;K000000&amp;G&amp;"Calibri,Regular"&amp;36&amp;A&amp;R&amp;"Calibri,Regular"&amp;K000000‘&amp;A’ revision 140421
StatsBook © 2008–2014 WFTDA</oddHeader>
  </headerFooter>
  <rowBreaks count="1" manualBreakCount="1">
    <brk id="44" max="31" man="1"/>
  </rowBreaks>
  <colBreaks count="1" manualBreakCount="1">
    <brk id="17" max="87" man="1"/>
  </colBreaks>
  <legacyDrawingHF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indexed="12"/>
  </sheetPr>
  <dimension ref="A1:L48"/>
  <sheetViews>
    <sheetView workbookViewId="0"/>
  </sheetViews>
  <sheetFormatPr defaultColWidth="8.6640625" defaultRowHeight="18" x14ac:dyDescent="0.35"/>
  <cols>
    <col min="1" max="1" width="2.33203125" style="218" customWidth="1"/>
    <col min="2" max="2" width="10" style="218" customWidth="1"/>
    <col min="3" max="3" width="21.6640625" style="218" customWidth="1"/>
    <col min="4" max="4" width="2.33203125" style="218" customWidth="1"/>
    <col min="5" max="5" width="4.33203125" style="218" customWidth="1"/>
    <col min="6" max="6" width="2.33203125" style="218" customWidth="1"/>
    <col min="7" max="7" width="10" style="218" customWidth="1"/>
    <col min="8" max="8" width="21.6640625" style="218" customWidth="1"/>
    <col min="9" max="9" width="2.33203125" style="218" customWidth="1"/>
    <col min="10" max="10" width="4.6640625" style="218" customWidth="1"/>
    <col min="11" max="11" width="28.44140625" style="218" customWidth="1"/>
    <col min="12" max="12" width="6.6640625" style="218" customWidth="1"/>
    <col min="13" max="256" width="11.44140625" style="218" customWidth="1"/>
    <col min="257" max="16384" width="8.6640625" style="218"/>
  </cols>
  <sheetData>
    <row r="1" spans="1:12" ht="21" customHeight="1" x14ac:dyDescent="0.35">
      <c r="A1" s="215"/>
      <c r="B1" s="216"/>
      <c r="C1" s="216"/>
      <c r="D1" s="217"/>
      <c r="F1" s="215"/>
      <c r="G1" s="216"/>
      <c r="H1" s="216"/>
      <c r="I1" s="217"/>
    </row>
    <row r="2" spans="1:12" ht="21" customHeight="1" x14ac:dyDescent="0.35">
      <c r="A2" s="219"/>
      <c r="B2" s="1264" t="str">
        <f>Score!$A$1</f>
        <v>Rat City Rollergirls / All-Stars</v>
      </c>
      <c r="C2" s="1264"/>
      <c r="D2" s="220"/>
      <c r="F2" s="219"/>
      <c r="G2" s="1264" t="str">
        <f>Score!$T$1</f>
        <v>Houston Roller Derby / All-Stars</v>
      </c>
      <c r="H2" s="1264"/>
      <c r="I2" s="220"/>
      <c r="K2" s="1265" t="s">
        <v>9</v>
      </c>
      <c r="L2" s="1265"/>
    </row>
    <row r="3" spans="1:12" ht="11.25" customHeight="1" x14ac:dyDescent="0.35">
      <c r="A3" s="219"/>
      <c r="B3" s="221"/>
      <c r="C3" s="221"/>
      <c r="D3" s="220"/>
      <c r="F3" s="219"/>
      <c r="G3" s="221"/>
      <c r="H3" s="221"/>
      <c r="I3" s="220"/>
    </row>
    <row r="4" spans="1:12" ht="21" customHeight="1" x14ac:dyDescent="0.35">
      <c r="A4" s="219"/>
      <c r="B4" s="222" t="str">
        <f>IF(ISBLANK(IGRF!B11),"",IGRF!B11)</f>
        <v>12</v>
      </c>
      <c r="C4" s="223" t="str">
        <f>IF(ISBLANK(IGRF!C11),"",IGRF!C11)</f>
        <v>Carmen Getsome</v>
      </c>
      <c r="D4" s="220"/>
      <c r="F4" s="219"/>
      <c r="G4" s="222" t="str">
        <f>IF(ISBLANK(IGRF!H11),"",IGRF!H11)</f>
        <v>112</v>
      </c>
      <c r="H4" s="223" t="str">
        <f>IF(ISBLANK(IGRF!I11),"",IGRF!I11)</f>
        <v>Singapore Rogue</v>
      </c>
      <c r="I4" s="220"/>
      <c r="K4" s="218" t="s">
        <v>10</v>
      </c>
      <c r="L4" s="224" t="s">
        <v>189</v>
      </c>
    </row>
    <row r="5" spans="1:12" ht="21" customHeight="1" x14ac:dyDescent="0.35">
      <c r="A5" s="219"/>
      <c r="B5" s="222" t="str">
        <f>IF(ISBLANK(IGRF!B12),"",IGRF!B12)</f>
        <v>123</v>
      </c>
      <c r="C5" s="223" t="str">
        <f>IF(ISBLANK(IGRF!C12),"",IGRF!C12)</f>
        <v>Nelson</v>
      </c>
      <c r="D5" s="220"/>
      <c r="F5" s="219"/>
      <c r="G5" s="222" t="str">
        <f>IF(ISBLANK(IGRF!H12),"",IGRF!H12)</f>
        <v>1542</v>
      </c>
      <c r="H5" s="223" t="str">
        <f>IF(ISBLANK(IGRF!I12),"",IGRF!I12)</f>
        <v>Mary Queen of Skates</v>
      </c>
      <c r="I5" s="220"/>
      <c r="K5" s="218" t="s">
        <v>202</v>
      </c>
      <c r="L5" s="224" t="s">
        <v>201</v>
      </c>
    </row>
    <row r="6" spans="1:12" ht="21" customHeight="1" x14ac:dyDescent="0.35">
      <c r="A6" s="219"/>
      <c r="B6" s="222" t="str">
        <f>IF(ISBLANK(IGRF!B13),"",IGRF!B13)</f>
        <v>14</v>
      </c>
      <c r="C6" s="223" t="str">
        <f>IF(ISBLANK(IGRF!C13),"",IGRF!C13)</f>
        <v>Shorty Ounce</v>
      </c>
      <c r="D6" s="220"/>
      <c r="F6" s="219"/>
      <c r="G6" s="222" t="str">
        <f>IF(ISBLANK(IGRF!H13),"",IGRF!H13)</f>
        <v>16</v>
      </c>
      <c r="H6" s="223" t="str">
        <f>IF(ISBLANK(IGRF!I13),"",IGRF!I13)</f>
        <v>Mistilla</v>
      </c>
      <c r="I6" s="220"/>
      <c r="K6" s="218" t="s">
        <v>205</v>
      </c>
      <c r="L6" s="224" t="s">
        <v>204</v>
      </c>
    </row>
    <row r="7" spans="1:12" ht="21" customHeight="1" x14ac:dyDescent="0.35">
      <c r="A7" s="219"/>
      <c r="B7" s="222" t="str">
        <f>IF(ISBLANK(IGRF!B14),"",IGRF!B14)</f>
        <v>1618</v>
      </c>
      <c r="C7" s="223" t="str">
        <f>IF(ISBLANK(IGRF!C14),"",IGRF!C14)</f>
        <v>Sintripital Force</v>
      </c>
      <c r="D7" s="220"/>
      <c r="F7" s="219"/>
      <c r="G7" s="222" t="str">
        <f>IF(ISBLANK(IGRF!H14),"",IGRF!H14)</f>
        <v>19</v>
      </c>
      <c r="H7" s="223" t="str">
        <f>IF(ISBLANK(IGRF!I14),"",IGRF!I14)</f>
        <v>Betty Watchett</v>
      </c>
      <c r="I7" s="220"/>
      <c r="K7" s="218" t="s">
        <v>198</v>
      </c>
      <c r="L7" s="224" t="s">
        <v>197</v>
      </c>
    </row>
    <row r="8" spans="1:12" ht="21" customHeight="1" x14ac:dyDescent="0.35">
      <c r="A8" s="219"/>
      <c r="B8" s="222" t="str">
        <f>IF(ISBLANK(IGRF!B15),"",IGRF!B15)</f>
        <v>22</v>
      </c>
      <c r="C8" s="223" t="str">
        <f>IF(ISBLANK(IGRF!C15),"",IGRF!C15)</f>
        <v>Sami Automatic</v>
      </c>
      <c r="D8" s="220"/>
      <c r="F8" s="219"/>
      <c r="G8" s="222" t="str">
        <f>IF(ISBLANK(IGRF!H15),"",IGRF!H15)</f>
        <v>2000</v>
      </c>
      <c r="H8" s="223" t="str">
        <f>IF(ISBLANK(IGRF!I15),"",IGRF!I15)</f>
        <v>Lisa Lava</v>
      </c>
      <c r="I8" s="220"/>
      <c r="K8" s="218" t="s">
        <v>13</v>
      </c>
      <c r="L8" s="224" t="s">
        <v>199</v>
      </c>
    </row>
    <row r="9" spans="1:12" ht="21" customHeight="1" x14ac:dyDescent="0.35">
      <c r="A9" s="219"/>
      <c r="B9" s="222" t="str">
        <f>IF(ISBLANK(IGRF!B16),"",IGRF!B16)</f>
        <v>23</v>
      </c>
      <c r="C9" s="223" t="str">
        <f>IF(ISBLANK(IGRF!C16),"",IGRF!C16)</f>
        <v>LeBrawn Maimes</v>
      </c>
      <c r="D9" s="220"/>
      <c r="F9" s="219"/>
      <c r="G9" s="222" t="str">
        <f>IF(ISBLANK(IGRF!H16),"",IGRF!H16)</f>
        <v>201</v>
      </c>
      <c r="H9" s="223" t="str">
        <f>IF(ISBLANK(IGRF!I16),"",IGRF!I16)</f>
        <v>Dutch Destroyer</v>
      </c>
      <c r="I9" s="220"/>
      <c r="K9" s="218" t="s">
        <v>11</v>
      </c>
      <c r="L9" s="224" t="s">
        <v>191</v>
      </c>
    </row>
    <row r="10" spans="1:12" ht="21" customHeight="1" x14ac:dyDescent="0.35">
      <c r="A10" s="219"/>
      <c r="B10" s="222" t="str">
        <f>IF(ISBLANK(IGRF!B17),"",IGRF!B17)</f>
        <v>321</v>
      </c>
      <c r="C10" s="223" t="str">
        <f>IF(ISBLANK(IGRF!C17),"",IGRF!C17)</f>
        <v>Missile America</v>
      </c>
      <c r="D10" s="220"/>
      <c r="F10" s="219"/>
      <c r="G10" s="222" t="str">
        <f>IF(ISBLANK(IGRF!H17),"",IGRF!H17)</f>
        <v>21</v>
      </c>
      <c r="H10" s="223" t="str">
        <f>IF(ISBLANK(IGRF!I17),"",IGRF!I17)</f>
        <v>Jekyll &amp; Heidi</v>
      </c>
      <c r="I10" s="220"/>
      <c r="K10" s="218" t="s">
        <v>14</v>
      </c>
      <c r="L10" s="224" t="s">
        <v>206</v>
      </c>
    </row>
    <row r="11" spans="1:12" ht="21" customHeight="1" x14ac:dyDescent="0.35">
      <c r="A11" s="219"/>
      <c r="B11" s="222" t="str">
        <f>IF(ISBLANK(IGRF!B18),"",IGRF!B18)</f>
        <v>4</v>
      </c>
      <c r="C11" s="223" t="str">
        <f>IF(ISBLANK(IGRF!C18),"",IGRF!C18)</f>
        <v>Belle Tolls</v>
      </c>
      <c r="D11" s="220"/>
      <c r="F11" s="219"/>
      <c r="G11" s="222" t="str">
        <f>IF(ISBLANK(IGRF!H18),"",IGRF!H18)</f>
        <v>22</v>
      </c>
      <c r="H11" s="223" t="str">
        <f>IF(ISBLANK(IGRF!I18),"",IGRF!I18)</f>
        <v>Freight Train</v>
      </c>
      <c r="I11" s="220"/>
      <c r="K11" s="218" t="s">
        <v>15</v>
      </c>
      <c r="L11" s="224" t="s">
        <v>208</v>
      </c>
    </row>
    <row r="12" spans="1:12" ht="21" customHeight="1" x14ac:dyDescent="0.35">
      <c r="A12" s="219"/>
      <c r="B12" s="222" t="str">
        <f>IF(ISBLANK(IGRF!B19),"",IGRF!B19)</f>
        <v>505</v>
      </c>
      <c r="C12" s="223" t="str">
        <f>IF(ISBLANK(IGRF!C19),"",IGRF!C19)</f>
        <v>Teddy Rupp</v>
      </c>
      <c r="D12" s="220"/>
      <c r="F12" s="219"/>
      <c r="G12" s="222" t="str">
        <f>IF(ISBLANK(IGRF!H19),"",IGRF!H19)</f>
        <v>312</v>
      </c>
      <c r="H12" s="223" t="str">
        <f>IF(ISBLANK(IGRF!I19),"",IGRF!I19)</f>
        <v>2x Force</v>
      </c>
      <c r="I12" s="220"/>
      <c r="K12" s="218" t="s">
        <v>72</v>
      </c>
      <c r="L12" s="224" t="s">
        <v>195</v>
      </c>
    </row>
    <row r="13" spans="1:12" ht="21" customHeight="1" x14ac:dyDescent="0.35">
      <c r="A13" s="219"/>
      <c r="B13" s="222" t="str">
        <f>IF(ISBLANK(IGRF!B20),"",IGRF!B20)</f>
        <v>53</v>
      </c>
      <c r="C13" s="223" t="str">
        <f>IF(ISBLANK(IGRF!C20),"",IGRF!C20)</f>
        <v>Raven Seaward</v>
      </c>
      <c r="D13" s="220"/>
      <c r="F13" s="219"/>
      <c r="G13" s="222" t="str">
        <f>IF(ISBLANK(IGRF!H20),"",IGRF!H20)</f>
        <v>51</v>
      </c>
      <c r="H13" s="223" t="str">
        <f>IF(ISBLANK(IGRF!I20),"",IGRF!I20)</f>
        <v>Bustin’ Beaver</v>
      </c>
      <c r="I13" s="220"/>
      <c r="K13" s="218" t="s">
        <v>211</v>
      </c>
      <c r="L13" s="224" t="s">
        <v>210</v>
      </c>
    </row>
    <row r="14" spans="1:12" ht="21" customHeight="1" x14ac:dyDescent="0.35">
      <c r="A14" s="219"/>
      <c r="B14" s="222" t="str">
        <f>IF(ISBLANK(IGRF!B21),"",IGRF!B21)</f>
        <v>761</v>
      </c>
      <c r="C14" s="223" t="str">
        <f>IF(ISBLANK(IGRF!C21),"",IGRF!C21)</f>
        <v>Rawkhell SqWelch</v>
      </c>
      <c r="D14" s="220"/>
      <c r="F14" s="219"/>
      <c r="G14" s="222" t="str">
        <f>IF(ISBLANK(IGRF!H21),"",IGRF!H21)</f>
        <v>5309</v>
      </c>
      <c r="H14" s="223" t="str">
        <f>IF(ISBLANK(IGRF!I21),"",IGRF!I21)</f>
        <v>Toxic Assets</v>
      </c>
      <c r="I14" s="220"/>
      <c r="K14" s="218" t="s">
        <v>12</v>
      </c>
      <c r="L14" s="224" t="s">
        <v>193</v>
      </c>
    </row>
    <row r="15" spans="1:12" ht="21" customHeight="1" x14ac:dyDescent="0.35">
      <c r="A15" s="219"/>
      <c r="B15" s="222" t="str">
        <f>IF(ISBLANK(IGRF!B22),"",IGRF!B22)</f>
        <v>808</v>
      </c>
      <c r="C15" s="223" t="str">
        <f>IF(ISBLANK(IGRF!C22),"",IGRF!C22)</f>
        <v>Kendle Bjelland</v>
      </c>
      <c r="D15" s="220"/>
      <c r="F15" s="219"/>
      <c r="G15" s="222" t="str">
        <f>IF(ISBLANK(IGRF!H22),"",IGRF!H22)</f>
        <v>69</v>
      </c>
      <c r="H15" s="223" t="str">
        <f>IF(ISBLANK(IGRF!I22),"",IGRF!I22)</f>
        <v>Death By Chocolate</v>
      </c>
      <c r="I15" s="220"/>
      <c r="K15" s="218" t="s">
        <v>16</v>
      </c>
      <c r="L15" s="224" t="s">
        <v>212</v>
      </c>
    </row>
    <row r="16" spans="1:12" ht="21" customHeight="1" x14ac:dyDescent="0.35">
      <c r="A16" s="219"/>
      <c r="B16" s="222" t="str">
        <f>IF(ISBLANK(IGRF!B23),"",IGRF!B23)</f>
        <v>9</v>
      </c>
      <c r="C16" s="223" t="str">
        <f>IF(ISBLANK(IGRF!C23),"",IGRF!C23)</f>
        <v>P. Wilhelm</v>
      </c>
      <c r="D16" s="220"/>
      <c r="F16" s="219"/>
      <c r="G16" s="222" t="str">
        <f>IF(ISBLANK(IGRF!H23),"",IGRF!H23)</f>
        <v>9</v>
      </c>
      <c r="H16" s="223" t="str">
        <f>IF(ISBLANK(IGRF!I23),"",IGRF!I23)</f>
        <v>Big Bad Voodoo Dollie</v>
      </c>
      <c r="I16" s="220"/>
      <c r="K16" s="218" t="s">
        <v>74</v>
      </c>
      <c r="L16" s="224" t="s">
        <v>203</v>
      </c>
    </row>
    <row r="17" spans="1:12" ht="21" customHeight="1" x14ac:dyDescent="0.35">
      <c r="A17" s="219"/>
      <c r="B17" s="222" t="str">
        <f>IF(ISBLANK(IGRF!B24),"",IGRF!B24)</f>
        <v>911</v>
      </c>
      <c r="C17" s="223" t="str">
        <f>IF(ISBLANK(IGRF!C24),"",IGRF!C24)</f>
        <v>Luna Negra</v>
      </c>
      <c r="D17" s="220"/>
      <c r="F17" s="219"/>
      <c r="G17" s="222" t="str">
        <f>IF(ISBLANK(IGRF!H24),"",IGRF!H24)</f>
        <v>93</v>
      </c>
      <c r="H17" s="223" t="str">
        <f>IF(ISBLANK(IGRF!I24),"",IGRF!I24)</f>
        <v>Erma Gerd</v>
      </c>
      <c r="I17" s="220"/>
      <c r="K17" s="218" t="s">
        <v>75</v>
      </c>
      <c r="L17" s="224" t="s">
        <v>215</v>
      </c>
    </row>
    <row r="18" spans="1:12" ht="21" customHeight="1" x14ac:dyDescent="0.35">
      <c r="A18" s="219"/>
      <c r="B18" s="222" t="str">
        <f>IF(ISBLANK(IGRF!B25),"",IGRF!B25)</f>
        <v>0</v>
      </c>
      <c r="C18" s="223" t="str">
        <f>IF(ISBLANK(IGRF!C25),"",IGRF!C25)</f>
        <v>Enurgizer Bunny</v>
      </c>
      <c r="D18" s="220"/>
      <c r="F18" s="219"/>
      <c r="G18" s="222" t="str">
        <f>IF(ISBLANK(IGRF!H25),"",IGRF!H25)</f>
        <v/>
      </c>
      <c r="H18" s="223" t="str">
        <f>IF(ISBLANK(IGRF!I25),"",IGRF!I25)</f>
        <v/>
      </c>
      <c r="I18" s="220"/>
      <c r="K18" s="218" t="s">
        <v>312</v>
      </c>
      <c r="L18" s="224" t="s">
        <v>313</v>
      </c>
    </row>
    <row r="19" spans="1:12" ht="21" customHeight="1" x14ac:dyDescent="0.35">
      <c r="A19" s="219"/>
      <c r="B19" s="222" t="str">
        <f>IF(ISBLANK(IGRF!B26),"",IGRF!B26)</f>
        <v>88</v>
      </c>
      <c r="C19" s="223" t="str">
        <f>IF(ISBLANK(IGRF!C26),"",IGRF!C26)</f>
        <v>Ophelia Melons</v>
      </c>
      <c r="D19" s="220"/>
      <c r="F19" s="219"/>
      <c r="G19" s="222" t="str">
        <f>IF(ISBLANK(IGRF!H26),"",IGRF!H26)</f>
        <v/>
      </c>
      <c r="H19" s="223" t="str">
        <f>IF(ISBLANK(IGRF!I26),"",IGRF!I26)</f>
        <v/>
      </c>
      <c r="I19" s="220"/>
      <c r="K19" s="218" t="s">
        <v>173</v>
      </c>
      <c r="L19" s="224" t="s">
        <v>217</v>
      </c>
    </row>
    <row r="20" spans="1:12" ht="21" customHeight="1" x14ac:dyDescent="0.35">
      <c r="A20" s="219"/>
      <c r="B20" s="222" t="str">
        <f>IF(ISBLANK(IGRF!B27),"",IGRF!B27)</f>
        <v/>
      </c>
      <c r="C20" s="223" t="str">
        <f>IF(ISBLANK(IGRF!C27),"",IGRF!C27)</f>
        <v/>
      </c>
      <c r="D20" s="220"/>
      <c r="F20" s="219"/>
      <c r="G20" s="222" t="str">
        <f>IF(ISBLANK(IGRF!H27),"",IGRF!H27)</f>
        <v/>
      </c>
      <c r="H20" s="223" t="str">
        <f>IF(ISBLANK(IGRF!I27),"",IGRF!I27)</f>
        <v/>
      </c>
      <c r="I20" s="220"/>
    </row>
    <row r="21" spans="1:12" ht="21" customHeight="1" x14ac:dyDescent="0.35">
      <c r="A21" s="219"/>
      <c r="B21" s="222" t="str">
        <f>IF(ISBLANK(IGRF!B28),"",IGRF!B28)</f>
        <v/>
      </c>
      <c r="C21" s="223" t="str">
        <f>IF(ISBLANK(IGRF!C28),"",IGRF!C28)</f>
        <v/>
      </c>
      <c r="D21" s="220"/>
      <c r="F21" s="219"/>
      <c r="G21" s="222" t="str">
        <f>IF(ISBLANK(IGRF!H28),"",IGRF!H28)</f>
        <v/>
      </c>
      <c r="H21" s="223" t="str">
        <f>IF(ISBLANK(IGRF!I28),"",IGRF!I28)</f>
        <v/>
      </c>
      <c r="I21" s="220"/>
    </row>
    <row r="22" spans="1:12" ht="21" customHeight="1" x14ac:dyDescent="0.35">
      <c r="A22" s="219"/>
      <c r="B22" s="222" t="str">
        <f>IF(ISBLANK(IGRF!B29),"",IGRF!B29)</f>
        <v/>
      </c>
      <c r="C22" s="223" t="str">
        <f>IF(ISBLANK(IGRF!C29),"",IGRF!C29)</f>
        <v/>
      </c>
      <c r="D22" s="220"/>
      <c r="F22" s="219"/>
      <c r="G22" s="222" t="str">
        <f>IF(ISBLANK(IGRF!H29),"",IGRF!H29)</f>
        <v/>
      </c>
      <c r="H22" s="223" t="str">
        <f>IF(ISBLANK(IGRF!I29),"",IGRF!I29)</f>
        <v/>
      </c>
      <c r="I22" s="220"/>
    </row>
    <row r="23" spans="1:12" ht="21" customHeight="1" x14ac:dyDescent="0.35">
      <c r="A23" s="219"/>
      <c r="B23" s="222" t="str">
        <f>IF(ISBLANK(IGRF!B30),"",IGRF!B30)</f>
        <v/>
      </c>
      <c r="C23" s="223" t="str">
        <f>IF(ISBLANK(IGRF!C30),"",IGRF!C30)</f>
        <v/>
      </c>
      <c r="D23" s="220"/>
      <c r="F23" s="219"/>
      <c r="G23" s="222" t="str">
        <f>IF(ISBLANK(IGRF!H30),"",IGRF!H30)</f>
        <v/>
      </c>
      <c r="H23" s="223" t="str">
        <f>IF(ISBLANK(IGRF!I30),"",IGRF!I30)</f>
        <v/>
      </c>
      <c r="I23" s="220"/>
    </row>
    <row r="24" spans="1:12" ht="21" customHeight="1" x14ac:dyDescent="0.35">
      <c r="A24" s="226"/>
      <c r="B24" s="227"/>
      <c r="C24" s="227"/>
      <c r="D24" s="228"/>
      <c r="F24" s="226"/>
      <c r="G24" s="227"/>
      <c r="H24" s="227"/>
      <c r="I24" s="228"/>
    </row>
    <row r="25" spans="1:12" ht="21" customHeight="1" x14ac:dyDescent="0.35">
      <c r="A25" s="215"/>
      <c r="B25" s="216"/>
      <c r="C25" s="216"/>
      <c r="D25" s="217"/>
      <c r="F25" s="215"/>
      <c r="G25" s="216"/>
      <c r="H25" s="216"/>
      <c r="I25" s="217"/>
    </row>
    <row r="26" spans="1:12" ht="21" customHeight="1" x14ac:dyDescent="0.35">
      <c r="A26" s="219"/>
      <c r="B26" s="1264" t="str">
        <f>B2</f>
        <v>Rat City Rollergirls / All-Stars</v>
      </c>
      <c r="C26" s="1264"/>
      <c r="D26" s="220"/>
      <c r="F26" s="219"/>
      <c r="G26" s="1264" t="str">
        <f>G2</f>
        <v>Houston Roller Derby / All-Stars</v>
      </c>
      <c r="H26" s="1264"/>
      <c r="I26" s="220"/>
      <c r="K26" s="1265" t="s">
        <v>9</v>
      </c>
      <c r="L26" s="1265"/>
    </row>
    <row r="27" spans="1:12" ht="11.25" customHeight="1" x14ac:dyDescent="0.35">
      <c r="A27" s="219"/>
      <c r="B27" s="221"/>
      <c r="C27" s="221"/>
      <c r="D27" s="220"/>
      <c r="F27" s="219"/>
      <c r="G27" s="221"/>
      <c r="H27" s="221"/>
      <c r="I27" s="220"/>
    </row>
    <row r="28" spans="1:12" ht="21" customHeight="1" x14ac:dyDescent="0.35">
      <c r="A28" s="219"/>
      <c r="B28" s="222" t="str">
        <f t="shared" ref="B28:C47" si="0">B4</f>
        <v>12</v>
      </c>
      <c r="C28" s="223" t="str">
        <f t="shared" si="0"/>
        <v>Carmen Getsome</v>
      </c>
      <c r="D28" s="220"/>
      <c r="F28" s="219"/>
      <c r="G28" s="222" t="str">
        <f t="shared" ref="G28:H47" si="1">G4</f>
        <v>112</v>
      </c>
      <c r="H28" s="223" t="str">
        <f t="shared" si="1"/>
        <v>Singapore Rogue</v>
      </c>
      <c r="I28" s="220"/>
      <c r="K28" s="218" t="str">
        <f>K4</f>
        <v>Blocking to the Back</v>
      </c>
      <c r="L28" s="224" t="str">
        <f>L4</f>
        <v>B</v>
      </c>
    </row>
    <row r="29" spans="1:12" ht="21" customHeight="1" x14ac:dyDescent="0.35">
      <c r="A29" s="219"/>
      <c r="B29" s="222" t="str">
        <f t="shared" si="0"/>
        <v>123</v>
      </c>
      <c r="C29" s="223" t="str">
        <f t="shared" si="0"/>
        <v>Nelson</v>
      </c>
      <c r="D29" s="220"/>
      <c r="F29" s="219"/>
      <c r="G29" s="222" t="str">
        <f t="shared" si="1"/>
        <v>1542</v>
      </c>
      <c r="H29" s="223" t="str">
        <f t="shared" si="1"/>
        <v>Mary Queen of Skates</v>
      </c>
      <c r="I29" s="220"/>
      <c r="K29" s="218" t="str">
        <f t="shared" ref="K29:L29" si="2">K5</f>
        <v>High Block</v>
      </c>
      <c r="L29" s="224" t="str">
        <f t="shared" si="2"/>
        <v>A</v>
      </c>
    </row>
    <row r="30" spans="1:12" ht="21" customHeight="1" x14ac:dyDescent="0.35">
      <c r="A30" s="219"/>
      <c r="B30" s="222" t="str">
        <f t="shared" si="0"/>
        <v>14</v>
      </c>
      <c r="C30" s="223" t="str">
        <f t="shared" si="0"/>
        <v>Shorty Ounce</v>
      </c>
      <c r="D30" s="220"/>
      <c r="F30" s="219"/>
      <c r="G30" s="222" t="str">
        <f t="shared" si="1"/>
        <v>16</v>
      </c>
      <c r="H30" s="223" t="str">
        <f t="shared" si="1"/>
        <v>Mistilla</v>
      </c>
      <c r="I30" s="220"/>
      <c r="K30" s="218" t="str">
        <f t="shared" ref="K30:L30" si="3">K6</f>
        <v>Low Block</v>
      </c>
      <c r="L30" s="224" t="str">
        <f t="shared" si="3"/>
        <v>L</v>
      </c>
    </row>
    <row r="31" spans="1:12" ht="21" customHeight="1" x14ac:dyDescent="0.35">
      <c r="A31" s="219"/>
      <c r="B31" s="222" t="str">
        <f t="shared" si="0"/>
        <v>1618</v>
      </c>
      <c r="C31" s="223" t="str">
        <f t="shared" si="0"/>
        <v>Sintripital Force</v>
      </c>
      <c r="D31" s="220"/>
      <c r="F31" s="219"/>
      <c r="G31" s="222" t="str">
        <f t="shared" si="1"/>
        <v>19</v>
      </c>
      <c r="H31" s="223" t="str">
        <f t="shared" si="1"/>
        <v>Betty Watchett</v>
      </c>
      <c r="I31" s="220"/>
      <c r="K31" s="218" t="str">
        <f t="shared" ref="K31:L31" si="4">K7</f>
        <v>Elbows</v>
      </c>
      <c r="L31" s="224" t="str">
        <f t="shared" si="4"/>
        <v>E</v>
      </c>
    </row>
    <row r="32" spans="1:12" ht="21" customHeight="1" x14ac:dyDescent="0.35">
      <c r="A32" s="219"/>
      <c r="B32" s="222" t="str">
        <f t="shared" si="0"/>
        <v>22</v>
      </c>
      <c r="C32" s="223" t="str">
        <f t="shared" si="0"/>
        <v>Sami Automatic</v>
      </c>
      <c r="D32" s="220"/>
      <c r="F32" s="219"/>
      <c r="G32" s="222" t="str">
        <f t="shared" si="1"/>
        <v>2000</v>
      </c>
      <c r="H32" s="223" t="str">
        <f t="shared" si="1"/>
        <v>Lisa Lava</v>
      </c>
      <c r="I32" s="220"/>
      <c r="K32" s="218" t="str">
        <f t="shared" ref="K32:L32" si="5">K8</f>
        <v>Forearms / Hands</v>
      </c>
      <c r="L32" s="224" t="str">
        <f t="shared" si="5"/>
        <v>F</v>
      </c>
    </row>
    <row r="33" spans="1:12" ht="21" customHeight="1" x14ac:dyDescent="0.35">
      <c r="A33" s="219"/>
      <c r="B33" s="222" t="str">
        <f t="shared" si="0"/>
        <v>23</v>
      </c>
      <c r="C33" s="223" t="str">
        <f t="shared" si="0"/>
        <v>LeBrawn Maimes</v>
      </c>
      <c r="D33" s="220"/>
      <c r="F33" s="219"/>
      <c r="G33" s="222" t="str">
        <f t="shared" si="1"/>
        <v>201</v>
      </c>
      <c r="H33" s="223" t="str">
        <f t="shared" si="1"/>
        <v>Dutch Destroyer</v>
      </c>
      <c r="I33" s="220"/>
      <c r="K33" s="218" t="str">
        <f t="shared" ref="K33:L33" si="6">K9</f>
        <v>Block with the Head</v>
      </c>
      <c r="L33" s="224" t="str">
        <f t="shared" si="6"/>
        <v>H</v>
      </c>
    </row>
    <row r="34" spans="1:12" ht="21" customHeight="1" x14ac:dyDescent="0.35">
      <c r="A34" s="219"/>
      <c r="B34" s="222" t="str">
        <f t="shared" si="0"/>
        <v>321</v>
      </c>
      <c r="C34" s="223" t="str">
        <f t="shared" si="0"/>
        <v>Missile America</v>
      </c>
      <c r="D34" s="220"/>
      <c r="F34" s="219"/>
      <c r="G34" s="222" t="str">
        <f t="shared" si="1"/>
        <v>21</v>
      </c>
      <c r="H34" s="223" t="str">
        <f t="shared" si="1"/>
        <v>Jekyll &amp; Heidi</v>
      </c>
      <c r="I34" s="220"/>
      <c r="K34" s="218" t="str">
        <f t="shared" ref="K34:L34" si="7">K10</f>
        <v>Multi-Player Block</v>
      </c>
      <c r="L34" s="224" t="str">
        <f t="shared" si="7"/>
        <v>M</v>
      </c>
    </row>
    <row r="35" spans="1:12" ht="21" customHeight="1" x14ac:dyDescent="0.35">
      <c r="A35" s="219"/>
      <c r="B35" s="222" t="str">
        <f t="shared" si="0"/>
        <v>4</v>
      </c>
      <c r="C35" s="223" t="str">
        <f t="shared" si="0"/>
        <v>Belle Tolls</v>
      </c>
      <c r="D35" s="220"/>
      <c r="F35" s="219"/>
      <c r="G35" s="222" t="str">
        <f t="shared" si="1"/>
        <v>22</v>
      </c>
      <c r="H35" s="223" t="str">
        <f t="shared" si="1"/>
        <v>Freight Train</v>
      </c>
      <c r="I35" s="220"/>
      <c r="K35" s="218" t="str">
        <f t="shared" ref="K35:L35" si="8">K11</f>
        <v>Out of Bounds Blocking</v>
      </c>
      <c r="L35" s="224" t="str">
        <f t="shared" si="8"/>
        <v>O</v>
      </c>
    </row>
    <row r="36" spans="1:12" ht="21" customHeight="1" x14ac:dyDescent="0.35">
      <c r="A36" s="219"/>
      <c r="B36" s="222" t="str">
        <f t="shared" si="0"/>
        <v>505</v>
      </c>
      <c r="C36" s="223" t="str">
        <f t="shared" si="0"/>
        <v>Teddy Rupp</v>
      </c>
      <c r="D36" s="220"/>
      <c r="F36" s="219"/>
      <c r="G36" s="222" t="str">
        <f t="shared" si="1"/>
        <v>312</v>
      </c>
      <c r="H36" s="223" t="str">
        <f t="shared" si="1"/>
        <v>2x Force</v>
      </c>
      <c r="I36" s="220"/>
      <c r="K36" s="218" t="str">
        <f t="shared" ref="K36:L36" si="9">K12</f>
        <v>Direction of Gameplay</v>
      </c>
      <c r="L36" s="224" t="str">
        <f t="shared" si="9"/>
        <v>C</v>
      </c>
    </row>
    <row r="37" spans="1:12" ht="21" customHeight="1" x14ac:dyDescent="0.35">
      <c r="A37" s="219"/>
      <c r="B37" s="222" t="str">
        <f t="shared" si="0"/>
        <v>53</v>
      </c>
      <c r="C37" s="223" t="str">
        <f t="shared" si="0"/>
        <v>Raven Seaward</v>
      </c>
      <c r="D37" s="220"/>
      <c r="F37" s="219"/>
      <c r="G37" s="222" t="str">
        <f t="shared" si="1"/>
        <v>51</v>
      </c>
      <c r="H37" s="223" t="str">
        <f t="shared" si="1"/>
        <v>Bustin’ Beaver</v>
      </c>
      <c r="I37" s="220"/>
      <c r="K37" s="218" t="str">
        <f t="shared" ref="K37:L37" si="10">K13</f>
        <v>Out of Play</v>
      </c>
      <c r="L37" s="224" t="str">
        <f t="shared" si="10"/>
        <v>P</v>
      </c>
    </row>
    <row r="38" spans="1:12" ht="21" customHeight="1" x14ac:dyDescent="0.35">
      <c r="A38" s="219"/>
      <c r="B38" s="222" t="str">
        <f t="shared" si="0"/>
        <v>761</v>
      </c>
      <c r="C38" s="223" t="str">
        <f t="shared" si="0"/>
        <v>Rawkhell SqWelch</v>
      </c>
      <c r="D38" s="220"/>
      <c r="F38" s="219"/>
      <c r="G38" s="222" t="str">
        <f t="shared" si="1"/>
        <v>5309</v>
      </c>
      <c r="H38" s="223" t="str">
        <f t="shared" si="1"/>
        <v>Toxic Assets</v>
      </c>
      <c r="I38" s="220"/>
      <c r="K38" s="218" t="str">
        <f t="shared" ref="K38:L38" si="11">K14</f>
        <v>Cutting the Track</v>
      </c>
      <c r="L38" s="224" t="str">
        <f t="shared" si="11"/>
        <v>X</v>
      </c>
    </row>
    <row r="39" spans="1:12" ht="21" customHeight="1" x14ac:dyDescent="0.35">
      <c r="A39" s="219"/>
      <c r="B39" s="222" t="str">
        <f t="shared" si="0"/>
        <v>808</v>
      </c>
      <c r="C39" s="223" t="str">
        <f t="shared" si="0"/>
        <v>Kendle Bjelland</v>
      </c>
      <c r="D39" s="220"/>
      <c r="F39" s="219"/>
      <c r="G39" s="222" t="str">
        <f t="shared" si="1"/>
        <v>69</v>
      </c>
      <c r="H39" s="223" t="str">
        <f t="shared" si="1"/>
        <v>Death By Chocolate</v>
      </c>
      <c r="I39" s="220"/>
      <c r="K39" s="218" t="str">
        <f t="shared" ref="K39:L39" si="12">K15</f>
        <v>Skating out of Bounds</v>
      </c>
      <c r="L39" s="224" t="str">
        <f t="shared" si="12"/>
        <v>S</v>
      </c>
    </row>
    <row r="40" spans="1:12" ht="21" customHeight="1" x14ac:dyDescent="0.35">
      <c r="A40" s="219"/>
      <c r="B40" s="222" t="str">
        <f t="shared" si="0"/>
        <v>9</v>
      </c>
      <c r="C40" s="223" t="str">
        <f t="shared" si="0"/>
        <v>P. Wilhelm</v>
      </c>
      <c r="D40" s="220"/>
      <c r="F40" s="219"/>
      <c r="G40" s="222" t="str">
        <f t="shared" si="1"/>
        <v>9</v>
      </c>
      <c r="H40" s="223" t="str">
        <f t="shared" si="1"/>
        <v>Big Bad Voodoo Dollie</v>
      </c>
      <c r="I40" s="220"/>
      <c r="K40" s="218" t="str">
        <f t="shared" ref="K40:L40" si="13">K16</f>
        <v>Illegal Procedure</v>
      </c>
      <c r="L40" s="224" t="str">
        <f t="shared" si="13"/>
        <v>I</v>
      </c>
    </row>
    <row r="41" spans="1:12" ht="21" customHeight="1" x14ac:dyDescent="0.35">
      <c r="A41" s="219"/>
      <c r="B41" s="222" t="str">
        <f t="shared" si="0"/>
        <v>911</v>
      </c>
      <c r="C41" s="223" t="str">
        <f t="shared" si="0"/>
        <v>Luna Negra</v>
      </c>
      <c r="D41" s="220"/>
      <c r="F41" s="219"/>
      <c r="G41" s="222" t="str">
        <f t="shared" si="1"/>
        <v>93</v>
      </c>
      <c r="H41" s="223" t="str">
        <f t="shared" si="1"/>
        <v>Erma Gerd</v>
      </c>
      <c r="I41" s="220"/>
      <c r="K41" s="218" t="str">
        <f t="shared" ref="K41:L41" si="14">K17</f>
        <v>Insubordination</v>
      </c>
      <c r="L41" s="224" t="str">
        <f t="shared" si="14"/>
        <v>N</v>
      </c>
    </row>
    <row r="42" spans="1:12" ht="21" customHeight="1" x14ac:dyDescent="0.35">
      <c r="A42" s="219"/>
      <c r="B42" s="222" t="str">
        <f t="shared" si="0"/>
        <v>0</v>
      </c>
      <c r="C42" s="223" t="str">
        <f t="shared" si="0"/>
        <v>Enurgizer Bunny</v>
      </c>
      <c r="D42" s="220"/>
      <c r="F42" s="219"/>
      <c r="G42" s="222" t="str">
        <f t="shared" si="1"/>
        <v/>
      </c>
      <c r="H42" s="223" t="str">
        <f t="shared" si="1"/>
        <v/>
      </c>
      <c r="I42" s="220"/>
      <c r="K42" s="218" t="str">
        <f t="shared" ref="K42:L42" si="15">K18</f>
        <v>Delay of Game</v>
      </c>
      <c r="L42" s="224" t="str">
        <f t="shared" si="15"/>
        <v>Z</v>
      </c>
    </row>
    <row r="43" spans="1:12" ht="21" customHeight="1" x14ac:dyDescent="0.35">
      <c r="A43" s="219"/>
      <c r="B43" s="222" t="str">
        <f t="shared" si="0"/>
        <v>88</v>
      </c>
      <c r="C43" s="223" t="str">
        <f t="shared" si="0"/>
        <v>Ophelia Melons</v>
      </c>
      <c r="D43" s="220"/>
      <c r="F43" s="219"/>
      <c r="G43" s="222" t="str">
        <f t="shared" si="1"/>
        <v/>
      </c>
      <c r="H43" s="223" t="str">
        <f t="shared" si="1"/>
        <v/>
      </c>
      <c r="I43" s="220"/>
      <c r="K43" s="218" t="str">
        <f t="shared" ref="K43:L43" si="16">K19</f>
        <v>Misconduct</v>
      </c>
      <c r="L43" s="224" t="str">
        <f t="shared" si="16"/>
        <v>G</v>
      </c>
    </row>
    <row r="44" spans="1:12" ht="21" customHeight="1" x14ac:dyDescent="0.35">
      <c r="A44" s="219"/>
      <c r="B44" s="222" t="str">
        <f t="shared" si="0"/>
        <v/>
      </c>
      <c r="C44" s="223" t="str">
        <f t="shared" si="0"/>
        <v/>
      </c>
      <c r="D44" s="220"/>
      <c r="F44" s="219"/>
      <c r="G44" s="222" t="str">
        <f t="shared" si="1"/>
        <v/>
      </c>
      <c r="H44" s="223" t="str">
        <f t="shared" si="1"/>
        <v/>
      </c>
      <c r="I44" s="220"/>
      <c r="K44" s="225"/>
      <c r="L44" s="225"/>
    </row>
    <row r="45" spans="1:12" x14ac:dyDescent="0.35">
      <c r="A45" s="219"/>
      <c r="B45" s="222" t="str">
        <f t="shared" si="0"/>
        <v/>
      </c>
      <c r="C45" s="223" t="str">
        <f t="shared" si="0"/>
        <v/>
      </c>
      <c r="D45" s="220"/>
      <c r="F45" s="219"/>
      <c r="G45" s="222" t="str">
        <f t="shared" si="1"/>
        <v/>
      </c>
      <c r="H45" s="223" t="str">
        <f t="shared" si="1"/>
        <v/>
      </c>
      <c r="I45" s="220"/>
    </row>
    <row r="46" spans="1:12" x14ac:dyDescent="0.35">
      <c r="A46" s="219"/>
      <c r="B46" s="222" t="str">
        <f t="shared" si="0"/>
        <v/>
      </c>
      <c r="C46" s="223" t="str">
        <f t="shared" si="0"/>
        <v/>
      </c>
      <c r="D46" s="220"/>
      <c r="F46" s="219"/>
      <c r="G46" s="222" t="str">
        <f t="shared" si="1"/>
        <v/>
      </c>
      <c r="H46" s="223" t="str">
        <f t="shared" si="1"/>
        <v/>
      </c>
      <c r="I46" s="220"/>
    </row>
    <row r="47" spans="1:12" x14ac:dyDescent="0.35">
      <c r="A47" s="219"/>
      <c r="B47" s="222" t="str">
        <f t="shared" si="0"/>
        <v/>
      </c>
      <c r="C47" s="223" t="str">
        <f t="shared" si="0"/>
        <v/>
      </c>
      <c r="D47" s="220"/>
      <c r="F47" s="219"/>
      <c r="G47" s="222" t="str">
        <f t="shared" si="1"/>
        <v/>
      </c>
      <c r="H47" s="223" t="str">
        <f t="shared" si="1"/>
        <v/>
      </c>
      <c r="I47" s="220"/>
    </row>
    <row r="48" spans="1:12" x14ac:dyDescent="0.35">
      <c r="A48" s="226"/>
      <c r="B48" s="227"/>
      <c r="C48" s="227"/>
      <c r="D48" s="228"/>
      <c r="F48" s="226"/>
      <c r="G48" s="227"/>
      <c r="H48" s="227"/>
      <c r="I48" s="228"/>
    </row>
  </sheetData>
  <sheetProtection selectLockedCells="1" selectUnlockedCells="1"/>
  <mergeCells count="6">
    <mergeCell ref="B2:C2"/>
    <mergeCell ref="G2:H2"/>
    <mergeCell ref="K2:L2"/>
    <mergeCell ref="B26:C26"/>
    <mergeCell ref="G26:H26"/>
    <mergeCell ref="K26:L26"/>
  </mergeCells>
  <phoneticPr fontId="8" type="noConversion"/>
  <printOptions horizontalCentered="1" verticalCentered="1"/>
  <pageMargins left="0.7" right="0.7" top="0.75" bottom="0.75" header="0.51180555555555551" footer="0.51180555555555551"/>
  <pageSetup scale="97" firstPageNumber="0" orientation="landscape" horizontalDpi="4294967294" verticalDpi="4294967294"/>
  <headerFooter alignWithMargins="0"/>
  <rowBreaks count="1" manualBreakCount="1">
    <brk id="24" max="16383" man="1"/>
  </row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rgb="FF0000FF"/>
  </sheetPr>
  <dimension ref="A1:AZ50"/>
  <sheetViews>
    <sheetView workbookViewId="0">
      <selection sqref="A1:D1"/>
    </sheetView>
  </sheetViews>
  <sheetFormatPr defaultColWidth="8.6640625" defaultRowHeight="13.8" x14ac:dyDescent="0.3"/>
  <cols>
    <col min="1" max="1" width="7" style="16" customWidth="1"/>
    <col min="2" max="8" width="4.6640625" style="16" customWidth="1"/>
    <col min="9" max="9" width="7.6640625" style="16" customWidth="1"/>
    <col min="10" max="10" width="8.33203125" style="16" customWidth="1"/>
    <col min="11" max="11" width="10.6640625" style="16" customWidth="1"/>
    <col min="12" max="12" width="8.33203125" style="16" customWidth="1"/>
    <col min="13" max="13" width="10.6640625" style="16" customWidth="1"/>
    <col min="14" max="14" width="8.33203125" style="16" customWidth="1"/>
    <col min="15" max="15" width="7" style="16" customWidth="1"/>
    <col min="16" max="22" width="4.6640625" style="16" customWidth="1"/>
    <col min="23" max="23" width="7.6640625" style="16" customWidth="1"/>
    <col min="24" max="24" width="8.44140625" style="16" customWidth="1"/>
    <col min="25" max="25" width="10" style="30" customWidth="1"/>
    <col min="26" max="26" width="7" style="16" customWidth="1"/>
    <col min="27" max="33" width="4.6640625" style="16" customWidth="1"/>
    <col min="34" max="34" width="7.6640625" style="16" customWidth="1"/>
    <col min="35" max="35" width="8.33203125" style="16" customWidth="1"/>
    <col min="36" max="36" width="10.6640625" style="16" customWidth="1"/>
    <col min="37" max="37" width="8.33203125" style="16" customWidth="1"/>
    <col min="38" max="38" width="10.6640625" style="16" customWidth="1"/>
    <col min="39" max="39" width="8.33203125" style="16" customWidth="1"/>
    <col min="40" max="40" width="7" style="16" customWidth="1"/>
    <col min="41" max="47" width="4.6640625" style="16" customWidth="1"/>
    <col min="48" max="48" width="7.6640625" style="16" customWidth="1"/>
    <col min="49" max="49" width="8.44140625" style="16" customWidth="1"/>
    <col min="50" max="50" width="10" style="16" customWidth="1"/>
    <col min="51" max="51" width="4.6640625" style="16" customWidth="1"/>
    <col min="52" max="52" width="8" style="30" customWidth="1"/>
    <col min="53" max="53" width="8" style="16" customWidth="1"/>
    <col min="54" max="54" width="10" style="16" customWidth="1"/>
    <col min="55" max="55" width="3.33203125" style="16" customWidth="1"/>
    <col min="56" max="16384" width="8.6640625" style="16"/>
  </cols>
  <sheetData>
    <row r="1" spans="1:52" ht="30" customHeight="1" x14ac:dyDescent="0.6">
      <c r="A1" s="1270" t="s">
        <v>271</v>
      </c>
      <c r="B1" s="1270"/>
      <c r="C1" s="1270"/>
      <c r="D1" s="1270"/>
      <c r="E1" s="1272">
        <f>IF(ISBLANK(IGRF!$B$5), "", IGRF!$B$5)</f>
        <v>41832</v>
      </c>
      <c r="F1" s="1272"/>
      <c r="G1" s="1266">
        <v>1</v>
      </c>
      <c r="H1" s="1266"/>
      <c r="I1" s="1274" t="str">
        <f>Score!$A$1</f>
        <v>Rat City Rollergirls / All-Stars</v>
      </c>
      <c r="J1" s="1274"/>
      <c r="K1" s="1274"/>
      <c r="L1" s="1274"/>
      <c r="M1" s="1274"/>
      <c r="N1" s="1268" t="str">
        <f>IF(ISBLANK(Score!$I$1), "", Score!$I$1)</f>
        <v>Green</v>
      </c>
      <c r="O1" s="1268"/>
      <c r="P1" s="1268"/>
      <c r="Q1" s="1268"/>
      <c r="R1" s="1266">
        <v>2</v>
      </c>
      <c r="S1" s="1266"/>
      <c r="T1" s="1275"/>
      <c r="U1" s="1275"/>
      <c r="V1" s="1275"/>
      <c r="W1" s="1275"/>
      <c r="X1" s="1275"/>
      <c r="Y1" s="1275"/>
      <c r="Z1" s="1270" t="s">
        <v>271</v>
      </c>
      <c r="AA1" s="1270"/>
      <c r="AB1" s="1270"/>
      <c r="AC1" s="1270"/>
      <c r="AD1" s="1272">
        <f>IF(ISBLANK(IGRF!$B$5), "", IGRF!$B$5)</f>
        <v>41832</v>
      </c>
      <c r="AE1" s="1272"/>
      <c r="AF1" s="1266">
        <v>1</v>
      </c>
      <c r="AG1" s="1266"/>
      <c r="AH1" s="1274" t="str">
        <f>Score!$T$1</f>
        <v>Houston Roller Derby / All-Stars</v>
      </c>
      <c r="AI1" s="1274"/>
      <c r="AJ1" s="1274"/>
      <c r="AK1" s="1274"/>
      <c r="AL1" s="1274"/>
      <c r="AM1" s="1268" t="str">
        <f>IF(ISBLANK(Score!$AB$1), "", Score!$AB$1)</f>
        <v>White</v>
      </c>
      <c r="AN1" s="1268"/>
      <c r="AO1" s="1268"/>
      <c r="AP1" s="1268"/>
      <c r="AQ1" s="1266">
        <v>2</v>
      </c>
      <c r="AR1" s="1266"/>
      <c r="AS1" s="1275"/>
      <c r="AT1" s="1275"/>
      <c r="AU1" s="1275"/>
      <c r="AV1" s="1275"/>
      <c r="AW1" s="1275"/>
      <c r="AX1" s="1275"/>
      <c r="AZ1" s="16"/>
    </row>
    <row r="2" spans="1:52" ht="16.2" customHeight="1" thickBot="1" x14ac:dyDescent="0.35">
      <c r="A2" s="1271" t="s">
        <v>653</v>
      </c>
      <c r="B2" s="1271"/>
      <c r="C2" s="1271"/>
      <c r="D2" s="1271"/>
      <c r="E2" s="1273" t="s">
        <v>355</v>
      </c>
      <c r="F2" s="1273"/>
      <c r="G2" s="1267" t="str">
        <f>IF(ISBLANK(IGRF!$K$3), "", "GAME " &amp; IGRF!$K$3)</f>
        <v>GAME 2</v>
      </c>
      <c r="H2" s="1267"/>
      <c r="I2" s="1274"/>
      <c r="J2" s="1274"/>
      <c r="K2" s="1274"/>
      <c r="L2" s="1274"/>
      <c r="M2" s="1274"/>
      <c r="N2" s="1269" t="s">
        <v>351</v>
      </c>
      <c r="O2" s="1269"/>
      <c r="P2" s="1269"/>
      <c r="Q2" s="1269"/>
      <c r="R2" s="1267" t="str">
        <f>G2</f>
        <v>GAME 2</v>
      </c>
      <c r="S2" s="1267"/>
      <c r="T2" s="1276" t="s">
        <v>341</v>
      </c>
      <c r="U2" s="1276"/>
      <c r="V2" s="1276"/>
      <c r="W2" s="1276"/>
      <c r="X2" s="1276"/>
      <c r="Y2" s="1276"/>
      <c r="Z2" s="1271" t="str">
        <f>A2</f>
        <v>Rev 140421 © 2014 WFTDA</v>
      </c>
      <c r="AA2" s="1271"/>
      <c r="AB2" s="1271"/>
      <c r="AC2" s="1271"/>
      <c r="AD2" s="1273" t="s">
        <v>355</v>
      </c>
      <c r="AE2" s="1273"/>
      <c r="AF2" s="1267" t="str">
        <f>G2</f>
        <v>GAME 2</v>
      </c>
      <c r="AG2" s="1267"/>
      <c r="AH2" s="1274"/>
      <c r="AI2" s="1274"/>
      <c r="AJ2" s="1274"/>
      <c r="AK2" s="1274"/>
      <c r="AL2" s="1274"/>
      <c r="AM2" s="1269" t="s">
        <v>351</v>
      </c>
      <c r="AN2" s="1269"/>
      <c r="AO2" s="1269"/>
      <c r="AP2" s="1269"/>
      <c r="AQ2" s="1267" t="str">
        <f>G2</f>
        <v>GAME 2</v>
      </c>
      <c r="AR2" s="1267"/>
      <c r="AS2" s="1276" t="s">
        <v>341</v>
      </c>
      <c r="AT2" s="1276"/>
      <c r="AU2" s="1276"/>
      <c r="AV2" s="1276"/>
      <c r="AW2" s="1276"/>
      <c r="AX2" s="1276"/>
      <c r="AZ2" s="16"/>
    </row>
    <row r="3" spans="1:52" s="27" customFormat="1" ht="15" customHeight="1" thickBot="1" x14ac:dyDescent="0.3">
      <c r="A3" s="104" t="s">
        <v>187</v>
      </c>
      <c r="B3" s="1300" t="s">
        <v>307</v>
      </c>
      <c r="C3" s="1300"/>
      <c r="D3" s="1300"/>
      <c r="E3" s="1300"/>
      <c r="F3" s="1300"/>
      <c r="G3" s="1300"/>
      <c r="H3" s="1300"/>
      <c r="I3" s="17" t="s">
        <v>188</v>
      </c>
      <c r="J3" s="105" t="s">
        <v>107</v>
      </c>
      <c r="K3" s="1301" t="s">
        <v>333</v>
      </c>
      <c r="L3" s="1301"/>
      <c r="M3" s="1301"/>
      <c r="N3" s="1301"/>
      <c r="O3" s="32" t="s">
        <v>187</v>
      </c>
      <c r="P3" s="1300" t="s">
        <v>307</v>
      </c>
      <c r="Q3" s="1300"/>
      <c r="R3" s="1300"/>
      <c r="S3" s="1300"/>
      <c r="T3" s="1300"/>
      <c r="U3" s="1300"/>
      <c r="V3" s="1300"/>
      <c r="W3" s="17" t="s">
        <v>188</v>
      </c>
      <c r="X3" s="105" t="s">
        <v>107</v>
      </c>
      <c r="Y3" s="452" t="s">
        <v>308</v>
      </c>
      <c r="Z3" s="104" t="s">
        <v>187</v>
      </c>
      <c r="AA3" s="1300" t="s">
        <v>307</v>
      </c>
      <c r="AB3" s="1300"/>
      <c r="AC3" s="1300"/>
      <c r="AD3" s="1300"/>
      <c r="AE3" s="1300"/>
      <c r="AF3" s="1300"/>
      <c r="AG3" s="1300"/>
      <c r="AH3" s="17" t="s">
        <v>188</v>
      </c>
      <c r="AI3" s="105" t="s">
        <v>107</v>
      </c>
      <c r="AJ3" s="1301" t="s">
        <v>333</v>
      </c>
      <c r="AK3" s="1301"/>
      <c r="AL3" s="1301"/>
      <c r="AM3" s="1301"/>
      <c r="AN3" s="32" t="s">
        <v>187</v>
      </c>
      <c r="AO3" s="1300" t="s">
        <v>307</v>
      </c>
      <c r="AP3" s="1300"/>
      <c r="AQ3" s="1300"/>
      <c r="AR3" s="1300"/>
      <c r="AS3" s="1300"/>
      <c r="AT3" s="1300"/>
      <c r="AU3" s="1300"/>
      <c r="AV3" s="17" t="s">
        <v>188</v>
      </c>
      <c r="AW3" s="105" t="s">
        <v>107</v>
      </c>
      <c r="AX3" s="106" t="s">
        <v>308</v>
      </c>
    </row>
    <row r="4" spans="1:52" ht="17.7" customHeight="1" thickBot="1" x14ac:dyDescent="0.35">
      <c r="A4" s="1290" t="str">
        <f>IF(IGRF!$B11="","",IGRF!$B11)</f>
        <v>12</v>
      </c>
      <c r="B4" s="415"/>
      <c r="C4" s="416"/>
      <c r="D4" s="416"/>
      <c r="E4" s="416"/>
      <c r="F4" s="416"/>
      <c r="G4" s="416"/>
      <c r="H4" s="417"/>
      <c r="I4" s="418"/>
      <c r="J4" s="1293" t="str">
        <f>IF(COUNTA(B4:H4)=0,"",COUNTA(B4:H4))</f>
        <v/>
      </c>
      <c r="K4" s="1298">
        <v>1</v>
      </c>
      <c r="L4" s="1026"/>
      <c r="M4" s="1026"/>
      <c r="N4" s="1027"/>
      <c r="O4" s="1290" t="str">
        <f>IF(IGRF!B11="","",IGRF!B11)</f>
        <v>12</v>
      </c>
      <c r="P4" s="415"/>
      <c r="Q4" s="416"/>
      <c r="R4" s="416"/>
      <c r="S4" s="416"/>
      <c r="T4" s="416"/>
      <c r="U4" s="416"/>
      <c r="V4" s="417"/>
      <c r="W4" s="418"/>
      <c r="X4" s="1293" t="str">
        <f>IF(COUNTA(P4:V4)=0,"",COUNTA(P4:V4))</f>
        <v/>
      </c>
      <c r="Y4" s="22" t="s">
        <v>189</v>
      </c>
      <c r="Z4" s="1290" t="str">
        <f>IF(IGRF!H11="","",IGRF!H11)</f>
        <v>112</v>
      </c>
      <c r="AA4" s="415"/>
      <c r="AB4" s="416"/>
      <c r="AC4" s="416"/>
      <c r="AD4" s="416"/>
      <c r="AE4" s="416"/>
      <c r="AF4" s="416"/>
      <c r="AG4" s="417"/>
      <c r="AH4" s="418"/>
      <c r="AI4" s="1293" t="str">
        <f>IF(COUNTA(AA4:AG4)=0,"",COUNTA(AA4:AG4))</f>
        <v/>
      </c>
      <c r="AJ4" s="1298">
        <v>1</v>
      </c>
      <c r="AK4" s="1026"/>
      <c r="AL4" s="1026"/>
      <c r="AM4" s="1027"/>
      <c r="AN4" s="1290" t="str">
        <f>IF(IGRF!H11="","",IGRF!H11)</f>
        <v>112</v>
      </c>
      <c r="AO4" s="415"/>
      <c r="AP4" s="416"/>
      <c r="AQ4" s="416"/>
      <c r="AR4" s="416"/>
      <c r="AS4" s="416"/>
      <c r="AT4" s="416"/>
      <c r="AU4" s="417"/>
      <c r="AV4" s="418"/>
      <c r="AW4" s="1293" t="str">
        <f>IF(COUNTA(AO4:AU4)=0,"",COUNTA(AO4:AU4))</f>
        <v/>
      </c>
      <c r="AX4" s="22" t="s">
        <v>189</v>
      </c>
      <c r="AZ4" s="16"/>
    </row>
    <row r="5" spans="1:52" ht="17.7" customHeight="1" thickBot="1" x14ac:dyDescent="0.35">
      <c r="A5" s="1290"/>
      <c r="B5" s="419"/>
      <c r="C5" s="420"/>
      <c r="D5" s="420"/>
      <c r="E5" s="420"/>
      <c r="F5" s="420"/>
      <c r="G5" s="420"/>
      <c r="H5" s="421"/>
      <c r="I5" s="422"/>
      <c r="J5" s="1294"/>
      <c r="K5" s="1299">
        <v>2</v>
      </c>
      <c r="L5" s="1018"/>
      <c r="M5" s="1018"/>
      <c r="N5" s="1019"/>
      <c r="O5" s="1290"/>
      <c r="P5" s="419" t="s">
        <v>311</v>
      </c>
      <c r="Q5" s="420"/>
      <c r="R5" s="420"/>
      <c r="S5" s="420"/>
      <c r="T5" s="420"/>
      <c r="U5" s="420"/>
      <c r="V5" s="421"/>
      <c r="W5" s="422"/>
      <c r="X5" s="1294"/>
      <c r="Y5" s="20" t="s">
        <v>190</v>
      </c>
      <c r="Z5" s="1290"/>
      <c r="AA5" s="419"/>
      <c r="AB5" s="420"/>
      <c r="AC5" s="420"/>
      <c r="AD5" s="420"/>
      <c r="AE5" s="420"/>
      <c r="AF5" s="420"/>
      <c r="AG5" s="421"/>
      <c r="AH5" s="422"/>
      <c r="AI5" s="1294"/>
      <c r="AJ5" s="1299">
        <v>2</v>
      </c>
      <c r="AK5" s="1018"/>
      <c r="AL5" s="1018"/>
      <c r="AM5" s="1019"/>
      <c r="AN5" s="1290"/>
      <c r="AO5" s="419" t="s">
        <v>311</v>
      </c>
      <c r="AP5" s="420"/>
      <c r="AQ5" s="420"/>
      <c r="AR5" s="420"/>
      <c r="AS5" s="420"/>
      <c r="AT5" s="420"/>
      <c r="AU5" s="421"/>
      <c r="AV5" s="422"/>
      <c r="AW5" s="1294"/>
      <c r="AX5" s="20" t="s">
        <v>190</v>
      </c>
      <c r="AZ5" s="16"/>
    </row>
    <row r="6" spans="1:52" ht="17.7" customHeight="1" x14ac:dyDescent="0.3">
      <c r="A6" s="1291" t="str">
        <f>IF(IGRF!$B12="","",IGRF!$B12)</f>
        <v>123</v>
      </c>
      <c r="B6" s="423"/>
      <c r="C6" s="424"/>
      <c r="D6" s="424"/>
      <c r="E6" s="424"/>
      <c r="F6" s="424"/>
      <c r="G6" s="425"/>
      <c r="H6" s="426"/>
      <c r="I6" s="418"/>
      <c r="J6" s="1277" t="str">
        <f>IF(COUNTA(B6:H6)=0,"",COUNTA(B6:H6))</f>
        <v/>
      </c>
      <c r="K6" s="1298">
        <v>3</v>
      </c>
      <c r="L6" s="1026"/>
      <c r="M6" s="1026"/>
      <c r="N6" s="1027"/>
      <c r="O6" s="1291" t="str">
        <f>IF(IGRF!B12="","",IGRF!B12)</f>
        <v>123</v>
      </c>
      <c r="P6" s="423"/>
      <c r="Q6" s="424"/>
      <c r="R6" s="424"/>
      <c r="S6" s="424"/>
      <c r="T6" s="424"/>
      <c r="U6" s="425"/>
      <c r="V6" s="426"/>
      <c r="W6" s="418"/>
      <c r="X6" s="1277" t="str">
        <f>IF(COUNTA(P6:V6)=0,"",COUNTA(P6:V6))</f>
        <v/>
      </c>
      <c r="Y6" s="21" t="s">
        <v>201</v>
      </c>
      <c r="Z6" s="1291" t="str">
        <f>IF(IGRF!H12="","",IGRF!H12)</f>
        <v>1542</v>
      </c>
      <c r="AA6" s="423"/>
      <c r="AB6" s="424"/>
      <c r="AC6" s="424"/>
      <c r="AD6" s="424"/>
      <c r="AE6" s="424"/>
      <c r="AF6" s="425"/>
      <c r="AG6" s="426"/>
      <c r="AH6" s="418"/>
      <c r="AI6" s="1277" t="str">
        <f>IF(COUNTA(AA6:AG6)=0,"",COUNTA(AA6:AG6))</f>
        <v/>
      </c>
      <c r="AJ6" s="1298">
        <v>3</v>
      </c>
      <c r="AK6" s="1026"/>
      <c r="AL6" s="1026"/>
      <c r="AM6" s="1027"/>
      <c r="AN6" s="1291" t="str">
        <f>IF(IGRF!H12="","",IGRF!H12)</f>
        <v>1542</v>
      </c>
      <c r="AO6" s="423"/>
      <c r="AP6" s="424"/>
      <c r="AQ6" s="424"/>
      <c r="AR6" s="424"/>
      <c r="AS6" s="424"/>
      <c r="AT6" s="425"/>
      <c r="AU6" s="426"/>
      <c r="AV6" s="418"/>
      <c r="AW6" s="1277" t="str">
        <f>IF(COUNTA(AO6:AU6)=0,"",COUNTA(AO6:AU6))</f>
        <v/>
      </c>
      <c r="AX6" s="21" t="s">
        <v>201</v>
      </c>
      <c r="AZ6" s="16"/>
    </row>
    <row r="7" spans="1:52" ht="17.7" customHeight="1" thickBot="1" x14ac:dyDescent="0.35">
      <c r="A7" s="1292"/>
      <c r="B7" s="487"/>
      <c r="C7" s="488"/>
      <c r="D7" s="488"/>
      <c r="E7" s="488"/>
      <c r="F7" s="488"/>
      <c r="G7" s="428"/>
      <c r="H7" s="489"/>
      <c r="I7" s="422"/>
      <c r="J7" s="1278"/>
      <c r="K7" s="1299">
        <v>4</v>
      </c>
      <c r="L7" s="1018"/>
      <c r="M7" s="1018"/>
      <c r="N7" s="1019"/>
      <c r="O7" s="1292"/>
      <c r="P7" s="487"/>
      <c r="Q7" s="488"/>
      <c r="R7" s="488"/>
      <c r="S7" s="488"/>
      <c r="T7" s="488"/>
      <c r="U7" s="428"/>
      <c r="V7" s="489"/>
      <c r="W7" s="422"/>
      <c r="X7" s="1278"/>
      <c r="Y7" s="20" t="s">
        <v>202</v>
      </c>
      <c r="Z7" s="1292"/>
      <c r="AA7" s="487"/>
      <c r="AB7" s="488"/>
      <c r="AC7" s="488"/>
      <c r="AD7" s="488"/>
      <c r="AE7" s="488"/>
      <c r="AF7" s="428"/>
      <c r="AG7" s="489"/>
      <c r="AH7" s="422"/>
      <c r="AI7" s="1278"/>
      <c r="AJ7" s="1299">
        <v>4</v>
      </c>
      <c r="AK7" s="1018"/>
      <c r="AL7" s="1018"/>
      <c r="AM7" s="1019"/>
      <c r="AN7" s="1292"/>
      <c r="AO7" s="487"/>
      <c r="AP7" s="488"/>
      <c r="AQ7" s="488"/>
      <c r="AR7" s="488"/>
      <c r="AS7" s="488"/>
      <c r="AT7" s="428"/>
      <c r="AU7" s="489"/>
      <c r="AV7" s="422"/>
      <c r="AW7" s="1278"/>
      <c r="AX7" s="20" t="s">
        <v>202</v>
      </c>
      <c r="AZ7" s="16"/>
    </row>
    <row r="8" spans="1:52" ht="17.7" customHeight="1" thickBot="1" x14ac:dyDescent="0.35">
      <c r="A8" s="1290" t="str">
        <f>IF(IGRF!$B13="","",IGRF!$B13)</f>
        <v>14</v>
      </c>
      <c r="B8" s="415"/>
      <c r="C8" s="416"/>
      <c r="D8" s="416"/>
      <c r="E8" s="416"/>
      <c r="F8" s="416"/>
      <c r="G8" s="416"/>
      <c r="H8" s="417"/>
      <c r="I8" s="418"/>
      <c r="J8" s="1293" t="str">
        <f>IF(COUNTA(B8:H8)=0,"",COUNTA(B8:H8))</f>
        <v/>
      </c>
      <c r="K8" s="1298">
        <v>5</v>
      </c>
      <c r="L8" s="1026"/>
      <c r="M8" s="1026"/>
      <c r="N8" s="1027"/>
      <c r="O8" s="1290" t="str">
        <f>IF(IGRF!B13="","",IGRF!B13)</f>
        <v>14</v>
      </c>
      <c r="P8" s="415"/>
      <c r="Q8" s="416"/>
      <c r="R8" s="416"/>
      <c r="S8" s="416"/>
      <c r="T8" s="416"/>
      <c r="U8" s="416"/>
      <c r="V8" s="417"/>
      <c r="W8" s="418"/>
      <c r="X8" s="1293" t="str">
        <f>IF(COUNTA(P8:V8)=0,"",COUNTA(P8:V8))</f>
        <v/>
      </c>
      <c r="Y8" s="22" t="s">
        <v>204</v>
      </c>
      <c r="Z8" s="1290" t="str">
        <f>IF(IGRF!H13="","",IGRF!H13)</f>
        <v>16</v>
      </c>
      <c r="AA8" s="415"/>
      <c r="AB8" s="416"/>
      <c r="AC8" s="416"/>
      <c r="AD8" s="416"/>
      <c r="AE8" s="416"/>
      <c r="AF8" s="416"/>
      <c r="AG8" s="417"/>
      <c r="AH8" s="418"/>
      <c r="AI8" s="1293" t="str">
        <f>IF(COUNTA(AA8:AG8)=0,"",COUNTA(AA8:AG8))</f>
        <v/>
      </c>
      <c r="AJ8" s="1298">
        <v>5</v>
      </c>
      <c r="AK8" s="1026"/>
      <c r="AL8" s="1026"/>
      <c r="AM8" s="1027"/>
      <c r="AN8" s="1290" t="str">
        <f>IF(IGRF!H13="","",IGRF!H13)</f>
        <v>16</v>
      </c>
      <c r="AO8" s="415"/>
      <c r="AP8" s="416"/>
      <c r="AQ8" s="416"/>
      <c r="AR8" s="416"/>
      <c r="AS8" s="416"/>
      <c r="AT8" s="416"/>
      <c r="AU8" s="417"/>
      <c r="AV8" s="418"/>
      <c r="AW8" s="1293" t="str">
        <f>IF(COUNTA(AO8:AU8)=0,"",COUNTA(AO8:AU8))</f>
        <v/>
      </c>
      <c r="AX8" s="22" t="s">
        <v>204</v>
      </c>
      <c r="AZ8" s="16"/>
    </row>
    <row r="9" spans="1:52" ht="17.7" customHeight="1" thickBot="1" x14ac:dyDescent="0.35">
      <c r="A9" s="1290"/>
      <c r="B9" s="419"/>
      <c r="C9" s="420"/>
      <c r="D9" s="420"/>
      <c r="E9" s="420"/>
      <c r="F9" s="420"/>
      <c r="G9" s="420"/>
      <c r="H9" s="421"/>
      <c r="I9" s="422"/>
      <c r="J9" s="1294"/>
      <c r="K9" s="1299">
        <v>6</v>
      </c>
      <c r="L9" s="1018"/>
      <c r="M9" s="1018"/>
      <c r="N9" s="1019"/>
      <c r="O9" s="1290"/>
      <c r="P9" s="419"/>
      <c r="Q9" s="420"/>
      <c r="R9" s="420"/>
      <c r="S9" s="420"/>
      <c r="T9" s="420"/>
      <c r="U9" s="420"/>
      <c r="V9" s="421"/>
      <c r="W9" s="422"/>
      <c r="X9" s="1294"/>
      <c r="Y9" s="20" t="s">
        <v>205</v>
      </c>
      <c r="Z9" s="1290"/>
      <c r="AA9" s="419"/>
      <c r="AB9" s="420"/>
      <c r="AC9" s="420"/>
      <c r="AD9" s="420"/>
      <c r="AE9" s="420"/>
      <c r="AF9" s="420"/>
      <c r="AG9" s="421"/>
      <c r="AH9" s="422"/>
      <c r="AI9" s="1294"/>
      <c r="AJ9" s="1299">
        <v>6</v>
      </c>
      <c r="AK9" s="1018"/>
      <c r="AL9" s="1018"/>
      <c r="AM9" s="1019"/>
      <c r="AN9" s="1290"/>
      <c r="AO9" s="419"/>
      <c r="AP9" s="420"/>
      <c r="AQ9" s="420"/>
      <c r="AR9" s="420"/>
      <c r="AS9" s="420"/>
      <c r="AT9" s="420"/>
      <c r="AU9" s="421"/>
      <c r="AV9" s="422"/>
      <c r="AW9" s="1294"/>
      <c r="AX9" s="20" t="s">
        <v>205</v>
      </c>
      <c r="AZ9" s="16"/>
    </row>
    <row r="10" spans="1:52" ht="17.7" customHeight="1" x14ac:dyDescent="0.3">
      <c r="A10" s="1291" t="str">
        <f>IF(IGRF!B14="","",IGRF!B14)</f>
        <v>1618</v>
      </c>
      <c r="B10" s="423"/>
      <c r="C10" s="424"/>
      <c r="D10" s="424"/>
      <c r="E10" s="424"/>
      <c r="F10" s="424"/>
      <c r="G10" s="425"/>
      <c r="H10" s="426"/>
      <c r="I10" s="418"/>
      <c r="J10" s="1277" t="str">
        <f>IF(COUNTA(B10:H10)=0,"",COUNTA(B10:H10))</f>
        <v/>
      </c>
      <c r="K10" s="1298">
        <v>7</v>
      </c>
      <c r="L10" s="1026"/>
      <c r="M10" s="1026"/>
      <c r="N10" s="1027"/>
      <c r="O10" s="1291" t="str">
        <f>IF(IGRF!B14="","",IGRF!B14)</f>
        <v>1618</v>
      </c>
      <c r="P10" s="423"/>
      <c r="Q10" s="424"/>
      <c r="R10" s="424"/>
      <c r="S10" s="424"/>
      <c r="T10" s="424"/>
      <c r="U10" s="425"/>
      <c r="V10" s="426"/>
      <c r="W10" s="418"/>
      <c r="X10" s="1277" t="str">
        <f>IF(COUNTA(P10:V10)=0,"",COUNTA(P10:V10))</f>
        <v/>
      </c>
      <c r="Y10" s="22" t="s">
        <v>197</v>
      </c>
      <c r="Z10" s="1291" t="str">
        <f>IF(IGRF!H14="","",IGRF!H14)</f>
        <v>19</v>
      </c>
      <c r="AA10" s="423"/>
      <c r="AB10" s="424"/>
      <c r="AC10" s="424"/>
      <c r="AD10" s="424"/>
      <c r="AE10" s="424"/>
      <c r="AF10" s="425"/>
      <c r="AG10" s="426"/>
      <c r="AH10" s="418"/>
      <c r="AI10" s="1277" t="str">
        <f>IF(COUNTA(AA10:AG10)=0,"",COUNTA(AA10:AG10))</f>
        <v/>
      </c>
      <c r="AJ10" s="1298">
        <v>7</v>
      </c>
      <c r="AK10" s="1026"/>
      <c r="AL10" s="1026"/>
      <c r="AM10" s="1027"/>
      <c r="AN10" s="1291" t="str">
        <f>IF(IGRF!H14="","",IGRF!H14)</f>
        <v>19</v>
      </c>
      <c r="AO10" s="423"/>
      <c r="AP10" s="424"/>
      <c r="AQ10" s="424"/>
      <c r="AR10" s="424"/>
      <c r="AS10" s="424"/>
      <c r="AT10" s="425"/>
      <c r="AU10" s="426"/>
      <c r="AV10" s="418"/>
      <c r="AW10" s="1277" t="str">
        <f>IF(COUNTA(AO10:AU10)=0,"",COUNTA(AO10:AU10))</f>
        <v/>
      </c>
      <c r="AX10" s="22" t="s">
        <v>197</v>
      </c>
      <c r="AZ10" s="16"/>
    </row>
    <row r="11" spans="1:52" ht="17.7" customHeight="1" thickBot="1" x14ac:dyDescent="0.35">
      <c r="A11" s="1292"/>
      <c r="B11" s="487"/>
      <c r="C11" s="488"/>
      <c r="D11" s="488"/>
      <c r="E11" s="488"/>
      <c r="F11" s="488"/>
      <c r="G11" s="428"/>
      <c r="H11" s="489"/>
      <c r="I11" s="422"/>
      <c r="J11" s="1278"/>
      <c r="K11" s="1299">
        <v>8</v>
      </c>
      <c r="L11" s="1018"/>
      <c r="M11" s="1018"/>
      <c r="N11" s="1019"/>
      <c r="O11" s="1292"/>
      <c r="P11" s="487"/>
      <c r="Q11" s="488"/>
      <c r="R11" s="488"/>
      <c r="S11" s="488"/>
      <c r="T11" s="488"/>
      <c r="U11" s="428"/>
      <c r="V11" s="489"/>
      <c r="W11" s="422"/>
      <c r="X11" s="1278"/>
      <c r="Y11" s="20" t="s">
        <v>198</v>
      </c>
      <c r="Z11" s="1292"/>
      <c r="AA11" s="487"/>
      <c r="AB11" s="488"/>
      <c r="AC11" s="488"/>
      <c r="AD11" s="488"/>
      <c r="AE11" s="488"/>
      <c r="AF11" s="428"/>
      <c r="AG11" s="489"/>
      <c r="AH11" s="422"/>
      <c r="AI11" s="1278"/>
      <c r="AJ11" s="1299">
        <v>8</v>
      </c>
      <c r="AK11" s="1018"/>
      <c r="AL11" s="1018"/>
      <c r="AM11" s="1019"/>
      <c r="AN11" s="1292"/>
      <c r="AO11" s="487"/>
      <c r="AP11" s="488"/>
      <c r="AQ11" s="488"/>
      <c r="AR11" s="488"/>
      <c r="AS11" s="488"/>
      <c r="AT11" s="428"/>
      <c r="AU11" s="489"/>
      <c r="AV11" s="422"/>
      <c r="AW11" s="1278"/>
      <c r="AX11" s="20" t="s">
        <v>198</v>
      </c>
      <c r="AZ11" s="16"/>
    </row>
    <row r="12" spans="1:52" ht="17.7" customHeight="1" thickBot="1" x14ac:dyDescent="0.35">
      <c r="A12" s="1290" t="str">
        <f>IF(IGRF!B15="","",IGRF!B15)</f>
        <v>22</v>
      </c>
      <c r="B12" s="415"/>
      <c r="C12" s="416"/>
      <c r="D12" s="416"/>
      <c r="E12" s="416"/>
      <c r="F12" s="416"/>
      <c r="G12" s="416"/>
      <c r="H12" s="417"/>
      <c r="I12" s="418"/>
      <c r="J12" s="1293" t="str">
        <f>IF(COUNTA(B12:H12)=0,"",COUNTA(B12:H12))</f>
        <v/>
      </c>
      <c r="K12" s="1298">
        <v>9</v>
      </c>
      <c r="L12" s="1026"/>
      <c r="M12" s="1026"/>
      <c r="N12" s="1027"/>
      <c r="O12" s="1290" t="str">
        <f>IF(IGRF!B15="","",IGRF!B15)</f>
        <v>22</v>
      </c>
      <c r="P12" s="415"/>
      <c r="Q12" s="416"/>
      <c r="R12" s="416"/>
      <c r="S12" s="416"/>
      <c r="T12" s="416"/>
      <c r="U12" s="416"/>
      <c r="V12" s="417"/>
      <c r="W12" s="418"/>
      <c r="X12" s="1293" t="str">
        <f>IF(COUNTA(P12:V12)=0,"",COUNTA(P12:V12))</f>
        <v/>
      </c>
      <c r="Y12" s="22" t="s">
        <v>199</v>
      </c>
      <c r="Z12" s="1290" t="str">
        <f>IF(IGRF!H15="","",IGRF!H15)</f>
        <v>2000</v>
      </c>
      <c r="AA12" s="415"/>
      <c r="AB12" s="416"/>
      <c r="AC12" s="416"/>
      <c r="AD12" s="416"/>
      <c r="AE12" s="416"/>
      <c r="AF12" s="416"/>
      <c r="AG12" s="417"/>
      <c r="AH12" s="418"/>
      <c r="AI12" s="1293" t="str">
        <f>IF(COUNTA(AA12:AG12)=0,"",COUNTA(AA12:AG12))</f>
        <v/>
      </c>
      <c r="AJ12" s="1298">
        <v>9</v>
      </c>
      <c r="AK12" s="1026"/>
      <c r="AL12" s="1026"/>
      <c r="AM12" s="1027"/>
      <c r="AN12" s="1290" t="str">
        <f>IF(IGRF!H15="","",IGRF!H15)</f>
        <v>2000</v>
      </c>
      <c r="AO12" s="415"/>
      <c r="AP12" s="416"/>
      <c r="AQ12" s="416"/>
      <c r="AR12" s="416"/>
      <c r="AS12" s="416"/>
      <c r="AT12" s="416"/>
      <c r="AU12" s="417"/>
      <c r="AV12" s="418"/>
      <c r="AW12" s="1293" t="str">
        <f>IF(COUNTA(AO12:AU12)=0,"",COUNTA(AO12:AU12))</f>
        <v/>
      </c>
      <c r="AX12" s="22" t="s">
        <v>199</v>
      </c>
      <c r="AZ12" s="16"/>
    </row>
    <row r="13" spans="1:52" ht="17.7" customHeight="1" thickBot="1" x14ac:dyDescent="0.35">
      <c r="A13" s="1290"/>
      <c r="B13" s="419"/>
      <c r="C13" s="420"/>
      <c r="D13" s="420"/>
      <c r="E13" s="420"/>
      <c r="F13" s="420"/>
      <c r="G13" s="420"/>
      <c r="H13" s="421"/>
      <c r="I13" s="422"/>
      <c r="J13" s="1294"/>
      <c r="K13" s="1299">
        <v>10</v>
      </c>
      <c r="L13" s="1018"/>
      <c r="M13" s="1018"/>
      <c r="N13" s="1019"/>
      <c r="O13" s="1290"/>
      <c r="P13" s="419"/>
      <c r="Q13" s="420"/>
      <c r="R13" s="420"/>
      <c r="S13" s="420"/>
      <c r="T13" s="420"/>
      <c r="U13" s="420"/>
      <c r="V13" s="421"/>
      <c r="W13" s="422"/>
      <c r="X13" s="1294"/>
      <c r="Y13" s="20" t="s">
        <v>200</v>
      </c>
      <c r="Z13" s="1290"/>
      <c r="AA13" s="419"/>
      <c r="AB13" s="420"/>
      <c r="AC13" s="420"/>
      <c r="AD13" s="420"/>
      <c r="AE13" s="420"/>
      <c r="AF13" s="420"/>
      <c r="AG13" s="421"/>
      <c r="AH13" s="422"/>
      <c r="AI13" s="1294"/>
      <c r="AJ13" s="1299">
        <v>10</v>
      </c>
      <c r="AK13" s="1018"/>
      <c r="AL13" s="1018"/>
      <c r="AM13" s="1019"/>
      <c r="AN13" s="1290"/>
      <c r="AO13" s="419"/>
      <c r="AP13" s="420"/>
      <c r="AQ13" s="420"/>
      <c r="AR13" s="420"/>
      <c r="AS13" s="420"/>
      <c r="AT13" s="420"/>
      <c r="AU13" s="421"/>
      <c r="AV13" s="422"/>
      <c r="AW13" s="1294"/>
      <c r="AX13" s="20" t="s">
        <v>200</v>
      </c>
      <c r="AZ13" s="16"/>
    </row>
    <row r="14" spans="1:52" ht="17.7" customHeight="1" x14ac:dyDescent="0.3">
      <c r="A14" s="1291" t="str">
        <f>IF(IGRF!B16="","",IGRF!B16)</f>
        <v>23</v>
      </c>
      <c r="B14" s="423"/>
      <c r="C14" s="424"/>
      <c r="D14" s="424"/>
      <c r="E14" s="424"/>
      <c r="F14" s="424"/>
      <c r="G14" s="425"/>
      <c r="H14" s="426"/>
      <c r="I14" s="418"/>
      <c r="J14" s="1277" t="str">
        <f>IF(COUNTA(B14:H14)=0,"",COUNTA(B14:H14))</f>
        <v/>
      </c>
      <c r="K14" s="1298">
        <v>11</v>
      </c>
      <c r="L14" s="1026"/>
      <c r="M14" s="1026"/>
      <c r="N14" s="1027"/>
      <c r="O14" s="1291" t="str">
        <f>IF(IGRF!B16="","",IGRF!B16)</f>
        <v>23</v>
      </c>
      <c r="P14" s="423"/>
      <c r="Q14" s="424"/>
      <c r="R14" s="424"/>
      <c r="S14" s="424"/>
      <c r="T14" s="424"/>
      <c r="U14" s="425"/>
      <c r="V14" s="426"/>
      <c r="W14" s="418"/>
      <c r="X14" s="1277" t="str">
        <f>IF(COUNTA(P14:V14)=0,"",COUNTA(P14:V14))</f>
        <v/>
      </c>
      <c r="Y14" s="22" t="s">
        <v>191</v>
      </c>
      <c r="Z14" s="1291" t="str">
        <f>IF(IGRF!H16="","",IGRF!H16)</f>
        <v>201</v>
      </c>
      <c r="AA14" s="423"/>
      <c r="AB14" s="424"/>
      <c r="AC14" s="424"/>
      <c r="AD14" s="424"/>
      <c r="AE14" s="424"/>
      <c r="AF14" s="425"/>
      <c r="AG14" s="426"/>
      <c r="AH14" s="418"/>
      <c r="AI14" s="1277" t="str">
        <f>IF(COUNTA(AA14:AG14)=0,"",COUNTA(AA14:AG14))</f>
        <v/>
      </c>
      <c r="AJ14" s="1298">
        <v>11</v>
      </c>
      <c r="AK14" s="1026"/>
      <c r="AL14" s="1026"/>
      <c r="AM14" s="1027"/>
      <c r="AN14" s="1291" t="str">
        <f>IF(IGRF!H16="","",IGRF!H16)</f>
        <v>201</v>
      </c>
      <c r="AO14" s="423"/>
      <c r="AP14" s="424"/>
      <c r="AQ14" s="424"/>
      <c r="AR14" s="424"/>
      <c r="AS14" s="424"/>
      <c r="AT14" s="425"/>
      <c r="AU14" s="426"/>
      <c r="AV14" s="418"/>
      <c r="AW14" s="1277" t="str">
        <f>IF(COUNTA(AO14:AU14)=0,"",COUNTA(AO14:AU14))</f>
        <v/>
      </c>
      <c r="AX14" s="22" t="s">
        <v>191</v>
      </c>
      <c r="AZ14" s="16"/>
    </row>
    <row r="15" spans="1:52" ht="17.7" customHeight="1" thickBot="1" x14ac:dyDescent="0.35">
      <c r="A15" s="1292"/>
      <c r="B15" s="487"/>
      <c r="C15" s="488"/>
      <c r="D15" s="488"/>
      <c r="E15" s="488"/>
      <c r="F15" s="488"/>
      <c r="G15" s="428"/>
      <c r="H15" s="489"/>
      <c r="I15" s="422"/>
      <c r="J15" s="1278"/>
      <c r="K15" s="1299">
        <v>12</v>
      </c>
      <c r="L15" s="1018"/>
      <c r="M15" s="1018"/>
      <c r="N15" s="1019"/>
      <c r="O15" s="1292"/>
      <c r="P15" s="487"/>
      <c r="Q15" s="488"/>
      <c r="R15" s="488"/>
      <c r="S15" s="488"/>
      <c r="T15" s="488"/>
      <c r="U15" s="428"/>
      <c r="V15" s="489"/>
      <c r="W15" s="422"/>
      <c r="X15" s="1278"/>
      <c r="Y15" s="20" t="s">
        <v>192</v>
      </c>
      <c r="Z15" s="1292"/>
      <c r="AA15" s="487"/>
      <c r="AB15" s="488"/>
      <c r="AC15" s="488"/>
      <c r="AD15" s="488"/>
      <c r="AE15" s="488"/>
      <c r="AF15" s="428"/>
      <c r="AG15" s="489"/>
      <c r="AH15" s="422"/>
      <c r="AI15" s="1278"/>
      <c r="AJ15" s="1299">
        <v>12</v>
      </c>
      <c r="AK15" s="1018"/>
      <c r="AL15" s="1018"/>
      <c r="AM15" s="1019"/>
      <c r="AN15" s="1292"/>
      <c r="AO15" s="487"/>
      <c r="AP15" s="488"/>
      <c r="AQ15" s="488"/>
      <c r="AR15" s="488"/>
      <c r="AS15" s="488"/>
      <c r="AT15" s="428"/>
      <c r="AU15" s="489"/>
      <c r="AV15" s="422"/>
      <c r="AW15" s="1278"/>
      <c r="AX15" s="20" t="s">
        <v>192</v>
      </c>
      <c r="AZ15" s="16"/>
    </row>
    <row r="16" spans="1:52" ht="17.7" customHeight="1" thickBot="1" x14ac:dyDescent="0.35">
      <c r="A16" s="1290" t="str">
        <f>IF(IGRF!B17="","",IGRF!B17)</f>
        <v>321</v>
      </c>
      <c r="B16" s="415"/>
      <c r="C16" s="416"/>
      <c r="D16" s="416"/>
      <c r="E16" s="416"/>
      <c r="F16" s="416"/>
      <c r="G16" s="416"/>
      <c r="H16" s="417"/>
      <c r="I16" s="418"/>
      <c r="J16" s="1293" t="str">
        <f>IF(COUNTA(B16:H16)=0,"",COUNTA(B16:H16))</f>
        <v/>
      </c>
      <c r="K16" s="1298">
        <v>13</v>
      </c>
      <c r="L16" s="1026"/>
      <c r="M16" s="1026"/>
      <c r="N16" s="1027"/>
      <c r="O16" s="1290" t="str">
        <f>IF(IGRF!B17="","",IGRF!B17)</f>
        <v>321</v>
      </c>
      <c r="P16" s="415"/>
      <c r="Q16" s="416"/>
      <c r="R16" s="416"/>
      <c r="S16" s="416"/>
      <c r="T16" s="416"/>
      <c r="U16" s="416"/>
      <c r="V16" s="417"/>
      <c r="W16" s="418"/>
      <c r="X16" s="1293" t="str">
        <f>IF(COUNTA(P16:V16)=0,"",COUNTA(P16:V16))</f>
        <v/>
      </c>
      <c r="Y16" s="22" t="s">
        <v>206</v>
      </c>
      <c r="Z16" s="1290" t="str">
        <f>IF(IGRF!H17="","",IGRF!H17)</f>
        <v>21</v>
      </c>
      <c r="AA16" s="415"/>
      <c r="AB16" s="416"/>
      <c r="AC16" s="416"/>
      <c r="AD16" s="416"/>
      <c r="AE16" s="416"/>
      <c r="AF16" s="416"/>
      <c r="AG16" s="417"/>
      <c r="AH16" s="418"/>
      <c r="AI16" s="1293" t="str">
        <f>IF(COUNTA(AA16:AG16)=0,"",COUNTA(AA16:AG16))</f>
        <v/>
      </c>
      <c r="AJ16" s="1298">
        <v>13</v>
      </c>
      <c r="AK16" s="1026"/>
      <c r="AL16" s="1026"/>
      <c r="AM16" s="1027"/>
      <c r="AN16" s="1290" t="str">
        <f>IF(IGRF!H17="","",IGRF!H17)</f>
        <v>21</v>
      </c>
      <c r="AO16" s="415"/>
      <c r="AP16" s="416"/>
      <c r="AQ16" s="416"/>
      <c r="AR16" s="416"/>
      <c r="AS16" s="416"/>
      <c r="AT16" s="416"/>
      <c r="AU16" s="417"/>
      <c r="AV16" s="418"/>
      <c r="AW16" s="1293" t="str">
        <f>IF(COUNTA(AO16:AU16)=0,"",COUNTA(AO16:AU16))</f>
        <v/>
      </c>
      <c r="AX16" s="22" t="s">
        <v>206</v>
      </c>
      <c r="AZ16" s="16"/>
    </row>
    <row r="17" spans="1:52" ht="17.7" customHeight="1" thickBot="1" x14ac:dyDescent="0.35">
      <c r="A17" s="1290"/>
      <c r="B17" s="419"/>
      <c r="C17" s="420"/>
      <c r="D17" s="420"/>
      <c r="E17" s="420"/>
      <c r="F17" s="420"/>
      <c r="G17" s="420"/>
      <c r="H17" s="421"/>
      <c r="I17" s="422"/>
      <c r="J17" s="1294"/>
      <c r="K17" s="1299">
        <v>14</v>
      </c>
      <c r="L17" s="1018"/>
      <c r="M17" s="1018"/>
      <c r="N17" s="1019"/>
      <c r="O17" s="1290"/>
      <c r="P17" s="419"/>
      <c r="Q17" s="420"/>
      <c r="R17" s="420"/>
      <c r="S17" s="420"/>
      <c r="T17" s="420"/>
      <c r="U17" s="420"/>
      <c r="V17" s="421"/>
      <c r="W17" s="422"/>
      <c r="X17" s="1294"/>
      <c r="Y17" s="20" t="s">
        <v>207</v>
      </c>
      <c r="Z17" s="1290"/>
      <c r="AA17" s="419"/>
      <c r="AB17" s="420"/>
      <c r="AC17" s="420"/>
      <c r="AD17" s="420"/>
      <c r="AE17" s="420"/>
      <c r="AF17" s="420"/>
      <c r="AG17" s="421"/>
      <c r="AH17" s="422"/>
      <c r="AI17" s="1294"/>
      <c r="AJ17" s="1299">
        <v>14</v>
      </c>
      <c r="AK17" s="1018"/>
      <c r="AL17" s="1018"/>
      <c r="AM17" s="1019"/>
      <c r="AN17" s="1290"/>
      <c r="AO17" s="419"/>
      <c r="AP17" s="420"/>
      <c r="AQ17" s="420"/>
      <c r="AR17" s="420"/>
      <c r="AS17" s="420"/>
      <c r="AT17" s="420"/>
      <c r="AU17" s="421"/>
      <c r="AV17" s="422"/>
      <c r="AW17" s="1294"/>
      <c r="AX17" s="20" t="s">
        <v>207</v>
      </c>
      <c r="AZ17" s="16"/>
    </row>
    <row r="18" spans="1:52" ht="17.7" customHeight="1" x14ac:dyDescent="0.3">
      <c r="A18" s="1291" t="str">
        <f>IF(IGRF!B18="","",IGRF!B18)</f>
        <v>4</v>
      </c>
      <c r="B18" s="423"/>
      <c r="C18" s="424"/>
      <c r="D18" s="424"/>
      <c r="E18" s="424"/>
      <c r="F18" s="424"/>
      <c r="G18" s="425"/>
      <c r="H18" s="426"/>
      <c r="I18" s="418"/>
      <c r="J18" s="1277" t="str">
        <f>IF(COUNTA(B18:H18)=0,"",COUNTA(B18:H18))</f>
        <v/>
      </c>
      <c r="K18" s="1298">
        <v>15</v>
      </c>
      <c r="L18" s="1026"/>
      <c r="M18" s="1026"/>
      <c r="N18" s="1027"/>
      <c r="O18" s="1291" t="str">
        <f>IF(IGRF!B18="","",IGRF!B18)</f>
        <v>4</v>
      </c>
      <c r="P18" s="423"/>
      <c r="Q18" s="424"/>
      <c r="R18" s="424"/>
      <c r="S18" s="424"/>
      <c r="T18" s="424"/>
      <c r="U18" s="425"/>
      <c r="V18" s="426"/>
      <c r="W18" s="418"/>
      <c r="X18" s="1277" t="str">
        <f>IF(COUNTA(P18:V18)=0,"",COUNTA(P18:V18))</f>
        <v/>
      </c>
      <c r="Y18" s="22" t="s">
        <v>208</v>
      </c>
      <c r="Z18" s="1291" t="str">
        <f>IF(IGRF!H18="","",IGRF!H18)</f>
        <v>22</v>
      </c>
      <c r="AA18" s="423"/>
      <c r="AB18" s="424"/>
      <c r="AC18" s="424"/>
      <c r="AD18" s="424"/>
      <c r="AE18" s="424"/>
      <c r="AF18" s="425"/>
      <c r="AG18" s="426"/>
      <c r="AH18" s="418"/>
      <c r="AI18" s="1277" t="str">
        <f>IF(COUNTA(AA18:AG18)=0,"",COUNTA(AA18:AG18))</f>
        <v/>
      </c>
      <c r="AJ18" s="1298">
        <v>15</v>
      </c>
      <c r="AK18" s="1026"/>
      <c r="AL18" s="1026"/>
      <c r="AM18" s="1027"/>
      <c r="AN18" s="1291" t="str">
        <f>IF(IGRF!H18="","",IGRF!H18)</f>
        <v>22</v>
      </c>
      <c r="AO18" s="423"/>
      <c r="AP18" s="424"/>
      <c r="AQ18" s="424"/>
      <c r="AR18" s="424"/>
      <c r="AS18" s="424"/>
      <c r="AT18" s="425"/>
      <c r="AU18" s="426"/>
      <c r="AV18" s="418"/>
      <c r="AW18" s="1277" t="str">
        <f>IF(COUNTA(AO18:AU18)=0,"",COUNTA(AO18:AU18))</f>
        <v/>
      </c>
      <c r="AX18" s="22" t="s">
        <v>208</v>
      </c>
      <c r="AZ18" s="16"/>
    </row>
    <row r="19" spans="1:52" ht="17.7" customHeight="1" thickBot="1" x14ac:dyDescent="0.35">
      <c r="A19" s="1292"/>
      <c r="B19" s="487"/>
      <c r="C19" s="488"/>
      <c r="D19" s="488"/>
      <c r="E19" s="488"/>
      <c r="F19" s="488"/>
      <c r="G19" s="428"/>
      <c r="H19" s="489"/>
      <c r="I19" s="422"/>
      <c r="J19" s="1278"/>
      <c r="K19" s="1299">
        <v>16</v>
      </c>
      <c r="L19" s="1018"/>
      <c r="M19" s="1018"/>
      <c r="N19" s="1019"/>
      <c r="O19" s="1292"/>
      <c r="P19" s="487"/>
      <c r="Q19" s="488"/>
      <c r="R19" s="488"/>
      <c r="S19" s="488"/>
      <c r="T19" s="488"/>
      <c r="U19" s="428"/>
      <c r="V19" s="489"/>
      <c r="W19" s="422"/>
      <c r="X19" s="1278"/>
      <c r="Y19" s="237" t="s">
        <v>209</v>
      </c>
      <c r="Z19" s="1292"/>
      <c r="AA19" s="487"/>
      <c r="AB19" s="488"/>
      <c r="AC19" s="488"/>
      <c r="AD19" s="488"/>
      <c r="AE19" s="488"/>
      <c r="AF19" s="428"/>
      <c r="AG19" s="489"/>
      <c r="AH19" s="422"/>
      <c r="AI19" s="1278"/>
      <c r="AJ19" s="1299">
        <v>16</v>
      </c>
      <c r="AK19" s="1018"/>
      <c r="AL19" s="1018"/>
      <c r="AM19" s="1019"/>
      <c r="AN19" s="1292"/>
      <c r="AO19" s="487"/>
      <c r="AP19" s="488"/>
      <c r="AQ19" s="488"/>
      <c r="AR19" s="488"/>
      <c r="AS19" s="488"/>
      <c r="AT19" s="428"/>
      <c r="AU19" s="489"/>
      <c r="AV19" s="422"/>
      <c r="AW19" s="1278"/>
      <c r="AX19" s="237" t="s">
        <v>209</v>
      </c>
      <c r="AZ19" s="16"/>
    </row>
    <row r="20" spans="1:52" ht="17.7" customHeight="1" thickBot="1" x14ac:dyDescent="0.35">
      <c r="A20" s="1290" t="str">
        <f>IF(IGRF!B19="","",IGRF!B19)</f>
        <v>505</v>
      </c>
      <c r="B20" s="415"/>
      <c r="C20" s="416"/>
      <c r="D20" s="416"/>
      <c r="E20" s="416"/>
      <c r="F20" s="416"/>
      <c r="G20" s="416"/>
      <c r="H20" s="417"/>
      <c r="I20" s="418"/>
      <c r="J20" s="1293" t="str">
        <f>IF(COUNTA(B20:H20)=0,"",COUNTA(B20:H20))</f>
        <v/>
      </c>
      <c r="K20" s="1298">
        <v>17</v>
      </c>
      <c r="L20" s="1026"/>
      <c r="M20" s="1026"/>
      <c r="N20" s="1027"/>
      <c r="O20" s="1290" t="str">
        <f>IF(IGRF!B19="","",IGRF!B19)</f>
        <v>505</v>
      </c>
      <c r="P20" s="415"/>
      <c r="Q20" s="416"/>
      <c r="R20" s="416"/>
      <c r="S20" s="416"/>
      <c r="T20" s="416"/>
      <c r="U20" s="416"/>
      <c r="V20" s="417"/>
      <c r="W20" s="418"/>
      <c r="X20" s="1293" t="str">
        <f>IF(COUNTA(P20:V20)=0,"",COUNTA(P20:V20))</f>
        <v/>
      </c>
      <c r="Y20" s="20" t="s">
        <v>369</v>
      </c>
      <c r="Z20" s="1290" t="str">
        <f>IF(IGRF!H19="","",IGRF!H19)</f>
        <v>312</v>
      </c>
      <c r="AA20" s="415"/>
      <c r="AB20" s="416"/>
      <c r="AC20" s="416"/>
      <c r="AD20" s="416"/>
      <c r="AE20" s="416"/>
      <c r="AF20" s="416"/>
      <c r="AG20" s="417"/>
      <c r="AH20" s="418"/>
      <c r="AI20" s="1293" t="str">
        <f>IF(COUNTA(AA20:AG20)=0,"",COUNTA(AA20:AG20))</f>
        <v/>
      </c>
      <c r="AJ20" s="1298">
        <v>17</v>
      </c>
      <c r="AK20" s="1026"/>
      <c r="AL20" s="1026"/>
      <c r="AM20" s="1027"/>
      <c r="AN20" s="1290" t="str">
        <f>IF(IGRF!H19="","",IGRF!H19)</f>
        <v>312</v>
      </c>
      <c r="AO20" s="415"/>
      <c r="AP20" s="416"/>
      <c r="AQ20" s="416"/>
      <c r="AR20" s="416"/>
      <c r="AS20" s="416"/>
      <c r="AT20" s="416"/>
      <c r="AU20" s="417"/>
      <c r="AV20" s="418"/>
      <c r="AW20" s="1293" t="str">
        <f>IF(COUNTA(AO20:AU20)=0,"",COUNTA(AO20:AU20))</f>
        <v/>
      </c>
      <c r="AX20" s="20" t="s">
        <v>369</v>
      </c>
      <c r="AZ20" s="16"/>
    </row>
    <row r="21" spans="1:52" ht="17.7" customHeight="1" thickBot="1" x14ac:dyDescent="0.35">
      <c r="A21" s="1290"/>
      <c r="B21" s="419"/>
      <c r="C21" s="420"/>
      <c r="D21" s="420"/>
      <c r="E21" s="420"/>
      <c r="F21" s="420"/>
      <c r="G21" s="420"/>
      <c r="H21" s="421"/>
      <c r="I21" s="422"/>
      <c r="J21" s="1294"/>
      <c r="K21" s="1299">
        <v>18</v>
      </c>
      <c r="L21" s="1018"/>
      <c r="M21" s="1018"/>
      <c r="N21" s="1019"/>
      <c r="O21" s="1290"/>
      <c r="P21" s="419"/>
      <c r="Q21" s="420"/>
      <c r="R21" s="420"/>
      <c r="S21" s="420"/>
      <c r="T21" s="420"/>
      <c r="U21" s="420"/>
      <c r="V21" s="421"/>
      <c r="W21" s="422"/>
      <c r="X21" s="1294"/>
      <c r="Y21" s="22" t="s">
        <v>195</v>
      </c>
      <c r="Z21" s="1290"/>
      <c r="AA21" s="419"/>
      <c r="AB21" s="420"/>
      <c r="AC21" s="420"/>
      <c r="AD21" s="420"/>
      <c r="AE21" s="420"/>
      <c r="AF21" s="420"/>
      <c r="AG21" s="421"/>
      <c r="AH21" s="422"/>
      <c r="AI21" s="1294"/>
      <c r="AJ21" s="1299">
        <v>18</v>
      </c>
      <c r="AK21" s="1018"/>
      <c r="AL21" s="1018"/>
      <c r="AM21" s="1019"/>
      <c r="AN21" s="1290"/>
      <c r="AO21" s="419"/>
      <c r="AP21" s="420"/>
      <c r="AQ21" s="420"/>
      <c r="AR21" s="420"/>
      <c r="AS21" s="420"/>
      <c r="AT21" s="420"/>
      <c r="AU21" s="421"/>
      <c r="AV21" s="422"/>
      <c r="AW21" s="1294"/>
      <c r="AX21" s="22" t="s">
        <v>195</v>
      </c>
      <c r="AZ21" s="16"/>
    </row>
    <row r="22" spans="1:52" ht="17.7" customHeight="1" x14ac:dyDescent="0.3">
      <c r="A22" s="1291" t="str">
        <f>IF(IGRF!B20="","",IGRF!B20)</f>
        <v>53</v>
      </c>
      <c r="B22" s="423"/>
      <c r="C22" s="424"/>
      <c r="D22" s="424"/>
      <c r="E22" s="424"/>
      <c r="F22" s="424"/>
      <c r="G22" s="425"/>
      <c r="H22" s="426"/>
      <c r="I22" s="418"/>
      <c r="J22" s="1277" t="str">
        <f>IF(COUNTA(B22:H22)=0,"",COUNTA(B22:H22))</f>
        <v/>
      </c>
      <c r="K22" s="1298">
        <v>19</v>
      </c>
      <c r="L22" s="1026"/>
      <c r="M22" s="1026"/>
      <c r="N22" s="1027"/>
      <c r="O22" s="1291" t="str">
        <f>IF(IGRF!B20="","",IGRF!B20)</f>
        <v>53</v>
      </c>
      <c r="P22" s="423"/>
      <c r="Q22" s="424"/>
      <c r="R22" s="424"/>
      <c r="S22" s="424"/>
      <c r="T22" s="424"/>
      <c r="U22" s="425"/>
      <c r="V22" s="426"/>
      <c r="W22" s="418"/>
      <c r="X22" s="1277" t="str">
        <f>IF(COUNTA(P22:V22)=0,"",COUNTA(P22:V22))</f>
        <v/>
      </c>
      <c r="Y22" s="240" t="s">
        <v>196</v>
      </c>
      <c r="Z22" s="1291" t="str">
        <f>IF(IGRF!H20="","",IGRF!H20)</f>
        <v>51</v>
      </c>
      <c r="AA22" s="423"/>
      <c r="AB22" s="424"/>
      <c r="AC22" s="424"/>
      <c r="AD22" s="424"/>
      <c r="AE22" s="424"/>
      <c r="AF22" s="425"/>
      <c r="AG22" s="426"/>
      <c r="AH22" s="418"/>
      <c r="AI22" s="1277" t="str">
        <f>IF(COUNTA(AA22:AG22)=0,"",COUNTA(AA22:AG22))</f>
        <v/>
      </c>
      <c r="AJ22" s="1298">
        <v>19</v>
      </c>
      <c r="AK22" s="1026"/>
      <c r="AL22" s="1026"/>
      <c r="AM22" s="1027"/>
      <c r="AN22" s="1291" t="str">
        <f>IF(IGRF!H20="","",IGRF!H20)</f>
        <v>51</v>
      </c>
      <c r="AO22" s="423"/>
      <c r="AP22" s="424"/>
      <c r="AQ22" s="424"/>
      <c r="AR22" s="424"/>
      <c r="AS22" s="424"/>
      <c r="AT22" s="425"/>
      <c r="AU22" s="426"/>
      <c r="AV22" s="418"/>
      <c r="AW22" s="1277" t="str">
        <f>IF(COUNTA(AO22:AU22)=0,"",COUNTA(AO22:AU22))</f>
        <v/>
      </c>
      <c r="AX22" s="240" t="s">
        <v>196</v>
      </c>
      <c r="AZ22" s="16"/>
    </row>
    <row r="23" spans="1:52" ht="17.7" customHeight="1" thickBot="1" x14ac:dyDescent="0.35">
      <c r="A23" s="1292"/>
      <c r="B23" s="487"/>
      <c r="C23" s="488"/>
      <c r="D23" s="488"/>
      <c r="E23" s="488"/>
      <c r="F23" s="488"/>
      <c r="G23" s="428"/>
      <c r="H23" s="489"/>
      <c r="I23" s="422"/>
      <c r="J23" s="1278"/>
      <c r="K23" s="1299">
        <v>20</v>
      </c>
      <c r="L23" s="1018"/>
      <c r="M23" s="1018"/>
      <c r="N23" s="1019"/>
      <c r="O23" s="1292"/>
      <c r="P23" s="487"/>
      <c r="Q23" s="488"/>
      <c r="R23" s="488"/>
      <c r="S23" s="488"/>
      <c r="T23" s="488"/>
      <c r="U23" s="428"/>
      <c r="V23" s="489"/>
      <c r="W23" s="422"/>
      <c r="X23" s="1278"/>
      <c r="Y23" s="238" t="s">
        <v>370</v>
      </c>
      <c r="Z23" s="1292"/>
      <c r="AA23" s="487"/>
      <c r="AB23" s="488"/>
      <c r="AC23" s="488"/>
      <c r="AD23" s="488"/>
      <c r="AE23" s="488"/>
      <c r="AF23" s="428"/>
      <c r="AG23" s="489"/>
      <c r="AH23" s="422"/>
      <c r="AI23" s="1278"/>
      <c r="AJ23" s="1299">
        <v>20</v>
      </c>
      <c r="AK23" s="1018"/>
      <c r="AL23" s="1018"/>
      <c r="AM23" s="1019"/>
      <c r="AN23" s="1292"/>
      <c r="AO23" s="487"/>
      <c r="AP23" s="488"/>
      <c r="AQ23" s="488"/>
      <c r="AR23" s="488"/>
      <c r="AS23" s="488"/>
      <c r="AT23" s="428"/>
      <c r="AU23" s="489"/>
      <c r="AV23" s="422"/>
      <c r="AW23" s="1278"/>
      <c r="AX23" s="238" t="s">
        <v>370</v>
      </c>
      <c r="AZ23" s="16"/>
    </row>
    <row r="24" spans="1:52" ht="17.7" customHeight="1" thickBot="1" x14ac:dyDescent="0.35">
      <c r="A24" s="1290" t="str">
        <f>IF(IGRF!B21="","",IGRF!B21)</f>
        <v>761</v>
      </c>
      <c r="B24" s="415"/>
      <c r="C24" s="416"/>
      <c r="D24" s="416"/>
      <c r="E24" s="416"/>
      <c r="F24" s="416"/>
      <c r="G24" s="416"/>
      <c r="H24" s="417"/>
      <c r="I24" s="418"/>
      <c r="J24" s="1293" t="str">
        <f>IF(COUNTA(B24:H24)=0,"",COUNTA(B24:H24))</f>
        <v/>
      </c>
      <c r="K24" s="1298">
        <v>21</v>
      </c>
      <c r="L24" s="1026"/>
      <c r="M24" s="1026"/>
      <c r="N24" s="1027"/>
      <c r="O24" s="1290" t="str">
        <f>IF(IGRF!B21="","",IGRF!B21)</f>
        <v>761</v>
      </c>
      <c r="P24" s="415"/>
      <c r="Q24" s="416"/>
      <c r="R24" s="416"/>
      <c r="S24" s="416"/>
      <c r="T24" s="416"/>
      <c r="U24" s="416"/>
      <c r="V24" s="417"/>
      <c r="W24" s="418"/>
      <c r="X24" s="1293" t="str">
        <f>IF(COUNTA(P24:V24)=0,"",COUNTA(P24:V24))</f>
        <v/>
      </c>
      <c r="Y24" s="239" t="s">
        <v>371</v>
      </c>
      <c r="Z24" s="1290" t="str">
        <f>IF(IGRF!H21="","",IGRF!H21)</f>
        <v>5309</v>
      </c>
      <c r="AA24" s="415"/>
      <c r="AB24" s="416"/>
      <c r="AC24" s="416"/>
      <c r="AD24" s="416"/>
      <c r="AE24" s="416"/>
      <c r="AF24" s="416"/>
      <c r="AG24" s="417"/>
      <c r="AH24" s="418"/>
      <c r="AI24" s="1293" t="str">
        <f>IF(COUNTA(AA24:AG24)=0,"",COUNTA(AA24:AG24))</f>
        <v/>
      </c>
      <c r="AJ24" s="1298">
        <v>21</v>
      </c>
      <c r="AK24" s="1026"/>
      <c r="AL24" s="1026"/>
      <c r="AM24" s="1027"/>
      <c r="AN24" s="1290" t="str">
        <f>IF(IGRF!H21="","",IGRF!H21)</f>
        <v>5309</v>
      </c>
      <c r="AO24" s="415"/>
      <c r="AP24" s="416"/>
      <c r="AQ24" s="416"/>
      <c r="AR24" s="416"/>
      <c r="AS24" s="416"/>
      <c r="AT24" s="416"/>
      <c r="AU24" s="417"/>
      <c r="AV24" s="418"/>
      <c r="AW24" s="1293" t="str">
        <f>IF(COUNTA(AO24:AU24)=0,"",COUNTA(AO24:AU24))</f>
        <v/>
      </c>
      <c r="AX24" s="239" t="s">
        <v>371</v>
      </c>
      <c r="AZ24" s="16"/>
    </row>
    <row r="25" spans="1:52" ht="17.7" customHeight="1" thickBot="1" x14ac:dyDescent="0.35">
      <c r="A25" s="1290"/>
      <c r="B25" s="419"/>
      <c r="C25" s="420"/>
      <c r="D25" s="420"/>
      <c r="E25" s="420"/>
      <c r="F25" s="420"/>
      <c r="G25" s="420"/>
      <c r="H25" s="421"/>
      <c r="I25" s="422"/>
      <c r="J25" s="1294"/>
      <c r="K25" s="1299">
        <v>22</v>
      </c>
      <c r="L25" s="1018"/>
      <c r="M25" s="1018"/>
      <c r="N25" s="1019"/>
      <c r="O25" s="1290"/>
      <c r="P25" s="419"/>
      <c r="Q25" s="420"/>
      <c r="R25" s="420"/>
      <c r="S25" s="420"/>
      <c r="T25" s="420"/>
      <c r="U25" s="420"/>
      <c r="V25" s="421"/>
      <c r="W25" s="422"/>
      <c r="X25" s="1294"/>
      <c r="Y25" s="22" t="s">
        <v>210</v>
      </c>
      <c r="Z25" s="1290"/>
      <c r="AA25" s="419"/>
      <c r="AB25" s="420"/>
      <c r="AC25" s="420"/>
      <c r="AD25" s="420"/>
      <c r="AE25" s="420"/>
      <c r="AF25" s="420"/>
      <c r="AG25" s="421"/>
      <c r="AH25" s="422"/>
      <c r="AI25" s="1294"/>
      <c r="AJ25" s="1299">
        <v>22</v>
      </c>
      <c r="AK25" s="1018"/>
      <c r="AL25" s="1018"/>
      <c r="AM25" s="1019"/>
      <c r="AN25" s="1290"/>
      <c r="AO25" s="419"/>
      <c r="AP25" s="420"/>
      <c r="AQ25" s="420"/>
      <c r="AR25" s="420"/>
      <c r="AS25" s="420"/>
      <c r="AT25" s="420"/>
      <c r="AU25" s="421"/>
      <c r="AV25" s="422"/>
      <c r="AW25" s="1294"/>
      <c r="AX25" s="22" t="s">
        <v>210</v>
      </c>
      <c r="AZ25" s="16"/>
    </row>
    <row r="26" spans="1:52" ht="17.7" customHeight="1" x14ac:dyDescent="0.3">
      <c r="A26" s="1291" t="str">
        <f>IF(IGRF!B22="","",IGRF!B22)</f>
        <v>808</v>
      </c>
      <c r="B26" s="423"/>
      <c r="C26" s="424"/>
      <c r="D26" s="424"/>
      <c r="E26" s="424"/>
      <c r="F26" s="424"/>
      <c r="G26" s="425"/>
      <c r="H26" s="426"/>
      <c r="I26" s="418"/>
      <c r="J26" s="1277" t="str">
        <f>IF(COUNTA(B26:H26)=0,"",COUNTA(B26:H26))</f>
        <v/>
      </c>
      <c r="K26" s="1298">
        <v>23</v>
      </c>
      <c r="L26" s="1026"/>
      <c r="M26" s="1026"/>
      <c r="N26" s="1027"/>
      <c r="O26" s="1291" t="str">
        <f>IF(IGRF!B22="","",IGRF!B22)</f>
        <v>808</v>
      </c>
      <c r="P26" s="423"/>
      <c r="Q26" s="424"/>
      <c r="R26" s="424"/>
      <c r="S26" s="424"/>
      <c r="T26" s="424"/>
      <c r="U26" s="425"/>
      <c r="V26" s="426"/>
      <c r="W26" s="418"/>
      <c r="X26" s="1277" t="str">
        <f>IF(COUNTA(P26:V26)=0,"",COUNTA(P26:V26))</f>
        <v/>
      </c>
      <c r="Y26" s="237" t="s">
        <v>211</v>
      </c>
      <c r="Z26" s="1291" t="str">
        <f>IF(IGRF!H22="","",IGRF!H22)</f>
        <v>69</v>
      </c>
      <c r="AA26" s="423"/>
      <c r="AB26" s="424"/>
      <c r="AC26" s="424"/>
      <c r="AD26" s="424"/>
      <c r="AE26" s="424"/>
      <c r="AF26" s="425"/>
      <c r="AG26" s="426"/>
      <c r="AH26" s="418"/>
      <c r="AI26" s="1277" t="str">
        <f>IF(COUNTA(AA26:AG26)=0,"",COUNTA(AA26:AG26))</f>
        <v/>
      </c>
      <c r="AJ26" s="1298">
        <v>23</v>
      </c>
      <c r="AK26" s="1026"/>
      <c r="AL26" s="1026"/>
      <c r="AM26" s="1027"/>
      <c r="AN26" s="1291" t="str">
        <f>IF(IGRF!H22="","",IGRF!H22)</f>
        <v>69</v>
      </c>
      <c r="AO26" s="423"/>
      <c r="AP26" s="424"/>
      <c r="AQ26" s="424"/>
      <c r="AR26" s="424"/>
      <c r="AS26" s="424"/>
      <c r="AT26" s="425"/>
      <c r="AU26" s="426"/>
      <c r="AV26" s="418"/>
      <c r="AW26" s="1277" t="str">
        <f>IF(COUNTA(AO26:AU26)=0,"",COUNTA(AO26:AU26))</f>
        <v/>
      </c>
      <c r="AX26" s="237" t="s">
        <v>211</v>
      </c>
      <c r="AZ26" s="16"/>
    </row>
    <row r="27" spans="1:52" ht="17.7" customHeight="1" thickBot="1" x14ac:dyDescent="0.35">
      <c r="A27" s="1292"/>
      <c r="B27" s="487"/>
      <c r="C27" s="488"/>
      <c r="D27" s="488"/>
      <c r="E27" s="488"/>
      <c r="F27" s="488"/>
      <c r="G27" s="428"/>
      <c r="H27" s="489"/>
      <c r="I27" s="422"/>
      <c r="J27" s="1278"/>
      <c r="K27" s="1299">
        <v>24</v>
      </c>
      <c r="L27" s="1018"/>
      <c r="M27" s="1018"/>
      <c r="N27" s="1019"/>
      <c r="O27" s="1292"/>
      <c r="P27" s="487"/>
      <c r="Q27" s="488"/>
      <c r="R27" s="488"/>
      <c r="S27" s="488"/>
      <c r="T27" s="488"/>
      <c r="U27" s="428"/>
      <c r="V27" s="489"/>
      <c r="W27" s="422"/>
      <c r="X27" s="1278"/>
      <c r="Y27" s="257" t="s">
        <v>390</v>
      </c>
      <c r="Z27" s="1292"/>
      <c r="AA27" s="487"/>
      <c r="AB27" s="488"/>
      <c r="AC27" s="488"/>
      <c r="AD27" s="488"/>
      <c r="AE27" s="488"/>
      <c r="AF27" s="428"/>
      <c r="AG27" s="489"/>
      <c r="AH27" s="422"/>
      <c r="AI27" s="1278"/>
      <c r="AJ27" s="1299">
        <v>24</v>
      </c>
      <c r="AK27" s="1018"/>
      <c r="AL27" s="1018"/>
      <c r="AM27" s="1019"/>
      <c r="AN27" s="1292"/>
      <c r="AO27" s="487"/>
      <c r="AP27" s="488"/>
      <c r="AQ27" s="488"/>
      <c r="AR27" s="488"/>
      <c r="AS27" s="488"/>
      <c r="AT27" s="428"/>
      <c r="AU27" s="489"/>
      <c r="AV27" s="422"/>
      <c r="AW27" s="1278"/>
      <c r="AX27" s="257" t="s">
        <v>390</v>
      </c>
      <c r="AZ27" s="16"/>
    </row>
    <row r="28" spans="1:52" ht="17.7" customHeight="1" thickBot="1" x14ac:dyDescent="0.35">
      <c r="A28" s="1290" t="str">
        <f>IF(IGRF!B23="","",IGRF!B23)</f>
        <v>9</v>
      </c>
      <c r="B28" s="415"/>
      <c r="C28" s="416"/>
      <c r="D28" s="416"/>
      <c r="E28" s="416"/>
      <c r="F28" s="416"/>
      <c r="G28" s="416"/>
      <c r="H28" s="417"/>
      <c r="I28" s="418"/>
      <c r="J28" s="1293" t="str">
        <f>IF(COUNTA(B28:H28)=0,"",COUNTA(B28:H28))</f>
        <v/>
      </c>
      <c r="K28" s="1298">
        <v>25</v>
      </c>
      <c r="L28" s="1026"/>
      <c r="M28" s="1026"/>
      <c r="N28" s="1027"/>
      <c r="O28" s="1290" t="str">
        <f>IF(IGRF!B23="","",IGRF!B23)</f>
        <v>9</v>
      </c>
      <c r="P28" s="415"/>
      <c r="Q28" s="416"/>
      <c r="R28" s="416"/>
      <c r="S28" s="416"/>
      <c r="T28" s="416"/>
      <c r="U28" s="416"/>
      <c r="V28" s="417"/>
      <c r="W28" s="418"/>
      <c r="X28" s="1293" t="str">
        <f>IF(COUNTA(P28:V28)=0,"",COUNTA(P28:V28))</f>
        <v/>
      </c>
      <c r="Y28" s="239" t="s">
        <v>372</v>
      </c>
      <c r="Z28" s="1290" t="str">
        <f>IF(IGRF!H23="","",IGRF!H23)</f>
        <v>9</v>
      </c>
      <c r="AA28" s="415"/>
      <c r="AB28" s="416"/>
      <c r="AC28" s="416"/>
      <c r="AD28" s="416"/>
      <c r="AE28" s="416"/>
      <c r="AF28" s="416"/>
      <c r="AG28" s="417"/>
      <c r="AH28" s="418"/>
      <c r="AI28" s="1293" t="str">
        <f>IF(COUNTA(AA28:AG28)=0,"",COUNTA(AA28:AG28))</f>
        <v/>
      </c>
      <c r="AJ28" s="1298">
        <v>25</v>
      </c>
      <c r="AK28" s="1026"/>
      <c r="AL28" s="1026"/>
      <c r="AM28" s="1027"/>
      <c r="AN28" s="1290" t="str">
        <f>IF(IGRF!H23="","",IGRF!H23)</f>
        <v>9</v>
      </c>
      <c r="AO28" s="415"/>
      <c r="AP28" s="416"/>
      <c r="AQ28" s="416"/>
      <c r="AR28" s="416"/>
      <c r="AS28" s="416"/>
      <c r="AT28" s="416"/>
      <c r="AU28" s="417"/>
      <c r="AV28" s="418"/>
      <c r="AW28" s="1293" t="str">
        <f>IF(COUNTA(AO28:AU28)=0,"",COUNTA(AO28:AU28))</f>
        <v/>
      </c>
      <c r="AX28" s="239" t="s">
        <v>372</v>
      </c>
      <c r="AZ28" s="16"/>
    </row>
    <row r="29" spans="1:52" ht="17.7" customHeight="1" thickBot="1" x14ac:dyDescent="0.35">
      <c r="A29" s="1290"/>
      <c r="B29" s="419"/>
      <c r="C29" s="420"/>
      <c r="D29" s="420"/>
      <c r="E29" s="420"/>
      <c r="F29" s="420"/>
      <c r="G29" s="420"/>
      <c r="H29" s="421"/>
      <c r="I29" s="422"/>
      <c r="J29" s="1294"/>
      <c r="K29" s="1299">
        <v>26</v>
      </c>
      <c r="L29" s="1018"/>
      <c r="M29" s="1018"/>
      <c r="N29" s="1019"/>
      <c r="O29" s="1290"/>
      <c r="P29" s="419"/>
      <c r="Q29" s="420"/>
      <c r="R29" s="420"/>
      <c r="S29" s="420"/>
      <c r="T29" s="420"/>
      <c r="U29" s="420"/>
      <c r="V29" s="421"/>
      <c r="W29" s="422"/>
      <c r="X29" s="1294"/>
      <c r="Y29" s="23" t="s">
        <v>193</v>
      </c>
      <c r="Z29" s="1290"/>
      <c r="AA29" s="419"/>
      <c r="AB29" s="420"/>
      <c r="AC29" s="420"/>
      <c r="AD29" s="420"/>
      <c r="AE29" s="420"/>
      <c r="AF29" s="420"/>
      <c r="AG29" s="421"/>
      <c r="AH29" s="422"/>
      <c r="AI29" s="1294"/>
      <c r="AJ29" s="1299">
        <v>26</v>
      </c>
      <c r="AK29" s="1018"/>
      <c r="AL29" s="1018"/>
      <c r="AM29" s="1019"/>
      <c r="AN29" s="1290"/>
      <c r="AO29" s="419"/>
      <c r="AP29" s="420"/>
      <c r="AQ29" s="420"/>
      <c r="AR29" s="420"/>
      <c r="AS29" s="420"/>
      <c r="AT29" s="420"/>
      <c r="AU29" s="421"/>
      <c r="AV29" s="422"/>
      <c r="AW29" s="1294"/>
      <c r="AX29" s="23" t="s">
        <v>193</v>
      </c>
      <c r="AZ29" s="16"/>
    </row>
    <row r="30" spans="1:52" ht="17.7" customHeight="1" thickBot="1" x14ac:dyDescent="0.35">
      <c r="A30" s="1291" t="str">
        <f>IF(IGRF!B24="","",IGRF!B24)</f>
        <v>911</v>
      </c>
      <c r="B30" s="423"/>
      <c r="C30" s="424"/>
      <c r="D30" s="424"/>
      <c r="E30" s="424"/>
      <c r="F30" s="424"/>
      <c r="G30" s="425"/>
      <c r="H30" s="426"/>
      <c r="I30" s="418"/>
      <c r="J30" s="1277" t="str">
        <f>IF(COUNTA(B30:H30)=0,"",COUNTA(B30:H30))</f>
        <v/>
      </c>
      <c r="K30" s="1298">
        <v>27</v>
      </c>
      <c r="L30" s="1026"/>
      <c r="M30" s="1026"/>
      <c r="N30" s="1027"/>
      <c r="O30" s="1291" t="str">
        <f>IF(IGRF!B24="","",IGRF!B24)</f>
        <v>911</v>
      </c>
      <c r="P30" s="423"/>
      <c r="Q30" s="424"/>
      <c r="R30" s="424"/>
      <c r="S30" s="424"/>
      <c r="T30" s="424"/>
      <c r="U30" s="425"/>
      <c r="V30" s="426"/>
      <c r="W30" s="418"/>
      <c r="X30" s="1277" t="str">
        <f>IF(COUNTA(P30:V30)=0,"",COUNTA(P30:V30))</f>
        <v/>
      </c>
      <c r="Y30" s="20" t="s">
        <v>194</v>
      </c>
      <c r="Z30" s="1291" t="str">
        <f>IF(IGRF!H24="","",IGRF!H24)</f>
        <v>93</v>
      </c>
      <c r="AA30" s="423"/>
      <c r="AB30" s="424"/>
      <c r="AC30" s="424"/>
      <c r="AD30" s="424"/>
      <c r="AE30" s="424"/>
      <c r="AF30" s="425"/>
      <c r="AG30" s="426"/>
      <c r="AH30" s="418"/>
      <c r="AI30" s="1277" t="str">
        <f>IF(COUNTA(AA30:AG30)=0,"",COUNTA(AA30:AG30))</f>
        <v/>
      </c>
      <c r="AJ30" s="1298">
        <v>27</v>
      </c>
      <c r="AK30" s="1026"/>
      <c r="AL30" s="1026"/>
      <c r="AM30" s="1027"/>
      <c r="AN30" s="1291" t="str">
        <f>IF(IGRF!H24="","",IGRF!H24)</f>
        <v>93</v>
      </c>
      <c r="AO30" s="423"/>
      <c r="AP30" s="424"/>
      <c r="AQ30" s="424"/>
      <c r="AR30" s="424"/>
      <c r="AS30" s="424"/>
      <c r="AT30" s="425"/>
      <c r="AU30" s="426"/>
      <c r="AV30" s="418"/>
      <c r="AW30" s="1277" t="str">
        <f>IF(COUNTA(AO30:AU30)=0,"",COUNTA(AO30:AU30))</f>
        <v/>
      </c>
      <c r="AX30" s="20" t="s">
        <v>194</v>
      </c>
      <c r="AZ30" s="16"/>
    </row>
    <row r="31" spans="1:52" ht="17.7" customHeight="1" thickBot="1" x14ac:dyDescent="0.35">
      <c r="A31" s="1292"/>
      <c r="B31" s="487"/>
      <c r="C31" s="488"/>
      <c r="D31" s="488"/>
      <c r="E31" s="488"/>
      <c r="F31" s="488"/>
      <c r="G31" s="428"/>
      <c r="H31" s="489"/>
      <c r="I31" s="422"/>
      <c r="J31" s="1278"/>
      <c r="K31" s="1299">
        <v>28</v>
      </c>
      <c r="L31" s="1018"/>
      <c r="M31" s="1018"/>
      <c r="N31" s="1019"/>
      <c r="O31" s="1292"/>
      <c r="P31" s="487"/>
      <c r="Q31" s="488"/>
      <c r="R31" s="488"/>
      <c r="S31" s="488"/>
      <c r="T31" s="488"/>
      <c r="U31" s="428"/>
      <c r="V31" s="489"/>
      <c r="W31" s="422"/>
      <c r="X31" s="1278"/>
      <c r="Y31" s="23" t="s">
        <v>212</v>
      </c>
      <c r="Z31" s="1292"/>
      <c r="AA31" s="487"/>
      <c r="AB31" s="488"/>
      <c r="AC31" s="488"/>
      <c r="AD31" s="488"/>
      <c r="AE31" s="488"/>
      <c r="AF31" s="428"/>
      <c r="AG31" s="489"/>
      <c r="AH31" s="422"/>
      <c r="AI31" s="1278"/>
      <c r="AJ31" s="1299">
        <v>28</v>
      </c>
      <c r="AK31" s="1018"/>
      <c r="AL31" s="1018"/>
      <c r="AM31" s="1019"/>
      <c r="AN31" s="1292"/>
      <c r="AO31" s="487"/>
      <c r="AP31" s="488"/>
      <c r="AQ31" s="488"/>
      <c r="AR31" s="488"/>
      <c r="AS31" s="488"/>
      <c r="AT31" s="428"/>
      <c r="AU31" s="489"/>
      <c r="AV31" s="422"/>
      <c r="AW31" s="1278"/>
      <c r="AX31" s="23" t="s">
        <v>212</v>
      </c>
      <c r="AZ31" s="16"/>
    </row>
    <row r="32" spans="1:52" ht="17.7" customHeight="1" thickBot="1" x14ac:dyDescent="0.35">
      <c r="A32" s="1290" t="str">
        <f>IF(IGRF!B25="","",IGRF!B25)</f>
        <v>0</v>
      </c>
      <c r="B32" s="415"/>
      <c r="C32" s="416"/>
      <c r="D32" s="416"/>
      <c r="E32" s="416"/>
      <c r="F32" s="416"/>
      <c r="G32" s="416"/>
      <c r="H32" s="417"/>
      <c r="I32" s="418"/>
      <c r="J32" s="1293" t="str">
        <f>IF(COUNTA(B32:H32)=0,"",COUNTA(B32:H32))</f>
        <v/>
      </c>
      <c r="K32" s="1298">
        <v>29</v>
      </c>
      <c r="L32" s="1026"/>
      <c r="M32" s="1026"/>
      <c r="N32" s="1027"/>
      <c r="O32" s="1290" t="str">
        <f>IF(IGRF!B25="","",IGRF!B25)</f>
        <v>0</v>
      </c>
      <c r="P32" s="415"/>
      <c r="Q32" s="416"/>
      <c r="R32" s="416"/>
      <c r="S32" s="416"/>
      <c r="T32" s="416"/>
      <c r="U32" s="416"/>
      <c r="V32" s="417"/>
      <c r="W32" s="418"/>
      <c r="X32" s="1293" t="str">
        <f>IF(COUNTA(P32:V32)=0,"",COUNTA(P32:V32))</f>
        <v/>
      </c>
      <c r="Y32" s="20" t="s">
        <v>213</v>
      </c>
      <c r="Z32" s="1290" t="str">
        <f>IF(IGRF!H25="","",IGRF!H25)</f>
        <v/>
      </c>
      <c r="AA32" s="415"/>
      <c r="AB32" s="416"/>
      <c r="AC32" s="416"/>
      <c r="AD32" s="416"/>
      <c r="AE32" s="416"/>
      <c r="AF32" s="416"/>
      <c r="AG32" s="417"/>
      <c r="AH32" s="418"/>
      <c r="AI32" s="1293" t="str">
        <f>IF(COUNTA(AA32:AG32)=0,"",COUNTA(AA32:AG32))</f>
        <v/>
      </c>
      <c r="AJ32" s="1298">
        <v>29</v>
      </c>
      <c r="AK32" s="1026"/>
      <c r="AL32" s="1026"/>
      <c r="AM32" s="1027"/>
      <c r="AN32" s="1290" t="str">
        <f>IF(IGRF!H25="","",IGRF!H25)</f>
        <v/>
      </c>
      <c r="AO32" s="415"/>
      <c r="AP32" s="416"/>
      <c r="AQ32" s="416"/>
      <c r="AR32" s="416"/>
      <c r="AS32" s="416"/>
      <c r="AT32" s="416"/>
      <c r="AU32" s="417"/>
      <c r="AV32" s="418"/>
      <c r="AW32" s="1293" t="str">
        <f>IF(COUNTA(AO32:AU32)=0,"",COUNTA(AO32:AU32))</f>
        <v/>
      </c>
      <c r="AX32" s="20" t="s">
        <v>213</v>
      </c>
      <c r="AZ32" s="16"/>
    </row>
    <row r="33" spans="1:52" ht="17.7" customHeight="1" thickBot="1" x14ac:dyDescent="0.35">
      <c r="A33" s="1290"/>
      <c r="B33" s="419"/>
      <c r="C33" s="420"/>
      <c r="D33" s="420"/>
      <c r="E33" s="420"/>
      <c r="F33" s="420"/>
      <c r="G33" s="420"/>
      <c r="H33" s="421"/>
      <c r="I33" s="422"/>
      <c r="J33" s="1294"/>
      <c r="K33" s="1299">
        <v>30</v>
      </c>
      <c r="L33" s="1018"/>
      <c r="M33" s="1018"/>
      <c r="N33" s="1019"/>
      <c r="O33" s="1290"/>
      <c r="P33" s="419"/>
      <c r="Q33" s="420"/>
      <c r="R33" s="420"/>
      <c r="S33" s="420"/>
      <c r="T33" s="420"/>
      <c r="U33" s="420"/>
      <c r="V33" s="421"/>
      <c r="W33" s="422"/>
      <c r="X33" s="1294"/>
      <c r="Y33" s="24" t="s">
        <v>203</v>
      </c>
      <c r="Z33" s="1290"/>
      <c r="AA33" s="419"/>
      <c r="AB33" s="420"/>
      <c r="AC33" s="420"/>
      <c r="AD33" s="420"/>
      <c r="AE33" s="420"/>
      <c r="AF33" s="420"/>
      <c r="AG33" s="421"/>
      <c r="AH33" s="422"/>
      <c r="AI33" s="1294"/>
      <c r="AJ33" s="1299">
        <v>30</v>
      </c>
      <c r="AK33" s="1018"/>
      <c r="AL33" s="1018"/>
      <c r="AM33" s="1019"/>
      <c r="AN33" s="1290"/>
      <c r="AO33" s="419"/>
      <c r="AP33" s="420"/>
      <c r="AQ33" s="420"/>
      <c r="AR33" s="420"/>
      <c r="AS33" s="420"/>
      <c r="AT33" s="420"/>
      <c r="AU33" s="421"/>
      <c r="AV33" s="422"/>
      <c r="AW33" s="1294"/>
      <c r="AX33" s="24" t="s">
        <v>203</v>
      </c>
      <c r="AZ33" s="16"/>
    </row>
    <row r="34" spans="1:52" ht="17.7" customHeight="1" x14ac:dyDescent="0.3">
      <c r="A34" s="1291" t="str">
        <f>IF(IGRF!B26="","",IGRF!B26)</f>
        <v>88</v>
      </c>
      <c r="B34" s="423"/>
      <c r="C34" s="424"/>
      <c r="D34" s="424"/>
      <c r="E34" s="424"/>
      <c r="F34" s="424"/>
      <c r="G34" s="425"/>
      <c r="H34" s="426"/>
      <c r="I34" s="418"/>
      <c r="J34" s="1277" t="str">
        <f>IF(COUNTA(B34:H34)=0,"",COUNTA(B34:H34))</f>
        <v/>
      </c>
      <c r="K34" s="1298">
        <v>31</v>
      </c>
      <c r="L34" s="1026"/>
      <c r="M34" s="1026"/>
      <c r="N34" s="1027"/>
      <c r="O34" s="1291" t="str">
        <f>IF(IGRF!B26="","",IGRF!B26)</f>
        <v>88</v>
      </c>
      <c r="P34" s="423"/>
      <c r="Q34" s="424"/>
      <c r="R34" s="424"/>
      <c r="S34" s="424"/>
      <c r="T34" s="424"/>
      <c r="U34" s="425"/>
      <c r="V34" s="426"/>
      <c r="W34" s="418"/>
      <c r="X34" s="1277" t="str">
        <f>IF(COUNTA(P34:V34)=0,"",COUNTA(P34:V34))</f>
        <v/>
      </c>
      <c r="Y34" s="237" t="s">
        <v>375</v>
      </c>
      <c r="Z34" s="1291" t="str">
        <f>IF(IGRF!H26="","",IGRF!H26)</f>
        <v/>
      </c>
      <c r="AA34" s="423"/>
      <c r="AB34" s="424"/>
      <c r="AC34" s="424"/>
      <c r="AD34" s="424"/>
      <c r="AE34" s="424"/>
      <c r="AF34" s="425"/>
      <c r="AG34" s="426"/>
      <c r="AH34" s="418"/>
      <c r="AI34" s="1277" t="str">
        <f>IF(COUNTA(AA34:AG34)=0,"",COUNTA(AA34:AG34))</f>
        <v/>
      </c>
      <c r="AJ34" s="1298">
        <v>31</v>
      </c>
      <c r="AK34" s="1026"/>
      <c r="AL34" s="1026"/>
      <c r="AM34" s="1027"/>
      <c r="AN34" s="1291" t="str">
        <f>IF(IGRF!H26="","",IGRF!H26)</f>
        <v/>
      </c>
      <c r="AO34" s="423"/>
      <c r="AP34" s="424"/>
      <c r="AQ34" s="424"/>
      <c r="AR34" s="424"/>
      <c r="AS34" s="424"/>
      <c r="AT34" s="425"/>
      <c r="AU34" s="426"/>
      <c r="AV34" s="418"/>
      <c r="AW34" s="1277" t="str">
        <f>IF(COUNTA(AO34:AU34)=0,"",COUNTA(AO34:AU34))</f>
        <v/>
      </c>
      <c r="AX34" s="237" t="s">
        <v>375</v>
      </c>
      <c r="AZ34" s="16"/>
    </row>
    <row r="35" spans="1:52" ht="17.7" customHeight="1" thickBot="1" x14ac:dyDescent="0.35">
      <c r="A35" s="1292"/>
      <c r="B35" s="487"/>
      <c r="C35" s="488"/>
      <c r="D35" s="488"/>
      <c r="E35" s="488"/>
      <c r="F35" s="488"/>
      <c r="G35" s="428"/>
      <c r="H35" s="489"/>
      <c r="I35" s="422"/>
      <c r="J35" s="1278"/>
      <c r="K35" s="1299">
        <v>32</v>
      </c>
      <c r="L35" s="1018"/>
      <c r="M35" s="1018"/>
      <c r="N35" s="1019"/>
      <c r="O35" s="1292"/>
      <c r="P35" s="487"/>
      <c r="Q35" s="488"/>
      <c r="R35" s="488"/>
      <c r="S35" s="488"/>
      <c r="T35" s="488"/>
      <c r="U35" s="428"/>
      <c r="V35" s="489"/>
      <c r="W35" s="422"/>
      <c r="X35" s="1278"/>
      <c r="Y35" s="238" t="s">
        <v>373</v>
      </c>
      <c r="Z35" s="1292"/>
      <c r="AA35" s="487"/>
      <c r="AB35" s="488"/>
      <c r="AC35" s="488"/>
      <c r="AD35" s="488"/>
      <c r="AE35" s="488"/>
      <c r="AF35" s="428"/>
      <c r="AG35" s="489"/>
      <c r="AH35" s="422"/>
      <c r="AI35" s="1278"/>
      <c r="AJ35" s="1299">
        <v>32</v>
      </c>
      <c r="AK35" s="1018"/>
      <c r="AL35" s="1018"/>
      <c r="AM35" s="1019"/>
      <c r="AN35" s="1292"/>
      <c r="AO35" s="487"/>
      <c r="AP35" s="488"/>
      <c r="AQ35" s="488"/>
      <c r="AR35" s="488"/>
      <c r="AS35" s="488"/>
      <c r="AT35" s="428"/>
      <c r="AU35" s="489"/>
      <c r="AV35" s="422"/>
      <c r="AW35" s="1278"/>
      <c r="AX35" s="238" t="s">
        <v>373</v>
      </c>
      <c r="AZ35" s="16"/>
    </row>
    <row r="36" spans="1:52" ht="17.7" customHeight="1" thickBot="1" x14ac:dyDescent="0.35">
      <c r="A36" s="1290" t="str">
        <f>IF(IGRF!B27="","",IGRF!B27)</f>
        <v/>
      </c>
      <c r="B36" s="415"/>
      <c r="C36" s="416"/>
      <c r="D36" s="416"/>
      <c r="E36" s="416"/>
      <c r="F36" s="416"/>
      <c r="G36" s="416"/>
      <c r="H36" s="417"/>
      <c r="I36" s="418"/>
      <c r="J36" s="1293" t="str">
        <f>IF(COUNTA(B36:H36)=0,"",COUNTA(B36:H36))</f>
        <v/>
      </c>
      <c r="K36" s="1298">
        <v>33</v>
      </c>
      <c r="L36" s="1026"/>
      <c r="M36" s="1026"/>
      <c r="N36" s="1027"/>
      <c r="O36" s="1290" t="str">
        <f>IF(IGRF!B27="","",IGRF!B27)</f>
        <v/>
      </c>
      <c r="P36" s="415"/>
      <c r="Q36" s="416"/>
      <c r="R36" s="416"/>
      <c r="S36" s="416"/>
      <c r="T36" s="416"/>
      <c r="U36" s="416"/>
      <c r="V36" s="417"/>
      <c r="W36" s="418"/>
      <c r="X36" s="1293" t="str">
        <f>IF(COUNTA(P36:V36)=0,"",COUNTA(P36:V36))</f>
        <v/>
      </c>
      <c r="Y36" s="239" t="s">
        <v>374</v>
      </c>
      <c r="Z36" s="1290" t="str">
        <f>IF(IGRF!H27="","",IGRF!H27)</f>
        <v/>
      </c>
      <c r="AA36" s="415"/>
      <c r="AB36" s="416"/>
      <c r="AC36" s="416"/>
      <c r="AD36" s="416"/>
      <c r="AE36" s="416"/>
      <c r="AF36" s="416"/>
      <c r="AG36" s="417"/>
      <c r="AH36" s="418"/>
      <c r="AI36" s="1293" t="str">
        <f>IF(COUNTA(AA36:AG36)=0,"",COUNTA(AA36:AG36))</f>
        <v/>
      </c>
      <c r="AJ36" s="1298">
        <v>33</v>
      </c>
      <c r="AK36" s="1026"/>
      <c r="AL36" s="1026"/>
      <c r="AM36" s="1027"/>
      <c r="AN36" s="1290" t="str">
        <f>IF(IGRF!H27="","",IGRF!H27)</f>
        <v/>
      </c>
      <c r="AO36" s="415"/>
      <c r="AP36" s="416"/>
      <c r="AQ36" s="416"/>
      <c r="AR36" s="416"/>
      <c r="AS36" s="416"/>
      <c r="AT36" s="416"/>
      <c r="AU36" s="417"/>
      <c r="AV36" s="418"/>
      <c r="AW36" s="1293" t="str">
        <f>IF(COUNTA(AO36:AU36)=0,"",COUNTA(AO36:AU36))</f>
        <v/>
      </c>
      <c r="AX36" s="239" t="s">
        <v>374</v>
      </c>
      <c r="AZ36" s="16"/>
    </row>
    <row r="37" spans="1:52" ht="17.7" customHeight="1" thickBot="1" x14ac:dyDescent="0.35">
      <c r="A37" s="1290"/>
      <c r="B37" s="419"/>
      <c r="C37" s="420"/>
      <c r="D37" s="420"/>
      <c r="E37" s="420"/>
      <c r="F37" s="420"/>
      <c r="G37" s="420"/>
      <c r="H37" s="421"/>
      <c r="I37" s="422"/>
      <c r="J37" s="1294"/>
      <c r="K37" s="1299">
        <v>34</v>
      </c>
      <c r="L37" s="1018"/>
      <c r="M37" s="1018"/>
      <c r="N37" s="1019"/>
      <c r="O37" s="1290"/>
      <c r="P37" s="419"/>
      <c r="Q37" s="420"/>
      <c r="R37" s="420"/>
      <c r="S37" s="420"/>
      <c r="T37" s="420"/>
      <c r="U37" s="420"/>
      <c r="V37" s="421"/>
      <c r="W37" s="422"/>
      <c r="X37" s="1294"/>
      <c r="Y37" s="22" t="s">
        <v>215</v>
      </c>
      <c r="Z37" s="1290"/>
      <c r="AA37" s="419"/>
      <c r="AB37" s="420"/>
      <c r="AC37" s="420"/>
      <c r="AD37" s="420"/>
      <c r="AE37" s="420"/>
      <c r="AF37" s="420"/>
      <c r="AG37" s="421"/>
      <c r="AH37" s="422"/>
      <c r="AI37" s="1294"/>
      <c r="AJ37" s="1299">
        <v>34</v>
      </c>
      <c r="AK37" s="1018"/>
      <c r="AL37" s="1018"/>
      <c r="AM37" s="1019"/>
      <c r="AN37" s="1290"/>
      <c r="AO37" s="419"/>
      <c r="AP37" s="420"/>
      <c r="AQ37" s="420"/>
      <c r="AR37" s="420"/>
      <c r="AS37" s="420"/>
      <c r="AT37" s="420"/>
      <c r="AU37" s="421"/>
      <c r="AV37" s="422"/>
      <c r="AW37" s="1294"/>
      <c r="AX37" s="22" t="s">
        <v>215</v>
      </c>
      <c r="AZ37" s="16"/>
    </row>
    <row r="38" spans="1:52" ht="17.7" customHeight="1" thickBot="1" x14ac:dyDescent="0.35">
      <c r="A38" s="1291" t="str">
        <f>IF(IGRF!B28="","",IGRF!B28)</f>
        <v/>
      </c>
      <c r="B38" s="423"/>
      <c r="C38" s="424"/>
      <c r="D38" s="424"/>
      <c r="E38" s="424"/>
      <c r="F38" s="424"/>
      <c r="G38" s="425"/>
      <c r="H38" s="426"/>
      <c r="I38" s="418"/>
      <c r="J38" s="1277" t="str">
        <f>IF(COUNTA(B38:H38)=0,"",COUNTA(B38:H38))</f>
        <v/>
      </c>
      <c r="K38" s="1298">
        <v>35</v>
      </c>
      <c r="L38" s="1026"/>
      <c r="M38" s="1026"/>
      <c r="N38" s="1027"/>
      <c r="O38" s="1291" t="str">
        <f>IF(IGRF!B28="","",IGRF!B28)</f>
        <v/>
      </c>
      <c r="P38" s="423"/>
      <c r="Q38" s="424"/>
      <c r="R38" s="424"/>
      <c r="S38" s="424"/>
      <c r="T38" s="424"/>
      <c r="U38" s="425"/>
      <c r="V38" s="426"/>
      <c r="W38" s="418"/>
      <c r="X38" s="1277" t="str">
        <f>IF(COUNTA(P38:V38)=0,"",COUNTA(P38:V38))</f>
        <v/>
      </c>
      <c r="Y38" s="20" t="s">
        <v>216</v>
      </c>
      <c r="Z38" s="1291" t="str">
        <f>IF(IGRF!H28="","",IGRF!H28)</f>
        <v/>
      </c>
      <c r="AA38" s="423"/>
      <c r="AB38" s="424"/>
      <c r="AC38" s="424"/>
      <c r="AD38" s="424"/>
      <c r="AE38" s="424"/>
      <c r="AF38" s="425"/>
      <c r="AG38" s="426"/>
      <c r="AH38" s="418"/>
      <c r="AI38" s="1277" t="str">
        <f>IF(COUNTA(AA38:AG38)=0,"",COUNTA(AA38:AG38))</f>
        <v/>
      </c>
      <c r="AJ38" s="1298">
        <v>35</v>
      </c>
      <c r="AK38" s="1026"/>
      <c r="AL38" s="1026"/>
      <c r="AM38" s="1027"/>
      <c r="AN38" s="1291" t="str">
        <f>IF(IGRF!H28="","",IGRF!H28)</f>
        <v/>
      </c>
      <c r="AO38" s="423"/>
      <c r="AP38" s="424"/>
      <c r="AQ38" s="424"/>
      <c r="AR38" s="424"/>
      <c r="AS38" s="424"/>
      <c r="AT38" s="425"/>
      <c r="AU38" s="426"/>
      <c r="AV38" s="418"/>
      <c r="AW38" s="1277" t="str">
        <f>IF(COUNTA(AO38:AU38)=0,"",COUNTA(AO38:AU38))</f>
        <v/>
      </c>
      <c r="AX38" s="20" t="s">
        <v>216</v>
      </c>
      <c r="AZ38" s="16"/>
    </row>
    <row r="39" spans="1:52" ht="17.7" customHeight="1" thickBot="1" x14ac:dyDescent="0.35">
      <c r="A39" s="1292"/>
      <c r="B39" s="487"/>
      <c r="C39" s="488"/>
      <c r="D39" s="488"/>
      <c r="E39" s="488"/>
      <c r="F39" s="488"/>
      <c r="G39" s="428"/>
      <c r="H39" s="489"/>
      <c r="I39" s="422"/>
      <c r="J39" s="1278"/>
      <c r="K39" s="1299">
        <v>36</v>
      </c>
      <c r="L39" s="1018"/>
      <c r="M39" s="1018"/>
      <c r="N39" s="1019"/>
      <c r="O39" s="1292"/>
      <c r="P39" s="487"/>
      <c r="Q39" s="488"/>
      <c r="R39" s="488"/>
      <c r="S39" s="488"/>
      <c r="T39" s="488"/>
      <c r="U39" s="428"/>
      <c r="V39" s="489"/>
      <c r="W39" s="422"/>
      <c r="X39" s="1278"/>
      <c r="Y39" s="22" t="s">
        <v>313</v>
      </c>
      <c r="Z39" s="1292"/>
      <c r="AA39" s="487"/>
      <c r="AB39" s="488"/>
      <c r="AC39" s="488"/>
      <c r="AD39" s="488"/>
      <c r="AE39" s="488"/>
      <c r="AF39" s="428"/>
      <c r="AG39" s="489"/>
      <c r="AH39" s="422"/>
      <c r="AI39" s="1278"/>
      <c r="AJ39" s="1299">
        <v>36</v>
      </c>
      <c r="AK39" s="1018"/>
      <c r="AL39" s="1018"/>
      <c r="AM39" s="1019"/>
      <c r="AN39" s="1292"/>
      <c r="AO39" s="487"/>
      <c r="AP39" s="488"/>
      <c r="AQ39" s="488"/>
      <c r="AR39" s="488"/>
      <c r="AS39" s="488"/>
      <c r="AT39" s="428"/>
      <c r="AU39" s="489"/>
      <c r="AV39" s="422"/>
      <c r="AW39" s="1278"/>
      <c r="AX39" s="22" t="s">
        <v>313</v>
      </c>
      <c r="AZ39" s="16"/>
    </row>
    <row r="40" spans="1:52" ht="17.7" customHeight="1" thickBot="1" x14ac:dyDescent="0.35">
      <c r="A40" s="1290" t="str">
        <f>IF(IGRF!B29="","",IGRF!B29)</f>
        <v/>
      </c>
      <c r="B40" s="415"/>
      <c r="C40" s="416"/>
      <c r="D40" s="416"/>
      <c r="E40" s="416"/>
      <c r="F40" s="416"/>
      <c r="G40" s="416"/>
      <c r="H40" s="417"/>
      <c r="I40" s="418"/>
      <c r="J40" s="1293" t="str">
        <f>IF(COUNTA(B40:H40)=0,"",COUNTA(B40:H40))</f>
        <v/>
      </c>
      <c r="K40" s="1298">
        <v>37</v>
      </c>
      <c r="L40" s="1026"/>
      <c r="M40" s="1026"/>
      <c r="N40" s="1027"/>
      <c r="O40" s="1290" t="str">
        <f>IF(IGRF!B29="","",IGRF!B29)</f>
        <v/>
      </c>
      <c r="P40" s="415"/>
      <c r="Q40" s="416"/>
      <c r="R40" s="416"/>
      <c r="S40" s="416"/>
      <c r="T40" s="416"/>
      <c r="U40" s="416"/>
      <c r="V40" s="417"/>
      <c r="W40" s="418"/>
      <c r="X40" s="1293" t="str">
        <f>IF(COUNTA(P40:V40)=0,"",COUNTA(P40:V40))</f>
        <v/>
      </c>
      <c r="Y40" s="25" t="s">
        <v>309</v>
      </c>
      <c r="Z40" s="1290" t="str">
        <f>IF(IGRF!H29="","",IGRF!H29)</f>
        <v/>
      </c>
      <c r="AA40" s="415"/>
      <c r="AB40" s="416"/>
      <c r="AC40" s="416"/>
      <c r="AD40" s="416"/>
      <c r="AE40" s="416"/>
      <c r="AF40" s="416"/>
      <c r="AG40" s="417"/>
      <c r="AH40" s="418"/>
      <c r="AI40" s="1293" t="str">
        <f>IF(COUNTA(AA40:AG40)=0,"",COUNTA(AA40:AG40))</f>
        <v/>
      </c>
      <c r="AJ40" s="1298">
        <v>37</v>
      </c>
      <c r="AK40" s="1026"/>
      <c r="AL40" s="1026"/>
      <c r="AM40" s="1027"/>
      <c r="AN40" s="1290" t="str">
        <f>IF(IGRF!H29="","",IGRF!H29)</f>
        <v/>
      </c>
      <c r="AO40" s="415"/>
      <c r="AP40" s="416"/>
      <c r="AQ40" s="416"/>
      <c r="AR40" s="416"/>
      <c r="AS40" s="416"/>
      <c r="AT40" s="416"/>
      <c r="AU40" s="417"/>
      <c r="AV40" s="418"/>
      <c r="AW40" s="1293" t="str">
        <f>IF(COUNTA(AO40:AU40)=0,"",COUNTA(AO40:AU40))</f>
        <v/>
      </c>
      <c r="AX40" s="25" t="s">
        <v>309</v>
      </c>
      <c r="AZ40" s="16"/>
    </row>
    <row r="41" spans="1:52" ht="17.7" customHeight="1" thickBot="1" x14ac:dyDescent="0.35">
      <c r="A41" s="1290"/>
      <c r="B41" s="419"/>
      <c r="C41" s="420"/>
      <c r="D41" s="420"/>
      <c r="E41" s="420"/>
      <c r="F41" s="420"/>
      <c r="G41" s="420"/>
      <c r="H41" s="421"/>
      <c r="I41" s="422"/>
      <c r="J41" s="1294"/>
      <c r="K41" s="1299">
        <v>38</v>
      </c>
      <c r="L41" s="1018"/>
      <c r="M41" s="1018"/>
      <c r="N41" s="1019"/>
      <c r="O41" s="1290"/>
      <c r="P41" s="419"/>
      <c r="Q41" s="420"/>
      <c r="R41" s="420"/>
      <c r="S41" s="420"/>
      <c r="T41" s="420"/>
      <c r="U41" s="420"/>
      <c r="V41" s="421"/>
      <c r="W41" s="422"/>
      <c r="X41" s="1294"/>
      <c r="Y41" s="20" t="s">
        <v>310</v>
      </c>
      <c r="Z41" s="1290"/>
      <c r="AA41" s="419"/>
      <c r="AB41" s="420"/>
      <c r="AC41" s="420"/>
      <c r="AD41" s="420"/>
      <c r="AE41" s="420"/>
      <c r="AF41" s="420"/>
      <c r="AG41" s="421"/>
      <c r="AH41" s="422"/>
      <c r="AI41" s="1294"/>
      <c r="AJ41" s="1299">
        <v>38</v>
      </c>
      <c r="AK41" s="1018"/>
      <c r="AL41" s="1018"/>
      <c r="AM41" s="1019"/>
      <c r="AN41" s="1290"/>
      <c r="AO41" s="419"/>
      <c r="AP41" s="420"/>
      <c r="AQ41" s="420"/>
      <c r="AR41" s="420"/>
      <c r="AS41" s="420"/>
      <c r="AT41" s="420"/>
      <c r="AU41" s="421"/>
      <c r="AV41" s="422"/>
      <c r="AW41" s="1294"/>
      <c r="AX41" s="20" t="s">
        <v>310</v>
      </c>
      <c r="AZ41" s="16"/>
    </row>
    <row r="42" spans="1:52" ht="17.7" customHeight="1" x14ac:dyDescent="0.3">
      <c r="A42" s="1291" t="str">
        <f>IF(IGRF!B30="","",IGRF!B30)</f>
        <v/>
      </c>
      <c r="B42" s="423"/>
      <c r="C42" s="424"/>
      <c r="D42" s="424"/>
      <c r="E42" s="424"/>
      <c r="F42" s="424"/>
      <c r="G42" s="425"/>
      <c r="H42" s="426"/>
      <c r="I42" s="418"/>
      <c r="J42" s="1277" t="str">
        <f>IF(COUNTA(B42:H42)=0,"",COUNTA(B42:H42))</f>
        <v/>
      </c>
      <c r="K42" s="1298"/>
      <c r="L42" s="1026"/>
      <c r="M42" s="1026"/>
      <c r="N42" s="1027"/>
      <c r="O42" s="1291" t="str">
        <f>IF(IGRF!B30="","",IGRF!B30)</f>
        <v/>
      </c>
      <c r="P42" s="423"/>
      <c r="Q42" s="424"/>
      <c r="R42" s="424"/>
      <c r="S42" s="424"/>
      <c r="T42" s="424"/>
      <c r="U42" s="425"/>
      <c r="V42" s="426"/>
      <c r="W42" s="418"/>
      <c r="X42" s="1277" t="str">
        <f>IF(COUNTA(P42:V42)=0,"",COUNTA(P42:V42))</f>
        <v/>
      </c>
      <c r="Y42" s="23" t="s">
        <v>217</v>
      </c>
      <c r="Z42" s="1291" t="str">
        <f>IF(IGRF!H30="","",IGRF!H30)</f>
        <v/>
      </c>
      <c r="AA42" s="423"/>
      <c r="AB42" s="424"/>
      <c r="AC42" s="424"/>
      <c r="AD42" s="424"/>
      <c r="AE42" s="424"/>
      <c r="AF42" s="425"/>
      <c r="AG42" s="426"/>
      <c r="AH42" s="418"/>
      <c r="AI42" s="1277" t="str">
        <f>IF(COUNTA(AA42:AG42)=0,"",COUNTA(AA42:AG42))</f>
        <v/>
      </c>
      <c r="AJ42" s="1298"/>
      <c r="AK42" s="1026"/>
      <c r="AL42" s="1026"/>
      <c r="AM42" s="1027"/>
      <c r="AN42" s="1291" t="str">
        <f>IF(IGRF!H30="","",IGRF!H30)</f>
        <v/>
      </c>
      <c r="AO42" s="423"/>
      <c r="AP42" s="424"/>
      <c r="AQ42" s="424"/>
      <c r="AR42" s="424"/>
      <c r="AS42" s="424"/>
      <c r="AT42" s="425"/>
      <c r="AU42" s="426"/>
      <c r="AV42" s="418"/>
      <c r="AW42" s="1277" t="str">
        <f>IF(COUNTA(AO42:AU42)=0,"",COUNTA(AO42:AU42))</f>
        <v/>
      </c>
      <c r="AX42" s="23" t="s">
        <v>217</v>
      </c>
      <c r="AZ42" s="16"/>
    </row>
    <row r="43" spans="1:52" ht="17.7" customHeight="1" thickBot="1" x14ac:dyDescent="0.35">
      <c r="A43" s="1292"/>
      <c r="B43" s="487"/>
      <c r="C43" s="488"/>
      <c r="D43" s="488"/>
      <c r="E43" s="488"/>
      <c r="F43" s="488"/>
      <c r="G43" s="428"/>
      <c r="H43" s="489"/>
      <c r="I43" s="422"/>
      <c r="J43" s="1278"/>
      <c r="K43" s="1299"/>
      <c r="L43" s="1018"/>
      <c r="M43" s="1018"/>
      <c r="N43" s="1019"/>
      <c r="O43" s="1292"/>
      <c r="P43" s="487"/>
      <c r="Q43" s="488"/>
      <c r="R43" s="488"/>
      <c r="S43" s="488"/>
      <c r="T43" s="488"/>
      <c r="U43" s="428"/>
      <c r="V43" s="489"/>
      <c r="W43" s="422"/>
      <c r="X43" s="1278"/>
      <c r="Y43" s="26" t="s">
        <v>218</v>
      </c>
      <c r="Z43" s="1292"/>
      <c r="AA43" s="487"/>
      <c r="AB43" s="488"/>
      <c r="AC43" s="488"/>
      <c r="AD43" s="488"/>
      <c r="AE43" s="488"/>
      <c r="AF43" s="428"/>
      <c r="AG43" s="489"/>
      <c r="AH43" s="422"/>
      <c r="AI43" s="1278"/>
      <c r="AJ43" s="1299"/>
      <c r="AK43" s="1018"/>
      <c r="AL43" s="1018"/>
      <c r="AM43" s="1019"/>
      <c r="AN43" s="1292"/>
      <c r="AO43" s="487"/>
      <c r="AP43" s="488"/>
      <c r="AQ43" s="488"/>
      <c r="AR43" s="488"/>
      <c r="AS43" s="488"/>
      <c r="AT43" s="428"/>
      <c r="AU43" s="489"/>
      <c r="AV43" s="422"/>
      <c r="AW43" s="1278"/>
      <c r="AX43" s="26" t="s">
        <v>218</v>
      </c>
      <c r="AZ43" s="16"/>
    </row>
    <row r="44" spans="1:52" s="27" customFormat="1" ht="23.25" customHeight="1" thickBot="1" x14ac:dyDescent="0.3">
      <c r="A44" s="1288" t="s">
        <v>335</v>
      </c>
      <c r="B44" s="1289"/>
      <c r="C44" s="1289"/>
      <c r="D44" s="1289"/>
      <c r="E44" s="1289"/>
      <c r="F44" s="1289"/>
      <c r="G44" s="1289"/>
      <c r="H44" s="1289"/>
      <c r="I44" s="1289"/>
      <c r="J44" s="328" t="str">
        <f>IF(SUM(J4:J43)=0,"",SUM(J4:J43))</f>
        <v/>
      </c>
      <c r="K44" s="1295"/>
      <c r="L44" s="1296"/>
      <c r="M44" s="1296"/>
      <c r="N44" s="1297"/>
      <c r="O44" s="1288" t="s">
        <v>335</v>
      </c>
      <c r="P44" s="1289"/>
      <c r="Q44" s="1289"/>
      <c r="R44" s="1289"/>
      <c r="S44" s="1289"/>
      <c r="T44" s="1289"/>
      <c r="U44" s="1289"/>
      <c r="V44" s="1289"/>
      <c r="W44" s="1289"/>
      <c r="X44" s="328" t="str">
        <f>IF(SUM(X4:X43)=0,"",SUM(X4:X43))</f>
        <v/>
      </c>
      <c r="Y44" s="241" t="s">
        <v>173</v>
      </c>
      <c r="Z44" s="1288" t="s">
        <v>335</v>
      </c>
      <c r="AA44" s="1289"/>
      <c r="AB44" s="1289"/>
      <c r="AC44" s="1289"/>
      <c r="AD44" s="1289"/>
      <c r="AE44" s="1289"/>
      <c r="AF44" s="1289"/>
      <c r="AG44" s="1289"/>
      <c r="AH44" s="1289"/>
      <c r="AI44" s="328" t="str">
        <f>IF(SUM(AI4:AI43)=0,"",SUM(AI4:AI43))</f>
        <v/>
      </c>
      <c r="AJ44" s="1295"/>
      <c r="AK44" s="1296"/>
      <c r="AL44" s="1296"/>
      <c r="AM44" s="1297"/>
      <c r="AN44" s="1288" t="s">
        <v>335</v>
      </c>
      <c r="AO44" s="1289"/>
      <c r="AP44" s="1289"/>
      <c r="AQ44" s="1289"/>
      <c r="AR44" s="1289"/>
      <c r="AS44" s="1289"/>
      <c r="AT44" s="1289"/>
      <c r="AU44" s="1289"/>
      <c r="AV44" s="1289"/>
      <c r="AW44" s="328" t="str">
        <f>IF(SUM(AW4:AW43)=0,"",SUM(AW4:AW43))</f>
        <v/>
      </c>
      <c r="AX44" s="241" t="s">
        <v>173</v>
      </c>
    </row>
    <row r="45" spans="1:52" x14ac:dyDescent="0.3">
      <c r="A45" s="1282" t="s">
        <v>314</v>
      </c>
      <c r="B45" s="1283"/>
      <c r="C45" s="1283"/>
      <c r="D45" s="1283"/>
      <c r="E45" s="1283"/>
      <c r="F45" s="1283"/>
      <c r="G45" s="1283"/>
      <c r="H45" s="1283"/>
      <c r="I45" s="1283"/>
      <c r="J45" s="1283"/>
      <c r="K45" s="1283"/>
      <c r="L45" s="1283"/>
      <c r="M45" s="1283"/>
      <c r="N45" s="1283"/>
      <c r="O45" s="1283"/>
      <c r="P45" s="1283"/>
      <c r="Q45" s="1283"/>
      <c r="R45" s="1283"/>
      <c r="S45" s="1283"/>
      <c r="T45" s="1283"/>
      <c r="U45" s="1283"/>
      <c r="V45" s="1283"/>
      <c r="W45" s="1283"/>
      <c r="X45" s="1283"/>
      <c r="Y45" s="1284"/>
      <c r="Z45" s="1282" t="s">
        <v>314</v>
      </c>
      <c r="AA45" s="1283"/>
      <c r="AB45" s="1283"/>
      <c r="AC45" s="1283"/>
      <c r="AD45" s="1283"/>
      <c r="AE45" s="1283"/>
      <c r="AF45" s="1283"/>
      <c r="AG45" s="1283"/>
      <c r="AH45" s="1283"/>
      <c r="AI45" s="1283"/>
      <c r="AJ45" s="1283"/>
      <c r="AK45" s="1283"/>
      <c r="AL45" s="1283"/>
      <c r="AM45" s="1283"/>
      <c r="AN45" s="1283"/>
      <c r="AO45" s="1283"/>
      <c r="AP45" s="1283"/>
      <c r="AQ45" s="1283"/>
      <c r="AR45" s="1283"/>
      <c r="AS45" s="1283"/>
      <c r="AT45" s="1283"/>
      <c r="AU45" s="1283"/>
      <c r="AV45" s="1283"/>
      <c r="AW45" s="1283"/>
      <c r="AX45" s="1284"/>
      <c r="AZ45" s="16"/>
    </row>
    <row r="46" spans="1:52" x14ac:dyDescent="0.3">
      <c r="A46" s="1282" t="s">
        <v>338</v>
      </c>
      <c r="B46" s="1283"/>
      <c r="C46" s="1283"/>
      <c r="D46" s="1283"/>
      <c r="E46" s="1283"/>
      <c r="F46" s="1283"/>
      <c r="G46" s="1283"/>
      <c r="H46" s="1283"/>
      <c r="I46" s="1283"/>
      <c r="J46" s="1283"/>
      <c r="K46" s="1283"/>
      <c r="L46" s="1283"/>
      <c r="M46" s="1283"/>
      <c r="N46" s="1283"/>
      <c r="O46" s="1283"/>
      <c r="P46" s="1283"/>
      <c r="Q46" s="1283"/>
      <c r="R46" s="1283"/>
      <c r="S46" s="1283"/>
      <c r="T46" s="1283"/>
      <c r="U46" s="1283"/>
      <c r="V46" s="1283"/>
      <c r="W46" s="1283"/>
      <c r="X46" s="1283"/>
      <c r="Y46" s="1284"/>
      <c r="Z46" s="1282" t="s">
        <v>338</v>
      </c>
      <c r="AA46" s="1283"/>
      <c r="AB46" s="1283"/>
      <c r="AC46" s="1283"/>
      <c r="AD46" s="1283"/>
      <c r="AE46" s="1283"/>
      <c r="AF46" s="1283"/>
      <c r="AG46" s="1283"/>
      <c r="AH46" s="1283"/>
      <c r="AI46" s="1283"/>
      <c r="AJ46" s="1283"/>
      <c r="AK46" s="1283"/>
      <c r="AL46" s="1283"/>
      <c r="AM46" s="1283"/>
      <c r="AN46" s="1283"/>
      <c r="AO46" s="1283"/>
      <c r="AP46" s="1283"/>
      <c r="AQ46" s="1283"/>
      <c r="AR46" s="1283"/>
      <c r="AS46" s="1283"/>
      <c r="AT46" s="1283"/>
      <c r="AU46" s="1283"/>
      <c r="AV46" s="1283"/>
      <c r="AW46" s="1283"/>
      <c r="AX46" s="1284"/>
      <c r="AZ46" s="16"/>
    </row>
    <row r="47" spans="1:52" x14ac:dyDescent="0.3">
      <c r="A47" s="1285" t="s">
        <v>339</v>
      </c>
      <c r="B47" s="1286"/>
      <c r="C47" s="1286"/>
      <c r="D47" s="1286"/>
      <c r="E47" s="1286"/>
      <c r="F47" s="1286"/>
      <c r="G47" s="1286"/>
      <c r="H47" s="1286"/>
      <c r="I47" s="1286"/>
      <c r="J47" s="1286"/>
      <c r="K47" s="1286"/>
      <c r="L47" s="1286"/>
      <c r="M47" s="1286"/>
      <c r="N47" s="1286"/>
      <c r="O47" s="1286"/>
      <c r="P47" s="1286"/>
      <c r="Q47" s="1286"/>
      <c r="R47" s="1286"/>
      <c r="S47" s="1286"/>
      <c r="T47" s="1286"/>
      <c r="U47" s="1286"/>
      <c r="V47" s="1286"/>
      <c r="W47" s="1286"/>
      <c r="X47" s="1286"/>
      <c r="Y47" s="1287"/>
      <c r="Z47" s="1285" t="s">
        <v>339</v>
      </c>
      <c r="AA47" s="1286"/>
      <c r="AB47" s="1286"/>
      <c r="AC47" s="1286"/>
      <c r="AD47" s="1286"/>
      <c r="AE47" s="1286"/>
      <c r="AF47" s="1286"/>
      <c r="AG47" s="1286"/>
      <c r="AH47" s="1286"/>
      <c r="AI47" s="1286"/>
      <c r="AJ47" s="1286"/>
      <c r="AK47" s="1286"/>
      <c r="AL47" s="1286"/>
      <c r="AM47" s="1286"/>
      <c r="AN47" s="1286"/>
      <c r="AO47" s="1286"/>
      <c r="AP47" s="1286"/>
      <c r="AQ47" s="1286"/>
      <c r="AR47" s="1286"/>
      <c r="AS47" s="1286"/>
      <c r="AT47" s="1286"/>
      <c r="AU47" s="1286"/>
      <c r="AV47" s="1286"/>
      <c r="AW47" s="1286"/>
      <c r="AX47" s="1287"/>
      <c r="AZ47" s="16"/>
    </row>
    <row r="48" spans="1:52" ht="14.4" thickBot="1" x14ac:dyDescent="0.35">
      <c r="A48" s="1279" t="s">
        <v>604</v>
      </c>
      <c r="B48" s="1280"/>
      <c r="C48" s="1280"/>
      <c r="D48" s="1280"/>
      <c r="E48" s="1280"/>
      <c r="F48" s="1280"/>
      <c r="G48" s="1280"/>
      <c r="H48" s="1280"/>
      <c r="I48" s="1280"/>
      <c r="J48" s="1280"/>
      <c r="K48" s="1280"/>
      <c r="L48" s="1280"/>
      <c r="M48" s="1280"/>
      <c r="N48" s="1280"/>
      <c r="O48" s="1280"/>
      <c r="P48" s="1280"/>
      <c r="Q48" s="1280"/>
      <c r="R48" s="1280"/>
      <c r="S48" s="1280"/>
      <c r="T48" s="1280"/>
      <c r="U48" s="1280"/>
      <c r="V48" s="1280"/>
      <c r="W48" s="1280"/>
      <c r="X48" s="1280"/>
      <c r="Y48" s="1281"/>
      <c r="Z48" s="1279" t="s">
        <v>604</v>
      </c>
      <c r="AA48" s="1280"/>
      <c r="AB48" s="1280"/>
      <c r="AC48" s="1280"/>
      <c r="AD48" s="1280"/>
      <c r="AE48" s="1280"/>
      <c r="AF48" s="1280"/>
      <c r="AG48" s="1280"/>
      <c r="AH48" s="1280"/>
      <c r="AI48" s="1280"/>
      <c r="AJ48" s="1280"/>
      <c r="AK48" s="1280"/>
      <c r="AL48" s="1280"/>
      <c r="AM48" s="1280"/>
      <c r="AN48" s="1280"/>
      <c r="AO48" s="1280"/>
      <c r="AP48" s="1280"/>
      <c r="AQ48" s="1280"/>
      <c r="AR48" s="1280"/>
      <c r="AS48" s="1280"/>
      <c r="AT48" s="1280"/>
      <c r="AU48" s="1280"/>
      <c r="AV48" s="1280"/>
      <c r="AW48" s="1280"/>
      <c r="AX48" s="1281"/>
      <c r="AZ48" s="16"/>
    </row>
    <row r="49" spans="1:51" x14ac:dyDescent="0.3">
      <c r="A49" s="28"/>
      <c r="B49" s="28"/>
      <c r="C49" s="28"/>
      <c r="D49" s="28"/>
      <c r="E49" s="28"/>
      <c r="F49" s="28"/>
      <c r="G49" s="28"/>
      <c r="H49" s="28"/>
      <c r="I49" s="28"/>
      <c r="J49" s="28"/>
      <c r="K49" s="28"/>
      <c r="L49" s="28"/>
      <c r="M49" s="28"/>
      <c r="N49" s="28"/>
      <c r="O49" s="28"/>
      <c r="P49" s="28"/>
      <c r="Q49" s="28"/>
      <c r="R49" s="28"/>
      <c r="S49" s="28"/>
      <c r="T49" s="28"/>
      <c r="U49" s="28"/>
      <c r="V49" s="28"/>
      <c r="W49" s="28"/>
      <c r="X49" s="29"/>
      <c r="AA49" s="29"/>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29"/>
    </row>
    <row r="50" spans="1:51" x14ac:dyDescent="0.3">
      <c r="A50" s="28"/>
      <c r="B50" s="28"/>
      <c r="C50" s="28"/>
      <c r="D50" s="28"/>
      <c r="E50" s="28"/>
      <c r="F50" s="28"/>
      <c r="G50" s="28"/>
      <c r="H50" s="28"/>
      <c r="I50" s="28"/>
      <c r="J50" s="28"/>
      <c r="K50" s="28"/>
      <c r="L50" s="28"/>
      <c r="M50" s="28"/>
      <c r="N50" s="28"/>
      <c r="O50" s="28"/>
      <c r="P50" s="28"/>
      <c r="Q50" s="28"/>
      <c r="R50" s="28"/>
      <c r="S50" s="28"/>
      <c r="T50" s="28"/>
      <c r="U50" s="28"/>
      <c r="V50" s="28"/>
      <c r="W50" s="28"/>
      <c r="X50" s="29"/>
      <c r="AA50" s="29"/>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9"/>
    </row>
  </sheetData>
  <sheetProtection selectLockedCells="1"/>
  <mergeCells count="286">
    <mergeCell ref="AN34:AN35"/>
    <mergeCell ref="AJ40:AM40"/>
    <mergeCell ref="AJ19:AM19"/>
    <mergeCell ref="K22:N22"/>
    <mergeCell ref="K23:N23"/>
    <mergeCell ref="K15:N15"/>
    <mergeCell ref="K16:N16"/>
    <mergeCell ref="K17:N17"/>
    <mergeCell ref="K18:N18"/>
    <mergeCell ref="K19:N19"/>
    <mergeCell ref="K20:N20"/>
    <mergeCell ref="AN20:AN21"/>
    <mergeCell ref="AN22:AN23"/>
    <mergeCell ref="AN16:AN17"/>
    <mergeCell ref="AN18:AN19"/>
    <mergeCell ref="AJ16:AM16"/>
    <mergeCell ref="AJ17:AM17"/>
    <mergeCell ref="AJ28:AM28"/>
    <mergeCell ref="AJ29:AM29"/>
    <mergeCell ref="AJ30:AM30"/>
    <mergeCell ref="AJ32:AM32"/>
    <mergeCell ref="AJ33:AM33"/>
    <mergeCell ref="AJ34:AM34"/>
    <mergeCell ref="AJ35:AM35"/>
    <mergeCell ref="K42:N42"/>
    <mergeCell ref="K43:N43"/>
    <mergeCell ref="K37:N37"/>
    <mergeCell ref="K44:N44"/>
    <mergeCell ref="K28:N28"/>
    <mergeCell ref="Z40:Z41"/>
    <mergeCell ref="Z34:Z35"/>
    <mergeCell ref="K29:N29"/>
    <mergeCell ref="K30:N30"/>
    <mergeCell ref="K31:N31"/>
    <mergeCell ref="K32:N32"/>
    <mergeCell ref="K33:N33"/>
    <mergeCell ref="K34:N34"/>
    <mergeCell ref="Z32:Z33"/>
    <mergeCell ref="K38:N38"/>
    <mergeCell ref="K35:N35"/>
    <mergeCell ref="K40:N40"/>
    <mergeCell ref="K41:N41"/>
    <mergeCell ref="A22:A23"/>
    <mergeCell ref="O22:O23"/>
    <mergeCell ref="Z26:Z27"/>
    <mergeCell ref="X22:X23"/>
    <mergeCell ref="K39:N39"/>
    <mergeCell ref="A40:A41"/>
    <mergeCell ref="O40:O41"/>
    <mergeCell ref="A34:A35"/>
    <mergeCell ref="O34:O35"/>
    <mergeCell ref="AI32:AI33"/>
    <mergeCell ref="J32:J33"/>
    <mergeCell ref="J34:J35"/>
    <mergeCell ref="X32:X33"/>
    <mergeCell ref="X34:X35"/>
    <mergeCell ref="Z24:Z25"/>
    <mergeCell ref="Z22:Z23"/>
    <mergeCell ref="AJ31:AM31"/>
    <mergeCell ref="A16:A17"/>
    <mergeCell ref="O16:O17"/>
    <mergeCell ref="A18:A19"/>
    <mergeCell ref="O18:O19"/>
    <mergeCell ref="J16:J17"/>
    <mergeCell ref="J18:J19"/>
    <mergeCell ref="A26:A27"/>
    <mergeCell ref="O26:O27"/>
    <mergeCell ref="J20:J21"/>
    <mergeCell ref="J22:J23"/>
    <mergeCell ref="A24:A25"/>
    <mergeCell ref="O24:O25"/>
    <mergeCell ref="A20:A21"/>
    <mergeCell ref="O20:O21"/>
    <mergeCell ref="K24:N24"/>
    <mergeCell ref="K25:N25"/>
    <mergeCell ref="A42:A43"/>
    <mergeCell ref="O42:O43"/>
    <mergeCell ref="Z42:Z43"/>
    <mergeCell ref="AN42:AN43"/>
    <mergeCell ref="A36:A37"/>
    <mergeCell ref="O36:O37"/>
    <mergeCell ref="Z36:Z37"/>
    <mergeCell ref="AN36:AN37"/>
    <mergeCell ref="A38:A39"/>
    <mergeCell ref="O38:O39"/>
    <mergeCell ref="Z38:Z39"/>
    <mergeCell ref="AN38:AN39"/>
    <mergeCell ref="X40:X41"/>
    <mergeCell ref="X42:X43"/>
    <mergeCell ref="J36:J37"/>
    <mergeCell ref="J38:J39"/>
    <mergeCell ref="J40:J41"/>
    <mergeCell ref="J42:J43"/>
    <mergeCell ref="X36:X37"/>
    <mergeCell ref="X38:X39"/>
    <mergeCell ref="AJ41:AM41"/>
    <mergeCell ref="AJ42:AM42"/>
    <mergeCell ref="AJ43:AM43"/>
    <mergeCell ref="K36:N36"/>
    <mergeCell ref="AN26:AN27"/>
    <mergeCell ref="J24:J25"/>
    <mergeCell ref="J26:J27"/>
    <mergeCell ref="X24:X25"/>
    <mergeCell ref="X26:X27"/>
    <mergeCell ref="AJ24:AM24"/>
    <mergeCell ref="AJ25:AM25"/>
    <mergeCell ref="AJ26:AM26"/>
    <mergeCell ref="AJ27:AM27"/>
    <mergeCell ref="K26:N26"/>
    <mergeCell ref="K27:N27"/>
    <mergeCell ref="AI26:AI27"/>
    <mergeCell ref="X16:X17"/>
    <mergeCell ref="X18:X19"/>
    <mergeCell ref="X20:X21"/>
    <mergeCell ref="K21:N21"/>
    <mergeCell ref="AI4:AI5"/>
    <mergeCell ref="K5:N5"/>
    <mergeCell ref="K6:N6"/>
    <mergeCell ref="K7:N7"/>
    <mergeCell ref="Z8:Z9"/>
    <mergeCell ref="O4:O5"/>
    <mergeCell ref="Z4:Z5"/>
    <mergeCell ref="O8:O9"/>
    <mergeCell ref="O12:O13"/>
    <mergeCell ref="Z20:Z21"/>
    <mergeCell ref="Z16:Z17"/>
    <mergeCell ref="Z18:Z19"/>
    <mergeCell ref="AI18:AI19"/>
    <mergeCell ref="Z14:Z15"/>
    <mergeCell ref="A6:A7"/>
    <mergeCell ref="O6:O7"/>
    <mergeCell ref="Z6:Z7"/>
    <mergeCell ref="J4:J5"/>
    <mergeCell ref="J6:J7"/>
    <mergeCell ref="X4:X5"/>
    <mergeCell ref="X6:X7"/>
    <mergeCell ref="Z12:Z13"/>
    <mergeCell ref="A14:A15"/>
    <mergeCell ref="O14:O15"/>
    <mergeCell ref="A4:A5"/>
    <mergeCell ref="A10:A11"/>
    <mergeCell ref="O10:O11"/>
    <mergeCell ref="Z10:Z11"/>
    <mergeCell ref="J8:J9"/>
    <mergeCell ref="J10:J11"/>
    <mergeCell ref="X8:X9"/>
    <mergeCell ref="X10:X11"/>
    <mergeCell ref="K8:N8"/>
    <mergeCell ref="K9:N9"/>
    <mergeCell ref="K10:N10"/>
    <mergeCell ref="A8:A9"/>
    <mergeCell ref="A12:A13"/>
    <mergeCell ref="K14:N14"/>
    <mergeCell ref="AN14:AN15"/>
    <mergeCell ref="J12:J13"/>
    <mergeCell ref="J14:J15"/>
    <mergeCell ref="X12:X13"/>
    <mergeCell ref="X14:X15"/>
    <mergeCell ref="K4:N4"/>
    <mergeCell ref="AN8:AN9"/>
    <mergeCell ref="AN10:AN11"/>
    <mergeCell ref="AJ4:AM4"/>
    <mergeCell ref="AJ5:AM5"/>
    <mergeCell ref="AJ6:AM6"/>
    <mergeCell ref="AJ7:AM7"/>
    <mergeCell ref="AJ8:AM8"/>
    <mergeCell ref="AJ9:AM9"/>
    <mergeCell ref="AJ10:AM10"/>
    <mergeCell ref="AJ11:AM11"/>
    <mergeCell ref="AJ12:AM12"/>
    <mergeCell ref="AJ13:AM13"/>
    <mergeCell ref="AJ14:AM14"/>
    <mergeCell ref="AJ15:AM15"/>
    <mergeCell ref="B3:H3"/>
    <mergeCell ref="P3:V3"/>
    <mergeCell ref="AA3:AG3"/>
    <mergeCell ref="AO3:AU3"/>
    <mergeCell ref="K3:N3"/>
    <mergeCell ref="K11:N11"/>
    <mergeCell ref="K12:N12"/>
    <mergeCell ref="K13:N13"/>
    <mergeCell ref="AJ3:AM3"/>
    <mergeCell ref="AN4:AN5"/>
    <mergeCell ref="AN6:AN7"/>
    <mergeCell ref="AN12:AN13"/>
    <mergeCell ref="AW18:AW19"/>
    <mergeCell ref="AI20:AI21"/>
    <mergeCell ref="AW20:AW21"/>
    <mergeCell ref="AJ21:AM21"/>
    <mergeCell ref="AJ22:AM22"/>
    <mergeCell ref="AJ23:AM23"/>
    <mergeCell ref="AJ20:AM20"/>
    <mergeCell ref="AN24:AN25"/>
    <mergeCell ref="AJ18:AM18"/>
    <mergeCell ref="AW26:AW27"/>
    <mergeCell ref="AW30:AW31"/>
    <mergeCell ref="AI22:AI23"/>
    <mergeCell ref="AW32:AW33"/>
    <mergeCell ref="AI34:AI35"/>
    <mergeCell ref="AW34:AW35"/>
    <mergeCell ref="AW4:AW5"/>
    <mergeCell ref="AI6:AI7"/>
    <mergeCell ref="AI28:AI29"/>
    <mergeCell ref="AW6:AW7"/>
    <mergeCell ref="AI8:AI9"/>
    <mergeCell ref="AW8:AW9"/>
    <mergeCell ref="AI10:AI11"/>
    <mergeCell ref="AW10:AW11"/>
    <mergeCell ref="AW22:AW23"/>
    <mergeCell ref="AI24:AI25"/>
    <mergeCell ref="AW24:AW25"/>
    <mergeCell ref="AI12:AI13"/>
    <mergeCell ref="AW12:AW13"/>
    <mergeCell ref="AI14:AI15"/>
    <mergeCell ref="AW14:AW15"/>
    <mergeCell ref="AI16:AI17"/>
    <mergeCell ref="AW16:AW17"/>
    <mergeCell ref="AW28:AW29"/>
    <mergeCell ref="Z46:AX46"/>
    <mergeCell ref="Z47:AX47"/>
    <mergeCell ref="AI36:AI37"/>
    <mergeCell ref="AW36:AW37"/>
    <mergeCell ref="AI38:AI39"/>
    <mergeCell ref="AW38:AW39"/>
    <mergeCell ref="AI40:AI41"/>
    <mergeCell ref="AW40:AW41"/>
    <mergeCell ref="AI42:AI43"/>
    <mergeCell ref="AW42:AW43"/>
    <mergeCell ref="Z44:AH44"/>
    <mergeCell ref="AN44:AV44"/>
    <mergeCell ref="AJ44:AM44"/>
    <mergeCell ref="AJ36:AM36"/>
    <mergeCell ref="AJ37:AM37"/>
    <mergeCell ref="AJ38:AM38"/>
    <mergeCell ref="AJ39:AM39"/>
    <mergeCell ref="AN40:AN41"/>
    <mergeCell ref="AI30:AI31"/>
    <mergeCell ref="A48:Y48"/>
    <mergeCell ref="Z48:AX48"/>
    <mergeCell ref="A45:Y45"/>
    <mergeCell ref="A46:Y46"/>
    <mergeCell ref="A47:Y47"/>
    <mergeCell ref="A44:I44"/>
    <mergeCell ref="O44:W44"/>
    <mergeCell ref="A28:A29"/>
    <mergeCell ref="O28:O29"/>
    <mergeCell ref="Z28:Z29"/>
    <mergeCell ref="AN28:AN29"/>
    <mergeCell ref="A30:A31"/>
    <mergeCell ref="O30:O31"/>
    <mergeCell ref="Z30:Z31"/>
    <mergeCell ref="AN30:AN31"/>
    <mergeCell ref="J28:J29"/>
    <mergeCell ref="J30:J31"/>
    <mergeCell ref="X28:X29"/>
    <mergeCell ref="X30:X31"/>
    <mergeCell ref="A32:A33"/>
    <mergeCell ref="O32:O33"/>
    <mergeCell ref="AN32:AN33"/>
    <mergeCell ref="Z45:AX45"/>
    <mergeCell ref="T1:Y1"/>
    <mergeCell ref="T2:Y2"/>
    <mergeCell ref="AF1:AG1"/>
    <mergeCell ref="AM1:AP1"/>
    <mergeCell ref="AQ1:AR1"/>
    <mergeCell ref="AS1:AX1"/>
    <mergeCell ref="AF2:AG2"/>
    <mergeCell ref="AM2:AP2"/>
    <mergeCell ref="AQ2:AR2"/>
    <mergeCell ref="AS2:AX2"/>
    <mergeCell ref="Z1:AC1"/>
    <mergeCell ref="AD1:AE1"/>
    <mergeCell ref="AH1:AL2"/>
    <mergeCell ref="Z2:AC2"/>
    <mergeCell ref="AD2:AE2"/>
    <mergeCell ref="G1:H1"/>
    <mergeCell ref="G2:H2"/>
    <mergeCell ref="N1:Q1"/>
    <mergeCell ref="N2:Q2"/>
    <mergeCell ref="R1:S1"/>
    <mergeCell ref="R2:S2"/>
    <mergeCell ref="A1:D1"/>
    <mergeCell ref="A2:D2"/>
    <mergeCell ref="E1:F1"/>
    <mergeCell ref="E2:F2"/>
    <mergeCell ref="I1:M2"/>
  </mergeCells>
  <phoneticPr fontId="6" type="noConversion"/>
  <dataValidations count="3">
    <dataValidation type="textLength" operator="equal" allowBlank="1" showInputMessage="1" showErrorMessage="1" errorTitle="This Tab is Print-Only" error="Please enter all penalty data in the &quot;Penalties&quot; tab at the front of the statsbook." sqref="B4:I43">
      <formula1>0</formula1>
    </dataValidation>
    <dataValidation allowBlank="1" showInputMessage="1" showErrorMessage="1" errorTitle="This Tab is Print-Only" error="Please enter all penalty data in the &quot;Penalties&quot; tab at the front of the statsbook." sqref="P4:W43"/>
    <dataValidation type="textLength" operator="equal" allowBlank="1" showInputMessage="1" showErrorMessage="1" errorTitle="This Tab is Print-Only" error="Please enter all penalty data in the &quot;Penalties&quot; tab at the front of the statsbook." sqref="AA4:AH43 AO4:AV43">
      <formula1>0</formula1>
    </dataValidation>
  </dataValidations>
  <printOptions horizontalCentered="1" verticalCentered="1"/>
  <pageMargins left="1" right="0.4" top="0.4" bottom="0.25" header="0" footer="0"/>
  <pageSetup scale="66" orientation="landscape" horizontalDpi="4294967294" verticalDpi="4294967294"/>
  <colBreaks count="1" manualBreakCount="1">
    <brk id="25" max="1048575" man="1"/>
  </col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rgb="FF0000FF"/>
  </sheetPr>
  <dimension ref="A1:CA140"/>
  <sheetViews>
    <sheetView workbookViewId="0">
      <selection sqref="A1:G1"/>
    </sheetView>
  </sheetViews>
  <sheetFormatPr defaultColWidth="8.6640625" defaultRowHeight="13.8" x14ac:dyDescent="0.3"/>
  <cols>
    <col min="1" max="1" width="5.6640625" style="16" customWidth="1"/>
    <col min="2" max="2" width="12.6640625" style="16" customWidth="1"/>
    <col min="3" max="7" width="3.44140625" style="16" customWidth="1"/>
    <col min="8" max="8" width="12.6640625" style="16" customWidth="1"/>
    <col min="9" max="10" width="2.6640625" style="16" customWidth="1"/>
    <col min="11" max="11" width="12.6640625" style="16" customWidth="1"/>
    <col min="12" max="13" width="2.6640625" style="16" customWidth="1"/>
    <col min="14" max="14" width="12.6640625" style="16" customWidth="1"/>
    <col min="15" max="16" width="2.6640625" style="16" customWidth="1"/>
    <col min="17" max="17" width="12.6640625" style="16" customWidth="1"/>
    <col min="18" max="19" width="2.6640625" style="16" customWidth="1"/>
    <col min="20" max="20" width="12.6640625" style="16" customWidth="1"/>
    <col min="21" max="22" width="2.6640625" style="16" customWidth="1"/>
    <col min="23" max="23" width="12.6640625" style="16" customWidth="1"/>
    <col min="24" max="25" width="2.6640625" style="16" customWidth="1"/>
    <col min="26" max="26" width="12.6640625" style="16" customWidth="1"/>
    <col min="27" max="28" width="2.6640625" style="16" customWidth="1"/>
    <col min="29" max="29" width="12.6640625" style="16" customWidth="1"/>
    <col min="30" max="31" width="2.6640625" style="16" customWidth="1"/>
    <col min="32" max="32" width="12.6640625" style="16" customWidth="1"/>
    <col min="33" max="34" width="2.6640625" style="16" customWidth="1"/>
    <col min="35" max="36" width="12.6640625" style="16" customWidth="1"/>
    <col min="37" max="43" width="0" style="16" hidden="1" customWidth="1"/>
    <col min="44" max="44" width="5.6640625" style="16" customWidth="1"/>
    <col min="45" max="45" width="12.6640625" style="16" customWidth="1"/>
    <col min="46" max="50" width="3.44140625" style="16" customWidth="1"/>
    <col min="51" max="51" width="12.6640625" style="16" customWidth="1"/>
    <col min="52" max="53" width="2.6640625" style="16" customWidth="1"/>
    <col min="54" max="54" width="12.6640625" style="16" customWidth="1"/>
    <col min="55" max="56" width="2.6640625" style="16" customWidth="1"/>
    <col min="57" max="57" width="12.6640625" style="16" customWidth="1"/>
    <col min="58" max="59" width="2.6640625" style="16" customWidth="1"/>
    <col min="60" max="60" width="12.6640625" style="16" customWidth="1"/>
    <col min="61" max="62" width="2.6640625" style="16" customWidth="1"/>
    <col min="63" max="63" width="12.6640625" style="16" customWidth="1"/>
    <col min="64" max="65" width="2.6640625" style="16" customWidth="1"/>
    <col min="66" max="66" width="12.6640625" style="16" customWidth="1"/>
    <col min="67" max="68" width="2.6640625" style="16" customWidth="1"/>
    <col min="69" max="69" width="12.6640625" style="16" customWidth="1"/>
    <col min="70" max="71" width="2.6640625" style="16" customWidth="1"/>
    <col min="72" max="72" width="12.6640625" style="16" customWidth="1"/>
    <col min="73" max="74" width="2.6640625" style="16" customWidth="1"/>
    <col min="75" max="75" width="12.6640625" style="16" customWidth="1"/>
    <col min="76" max="77" width="2.6640625" style="16" customWidth="1"/>
    <col min="78" max="79" width="12.6640625" style="16" customWidth="1"/>
    <col min="80" max="16384" width="8.6640625" style="16"/>
  </cols>
  <sheetData>
    <row r="1" spans="1:79" ht="31.2" x14ac:dyDescent="0.6">
      <c r="A1" s="1302" t="s">
        <v>268</v>
      </c>
      <c r="B1" s="1302"/>
      <c r="C1" s="1302"/>
      <c r="D1" s="1302"/>
      <c r="E1" s="1302"/>
      <c r="F1" s="1302"/>
      <c r="G1" s="1302"/>
      <c r="H1" s="1306">
        <f>IF(ISBLANK(IGRF!$B$5), "", IGRF!$B$5)</f>
        <v>41832</v>
      </c>
      <c r="I1" s="1306"/>
      <c r="J1" s="1306"/>
      <c r="K1" s="1304" t="str">
        <f>Score!$A$1</f>
        <v>Rat City Rollergirls / All-Stars</v>
      </c>
      <c r="L1" s="1304"/>
      <c r="M1" s="1304"/>
      <c r="N1" s="1304"/>
      <c r="O1" s="1304"/>
      <c r="P1" s="1304"/>
      <c r="Q1" s="1304"/>
      <c r="R1" s="1304"/>
      <c r="S1" s="1304"/>
      <c r="T1" s="1308"/>
      <c r="U1" s="1308"/>
      <c r="V1" s="1308"/>
      <c r="W1" s="1308"/>
      <c r="X1" s="1308"/>
      <c r="Y1" s="1308"/>
      <c r="Z1" s="1308"/>
      <c r="AA1" s="1308"/>
      <c r="AB1" s="1308"/>
      <c r="AC1" s="1310"/>
      <c r="AD1" s="1310"/>
      <c r="AE1" s="1310"/>
      <c r="AF1" s="1310"/>
      <c r="AG1" s="1310"/>
      <c r="AH1" s="1310"/>
      <c r="AI1" s="1310"/>
      <c r="AJ1" s="1">
        <v>1</v>
      </c>
      <c r="AR1" s="1302" t="s">
        <v>268</v>
      </c>
      <c r="AS1" s="1302"/>
      <c r="AT1" s="1302"/>
      <c r="AU1" s="1302"/>
      <c r="AV1" s="1302"/>
      <c r="AW1" s="1302"/>
      <c r="AX1" s="1302"/>
      <c r="AY1" s="1306">
        <f>IF(ISBLANK(IGRF!$B$5), "", IGRF!$B$5)</f>
        <v>41832</v>
      </c>
      <c r="AZ1" s="1306"/>
      <c r="BA1" s="1306"/>
      <c r="BB1" s="1304" t="str">
        <f>Score!$T$1</f>
        <v>Houston Roller Derby / All-Stars</v>
      </c>
      <c r="BC1" s="1304"/>
      <c r="BD1" s="1304"/>
      <c r="BE1" s="1304"/>
      <c r="BF1" s="1304"/>
      <c r="BG1" s="1304"/>
      <c r="BH1" s="1304"/>
      <c r="BI1" s="1304"/>
      <c r="BJ1" s="1304"/>
      <c r="BK1" s="1308"/>
      <c r="BL1" s="1308"/>
      <c r="BM1" s="1308"/>
      <c r="BN1" s="1308"/>
      <c r="BO1" s="1308"/>
      <c r="BP1" s="1308"/>
      <c r="BQ1" s="1308"/>
      <c r="BR1" s="1308"/>
      <c r="BS1" s="1308"/>
      <c r="BT1" s="1310"/>
      <c r="BU1" s="1310"/>
      <c r="BV1" s="1310"/>
      <c r="BW1" s="1310"/>
      <c r="BX1" s="1310"/>
      <c r="BY1" s="1310"/>
      <c r="BZ1" s="1310"/>
      <c r="CA1" s="1">
        <v>1</v>
      </c>
    </row>
    <row r="2" spans="1:79" ht="15" customHeight="1" thickBot="1" x14ac:dyDescent="0.35">
      <c r="A2" s="1303" t="s">
        <v>654</v>
      </c>
      <c r="B2" s="1303"/>
      <c r="C2" s="1303"/>
      <c r="D2" s="1303"/>
      <c r="E2" s="1303"/>
      <c r="F2" s="1303"/>
      <c r="G2" s="1303"/>
      <c r="H2" s="1307" t="s">
        <v>355</v>
      </c>
      <c r="I2" s="1307"/>
      <c r="J2" s="1307"/>
      <c r="K2" s="1305"/>
      <c r="L2" s="1305"/>
      <c r="M2" s="1305"/>
      <c r="N2" s="1305"/>
      <c r="O2" s="1305"/>
      <c r="P2" s="1305"/>
      <c r="Q2" s="1305"/>
      <c r="R2" s="1305"/>
      <c r="S2" s="1305"/>
      <c r="T2" s="1309" t="s">
        <v>340</v>
      </c>
      <c r="U2" s="1309"/>
      <c r="V2" s="1309"/>
      <c r="W2" s="1309"/>
      <c r="X2" s="1309"/>
      <c r="Y2" s="1309"/>
      <c r="Z2" s="1309"/>
      <c r="AA2" s="1309"/>
      <c r="AB2" s="1309"/>
      <c r="AC2" s="1311" t="s">
        <v>344</v>
      </c>
      <c r="AD2" s="1311"/>
      <c r="AE2" s="1311"/>
      <c r="AF2" s="1311"/>
      <c r="AG2" s="1311"/>
      <c r="AH2" s="1311"/>
      <c r="AI2" s="1311"/>
      <c r="AJ2" s="4" t="str">
        <f>IF(ISBLANK(IGRF!$K$3), "", "GAME " &amp; IGRF!$K$3)</f>
        <v>GAME 2</v>
      </c>
      <c r="AR2" s="1303" t="str">
        <f>A2</f>
        <v>Rev. 140421 © 2014 WFTDA</v>
      </c>
      <c r="AS2" s="1303"/>
      <c r="AT2" s="1303"/>
      <c r="AU2" s="1303"/>
      <c r="AV2" s="1303"/>
      <c r="AW2" s="1303"/>
      <c r="AX2" s="1303"/>
      <c r="AY2" s="1307" t="s">
        <v>355</v>
      </c>
      <c r="AZ2" s="1307"/>
      <c r="BA2" s="1307"/>
      <c r="BB2" s="1305"/>
      <c r="BC2" s="1305"/>
      <c r="BD2" s="1305"/>
      <c r="BE2" s="1305"/>
      <c r="BF2" s="1305"/>
      <c r="BG2" s="1305"/>
      <c r="BH2" s="1305"/>
      <c r="BI2" s="1305"/>
      <c r="BJ2" s="1305"/>
      <c r="BK2" s="1309" t="s">
        <v>340</v>
      </c>
      <c r="BL2" s="1309"/>
      <c r="BM2" s="1309"/>
      <c r="BN2" s="1309"/>
      <c r="BO2" s="1309"/>
      <c r="BP2" s="1309"/>
      <c r="BQ2" s="1309"/>
      <c r="BR2" s="1309"/>
      <c r="BS2" s="1309"/>
      <c r="BT2" s="1311" t="s">
        <v>344</v>
      </c>
      <c r="BU2" s="1311"/>
      <c r="BV2" s="1311"/>
      <c r="BW2" s="1311"/>
      <c r="BX2" s="1311"/>
      <c r="BY2" s="1311"/>
      <c r="BZ2" s="1311"/>
      <c r="CA2" s="4" t="str">
        <f>AJ2</f>
        <v>GAME 2</v>
      </c>
    </row>
    <row r="3" spans="1:79" ht="28.2" thickBot="1" x14ac:dyDescent="0.35">
      <c r="A3" s="109" t="s">
        <v>257</v>
      </c>
      <c r="B3" s="110" t="s">
        <v>258</v>
      </c>
      <c r="C3" s="111" t="s">
        <v>259</v>
      </c>
      <c r="D3" s="112" t="s">
        <v>260</v>
      </c>
      <c r="E3" s="112" t="s">
        <v>261</v>
      </c>
      <c r="F3" s="112" t="s">
        <v>262</v>
      </c>
      <c r="G3" s="113" t="s">
        <v>263</v>
      </c>
      <c r="H3" s="114" t="s">
        <v>264</v>
      </c>
      <c r="I3" s="1318" t="s">
        <v>316</v>
      </c>
      <c r="J3" s="1319"/>
      <c r="K3" s="115" t="s">
        <v>265</v>
      </c>
      <c r="L3" s="1320" t="s">
        <v>316</v>
      </c>
      <c r="M3" s="1320"/>
      <c r="N3" s="115" t="s">
        <v>266</v>
      </c>
      <c r="O3" s="1320" t="s">
        <v>316</v>
      </c>
      <c r="P3" s="1320"/>
      <c r="Q3" s="115" t="s">
        <v>179</v>
      </c>
      <c r="R3" s="1320" t="s">
        <v>316</v>
      </c>
      <c r="S3" s="1320"/>
      <c r="T3" s="115" t="s">
        <v>180</v>
      </c>
      <c r="U3" s="1320" t="s">
        <v>316</v>
      </c>
      <c r="V3" s="1320"/>
      <c r="W3" s="115" t="s">
        <v>181</v>
      </c>
      <c r="X3" s="1321" t="s">
        <v>316</v>
      </c>
      <c r="Y3" s="1321"/>
      <c r="Z3" s="115" t="s">
        <v>182</v>
      </c>
      <c r="AA3" s="1318" t="s">
        <v>316</v>
      </c>
      <c r="AB3" s="1319"/>
      <c r="AC3" s="115" t="s">
        <v>324</v>
      </c>
      <c r="AD3" s="1321" t="s">
        <v>316</v>
      </c>
      <c r="AE3" s="1321"/>
      <c r="AF3" s="115" t="s">
        <v>325</v>
      </c>
      <c r="AG3" s="1318" t="s">
        <v>316</v>
      </c>
      <c r="AH3" s="1319"/>
      <c r="AI3" s="116" t="s">
        <v>183</v>
      </c>
      <c r="AJ3" s="117" t="s">
        <v>184</v>
      </c>
      <c r="AK3" s="118" t="s">
        <v>185</v>
      </c>
      <c r="AL3" s="119" t="s">
        <v>317</v>
      </c>
      <c r="AM3" s="120" t="s">
        <v>318</v>
      </c>
      <c r="AN3" s="120" t="s">
        <v>319</v>
      </c>
      <c r="AO3" s="120" t="s">
        <v>320</v>
      </c>
      <c r="AP3" s="121" t="s">
        <v>321</v>
      </c>
      <c r="AQ3" s="122" t="s">
        <v>322</v>
      </c>
      <c r="AR3" s="109" t="s">
        <v>257</v>
      </c>
      <c r="AS3" s="110" t="s">
        <v>258</v>
      </c>
      <c r="AT3" s="111" t="s">
        <v>259</v>
      </c>
      <c r="AU3" s="112" t="s">
        <v>260</v>
      </c>
      <c r="AV3" s="112" t="s">
        <v>261</v>
      </c>
      <c r="AW3" s="112" t="s">
        <v>262</v>
      </c>
      <c r="AX3" s="113" t="s">
        <v>263</v>
      </c>
      <c r="AY3" s="114" t="s">
        <v>264</v>
      </c>
      <c r="AZ3" s="1320" t="s">
        <v>316</v>
      </c>
      <c r="BA3" s="1320"/>
      <c r="BB3" s="115" t="s">
        <v>265</v>
      </c>
      <c r="BC3" s="1320" t="s">
        <v>316</v>
      </c>
      <c r="BD3" s="1320"/>
      <c r="BE3" s="115" t="s">
        <v>266</v>
      </c>
      <c r="BF3" s="1320" t="s">
        <v>316</v>
      </c>
      <c r="BG3" s="1320"/>
      <c r="BH3" s="115" t="s">
        <v>179</v>
      </c>
      <c r="BI3" s="1320" t="s">
        <v>316</v>
      </c>
      <c r="BJ3" s="1320"/>
      <c r="BK3" s="115" t="s">
        <v>180</v>
      </c>
      <c r="BL3" s="1320" t="s">
        <v>316</v>
      </c>
      <c r="BM3" s="1320"/>
      <c r="BN3" s="115" t="s">
        <v>181</v>
      </c>
      <c r="BO3" s="1321" t="s">
        <v>316</v>
      </c>
      <c r="BP3" s="1321"/>
      <c r="BQ3" s="115" t="s">
        <v>182</v>
      </c>
      <c r="BR3" s="1318" t="s">
        <v>316</v>
      </c>
      <c r="BS3" s="1319"/>
      <c r="BT3" s="115" t="s">
        <v>324</v>
      </c>
      <c r="BU3" s="1321" t="s">
        <v>316</v>
      </c>
      <c r="BV3" s="1321"/>
      <c r="BW3" s="115" t="s">
        <v>325</v>
      </c>
      <c r="BX3" s="1320" t="s">
        <v>316</v>
      </c>
      <c r="BY3" s="1320"/>
      <c r="BZ3" s="116" t="s">
        <v>183</v>
      </c>
      <c r="CA3" s="117" t="s">
        <v>184</v>
      </c>
    </row>
    <row r="4" spans="1:79" ht="14.25" customHeight="1" thickBot="1" x14ac:dyDescent="0.35">
      <c r="A4" s="1325"/>
      <c r="B4" s="1326"/>
      <c r="C4" s="1327"/>
      <c r="D4" s="1328"/>
      <c r="E4" s="1328"/>
      <c r="F4" s="1328"/>
      <c r="G4" s="1335"/>
      <c r="H4" s="1337"/>
      <c r="I4" s="123"/>
      <c r="J4" s="124"/>
      <c r="K4" s="1333"/>
      <c r="L4" s="123"/>
      <c r="M4" s="124"/>
      <c r="N4" s="1333"/>
      <c r="O4" s="123"/>
      <c r="P4" s="124"/>
      <c r="Q4" s="1333"/>
      <c r="R4" s="123"/>
      <c r="S4" s="124"/>
      <c r="T4" s="1333"/>
      <c r="U4" s="123"/>
      <c r="V4" s="124"/>
      <c r="W4" s="1333"/>
      <c r="X4" s="123"/>
      <c r="Y4" s="124"/>
      <c r="Z4" s="1333"/>
      <c r="AA4" s="123"/>
      <c r="AB4" s="124"/>
      <c r="AC4" s="1333"/>
      <c r="AD4" s="123"/>
      <c r="AE4" s="124"/>
      <c r="AF4" s="1333"/>
      <c r="AG4" s="123"/>
      <c r="AH4" s="124"/>
      <c r="AI4" s="1334" t="s">
        <v>323</v>
      </c>
      <c r="AJ4" s="1332" t="s">
        <v>323</v>
      </c>
      <c r="AK4" s="1317">
        <v>0</v>
      </c>
      <c r="AL4" s="1322">
        <v>0</v>
      </c>
      <c r="AM4" s="1317">
        <v>0</v>
      </c>
      <c r="AN4" s="1317">
        <v>0</v>
      </c>
      <c r="AO4" s="1317">
        <v>0</v>
      </c>
      <c r="AP4" s="1317">
        <v>0</v>
      </c>
      <c r="AQ4" s="1344">
        <v>0</v>
      </c>
      <c r="AR4" s="1329"/>
      <c r="AS4" s="1330"/>
      <c r="AT4" s="1331"/>
      <c r="AU4" s="1323"/>
      <c r="AV4" s="1323"/>
      <c r="AW4" s="1323"/>
      <c r="AX4" s="1342"/>
      <c r="AY4" s="1343"/>
      <c r="AZ4" s="125"/>
      <c r="BA4" s="126"/>
      <c r="BB4" s="1341"/>
      <c r="BC4" s="125"/>
      <c r="BD4" s="126"/>
      <c r="BE4" s="1341"/>
      <c r="BF4" s="125"/>
      <c r="BG4" s="126"/>
      <c r="BH4" s="1341"/>
      <c r="BI4" s="125"/>
      <c r="BJ4" s="126"/>
      <c r="BK4" s="1341"/>
      <c r="BL4" s="125"/>
      <c r="BM4" s="126"/>
      <c r="BN4" s="1341"/>
      <c r="BO4" s="125"/>
      <c r="BP4" s="126"/>
      <c r="BQ4" s="1341"/>
      <c r="BR4" s="125"/>
      <c r="BS4" s="126"/>
      <c r="BT4" s="1341"/>
      <c r="BU4" s="125"/>
      <c r="BV4" s="126"/>
      <c r="BW4" s="1341"/>
      <c r="BX4" s="125"/>
      <c r="BY4" s="126"/>
      <c r="BZ4" s="1324" t="s">
        <v>323</v>
      </c>
      <c r="CA4" s="1338" t="s">
        <v>323</v>
      </c>
    </row>
    <row r="5" spans="1:79" ht="14.25" customHeight="1" x14ac:dyDescent="0.3">
      <c r="A5" s="1325"/>
      <c r="B5" s="1326"/>
      <c r="C5" s="1327"/>
      <c r="D5" s="1328"/>
      <c r="E5" s="1328"/>
      <c r="F5" s="1328"/>
      <c r="G5" s="1336"/>
      <c r="H5" s="1337"/>
      <c r="I5" s="125"/>
      <c r="J5" s="126"/>
      <c r="K5" s="1333"/>
      <c r="L5" s="125"/>
      <c r="M5" s="126"/>
      <c r="N5" s="1333"/>
      <c r="O5" s="125"/>
      <c r="P5" s="126"/>
      <c r="Q5" s="1333"/>
      <c r="R5" s="125"/>
      <c r="S5" s="126"/>
      <c r="T5" s="1333"/>
      <c r="U5" s="125"/>
      <c r="V5" s="126"/>
      <c r="W5" s="1333"/>
      <c r="X5" s="125"/>
      <c r="Y5" s="126"/>
      <c r="Z5" s="1333"/>
      <c r="AA5" s="125"/>
      <c r="AB5" s="126"/>
      <c r="AC5" s="1333"/>
      <c r="AD5" s="125"/>
      <c r="AE5" s="126"/>
      <c r="AF5" s="1333"/>
      <c r="AG5" s="125"/>
      <c r="AH5" s="126"/>
      <c r="AI5" s="1334"/>
      <c r="AJ5" s="1332"/>
      <c r="AK5" s="1317"/>
      <c r="AL5" s="1322"/>
      <c r="AM5" s="1317"/>
      <c r="AN5" s="1317"/>
      <c r="AO5" s="1317"/>
      <c r="AP5" s="1317"/>
      <c r="AQ5" s="1344"/>
      <c r="AR5" s="1329"/>
      <c r="AS5" s="1330"/>
      <c r="AT5" s="1331"/>
      <c r="AU5" s="1323"/>
      <c r="AV5" s="1323"/>
      <c r="AW5" s="1323"/>
      <c r="AX5" s="1342"/>
      <c r="AY5" s="1343"/>
      <c r="AZ5" s="125"/>
      <c r="BA5" s="126"/>
      <c r="BB5" s="1341"/>
      <c r="BC5" s="125"/>
      <c r="BD5" s="126"/>
      <c r="BE5" s="1341"/>
      <c r="BF5" s="125"/>
      <c r="BG5" s="126"/>
      <c r="BH5" s="1341"/>
      <c r="BI5" s="125"/>
      <c r="BJ5" s="126"/>
      <c r="BK5" s="1341"/>
      <c r="BL5" s="125"/>
      <c r="BM5" s="126"/>
      <c r="BN5" s="1341"/>
      <c r="BO5" s="125"/>
      <c r="BP5" s="126"/>
      <c r="BQ5" s="1341"/>
      <c r="BR5" s="125"/>
      <c r="BS5" s="126"/>
      <c r="BT5" s="1341"/>
      <c r="BU5" s="125"/>
      <c r="BV5" s="126"/>
      <c r="BW5" s="1341"/>
      <c r="BX5" s="125"/>
      <c r="BY5" s="126"/>
      <c r="BZ5" s="1324"/>
      <c r="CA5" s="1338"/>
    </row>
    <row r="6" spans="1:79" ht="14.25" customHeight="1" x14ac:dyDescent="0.3">
      <c r="A6" s="1339"/>
      <c r="B6" s="1312"/>
      <c r="C6" s="1313"/>
      <c r="D6" s="1314"/>
      <c r="E6" s="1314"/>
      <c r="F6" s="1314"/>
      <c r="G6" s="1340"/>
      <c r="H6" s="1331"/>
      <c r="I6" s="127"/>
      <c r="J6" s="126"/>
      <c r="K6" s="1323"/>
      <c r="L6" s="127"/>
      <c r="M6" s="126"/>
      <c r="N6" s="1323"/>
      <c r="O6" s="127"/>
      <c r="P6" s="126"/>
      <c r="Q6" s="1323"/>
      <c r="R6" s="127"/>
      <c r="S6" s="126"/>
      <c r="T6" s="1323"/>
      <c r="U6" s="127"/>
      <c r="V6" s="126"/>
      <c r="W6" s="1323"/>
      <c r="X6" s="127"/>
      <c r="Y6" s="126"/>
      <c r="Z6" s="1323"/>
      <c r="AA6" s="127"/>
      <c r="AB6" s="126"/>
      <c r="AC6" s="1323"/>
      <c r="AD6" s="127"/>
      <c r="AE6" s="126"/>
      <c r="AF6" s="1323"/>
      <c r="AG6" s="127"/>
      <c r="AH6" s="126"/>
      <c r="AI6" s="1345" t="s">
        <v>323</v>
      </c>
      <c r="AJ6" s="1338" t="s">
        <v>323</v>
      </c>
      <c r="AK6" s="1317">
        <v>0</v>
      </c>
      <c r="AL6" s="1322">
        <v>0</v>
      </c>
      <c r="AM6" s="1317">
        <v>0</v>
      </c>
      <c r="AN6" s="1317">
        <v>0</v>
      </c>
      <c r="AO6" s="1317">
        <v>0</v>
      </c>
      <c r="AP6" s="1317">
        <v>0</v>
      </c>
      <c r="AQ6" s="1344">
        <v>0</v>
      </c>
      <c r="AR6" s="1339"/>
      <c r="AS6" s="1312"/>
      <c r="AT6" s="1313"/>
      <c r="AU6" s="1314"/>
      <c r="AV6" s="1314"/>
      <c r="AW6" s="1314"/>
      <c r="AX6" s="1315"/>
      <c r="AY6" s="1331"/>
      <c r="AZ6" s="127"/>
      <c r="BA6" s="126"/>
      <c r="BB6" s="1323"/>
      <c r="BC6" s="127"/>
      <c r="BD6" s="126"/>
      <c r="BE6" s="1323"/>
      <c r="BF6" s="127"/>
      <c r="BG6" s="126"/>
      <c r="BH6" s="1323"/>
      <c r="BI6" s="127"/>
      <c r="BJ6" s="126"/>
      <c r="BK6" s="1323"/>
      <c r="BL6" s="127"/>
      <c r="BM6" s="126"/>
      <c r="BN6" s="1323"/>
      <c r="BO6" s="127"/>
      <c r="BP6" s="126"/>
      <c r="BQ6" s="1323"/>
      <c r="BR6" s="127"/>
      <c r="BS6" s="126"/>
      <c r="BT6" s="1323"/>
      <c r="BU6" s="127"/>
      <c r="BV6" s="126"/>
      <c r="BW6" s="1323"/>
      <c r="BX6" s="127"/>
      <c r="BY6" s="126"/>
      <c r="BZ6" s="1345" t="s">
        <v>323</v>
      </c>
      <c r="CA6" s="1338" t="s">
        <v>323</v>
      </c>
    </row>
    <row r="7" spans="1:79" ht="14.25" customHeight="1" x14ac:dyDescent="0.3">
      <c r="A7" s="1339"/>
      <c r="B7" s="1312"/>
      <c r="C7" s="1313"/>
      <c r="D7" s="1314"/>
      <c r="E7" s="1314"/>
      <c r="F7" s="1314"/>
      <c r="G7" s="1340"/>
      <c r="H7" s="1331"/>
      <c r="I7" s="127"/>
      <c r="J7" s="126"/>
      <c r="K7" s="1323"/>
      <c r="L7" s="127"/>
      <c r="M7" s="126"/>
      <c r="N7" s="1323"/>
      <c r="O7" s="127"/>
      <c r="P7" s="126"/>
      <c r="Q7" s="1323"/>
      <c r="R7" s="127"/>
      <c r="S7" s="126"/>
      <c r="T7" s="1323"/>
      <c r="U7" s="127"/>
      <c r="V7" s="126"/>
      <c r="W7" s="1323"/>
      <c r="X7" s="127"/>
      <c r="Y7" s="126"/>
      <c r="Z7" s="1323"/>
      <c r="AA7" s="127"/>
      <c r="AB7" s="126"/>
      <c r="AC7" s="1323"/>
      <c r="AD7" s="127"/>
      <c r="AE7" s="126"/>
      <c r="AF7" s="1323"/>
      <c r="AG7" s="127"/>
      <c r="AH7" s="126"/>
      <c r="AI7" s="1345"/>
      <c r="AJ7" s="1338"/>
      <c r="AK7" s="1317"/>
      <c r="AL7" s="1322"/>
      <c r="AM7" s="1317"/>
      <c r="AN7" s="1317"/>
      <c r="AO7" s="1317"/>
      <c r="AP7" s="1317"/>
      <c r="AQ7" s="1344"/>
      <c r="AR7" s="1339"/>
      <c r="AS7" s="1312"/>
      <c r="AT7" s="1313"/>
      <c r="AU7" s="1314"/>
      <c r="AV7" s="1314"/>
      <c r="AW7" s="1314"/>
      <c r="AX7" s="1316"/>
      <c r="AY7" s="1331"/>
      <c r="AZ7" s="127"/>
      <c r="BA7" s="126"/>
      <c r="BB7" s="1323"/>
      <c r="BC7" s="127"/>
      <c r="BD7" s="126"/>
      <c r="BE7" s="1323"/>
      <c r="BF7" s="127"/>
      <c r="BG7" s="126"/>
      <c r="BH7" s="1323"/>
      <c r="BI7" s="127"/>
      <c r="BJ7" s="126"/>
      <c r="BK7" s="1323"/>
      <c r="BL7" s="127"/>
      <c r="BM7" s="126"/>
      <c r="BN7" s="1323"/>
      <c r="BO7" s="127"/>
      <c r="BP7" s="126"/>
      <c r="BQ7" s="1323"/>
      <c r="BR7" s="127"/>
      <c r="BS7" s="126"/>
      <c r="BT7" s="1323"/>
      <c r="BU7" s="127"/>
      <c r="BV7" s="126"/>
      <c r="BW7" s="1323"/>
      <c r="BX7" s="127"/>
      <c r="BY7" s="126"/>
      <c r="BZ7" s="1346"/>
      <c r="CA7" s="1338"/>
    </row>
    <row r="8" spans="1:79" ht="14.25" customHeight="1" x14ac:dyDescent="0.3">
      <c r="A8" s="1329"/>
      <c r="B8" s="1330"/>
      <c r="C8" s="1331"/>
      <c r="D8" s="1323"/>
      <c r="E8" s="1323"/>
      <c r="F8" s="1323"/>
      <c r="G8" s="1342"/>
      <c r="H8" s="1343"/>
      <c r="I8" s="125"/>
      <c r="J8" s="126"/>
      <c r="K8" s="1341"/>
      <c r="L8" s="125"/>
      <c r="M8" s="126"/>
      <c r="N8" s="1341"/>
      <c r="O8" s="125"/>
      <c r="P8" s="126"/>
      <c r="Q8" s="1341"/>
      <c r="R8" s="125"/>
      <c r="S8" s="126"/>
      <c r="T8" s="1341"/>
      <c r="U8" s="125"/>
      <c r="V8" s="126"/>
      <c r="W8" s="1341"/>
      <c r="X8" s="125"/>
      <c r="Y8" s="126"/>
      <c r="Z8" s="1341"/>
      <c r="AA8" s="125"/>
      <c r="AB8" s="126"/>
      <c r="AC8" s="1341"/>
      <c r="AD8" s="125"/>
      <c r="AE8" s="126"/>
      <c r="AF8" s="1341"/>
      <c r="AG8" s="125"/>
      <c r="AH8" s="126"/>
      <c r="AI8" s="1324" t="s">
        <v>323</v>
      </c>
      <c r="AJ8" s="1338" t="s">
        <v>323</v>
      </c>
      <c r="AK8" s="1317">
        <v>0</v>
      </c>
      <c r="AL8" s="1322">
        <v>0</v>
      </c>
      <c r="AM8" s="1317">
        <v>0</v>
      </c>
      <c r="AN8" s="1317">
        <v>0</v>
      </c>
      <c r="AO8" s="1317">
        <v>0</v>
      </c>
      <c r="AP8" s="1317">
        <v>0</v>
      </c>
      <c r="AQ8" s="1344">
        <v>0</v>
      </c>
      <c r="AR8" s="1329"/>
      <c r="AS8" s="1330"/>
      <c r="AT8" s="1331"/>
      <c r="AU8" s="1323"/>
      <c r="AV8" s="1323"/>
      <c r="AW8" s="1323"/>
      <c r="AX8" s="1342"/>
      <c r="AY8" s="1343"/>
      <c r="AZ8" s="125"/>
      <c r="BA8" s="126"/>
      <c r="BB8" s="1341"/>
      <c r="BC8" s="125"/>
      <c r="BD8" s="126"/>
      <c r="BE8" s="1341"/>
      <c r="BF8" s="125"/>
      <c r="BG8" s="126"/>
      <c r="BH8" s="1341"/>
      <c r="BI8" s="125"/>
      <c r="BJ8" s="126"/>
      <c r="BK8" s="1341"/>
      <c r="BL8" s="125"/>
      <c r="BM8" s="126"/>
      <c r="BN8" s="1341"/>
      <c r="BO8" s="125"/>
      <c r="BP8" s="126"/>
      <c r="BQ8" s="1341"/>
      <c r="BR8" s="125"/>
      <c r="BS8" s="126"/>
      <c r="BT8" s="1341"/>
      <c r="BU8" s="125"/>
      <c r="BV8" s="126"/>
      <c r="BW8" s="1341"/>
      <c r="BX8" s="125"/>
      <c r="BY8" s="126"/>
      <c r="BZ8" s="1324" t="s">
        <v>323</v>
      </c>
      <c r="CA8" s="1338" t="s">
        <v>323</v>
      </c>
    </row>
    <row r="9" spans="1:79" ht="14.25" customHeight="1" x14ac:dyDescent="0.3">
      <c r="A9" s="1329"/>
      <c r="B9" s="1330"/>
      <c r="C9" s="1331"/>
      <c r="D9" s="1323"/>
      <c r="E9" s="1323"/>
      <c r="F9" s="1323"/>
      <c r="G9" s="1342"/>
      <c r="H9" s="1343"/>
      <c r="I9" s="125"/>
      <c r="J9" s="126"/>
      <c r="K9" s="1341"/>
      <c r="L9" s="125"/>
      <c r="M9" s="126"/>
      <c r="N9" s="1341"/>
      <c r="O9" s="125"/>
      <c r="P9" s="126"/>
      <c r="Q9" s="1341"/>
      <c r="R9" s="125"/>
      <c r="S9" s="126"/>
      <c r="T9" s="1341"/>
      <c r="U9" s="125"/>
      <c r="V9" s="126"/>
      <c r="W9" s="1341"/>
      <c r="X9" s="125"/>
      <c r="Y9" s="126"/>
      <c r="Z9" s="1341"/>
      <c r="AA9" s="125"/>
      <c r="AB9" s="126"/>
      <c r="AC9" s="1341"/>
      <c r="AD9" s="125"/>
      <c r="AE9" s="126"/>
      <c r="AF9" s="1341"/>
      <c r="AG9" s="125"/>
      <c r="AH9" s="126"/>
      <c r="AI9" s="1324"/>
      <c r="AJ9" s="1338"/>
      <c r="AK9" s="1317"/>
      <c r="AL9" s="1322"/>
      <c r="AM9" s="1317"/>
      <c r="AN9" s="1317"/>
      <c r="AO9" s="1317"/>
      <c r="AP9" s="1317"/>
      <c r="AQ9" s="1344"/>
      <c r="AR9" s="1329"/>
      <c r="AS9" s="1330"/>
      <c r="AT9" s="1331"/>
      <c r="AU9" s="1323"/>
      <c r="AV9" s="1323"/>
      <c r="AW9" s="1323"/>
      <c r="AX9" s="1342"/>
      <c r="AY9" s="1343"/>
      <c r="AZ9" s="125"/>
      <c r="BA9" s="126"/>
      <c r="BB9" s="1341"/>
      <c r="BC9" s="125"/>
      <c r="BD9" s="126"/>
      <c r="BE9" s="1341"/>
      <c r="BF9" s="125"/>
      <c r="BG9" s="126"/>
      <c r="BH9" s="1341"/>
      <c r="BI9" s="125"/>
      <c r="BJ9" s="126"/>
      <c r="BK9" s="1341"/>
      <c r="BL9" s="125"/>
      <c r="BM9" s="126"/>
      <c r="BN9" s="1341"/>
      <c r="BO9" s="125"/>
      <c r="BP9" s="126"/>
      <c r="BQ9" s="1341"/>
      <c r="BR9" s="125"/>
      <c r="BS9" s="126"/>
      <c r="BT9" s="1341"/>
      <c r="BU9" s="125"/>
      <c r="BV9" s="126"/>
      <c r="BW9" s="1341"/>
      <c r="BX9" s="125"/>
      <c r="BY9" s="126"/>
      <c r="BZ9" s="1324"/>
      <c r="CA9" s="1338"/>
    </row>
    <row r="10" spans="1:79" ht="14.25" customHeight="1" x14ac:dyDescent="0.3">
      <c r="A10" s="1339"/>
      <c r="B10" s="1312"/>
      <c r="C10" s="1313"/>
      <c r="D10" s="1314"/>
      <c r="E10" s="1314"/>
      <c r="F10" s="1314"/>
      <c r="G10" s="1315"/>
      <c r="H10" s="1331"/>
      <c r="I10" s="127"/>
      <c r="J10" s="126"/>
      <c r="K10" s="1323"/>
      <c r="L10" s="127"/>
      <c r="M10" s="126"/>
      <c r="N10" s="1323"/>
      <c r="O10" s="127"/>
      <c r="P10" s="126"/>
      <c r="Q10" s="1323"/>
      <c r="R10" s="127"/>
      <c r="S10" s="126"/>
      <c r="T10" s="1323"/>
      <c r="U10" s="127"/>
      <c r="V10" s="126"/>
      <c r="W10" s="1323"/>
      <c r="X10" s="127"/>
      <c r="Y10" s="126"/>
      <c r="Z10" s="1323"/>
      <c r="AA10" s="127"/>
      <c r="AB10" s="126"/>
      <c r="AC10" s="1323"/>
      <c r="AD10" s="127"/>
      <c r="AE10" s="126"/>
      <c r="AF10" s="1323"/>
      <c r="AG10" s="127"/>
      <c r="AH10" s="126"/>
      <c r="AI10" s="1345" t="s">
        <v>323</v>
      </c>
      <c r="AJ10" s="1338" t="s">
        <v>323</v>
      </c>
      <c r="AK10" s="1317">
        <v>0</v>
      </c>
      <c r="AL10" s="1322">
        <v>0</v>
      </c>
      <c r="AM10" s="1317">
        <v>0</v>
      </c>
      <c r="AN10" s="1317">
        <v>0</v>
      </c>
      <c r="AO10" s="1317">
        <v>0</v>
      </c>
      <c r="AP10" s="1317">
        <v>0</v>
      </c>
      <c r="AQ10" s="1344">
        <v>0</v>
      </c>
      <c r="AR10" s="1339"/>
      <c r="AS10" s="1312"/>
      <c r="AT10" s="1313"/>
      <c r="AU10" s="1314"/>
      <c r="AV10" s="1314"/>
      <c r="AW10" s="1314"/>
      <c r="AX10" s="1315"/>
      <c r="AY10" s="1331"/>
      <c r="AZ10" s="127"/>
      <c r="BA10" s="126"/>
      <c r="BB10" s="1323"/>
      <c r="BC10" s="127"/>
      <c r="BD10" s="126"/>
      <c r="BE10" s="1323"/>
      <c r="BF10" s="127"/>
      <c r="BG10" s="126"/>
      <c r="BH10" s="1323"/>
      <c r="BI10" s="127"/>
      <c r="BJ10" s="126"/>
      <c r="BK10" s="1323"/>
      <c r="BL10" s="127"/>
      <c r="BM10" s="126"/>
      <c r="BN10" s="1323"/>
      <c r="BO10" s="127"/>
      <c r="BP10" s="126"/>
      <c r="BQ10" s="1323"/>
      <c r="BR10" s="127"/>
      <c r="BS10" s="126"/>
      <c r="BT10" s="1323"/>
      <c r="BU10" s="127"/>
      <c r="BV10" s="126"/>
      <c r="BW10" s="1323"/>
      <c r="BX10" s="127"/>
      <c r="BY10" s="126"/>
      <c r="BZ10" s="1345" t="s">
        <v>323</v>
      </c>
      <c r="CA10" s="1338" t="s">
        <v>323</v>
      </c>
    </row>
    <row r="11" spans="1:79" ht="14.25" customHeight="1" x14ac:dyDescent="0.3">
      <c r="A11" s="1339"/>
      <c r="B11" s="1312"/>
      <c r="C11" s="1313"/>
      <c r="D11" s="1314"/>
      <c r="E11" s="1314"/>
      <c r="F11" s="1314"/>
      <c r="G11" s="1316"/>
      <c r="H11" s="1331"/>
      <c r="I11" s="127"/>
      <c r="J11" s="126"/>
      <c r="K11" s="1323"/>
      <c r="L11" s="127"/>
      <c r="M11" s="126"/>
      <c r="N11" s="1323"/>
      <c r="O11" s="127"/>
      <c r="P11" s="126"/>
      <c r="Q11" s="1323"/>
      <c r="R11" s="127"/>
      <c r="S11" s="126"/>
      <c r="T11" s="1323"/>
      <c r="U11" s="127"/>
      <c r="V11" s="126"/>
      <c r="W11" s="1323"/>
      <c r="X11" s="127"/>
      <c r="Y11" s="126"/>
      <c r="Z11" s="1323"/>
      <c r="AA11" s="127"/>
      <c r="AB11" s="126"/>
      <c r="AC11" s="1323"/>
      <c r="AD11" s="127"/>
      <c r="AE11" s="126"/>
      <c r="AF11" s="1323"/>
      <c r="AG11" s="127"/>
      <c r="AH11" s="126"/>
      <c r="AI11" s="1346"/>
      <c r="AJ11" s="1338"/>
      <c r="AK11" s="1317"/>
      <c r="AL11" s="1322"/>
      <c r="AM11" s="1317"/>
      <c r="AN11" s="1317"/>
      <c r="AO11" s="1317"/>
      <c r="AP11" s="1317"/>
      <c r="AQ11" s="1344"/>
      <c r="AR11" s="1339"/>
      <c r="AS11" s="1312"/>
      <c r="AT11" s="1313"/>
      <c r="AU11" s="1314"/>
      <c r="AV11" s="1314"/>
      <c r="AW11" s="1314"/>
      <c r="AX11" s="1316"/>
      <c r="AY11" s="1331"/>
      <c r="AZ11" s="127"/>
      <c r="BA11" s="126"/>
      <c r="BB11" s="1323"/>
      <c r="BC11" s="127"/>
      <c r="BD11" s="126"/>
      <c r="BE11" s="1323"/>
      <c r="BF11" s="127"/>
      <c r="BG11" s="126"/>
      <c r="BH11" s="1323"/>
      <c r="BI11" s="127"/>
      <c r="BJ11" s="126"/>
      <c r="BK11" s="1323"/>
      <c r="BL11" s="127"/>
      <c r="BM11" s="126"/>
      <c r="BN11" s="1323"/>
      <c r="BO11" s="127"/>
      <c r="BP11" s="126"/>
      <c r="BQ11" s="1323"/>
      <c r="BR11" s="127"/>
      <c r="BS11" s="126"/>
      <c r="BT11" s="1323"/>
      <c r="BU11" s="127"/>
      <c r="BV11" s="126"/>
      <c r="BW11" s="1323"/>
      <c r="BX11" s="127"/>
      <c r="BY11" s="126"/>
      <c r="BZ11" s="1346"/>
      <c r="CA11" s="1338"/>
    </row>
    <row r="12" spans="1:79" ht="14.25" customHeight="1" x14ac:dyDescent="0.3">
      <c r="A12" s="1329"/>
      <c r="B12" s="1330"/>
      <c r="C12" s="1331"/>
      <c r="D12" s="1323"/>
      <c r="E12" s="1323"/>
      <c r="F12" s="1323"/>
      <c r="G12" s="1342"/>
      <c r="H12" s="1343"/>
      <c r="I12" s="125"/>
      <c r="J12" s="126"/>
      <c r="K12" s="1341"/>
      <c r="L12" s="125"/>
      <c r="M12" s="126"/>
      <c r="N12" s="1341"/>
      <c r="O12" s="125"/>
      <c r="P12" s="126"/>
      <c r="Q12" s="1341"/>
      <c r="R12" s="125"/>
      <c r="S12" s="126"/>
      <c r="T12" s="1341"/>
      <c r="U12" s="125"/>
      <c r="V12" s="126"/>
      <c r="W12" s="1341"/>
      <c r="X12" s="125"/>
      <c r="Y12" s="126"/>
      <c r="Z12" s="1341"/>
      <c r="AA12" s="125"/>
      <c r="AB12" s="126"/>
      <c r="AC12" s="1341"/>
      <c r="AD12" s="125"/>
      <c r="AE12" s="126"/>
      <c r="AF12" s="1341"/>
      <c r="AG12" s="125"/>
      <c r="AH12" s="126"/>
      <c r="AI12" s="1324" t="s">
        <v>323</v>
      </c>
      <c r="AJ12" s="1338" t="s">
        <v>323</v>
      </c>
      <c r="AK12" s="1317">
        <v>0</v>
      </c>
      <c r="AL12" s="1322">
        <v>0</v>
      </c>
      <c r="AM12" s="1317">
        <v>0</v>
      </c>
      <c r="AN12" s="1317">
        <v>0</v>
      </c>
      <c r="AO12" s="1317">
        <v>0</v>
      </c>
      <c r="AP12" s="1317">
        <v>0</v>
      </c>
      <c r="AQ12" s="1344">
        <v>0</v>
      </c>
      <c r="AR12" s="1329"/>
      <c r="AS12" s="1330"/>
      <c r="AT12" s="1331"/>
      <c r="AU12" s="1323"/>
      <c r="AV12" s="1323"/>
      <c r="AW12" s="1323"/>
      <c r="AX12" s="1342"/>
      <c r="AY12" s="1343"/>
      <c r="AZ12" s="125"/>
      <c r="BA12" s="126"/>
      <c r="BB12" s="1341"/>
      <c r="BC12" s="125"/>
      <c r="BD12" s="126"/>
      <c r="BE12" s="1341"/>
      <c r="BF12" s="125"/>
      <c r="BG12" s="126"/>
      <c r="BH12" s="1341"/>
      <c r="BI12" s="125"/>
      <c r="BJ12" s="126"/>
      <c r="BK12" s="1341"/>
      <c r="BL12" s="125"/>
      <c r="BM12" s="126"/>
      <c r="BN12" s="1341"/>
      <c r="BO12" s="125"/>
      <c r="BP12" s="126"/>
      <c r="BQ12" s="1341"/>
      <c r="BR12" s="125"/>
      <c r="BS12" s="126"/>
      <c r="BT12" s="1341"/>
      <c r="BU12" s="125"/>
      <c r="BV12" s="126"/>
      <c r="BW12" s="1341"/>
      <c r="BX12" s="125"/>
      <c r="BY12" s="126"/>
      <c r="BZ12" s="1324" t="s">
        <v>323</v>
      </c>
      <c r="CA12" s="1338" t="s">
        <v>323</v>
      </c>
    </row>
    <row r="13" spans="1:79" ht="14.25" customHeight="1" x14ac:dyDescent="0.3">
      <c r="A13" s="1329"/>
      <c r="B13" s="1330"/>
      <c r="C13" s="1331"/>
      <c r="D13" s="1323"/>
      <c r="E13" s="1323"/>
      <c r="F13" s="1323"/>
      <c r="G13" s="1342"/>
      <c r="H13" s="1343"/>
      <c r="I13" s="125"/>
      <c r="J13" s="126"/>
      <c r="K13" s="1341"/>
      <c r="L13" s="125"/>
      <c r="M13" s="126"/>
      <c r="N13" s="1341"/>
      <c r="O13" s="125"/>
      <c r="P13" s="126"/>
      <c r="Q13" s="1341"/>
      <c r="R13" s="125"/>
      <c r="S13" s="126"/>
      <c r="T13" s="1341"/>
      <c r="U13" s="125"/>
      <c r="V13" s="126"/>
      <c r="W13" s="1341"/>
      <c r="X13" s="125"/>
      <c r="Y13" s="126"/>
      <c r="Z13" s="1341"/>
      <c r="AA13" s="125"/>
      <c r="AB13" s="126"/>
      <c r="AC13" s="1341"/>
      <c r="AD13" s="125"/>
      <c r="AE13" s="126"/>
      <c r="AF13" s="1341"/>
      <c r="AG13" s="125"/>
      <c r="AH13" s="126"/>
      <c r="AI13" s="1324"/>
      <c r="AJ13" s="1338"/>
      <c r="AK13" s="1317"/>
      <c r="AL13" s="1322"/>
      <c r="AM13" s="1317"/>
      <c r="AN13" s="1317"/>
      <c r="AO13" s="1317"/>
      <c r="AP13" s="1317"/>
      <c r="AQ13" s="1344"/>
      <c r="AR13" s="1329"/>
      <c r="AS13" s="1330"/>
      <c r="AT13" s="1331"/>
      <c r="AU13" s="1323"/>
      <c r="AV13" s="1323"/>
      <c r="AW13" s="1323"/>
      <c r="AX13" s="1342"/>
      <c r="AY13" s="1343"/>
      <c r="AZ13" s="125"/>
      <c r="BA13" s="126"/>
      <c r="BB13" s="1341"/>
      <c r="BC13" s="125"/>
      <c r="BD13" s="126"/>
      <c r="BE13" s="1341"/>
      <c r="BF13" s="125"/>
      <c r="BG13" s="126"/>
      <c r="BH13" s="1341"/>
      <c r="BI13" s="125"/>
      <c r="BJ13" s="126"/>
      <c r="BK13" s="1341"/>
      <c r="BL13" s="125"/>
      <c r="BM13" s="126"/>
      <c r="BN13" s="1341"/>
      <c r="BO13" s="125"/>
      <c r="BP13" s="126"/>
      <c r="BQ13" s="1341"/>
      <c r="BR13" s="125"/>
      <c r="BS13" s="126"/>
      <c r="BT13" s="1341"/>
      <c r="BU13" s="125"/>
      <c r="BV13" s="126"/>
      <c r="BW13" s="1341"/>
      <c r="BX13" s="125"/>
      <c r="BY13" s="126"/>
      <c r="BZ13" s="1324"/>
      <c r="CA13" s="1338"/>
    </row>
    <row r="14" spans="1:79" ht="14.25" customHeight="1" x14ac:dyDescent="0.3">
      <c r="A14" s="1339"/>
      <c r="B14" s="1312"/>
      <c r="C14" s="1313"/>
      <c r="D14" s="1314"/>
      <c r="E14" s="1314"/>
      <c r="F14" s="1314"/>
      <c r="G14" s="1315"/>
      <c r="H14" s="1331"/>
      <c r="I14" s="127"/>
      <c r="J14" s="126"/>
      <c r="K14" s="1323"/>
      <c r="L14" s="127"/>
      <c r="M14" s="126"/>
      <c r="N14" s="1323"/>
      <c r="O14" s="127"/>
      <c r="P14" s="126"/>
      <c r="Q14" s="1323"/>
      <c r="R14" s="127"/>
      <c r="S14" s="126"/>
      <c r="T14" s="1323"/>
      <c r="U14" s="127"/>
      <c r="V14" s="126"/>
      <c r="W14" s="1323"/>
      <c r="X14" s="127"/>
      <c r="Y14" s="126"/>
      <c r="Z14" s="1323"/>
      <c r="AA14" s="127"/>
      <c r="AB14" s="126"/>
      <c r="AC14" s="1323"/>
      <c r="AD14" s="127"/>
      <c r="AE14" s="126"/>
      <c r="AF14" s="1323"/>
      <c r="AG14" s="127"/>
      <c r="AH14" s="126"/>
      <c r="AI14" s="1345" t="s">
        <v>323</v>
      </c>
      <c r="AJ14" s="1338" t="s">
        <v>323</v>
      </c>
      <c r="AK14" s="1317">
        <v>0</v>
      </c>
      <c r="AL14" s="1322">
        <v>0</v>
      </c>
      <c r="AM14" s="1317">
        <v>0</v>
      </c>
      <c r="AN14" s="1317">
        <v>0</v>
      </c>
      <c r="AO14" s="1317">
        <v>0</v>
      </c>
      <c r="AP14" s="1317">
        <v>0</v>
      </c>
      <c r="AQ14" s="1344">
        <v>0</v>
      </c>
      <c r="AR14" s="1339"/>
      <c r="AS14" s="1312"/>
      <c r="AT14" s="1313"/>
      <c r="AU14" s="1314"/>
      <c r="AV14" s="1314"/>
      <c r="AW14" s="1314"/>
      <c r="AX14" s="1315"/>
      <c r="AY14" s="1331"/>
      <c r="AZ14" s="127"/>
      <c r="BA14" s="126"/>
      <c r="BB14" s="1323"/>
      <c r="BC14" s="127"/>
      <c r="BD14" s="126"/>
      <c r="BE14" s="1323"/>
      <c r="BF14" s="127"/>
      <c r="BG14" s="126"/>
      <c r="BH14" s="1323"/>
      <c r="BI14" s="127"/>
      <c r="BJ14" s="126"/>
      <c r="BK14" s="1323"/>
      <c r="BL14" s="127"/>
      <c r="BM14" s="126"/>
      <c r="BN14" s="1323"/>
      <c r="BO14" s="127"/>
      <c r="BP14" s="126"/>
      <c r="BQ14" s="1323"/>
      <c r="BR14" s="127"/>
      <c r="BS14" s="126"/>
      <c r="BT14" s="1323"/>
      <c r="BU14" s="127"/>
      <c r="BV14" s="126"/>
      <c r="BW14" s="1323"/>
      <c r="BX14" s="127"/>
      <c r="BY14" s="126"/>
      <c r="BZ14" s="1345" t="s">
        <v>323</v>
      </c>
      <c r="CA14" s="1338" t="s">
        <v>323</v>
      </c>
    </row>
    <row r="15" spans="1:79" ht="14.25" customHeight="1" x14ac:dyDescent="0.3">
      <c r="A15" s="1339"/>
      <c r="B15" s="1312"/>
      <c r="C15" s="1313"/>
      <c r="D15" s="1314"/>
      <c r="E15" s="1314"/>
      <c r="F15" s="1314"/>
      <c r="G15" s="1316"/>
      <c r="H15" s="1331"/>
      <c r="I15" s="127"/>
      <c r="J15" s="126"/>
      <c r="K15" s="1323"/>
      <c r="L15" s="127"/>
      <c r="M15" s="126"/>
      <c r="N15" s="1323"/>
      <c r="O15" s="127"/>
      <c r="P15" s="126"/>
      <c r="Q15" s="1323"/>
      <c r="R15" s="127"/>
      <c r="S15" s="126"/>
      <c r="T15" s="1323"/>
      <c r="U15" s="127"/>
      <c r="V15" s="126"/>
      <c r="W15" s="1323"/>
      <c r="X15" s="127"/>
      <c r="Y15" s="126"/>
      <c r="Z15" s="1323"/>
      <c r="AA15" s="127"/>
      <c r="AB15" s="126"/>
      <c r="AC15" s="1323"/>
      <c r="AD15" s="127"/>
      <c r="AE15" s="126"/>
      <c r="AF15" s="1323"/>
      <c r="AG15" s="127"/>
      <c r="AH15" s="126"/>
      <c r="AI15" s="1346"/>
      <c r="AJ15" s="1338"/>
      <c r="AK15" s="1317"/>
      <c r="AL15" s="1322"/>
      <c r="AM15" s="1317"/>
      <c r="AN15" s="1317"/>
      <c r="AO15" s="1317"/>
      <c r="AP15" s="1317"/>
      <c r="AQ15" s="1344"/>
      <c r="AR15" s="1339"/>
      <c r="AS15" s="1312"/>
      <c r="AT15" s="1313"/>
      <c r="AU15" s="1314"/>
      <c r="AV15" s="1314"/>
      <c r="AW15" s="1314"/>
      <c r="AX15" s="1316"/>
      <c r="AY15" s="1331"/>
      <c r="AZ15" s="127"/>
      <c r="BA15" s="126"/>
      <c r="BB15" s="1323"/>
      <c r="BC15" s="127"/>
      <c r="BD15" s="126"/>
      <c r="BE15" s="1323"/>
      <c r="BF15" s="127"/>
      <c r="BG15" s="126"/>
      <c r="BH15" s="1323"/>
      <c r="BI15" s="127"/>
      <c r="BJ15" s="126"/>
      <c r="BK15" s="1323"/>
      <c r="BL15" s="127"/>
      <c r="BM15" s="126"/>
      <c r="BN15" s="1323"/>
      <c r="BO15" s="127"/>
      <c r="BP15" s="126"/>
      <c r="BQ15" s="1323"/>
      <c r="BR15" s="127"/>
      <c r="BS15" s="126"/>
      <c r="BT15" s="1323"/>
      <c r="BU15" s="127"/>
      <c r="BV15" s="126"/>
      <c r="BW15" s="1323"/>
      <c r="BX15" s="127"/>
      <c r="BY15" s="126"/>
      <c r="BZ15" s="1346"/>
      <c r="CA15" s="1338"/>
    </row>
    <row r="16" spans="1:79" ht="14.25" customHeight="1" x14ac:dyDescent="0.3">
      <c r="A16" s="1329"/>
      <c r="B16" s="1330"/>
      <c r="C16" s="1331"/>
      <c r="D16" s="1323"/>
      <c r="E16" s="1323"/>
      <c r="F16" s="1323"/>
      <c r="G16" s="1342"/>
      <c r="H16" s="1343"/>
      <c r="I16" s="125"/>
      <c r="J16" s="126"/>
      <c r="K16" s="1341"/>
      <c r="L16" s="125"/>
      <c r="M16" s="126"/>
      <c r="N16" s="1341"/>
      <c r="O16" s="125"/>
      <c r="P16" s="126"/>
      <c r="Q16" s="1341"/>
      <c r="R16" s="125"/>
      <c r="S16" s="126"/>
      <c r="T16" s="1341"/>
      <c r="U16" s="125"/>
      <c r="V16" s="126"/>
      <c r="W16" s="1341"/>
      <c r="X16" s="125"/>
      <c r="Y16" s="126"/>
      <c r="Z16" s="1341"/>
      <c r="AA16" s="125"/>
      <c r="AB16" s="126"/>
      <c r="AC16" s="1341"/>
      <c r="AD16" s="125"/>
      <c r="AE16" s="126"/>
      <c r="AF16" s="1341"/>
      <c r="AG16" s="125"/>
      <c r="AH16" s="126"/>
      <c r="AI16" s="1324" t="s">
        <v>323</v>
      </c>
      <c r="AJ16" s="1338" t="s">
        <v>323</v>
      </c>
      <c r="AK16" s="1317">
        <v>0</v>
      </c>
      <c r="AL16" s="1322">
        <v>0</v>
      </c>
      <c r="AM16" s="1317">
        <v>0</v>
      </c>
      <c r="AN16" s="1317">
        <v>0</v>
      </c>
      <c r="AO16" s="1317">
        <v>0</v>
      </c>
      <c r="AP16" s="1317">
        <v>0</v>
      </c>
      <c r="AQ16" s="1344">
        <v>0</v>
      </c>
      <c r="AR16" s="1329"/>
      <c r="AS16" s="1330"/>
      <c r="AT16" s="1331"/>
      <c r="AU16" s="1323"/>
      <c r="AV16" s="1323"/>
      <c r="AW16" s="1323"/>
      <c r="AX16" s="1342"/>
      <c r="AY16" s="1343"/>
      <c r="AZ16" s="125"/>
      <c r="BA16" s="126"/>
      <c r="BB16" s="1341"/>
      <c r="BC16" s="125"/>
      <c r="BD16" s="126"/>
      <c r="BE16" s="1341"/>
      <c r="BF16" s="125"/>
      <c r="BG16" s="126"/>
      <c r="BH16" s="1341"/>
      <c r="BI16" s="125"/>
      <c r="BJ16" s="126"/>
      <c r="BK16" s="1341"/>
      <c r="BL16" s="125"/>
      <c r="BM16" s="126"/>
      <c r="BN16" s="1341"/>
      <c r="BO16" s="125"/>
      <c r="BP16" s="126"/>
      <c r="BQ16" s="1341"/>
      <c r="BR16" s="125"/>
      <c r="BS16" s="126"/>
      <c r="BT16" s="1341"/>
      <c r="BU16" s="125"/>
      <c r="BV16" s="126"/>
      <c r="BW16" s="1341"/>
      <c r="BX16" s="125"/>
      <c r="BY16" s="126"/>
      <c r="BZ16" s="1324" t="s">
        <v>323</v>
      </c>
      <c r="CA16" s="1338" t="s">
        <v>323</v>
      </c>
    </row>
    <row r="17" spans="1:79" ht="14.25" customHeight="1" x14ac:dyDescent="0.3">
      <c r="A17" s="1329"/>
      <c r="B17" s="1330"/>
      <c r="C17" s="1331"/>
      <c r="D17" s="1323"/>
      <c r="E17" s="1323"/>
      <c r="F17" s="1323"/>
      <c r="G17" s="1342"/>
      <c r="H17" s="1343"/>
      <c r="I17" s="125"/>
      <c r="J17" s="126"/>
      <c r="K17" s="1341"/>
      <c r="L17" s="125"/>
      <c r="M17" s="126"/>
      <c r="N17" s="1341"/>
      <c r="O17" s="125"/>
      <c r="P17" s="126"/>
      <c r="Q17" s="1341"/>
      <c r="R17" s="125"/>
      <c r="S17" s="126"/>
      <c r="T17" s="1341"/>
      <c r="U17" s="125"/>
      <c r="V17" s="126"/>
      <c r="W17" s="1341"/>
      <c r="X17" s="125"/>
      <c r="Y17" s="126"/>
      <c r="Z17" s="1341"/>
      <c r="AA17" s="125"/>
      <c r="AB17" s="126"/>
      <c r="AC17" s="1341"/>
      <c r="AD17" s="125"/>
      <c r="AE17" s="126"/>
      <c r="AF17" s="1341"/>
      <c r="AG17" s="125"/>
      <c r="AH17" s="126"/>
      <c r="AI17" s="1324"/>
      <c r="AJ17" s="1338"/>
      <c r="AK17" s="1317"/>
      <c r="AL17" s="1322"/>
      <c r="AM17" s="1317"/>
      <c r="AN17" s="1317"/>
      <c r="AO17" s="1317"/>
      <c r="AP17" s="1317"/>
      <c r="AQ17" s="1344"/>
      <c r="AR17" s="1329"/>
      <c r="AS17" s="1330"/>
      <c r="AT17" s="1331"/>
      <c r="AU17" s="1323"/>
      <c r="AV17" s="1323"/>
      <c r="AW17" s="1323"/>
      <c r="AX17" s="1342"/>
      <c r="AY17" s="1343"/>
      <c r="AZ17" s="125"/>
      <c r="BA17" s="126"/>
      <c r="BB17" s="1341"/>
      <c r="BC17" s="125"/>
      <c r="BD17" s="126"/>
      <c r="BE17" s="1341"/>
      <c r="BF17" s="125"/>
      <c r="BG17" s="126"/>
      <c r="BH17" s="1341"/>
      <c r="BI17" s="125"/>
      <c r="BJ17" s="126"/>
      <c r="BK17" s="1341"/>
      <c r="BL17" s="125"/>
      <c r="BM17" s="126"/>
      <c r="BN17" s="1341"/>
      <c r="BO17" s="125"/>
      <c r="BP17" s="126"/>
      <c r="BQ17" s="1341"/>
      <c r="BR17" s="125"/>
      <c r="BS17" s="126"/>
      <c r="BT17" s="1341"/>
      <c r="BU17" s="125"/>
      <c r="BV17" s="126"/>
      <c r="BW17" s="1341"/>
      <c r="BX17" s="125"/>
      <c r="BY17" s="126"/>
      <c r="BZ17" s="1324"/>
      <c r="CA17" s="1338"/>
    </row>
    <row r="18" spans="1:79" ht="14.25" customHeight="1" x14ac:dyDescent="0.3">
      <c r="A18" s="1339"/>
      <c r="B18" s="1312"/>
      <c r="C18" s="1313"/>
      <c r="D18" s="1314"/>
      <c r="E18" s="1314"/>
      <c r="F18" s="1314"/>
      <c r="G18" s="1315"/>
      <c r="H18" s="1331"/>
      <c r="I18" s="127"/>
      <c r="J18" s="126"/>
      <c r="K18" s="1323"/>
      <c r="L18" s="127"/>
      <c r="M18" s="126"/>
      <c r="N18" s="1323"/>
      <c r="O18" s="127"/>
      <c r="P18" s="126"/>
      <c r="Q18" s="1323"/>
      <c r="R18" s="127"/>
      <c r="S18" s="126"/>
      <c r="T18" s="1323"/>
      <c r="U18" s="127"/>
      <c r="V18" s="126"/>
      <c r="W18" s="1323"/>
      <c r="X18" s="127"/>
      <c r="Y18" s="126"/>
      <c r="Z18" s="1323"/>
      <c r="AA18" s="127"/>
      <c r="AB18" s="126"/>
      <c r="AC18" s="1323"/>
      <c r="AD18" s="127"/>
      <c r="AE18" s="126"/>
      <c r="AF18" s="1323"/>
      <c r="AG18" s="127"/>
      <c r="AH18" s="126"/>
      <c r="AI18" s="1345" t="s">
        <v>323</v>
      </c>
      <c r="AJ18" s="1338" t="s">
        <v>323</v>
      </c>
      <c r="AK18" s="1317">
        <v>0</v>
      </c>
      <c r="AL18" s="1322">
        <v>0</v>
      </c>
      <c r="AM18" s="1317">
        <v>0</v>
      </c>
      <c r="AN18" s="1317">
        <v>0</v>
      </c>
      <c r="AO18" s="1317">
        <v>0</v>
      </c>
      <c r="AP18" s="1317">
        <v>0</v>
      </c>
      <c r="AQ18" s="1344">
        <v>0</v>
      </c>
      <c r="AR18" s="1339"/>
      <c r="AS18" s="1312"/>
      <c r="AT18" s="1313"/>
      <c r="AU18" s="1314"/>
      <c r="AV18" s="1314"/>
      <c r="AW18" s="1314"/>
      <c r="AX18" s="1315"/>
      <c r="AY18" s="1331"/>
      <c r="AZ18" s="127"/>
      <c r="BA18" s="126"/>
      <c r="BB18" s="1323"/>
      <c r="BC18" s="127"/>
      <c r="BD18" s="126"/>
      <c r="BE18" s="1323"/>
      <c r="BF18" s="127"/>
      <c r="BG18" s="126"/>
      <c r="BH18" s="1323"/>
      <c r="BI18" s="127"/>
      <c r="BJ18" s="126"/>
      <c r="BK18" s="1323"/>
      <c r="BL18" s="127"/>
      <c r="BM18" s="126"/>
      <c r="BN18" s="1323"/>
      <c r="BO18" s="127"/>
      <c r="BP18" s="126"/>
      <c r="BQ18" s="1323"/>
      <c r="BR18" s="127"/>
      <c r="BS18" s="126"/>
      <c r="BT18" s="1323"/>
      <c r="BU18" s="127"/>
      <c r="BV18" s="126"/>
      <c r="BW18" s="1323"/>
      <c r="BX18" s="127"/>
      <c r="BY18" s="126"/>
      <c r="BZ18" s="1345" t="s">
        <v>323</v>
      </c>
      <c r="CA18" s="1338" t="s">
        <v>323</v>
      </c>
    </row>
    <row r="19" spans="1:79" ht="14.25" customHeight="1" x14ac:dyDescent="0.3">
      <c r="A19" s="1339"/>
      <c r="B19" s="1312"/>
      <c r="C19" s="1313"/>
      <c r="D19" s="1314"/>
      <c r="E19" s="1314"/>
      <c r="F19" s="1314"/>
      <c r="G19" s="1316"/>
      <c r="H19" s="1331"/>
      <c r="I19" s="127"/>
      <c r="J19" s="126"/>
      <c r="K19" s="1323"/>
      <c r="L19" s="127"/>
      <c r="M19" s="126"/>
      <c r="N19" s="1323"/>
      <c r="O19" s="127"/>
      <c r="P19" s="126"/>
      <c r="Q19" s="1323"/>
      <c r="R19" s="127"/>
      <c r="S19" s="126"/>
      <c r="T19" s="1323"/>
      <c r="U19" s="127"/>
      <c r="V19" s="126"/>
      <c r="W19" s="1323"/>
      <c r="X19" s="127"/>
      <c r="Y19" s="126"/>
      <c r="Z19" s="1323"/>
      <c r="AA19" s="127"/>
      <c r="AB19" s="126"/>
      <c r="AC19" s="1323"/>
      <c r="AD19" s="127"/>
      <c r="AE19" s="126"/>
      <c r="AF19" s="1323"/>
      <c r="AG19" s="127"/>
      <c r="AH19" s="126"/>
      <c r="AI19" s="1346"/>
      <c r="AJ19" s="1338"/>
      <c r="AK19" s="1317"/>
      <c r="AL19" s="1322"/>
      <c r="AM19" s="1317"/>
      <c r="AN19" s="1317"/>
      <c r="AO19" s="1317"/>
      <c r="AP19" s="1317"/>
      <c r="AQ19" s="1344"/>
      <c r="AR19" s="1339"/>
      <c r="AS19" s="1312"/>
      <c r="AT19" s="1313"/>
      <c r="AU19" s="1314"/>
      <c r="AV19" s="1314"/>
      <c r="AW19" s="1314"/>
      <c r="AX19" s="1316"/>
      <c r="AY19" s="1331"/>
      <c r="AZ19" s="127"/>
      <c r="BA19" s="126"/>
      <c r="BB19" s="1323"/>
      <c r="BC19" s="127"/>
      <c r="BD19" s="126"/>
      <c r="BE19" s="1323"/>
      <c r="BF19" s="127"/>
      <c r="BG19" s="126"/>
      <c r="BH19" s="1323"/>
      <c r="BI19" s="127"/>
      <c r="BJ19" s="126"/>
      <c r="BK19" s="1323"/>
      <c r="BL19" s="127"/>
      <c r="BM19" s="126"/>
      <c r="BN19" s="1323"/>
      <c r="BO19" s="127"/>
      <c r="BP19" s="126"/>
      <c r="BQ19" s="1323"/>
      <c r="BR19" s="127"/>
      <c r="BS19" s="126"/>
      <c r="BT19" s="1323"/>
      <c r="BU19" s="127"/>
      <c r="BV19" s="126"/>
      <c r="BW19" s="1323"/>
      <c r="BX19" s="127"/>
      <c r="BY19" s="126"/>
      <c r="BZ19" s="1346"/>
      <c r="CA19" s="1338"/>
    </row>
    <row r="20" spans="1:79" ht="14.25" customHeight="1" x14ac:dyDescent="0.3">
      <c r="A20" s="1329"/>
      <c r="B20" s="1330"/>
      <c r="C20" s="1331"/>
      <c r="D20" s="1323"/>
      <c r="E20" s="1323"/>
      <c r="F20" s="1323"/>
      <c r="G20" s="1342"/>
      <c r="H20" s="1343"/>
      <c r="I20" s="125"/>
      <c r="J20" s="126"/>
      <c r="K20" s="1341"/>
      <c r="L20" s="125"/>
      <c r="M20" s="126"/>
      <c r="N20" s="1341"/>
      <c r="O20" s="125"/>
      <c r="P20" s="126"/>
      <c r="Q20" s="1341"/>
      <c r="R20" s="125"/>
      <c r="S20" s="126"/>
      <c r="T20" s="1341"/>
      <c r="U20" s="125"/>
      <c r="V20" s="126"/>
      <c r="W20" s="1341"/>
      <c r="X20" s="125"/>
      <c r="Y20" s="126"/>
      <c r="Z20" s="1341"/>
      <c r="AA20" s="125"/>
      <c r="AB20" s="126"/>
      <c r="AC20" s="1341"/>
      <c r="AD20" s="125"/>
      <c r="AE20" s="126"/>
      <c r="AF20" s="1341"/>
      <c r="AG20" s="125"/>
      <c r="AH20" s="126"/>
      <c r="AI20" s="1324" t="s">
        <v>323</v>
      </c>
      <c r="AJ20" s="1338" t="s">
        <v>323</v>
      </c>
      <c r="AK20" s="1317">
        <v>0</v>
      </c>
      <c r="AL20" s="1322">
        <v>0</v>
      </c>
      <c r="AM20" s="1317">
        <v>0</v>
      </c>
      <c r="AN20" s="1317">
        <v>0</v>
      </c>
      <c r="AO20" s="1317">
        <v>0</v>
      </c>
      <c r="AP20" s="1317">
        <v>0</v>
      </c>
      <c r="AQ20" s="1344">
        <v>0</v>
      </c>
      <c r="AR20" s="1329"/>
      <c r="AS20" s="1330"/>
      <c r="AT20" s="1331"/>
      <c r="AU20" s="1323"/>
      <c r="AV20" s="1323"/>
      <c r="AW20" s="1323"/>
      <c r="AX20" s="1342"/>
      <c r="AY20" s="1343"/>
      <c r="AZ20" s="125"/>
      <c r="BA20" s="126"/>
      <c r="BB20" s="1341"/>
      <c r="BC20" s="125"/>
      <c r="BD20" s="126"/>
      <c r="BE20" s="1341"/>
      <c r="BF20" s="125"/>
      <c r="BG20" s="126"/>
      <c r="BH20" s="1341"/>
      <c r="BI20" s="125"/>
      <c r="BJ20" s="126"/>
      <c r="BK20" s="1341"/>
      <c r="BL20" s="125"/>
      <c r="BM20" s="126"/>
      <c r="BN20" s="1341"/>
      <c r="BO20" s="125"/>
      <c r="BP20" s="126"/>
      <c r="BQ20" s="1341"/>
      <c r="BR20" s="125"/>
      <c r="BS20" s="126"/>
      <c r="BT20" s="1341"/>
      <c r="BU20" s="125"/>
      <c r="BV20" s="126"/>
      <c r="BW20" s="1341"/>
      <c r="BX20" s="125"/>
      <c r="BY20" s="126"/>
      <c r="BZ20" s="1324" t="s">
        <v>323</v>
      </c>
      <c r="CA20" s="1338" t="s">
        <v>323</v>
      </c>
    </row>
    <row r="21" spans="1:79" ht="14.25" customHeight="1" x14ac:dyDescent="0.3">
      <c r="A21" s="1329"/>
      <c r="B21" s="1330"/>
      <c r="C21" s="1331"/>
      <c r="D21" s="1323"/>
      <c r="E21" s="1323"/>
      <c r="F21" s="1323"/>
      <c r="G21" s="1342"/>
      <c r="H21" s="1343"/>
      <c r="I21" s="125"/>
      <c r="J21" s="126"/>
      <c r="K21" s="1341"/>
      <c r="L21" s="125"/>
      <c r="M21" s="126"/>
      <c r="N21" s="1341"/>
      <c r="O21" s="125"/>
      <c r="P21" s="126"/>
      <c r="Q21" s="1341"/>
      <c r="R21" s="125"/>
      <c r="S21" s="126"/>
      <c r="T21" s="1341"/>
      <c r="U21" s="125"/>
      <c r="V21" s="126"/>
      <c r="W21" s="1341"/>
      <c r="X21" s="125"/>
      <c r="Y21" s="126"/>
      <c r="Z21" s="1341"/>
      <c r="AA21" s="125"/>
      <c r="AB21" s="126"/>
      <c r="AC21" s="1341"/>
      <c r="AD21" s="125"/>
      <c r="AE21" s="126"/>
      <c r="AF21" s="1341"/>
      <c r="AG21" s="125"/>
      <c r="AH21" s="126"/>
      <c r="AI21" s="1324"/>
      <c r="AJ21" s="1338"/>
      <c r="AK21" s="1317"/>
      <c r="AL21" s="1322"/>
      <c r="AM21" s="1317"/>
      <c r="AN21" s="1317"/>
      <c r="AO21" s="1317"/>
      <c r="AP21" s="1317"/>
      <c r="AQ21" s="1344"/>
      <c r="AR21" s="1329"/>
      <c r="AS21" s="1330"/>
      <c r="AT21" s="1331"/>
      <c r="AU21" s="1323"/>
      <c r="AV21" s="1323"/>
      <c r="AW21" s="1323"/>
      <c r="AX21" s="1342"/>
      <c r="AY21" s="1343"/>
      <c r="AZ21" s="125"/>
      <c r="BA21" s="126"/>
      <c r="BB21" s="1341"/>
      <c r="BC21" s="125"/>
      <c r="BD21" s="126"/>
      <c r="BE21" s="1341"/>
      <c r="BF21" s="125"/>
      <c r="BG21" s="126"/>
      <c r="BH21" s="1341"/>
      <c r="BI21" s="125"/>
      <c r="BJ21" s="126"/>
      <c r="BK21" s="1341"/>
      <c r="BL21" s="125"/>
      <c r="BM21" s="126"/>
      <c r="BN21" s="1341"/>
      <c r="BO21" s="125"/>
      <c r="BP21" s="126"/>
      <c r="BQ21" s="1341"/>
      <c r="BR21" s="125"/>
      <c r="BS21" s="126"/>
      <c r="BT21" s="1341"/>
      <c r="BU21" s="125"/>
      <c r="BV21" s="126"/>
      <c r="BW21" s="1341"/>
      <c r="BX21" s="125"/>
      <c r="BY21" s="126"/>
      <c r="BZ21" s="1324"/>
      <c r="CA21" s="1338"/>
    </row>
    <row r="22" spans="1:79" ht="14.25" customHeight="1" x14ac:dyDescent="0.3">
      <c r="A22" s="1339"/>
      <c r="B22" s="1312"/>
      <c r="C22" s="1313"/>
      <c r="D22" s="1314"/>
      <c r="E22" s="1314"/>
      <c r="F22" s="1314"/>
      <c r="G22" s="1315"/>
      <c r="H22" s="1331"/>
      <c r="I22" s="127"/>
      <c r="J22" s="126"/>
      <c r="K22" s="1323"/>
      <c r="L22" s="127"/>
      <c r="M22" s="126"/>
      <c r="N22" s="1323"/>
      <c r="O22" s="127"/>
      <c r="P22" s="126"/>
      <c r="Q22" s="1323"/>
      <c r="R22" s="127"/>
      <c r="S22" s="126"/>
      <c r="T22" s="1323"/>
      <c r="U22" s="127"/>
      <c r="V22" s="126"/>
      <c r="W22" s="1323"/>
      <c r="X22" s="127"/>
      <c r="Y22" s="126"/>
      <c r="Z22" s="1323"/>
      <c r="AA22" s="127"/>
      <c r="AB22" s="126"/>
      <c r="AC22" s="1323"/>
      <c r="AD22" s="127"/>
      <c r="AE22" s="126"/>
      <c r="AF22" s="1323"/>
      <c r="AG22" s="127"/>
      <c r="AH22" s="126"/>
      <c r="AI22" s="1345" t="s">
        <v>323</v>
      </c>
      <c r="AJ22" s="1338" t="s">
        <v>323</v>
      </c>
      <c r="AK22" s="1317">
        <v>0</v>
      </c>
      <c r="AL22" s="1322">
        <v>0</v>
      </c>
      <c r="AM22" s="1317">
        <v>0</v>
      </c>
      <c r="AN22" s="1317">
        <v>0</v>
      </c>
      <c r="AO22" s="1317">
        <v>0</v>
      </c>
      <c r="AP22" s="1317">
        <v>0</v>
      </c>
      <c r="AQ22" s="1344">
        <v>0</v>
      </c>
      <c r="AR22" s="1339"/>
      <c r="AS22" s="1312"/>
      <c r="AT22" s="1313"/>
      <c r="AU22" s="1314"/>
      <c r="AV22" s="1314"/>
      <c r="AW22" s="1314"/>
      <c r="AX22" s="1315"/>
      <c r="AY22" s="1331"/>
      <c r="AZ22" s="127"/>
      <c r="BA22" s="126"/>
      <c r="BB22" s="1323"/>
      <c r="BC22" s="127"/>
      <c r="BD22" s="126"/>
      <c r="BE22" s="1323"/>
      <c r="BF22" s="127"/>
      <c r="BG22" s="126"/>
      <c r="BH22" s="1323"/>
      <c r="BI22" s="127"/>
      <c r="BJ22" s="126"/>
      <c r="BK22" s="1323"/>
      <c r="BL22" s="127"/>
      <c r="BM22" s="126"/>
      <c r="BN22" s="1323"/>
      <c r="BO22" s="127"/>
      <c r="BP22" s="126"/>
      <c r="BQ22" s="1323"/>
      <c r="BR22" s="127"/>
      <c r="BS22" s="126"/>
      <c r="BT22" s="1323"/>
      <c r="BU22" s="127"/>
      <c r="BV22" s="126"/>
      <c r="BW22" s="1323"/>
      <c r="BX22" s="127"/>
      <c r="BY22" s="126"/>
      <c r="BZ22" s="1345" t="s">
        <v>323</v>
      </c>
      <c r="CA22" s="1338" t="s">
        <v>323</v>
      </c>
    </row>
    <row r="23" spans="1:79" ht="14.25" customHeight="1" x14ac:dyDescent="0.3">
      <c r="A23" s="1339"/>
      <c r="B23" s="1312"/>
      <c r="C23" s="1313"/>
      <c r="D23" s="1314"/>
      <c r="E23" s="1314"/>
      <c r="F23" s="1314"/>
      <c r="G23" s="1316"/>
      <c r="H23" s="1331"/>
      <c r="I23" s="127"/>
      <c r="J23" s="126"/>
      <c r="K23" s="1323"/>
      <c r="L23" s="127"/>
      <c r="M23" s="126"/>
      <c r="N23" s="1323"/>
      <c r="O23" s="127"/>
      <c r="P23" s="126"/>
      <c r="Q23" s="1323"/>
      <c r="R23" s="127"/>
      <c r="S23" s="126"/>
      <c r="T23" s="1323"/>
      <c r="U23" s="127"/>
      <c r="V23" s="126"/>
      <c r="W23" s="1323"/>
      <c r="X23" s="127"/>
      <c r="Y23" s="126"/>
      <c r="Z23" s="1323"/>
      <c r="AA23" s="127"/>
      <c r="AB23" s="126"/>
      <c r="AC23" s="1323"/>
      <c r="AD23" s="127"/>
      <c r="AE23" s="126"/>
      <c r="AF23" s="1323"/>
      <c r="AG23" s="127"/>
      <c r="AH23" s="126"/>
      <c r="AI23" s="1346"/>
      <c r="AJ23" s="1338"/>
      <c r="AK23" s="1317"/>
      <c r="AL23" s="1322"/>
      <c r="AM23" s="1317"/>
      <c r="AN23" s="1317"/>
      <c r="AO23" s="1317"/>
      <c r="AP23" s="1317"/>
      <c r="AQ23" s="1344"/>
      <c r="AR23" s="1339"/>
      <c r="AS23" s="1312"/>
      <c r="AT23" s="1313"/>
      <c r="AU23" s="1314"/>
      <c r="AV23" s="1314"/>
      <c r="AW23" s="1314"/>
      <c r="AX23" s="1316"/>
      <c r="AY23" s="1331"/>
      <c r="AZ23" s="127"/>
      <c r="BA23" s="126"/>
      <c r="BB23" s="1323"/>
      <c r="BC23" s="127"/>
      <c r="BD23" s="126"/>
      <c r="BE23" s="1323"/>
      <c r="BF23" s="127"/>
      <c r="BG23" s="126"/>
      <c r="BH23" s="1323"/>
      <c r="BI23" s="127"/>
      <c r="BJ23" s="126"/>
      <c r="BK23" s="1323"/>
      <c r="BL23" s="127"/>
      <c r="BM23" s="126"/>
      <c r="BN23" s="1323"/>
      <c r="BO23" s="127"/>
      <c r="BP23" s="126"/>
      <c r="BQ23" s="1323"/>
      <c r="BR23" s="127"/>
      <c r="BS23" s="126"/>
      <c r="BT23" s="1323"/>
      <c r="BU23" s="127"/>
      <c r="BV23" s="126"/>
      <c r="BW23" s="1323"/>
      <c r="BX23" s="127"/>
      <c r="BY23" s="126"/>
      <c r="BZ23" s="1346"/>
      <c r="CA23" s="1338"/>
    </row>
    <row r="24" spans="1:79" ht="14.25" customHeight="1" x14ac:dyDescent="0.3">
      <c r="A24" s="1329"/>
      <c r="B24" s="1330"/>
      <c r="C24" s="1331"/>
      <c r="D24" s="1323"/>
      <c r="E24" s="1323"/>
      <c r="F24" s="1323"/>
      <c r="G24" s="1342"/>
      <c r="H24" s="1343"/>
      <c r="I24" s="125"/>
      <c r="J24" s="126"/>
      <c r="K24" s="1341"/>
      <c r="L24" s="125"/>
      <c r="M24" s="126"/>
      <c r="N24" s="1341"/>
      <c r="O24" s="125"/>
      <c r="P24" s="126"/>
      <c r="Q24" s="1341"/>
      <c r="R24" s="125"/>
      <c r="S24" s="126"/>
      <c r="T24" s="1341"/>
      <c r="U24" s="125"/>
      <c r="V24" s="126"/>
      <c r="W24" s="1341"/>
      <c r="X24" s="125"/>
      <c r="Y24" s="126"/>
      <c r="Z24" s="1341"/>
      <c r="AA24" s="125"/>
      <c r="AB24" s="126"/>
      <c r="AC24" s="1341"/>
      <c r="AD24" s="125"/>
      <c r="AE24" s="126"/>
      <c r="AF24" s="1341"/>
      <c r="AG24" s="125"/>
      <c r="AH24" s="126"/>
      <c r="AI24" s="1324" t="s">
        <v>323</v>
      </c>
      <c r="AJ24" s="1338" t="s">
        <v>323</v>
      </c>
      <c r="AK24" s="1317">
        <v>0</v>
      </c>
      <c r="AL24" s="1322">
        <v>0</v>
      </c>
      <c r="AM24" s="1317">
        <v>0</v>
      </c>
      <c r="AN24" s="1317">
        <v>0</v>
      </c>
      <c r="AO24" s="1317">
        <v>0</v>
      </c>
      <c r="AP24" s="1317">
        <v>0</v>
      </c>
      <c r="AQ24" s="1344">
        <v>0</v>
      </c>
      <c r="AR24" s="1329"/>
      <c r="AS24" s="1330"/>
      <c r="AT24" s="1331"/>
      <c r="AU24" s="1323"/>
      <c r="AV24" s="1323"/>
      <c r="AW24" s="1323"/>
      <c r="AX24" s="1342"/>
      <c r="AY24" s="1343"/>
      <c r="AZ24" s="125"/>
      <c r="BA24" s="126"/>
      <c r="BB24" s="1341"/>
      <c r="BC24" s="125"/>
      <c r="BD24" s="126"/>
      <c r="BE24" s="1341"/>
      <c r="BF24" s="125"/>
      <c r="BG24" s="126"/>
      <c r="BH24" s="1341"/>
      <c r="BI24" s="125"/>
      <c r="BJ24" s="126"/>
      <c r="BK24" s="1341"/>
      <c r="BL24" s="125"/>
      <c r="BM24" s="126"/>
      <c r="BN24" s="1341"/>
      <c r="BO24" s="125"/>
      <c r="BP24" s="126"/>
      <c r="BQ24" s="1341"/>
      <c r="BR24" s="125"/>
      <c r="BS24" s="126"/>
      <c r="BT24" s="1341"/>
      <c r="BU24" s="125"/>
      <c r="BV24" s="126"/>
      <c r="BW24" s="1341"/>
      <c r="BX24" s="125"/>
      <c r="BY24" s="126"/>
      <c r="BZ24" s="1324" t="s">
        <v>323</v>
      </c>
      <c r="CA24" s="1338" t="s">
        <v>323</v>
      </c>
    </row>
    <row r="25" spans="1:79" ht="14.25" customHeight="1" x14ac:dyDescent="0.3">
      <c r="A25" s="1329"/>
      <c r="B25" s="1330"/>
      <c r="C25" s="1331"/>
      <c r="D25" s="1323"/>
      <c r="E25" s="1323"/>
      <c r="F25" s="1323"/>
      <c r="G25" s="1342"/>
      <c r="H25" s="1343"/>
      <c r="I25" s="125"/>
      <c r="J25" s="126"/>
      <c r="K25" s="1341"/>
      <c r="L25" s="125"/>
      <c r="M25" s="126"/>
      <c r="N25" s="1341"/>
      <c r="O25" s="125"/>
      <c r="P25" s="126"/>
      <c r="Q25" s="1341"/>
      <c r="R25" s="125"/>
      <c r="S25" s="126"/>
      <c r="T25" s="1341"/>
      <c r="U25" s="125"/>
      <c r="V25" s="126"/>
      <c r="W25" s="1341"/>
      <c r="X25" s="125"/>
      <c r="Y25" s="126"/>
      <c r="Z25" s="1341"/>
      <c r="AA25" s="125"/>
      <c r="AB25" s="126"/>
      <c r="AC25" s="1341"/>
      <c r="AD25" s="125"/>
      <c r="AE25" s="126"/>
      <c r="AF25" s="1341"/>
      <c r="AG25" s="125"/>
      <c r="AH25" s="126"/>
      <c r="AI25" s="1324"/>
      <c r="AJ25" s="1338"/>
      <c r="AK25" s="1317"/>
      <c r="AL25" s="1322"/>
      <c r="AM25" s="1317"/>
      <c r="AN25" s="1317"/>
      <c r="AO25" s="1317"/>
      <c r="AP25" s="1317"/>
      <c r="AQ25" s="1344"/>
      <c r="AR25" s="1329"/>
      <c r="AS25" s="1330"/>
      <c r="AT25" s="1331"/>
      <c r="AU25" s="1323"/>
      <c r="AV25" s="1323"/>
      <c r="AW25" s="1323"/>
      <c r="AX25" s="1342"/>
      <c r="AY25" s="1343"/>
      <c r="AZ25" s="125"/>
      <c r="BA25" s="126"/>
      <c r="BB25" s="1341"/>
      <c r="BC25" s="125"/>
      <c r="BD25" s="126"/>
      <c r="BE25" s="1341"/>
      <c r="BF25" s="125"/>
      <c r="BG25" s="126"/>
      <c r="BH25" s="1341"/>
      <c r="BI25" s="125"/>
      <c r="BJ25" s="126"/>
      <c r="BK25" s="1341"/>
      <c r="BL25" s="125"/>
      <c r="BM25" s="126"/>
      <c r="BN25" s="1341"/>
      <c r="BO25" s="125"/>
      <c r="BP25" s="126"/>
      <c r="BQ25" s="1341"/>
      <c r="BR25" s="125"/>
      <c r="BS25" s="126"/>
      <c r="BT25" s="1341"/>
      <c r="BU25" s="125"/>
      <c r="BV25" s="126"/>
      <c r="BW25" s="1341"/>
      <c r="BX25" s="125"/>
      <c r="BY25" s="126"/>
      <c r="BZ25" s="1324"/>
      <c r="CA25" s="1338"/>
    </row>
    <row r="26" spans="1:79" ht="14.25" customHeight="1" x14ac:dyDescent="0.3">
      <c r="A26" s="1339"/>
      <c r="B26" s="1312"/>
      <c r="C26" s="1313"/>
      <c r="D26" s="1314"/>
      <c r="E26" s="1314"/>
      <c r="F26" s="1314"/>
      <c r="G26" s="1315"/>
      <c r="H26" s="1331"/>
      <c r="I26" s="127"/>
      <c r="J26" s="126"/>
      <c r="K26" s="1323"/>
      <c r="L26" s="127"/>
      <c r="M26" s="126"/>
      <c r="N26" s="1323"/>
      <c r="O26" s="127"/>
      <c r="P26" s="126"/>
      <c r="Q26" s="1323"/>
      <c r="R26" s="127"/>
      <c r="S26" s="126"/>
      <c r="T26" s="1323"/>
      <c r="U26" s="127"/>
      <c r="V26" s="126"/>
      <c r="W26" s="1323"/>
      <c r="X26" s="127"/>
      <c r="Y26" s="126"/>
      <c r="Z26" s="1323"/>
      <c r="AA26" s="127"/>
      <c r="AB26" s="126"/>
      <c r="AC26" s="1323"/>
      <c r="AD26" s="127"/>
      <c r="AE26" s="126"/>
      <c r="AF26" s="1323"/>
      <c r="AG26" s="127"/>
      <c r="AH26" s="126"/>
      <c r="AI26" s="1345" t="s">
        <v>323</v>
      </c>
      <c r="AJ26" s="1338" t="s">
        <v>323</v>
      </c>
      <c r="AK26" s="1317">
        <v>0</v>
      </c>
      <c r="AL26" s="1322">
        <v>0</v>
      </c>
      <c r="AM26" s="1317">
        <v>0</v>
      </c>
      <c r="AN26" s="1317">
        <v>0</v>
      </c>
      <c r="AO26" s="1317">
        <v>0</v>
      </c>
      <c r="AP26" s="1317">
        <v>0</v>
      </c>
      <c r="AQ26" s="1344">
        <v>0</v>
      </c>
      <c r="AR26" s="1339"/>
      <c r="AS26" s="1312"/>
      <c r="AT26" s="1313"/>
      <c r="AU26" s="1314"/>
      <c r="AV26" s="1314"/>
      <c r="AW26" s="1314"/>
      <c r="AX26" s="1315"/>
      <c r="AY26" s="1331"/>
      <c r="AZ26" s="127"/>
      <c r="BA26" s="126"/>
      <c r="BB26" s="1323"/>
      <c r="BC26" s="127"/>
      <c r="BD26" s="126"/>
      <c r="BE26" s="1323"/>
      <c r="BF26" s="127"/>
      <c r="BG26" s="126"/>
      <c r="BH26" s="1323"/>
      <c r="BI26" s="127"/>
      <c r="BJ26" s="126"/>
      <c r="BK26" s="1323"/>
      <c r="BL26" s="127"/>
      <c r="BM26" s="126"/>
      <c r="BN26" s="1323"/>
      <c r="BO26" s="127"/>
      <c r="BP26" s="126"/>
      <c r="BQ26" s="1323"/>
      <c r="BR26" s="127"/>
      <c r="BS26" s="126"/>
      <c r="BT26" s="1323"/>
      <c r="BU26" s="127"/>
      <c r="BV26" s="126"/>
      <c r="BW26" s="1323"/>
      <c r="BX26" s="127"/>
      <c r="BY26" s="126"/>
      <c r="BZ26" s="1345" t="s">
        <v>323</v>
      </c>
      <c r="CA26" s="1338" t="s">
        <v>323</v>
      </c>
    </row>
    <row r="27" spans="1:79" ht="14.25" customHeight="1" x14ac:dyDescent="0.3">
      <c r="A27" s="1339"/>
      <c r="B27" s="1312"/>
      <c r="C27" s="1313"/>
      <c r="D27" s="1314"/>
      <c r="E27" s="1314"/>
      <c r="F27" s="1314"/>
      <c r="G27" s="1316"/>
      <c r="H27" s="1331"/>
      <c r="I27" s="127"/>
      <c r="J27" s="126"/>
      <c r="K27" s="1323"/>
      <c r="L27" s="127"/>
      <c r="M27" s="126"/>
      <c r="N27" s="1323"/>
      <c r="O27" s="127"/>
      <c r="P27" s="126"/>
      <c r="Q27" s="1323"/>
      <c r="R27" s="127"/>
      <c r="S27" s="126"/>
      <c r="T27" s="1323"/>
      <c r="U27" s="127"/>
      <c r="V27" s="126"/>
      <c r="W27" s="1323"/>
      <c r="X27" s="127"/>
      <c r="Y27" s="126"/>
      <c r="Z27" s="1323"/>
      <c r="AA27" s="127"/>
      <c r="AB27" s="126"/>
      <c r="AC27" s="1323"/>
      <c r="AD27" s="127"/>
      <c r="AE27" s="126"/>
      <c r="AF27" s="1323"/>
      <c r="AG27" s="127"/>
      <c r="AH27" s="126"/>
      <c r="AI27" s="1346"/>
      <c r="AJ27" s="1338"/>
      <c r="AK27" s="1317"/>
      <c r="AL27" s="1322"/>
      <c r="AM27" s="1317"/>
      <c r="AN27" s="1317"/>
      <c r="AO27" s="1317"/>
      <c r="AP27" s="1317"/>
      <c r="AQ27" s="1344"/>
      <c r="AR27" s="1339"/>
      <c r="AS27" s="1312"/>
      <c r="AT27" s="1313"/>
      <c r="AU27" s="1314"/>
      <c r="AV27" s="1314"/>
      <c r="AW27" s="1314"/>
      <c r="AX27" s="1316"/>
      <c r="AY27" s="1331"/>
      <c r="AZ27" s="127"/>
      <c r="BA27" s="126"/>
      <c r="BB27" s="1323"/>
      <c r="BC27" s="127"/>
      <c r="BD27" s="126"/>
      <c r="BE27" s="1323"/>
      <c r="BF27" s="127"/>
      <c r="BG27" s="126"/>
      <c r="BH27" s="1323"/>
      <c r="BI27" s="127"/>
      <c r="BJ27" s="126"/>
      <c r="BK27" s="1323"/>
      <c r="BL27" s="127"/>
      <c r="BM27" s="126"/>
      <c r="BN27" s="1323"/>
      <c r="BO27" s="127"/>
      <c r="BP27" s="126"/>
      <c r="BQ27" s="1323"/>
      <c r="BR27" s="127"/>
      <c r="BS27" s="126"/>
      <c r="BT27" s="1323"/>
      <c r="BU27" s="127"/>
      <c r="BV27" s="126"/>
      <c r="BW27" s="1323"/>
      <c r="BX27" s="127"/>
      <c r="BY27" s="126"/>
      <c r="BZ27" s="1346"/>
      <c r="CA27" s="1338"/>
    </row>
    <row r="28" spans="1:79" ht="14.25" customHeight="1" x14ac:dyDescent="0.3">
      <c r="A28" s="1329"/>
      <c r="B28" s="1330"/>
      <c r="C28" s="1331"/>
      <c r="D28" s="1323"/>
      <c r="E28" s="1323"/>
      <c r="F28" s="1323"/>
      <c r="G28" s="1342"/>
      <c r="H28" s="1343"/>
      <c r="I28" s="125"/>
      <c r="J28" s="126"/>
      <c r="K28" s="1341"/>
      <c r="L28" s="125"/>
      <c r="M28" s="126"/>
      <c r="N28" s="1341"/>
      <c r="O28" s="125"/>
      <c r="P28" s="126"/>
      <c r="Q28" s="1341"/>
      <c r="R28" s="125"/>
      <c r="S28" s="126"/>
      <c r="T28" s="1341"/>
      <c r="U28" s="125"/>
      <c r="V28" s="126"/>
      <c r="W28" s="1341"/>
      <c r="X28" s="125"/>
      <c r="Y28" s="126"/>
      <c r="Z28" s="1341"/>
      <c r="AA28" s="125"/>
      <c r="AB28" s="126"/>
      <c r="AC28" s="1341"/>
      <c r="AD28" s="125"/>
      <c r="AE28" s="126"/>
      <c r="AF28" s="1341"/>
      <c r="AG28" s="125"/>
      <c r="AH28" s="126"/>
      <c r="AI28" s="1324" t="s">
        <v>323</v>
      </c>
      <c r="AJ28" s="1338" t="s">
        <v>323</v>
      </c>
      <c r="AK28" s="1317">
        <v>0</v>
      </c>
      <c r="AL28" s="1322">
        <v>0</v>
      </c>
      <c r="AM28" s="1317">
        <v>0</v>
      </c>
      <c r="AN28" s="1317">
        <v>0</v>
      </c>
      <c r="AO28" s="1317">
        <v>0</v>
      </c>
      <c r="AP28" s="1317">
        <v>0</v>
      </c>
      <c r="AQ28" s="1344">
        <v>0</v>
      </c>
      <c r="AR28" s="1329"/>
      <c r="AS28" s="1330"/>
      <c r="AT28" s="1331"/>
      <c r="AU28" s="1323"/>
      <c r="AV28" s="1323"/>
      <c r="AW28" s="1323"/>
      <c r="AX28" s="1342"/>
      <c r="AY28" s="1343"/>
      <c r="AZ28" s="125"/>
      <c r="BA28" s="126"/>
      <c r="BB28" s="1341"/>
      <c r="BC28" s="125"/>
      <c r="BD28" s="126"/>
      <c r="BE28" s="1341"/>
      <c r="BF28" s="125"/>
      <c r="BG28" s="126"/>
      <c r="BH28" s="1341"/>
      <c r="BI28" s="125"/>
      <c r="BJ28" s="126"/>
      <c r="BK28" s="1341"/>
      <c r="BL28" s="125"/>
      <c r="BM28" s="126"/>
      <c r="BN28" s="1341"/>
      <c r="BO28" s="125"/>
      <c r="BP28" s="126"/>
      <c r="BQ28" s="1341"/>
      <c r="BR28" s="125"/>
      <c r="BS28" s="126"/>
      <c r="BT28" s="1341"/>
      <c r="BU28" s="125"/>
      <c r="BV28" s="126"/>
      <c r="BW28" s="1341"/>
      <c r="BX28" s="125"/>
      <c r="BY28" s="126"/>
      <c r="BZ28" s="1324" t="s">
        <v>323</v>
      </c>
      <c r="CA28" s="1338" t="s">
        <v>323</v>
      </c>
    </row>
    <row r="29" spans="1:79" ht="14.25" customHeight="1" x14ac:dyDescent="0.3">
      <c r="A29" s="1329"/>
      <c r="B29" s="1330"/>
      <c r="C29" s="1331"/>
      <c r="D29" s="1323"/>
      <c r="E29" s="1323"/>
      <c r="F29" s="1323"/>
      <c r="G29" s="1342"/>
      <c r="H29" s="1343"/>
      <c r="I29" s="125"/>
      <c r="J29" s="126"/>
      <c r="K29" s="1341"/>
      <c r="L29" s="125"/>
      <c r="M29" s="126"/>
      <c r="N29" s="1341"/>
      <c r="O29" s="125"/>
      <c r="P29" s="126"/>
      <c r="Q29" s="1341"/>
      <c r="R29" s="125"/>
      <c r="S29" s="126"/>
      <c r="T29" s="1341"/>
      <c r="U29" s="125"/>
      <c r="V29" s="126"/>
      <c r="W29" s="1341"/>
      <c r="X29" s="125"/>
      <c r="Y29" s="126"/>
      <c r="Z29" s="1341"/>
      <c r="AA29" s="125"/>
      <c r="AB29" s="126"/>
      <c r="AC29" s="1341"/>
      <c r="AD29" s="125"/>
      <c r="AE29" s="126"/>
      <c r="AF29" s="1341"/>
      <c r="AG29" s="125"/>
      <c r="AH29" s="126"/>
      <c r="AI29" s="1324"/>
      <c r="AJ29" s="1338"/>
      <c r="AK29" s="1317"/>
      <c r="AL29" s="1322"/>
      <c r="AM29" s="1317"/>
      <c r="AN29" s="1317"/>
      <c r="AO29" s="1317"/>
      <c r="AP29" s="1317"/>
      <c r="AQ29" s="1344"/>
      <c r="AR29" s="1329"/>
      <c r="AS29" s="1330"/>
      <c r="AT29" s="1331"/>
      <c r="AU29" s="1323"/>
      <c r="AV29" s="1323"/>
      <c r="AW29" s="1323"/>
      <c r="AX29" s="1342"/>
      <c r="AY29" s="1343"/>
      <c r="AZ29" s="125"/>
      <c r="BA29" s="126"/>
      <c r="BB29" s="1341"/>
      <c r="BC29" s="125"/>
      <c r="BD29" s="126"/>
      <c r="BE29" s="1341"/>
      <c r="BF29" s="125"/>
      <c r="BG29" s="126"/>
      <c r="BH29" s="1341"/>
      <c r="BI29" s="125"/>
      <c r="BJ29" s="126"/>
      <c r="BK29" s="1341"/>
      <c r="BL29" s="125"/>
      <c r="BM29" s="126"/>
      <c r="BN29" s="1341"/>
      <c r="BO29" s="125"/>
      <c r="BP29" s="126"/>
      <c r="BQ29" s="1341"/>
      <c r="BR29" s="125"/>
      <c r="BS29" s="126"/>
      <c r="BT29" s="1341"/>
      <c r="BU29" s="125"/>
      <c r="BV29" s="126"/>
      <c r="BW29" s="1341"/>
      <c r="BX29" s="125"/>
      <c r="BY29" s="126"/>
      <c r="BZ29" s="1324"/>
      <c r="CA29" s="1338"/>
    </row>
    <row r="30" spans="1:79" ht="14.25" customHeight="1" x14ac:dyDescent="0.3">
      <c r="A30" s="1339"/>
      <c r="B30" s="1312"/>
      <c r="C30" s="1313"/>
      <c r="D30" s="1314"/>
      <c r="E30" s="1314"/>
      <c r="F30" s="1314"/>
      <c r="G30" s="1315"/>
      <c r="H30" s="1331"/>
      <c r="I30" s="127"/>
      <c r="J30" s="126"/>
      <c r="K30" s="1323"/>
      <c r="L30" s="127"/>
      <c r="M30" s="126"/>
      <c r="N30" s="1323"/>
      <c r="O30" s="127"/>
      <c r="P30" s="126"/>
      <c r="Q30" s="1323"/>
      <c r="R30" s="127"/>
      <c r="S30" s="126"/>
      <c r="T30" s="1323"/>
      <c r="U30" s="127"/>
      <c r="V30" s="126"/>
      <c r="W30" s="1323"/>
      <c r="X30" s="127"/>
      <c r="Y30" s="126"/>
      <c r="Z30" s="1323"/>
      <c r="AA30" s="127"/>
      <c r="AB30" s="126"/>
      <c r="AC30" s="1323"/>
      <c r="AD30" s="127"/>
      <c r="AE30" s="126"/>
      <c r="AF30" s="1323"/>
      <c r="AG30" s="127"/>
      <c r="AH30" s="126"/>
      <c r="AI30" s="1345" t="s">
        <v>323</v>
      </c>
      <c r="AJ30" s="1338" t="s">
        <v>323</v>
      </c>
      <c r="AK30" s="1317">
        <v>0</v>
      </c>
      <c r="AL30" s="1322">
        <v>0</v>
      </c>
      <c r="AM30" s="1317">
        <v>0</v>
      </c>
      <c r="AN30" s="1317">
        <v>0</v>
      </c>
      <c r="AO30" s="1317">
        <v>0</v>
      </c>
      <c r="AP30" s="1317">
        <v>0</v>
      </c>
      <c r="AQ30" s="1344">
        <v>0</v>
      </c>
      <c r="AR30" s="1339"/>
      <c r="AS30" s="1312"/>
      <c r="AT30" s="1313"/>
      <c r="AU30" s="1314"/>
      <c r="AV30" s="1314"/>
      <c r="AW30" s="1314"/>
      <c r="AX30" s="1315"/>
      <c r="AY30" s="1331"/>
      <c r="AZ30" s="127"/>
      <c r="BA30" s="126"/>
      <c r="BB30" s="1323"/>
      <c r="BC30" s="127"/>
      <c r="BD30" s="126"/>
      <c r="BE30" s="1323"/>
      <c r="BF30" s="127"/>
      <c r="BG30" s="126"/>
      <c r="BH30" s="1323"/>
      <c r="BI30" s="127"/>
      <c r="BJ30" s="126"/>
      <c r="BK30" s="1323"/>
      <c r="BL30" s="127"/>
      <c r="BM30" s="126"/>
      <c r="BN30" s="1323"/>
      <c r="BO30" s="127"/>
      <c r="BP30" s="126"/>
      <c r="BQ30" s="1323"/>
      <c r="BR30" s="127"/>
      <c r="BS30" s="126"/>
      <c r="BT30" s="1323"/>
      <c r="BU30" s="127"/>
      <c r="BV30" s="126"/>
      <c r="BW30" s="1323"/>
      <c r="BX30" s="127"/>
      <c r="BY30" s="126"/>
      <c r="BZ30" s="1345" t="s">
        <v>323</v>
      </c>
      <c r="CA30" s="1338" t="s">
        <v>323</v>
      </c>
    </row>
    <row r="31" spans="1:79" ht="14.25" customHeight="1" x14ac:dyDescent="0.3">
      <c r="A31" s="1339"/>
      <c r="B31" s="1312"/>
      <c r="C31" s="1313"/>
      <c r="D31" s="1314"/>
      <c r="E31" s="1314"/>
      <c r="F31" s="1314"/>
      <c r="G31" s="1316"/>
      <c r="H31" s="1331"/>
      <c r="I31" s="127"/>
      <c r="J31" s="126"/>
      <c r="K31" s="1323"/>
      <c r="L31" s="127"/>
      <c r="M31" s="126"/>
      <c r="N31" s="1323"/>
      <c r="O31" s="127"/>
      <c r="P31" s="126"/>
      <c r="Q31" s="1323"/>
      <c r="R31" s="127"/>
      <c r="S31" s="126"/>
      <c r="T31" s="1323"/>
      <c r="U31" s="127"/>
      <c r="V31" s="126"/>
      <c r="W31" s="1323"/>
      <c r="X31" s="127"/>
      <c r="Y31" s="126"/>
      <c r="Z31" s="1323"/>
      <c r="AA31" s="127"/>
      <c r="AB31" s="126"/>
      <c r="AC31" s="1323"/>
      <c r="AD31" s="127"/>
      <c r="AE31" s="126"/>
      <c r="AF31" s="1323"/>
      <c r="AG31" s="127"/>
      <c r="AH31" s="126"/>
      <c r="AI31" s="1346"/>
      <c r="AJ31" s="1338"/>
      <c r="AK31" s="1317"/>
      <c r="AL31" s="1322"/>
      <c r="AM31" s="1317"/>
      <c r="AN31" s="1317"/>
      <c r="AO31" s="1317"/>
      <c r="AP31" s="1317"/>
      <c r="AQ31" s="1344"/>
      <c r="AR31" s="1339"/>
      <c r="AS31" s="1312"/>
      <c r="AT31" s="1313"/>
      <c r="AU31" s="1314"/>
      <c r="AV31" s="1314"/>
      <c r="AW31" s="1314"/>
      <c r="AX31" s="1316"/>
      <c r="AY31" s="1331"/>
      <c r="AZ31" s="127"/>
      <c r="BA31" s="126"/>
      <c r="BB31" s="1323"/>
      <c r="BC31" s="127"/>
      <c r="BD31" s="126"/>
      <c r="BE31" s="1323"/>
      <c r="BF31" s="127"/>
      <c r="BG31" s="126"/>
      <c r="BH31" s="1323"/>
      <c r="BI31" s="127"/>
      <c r="BJ31" s="126"/>
      <c r="BK31" s="1323"/>
      <c r="BL31" s="127"/>
      <c r="BM31" s="126"/>
      <c r="BN31" s="1323"/>
      <c r="BO31" s="127"/>
      <c r="BP31" s="126"/>
      <c r="BQ31" s="1323"/>
      <c r="BR31" s="127"/>
      <c r="BS31" s="126"/>
      <c r="BT31" s="1323"/>
      <c r="BU31" s="127"/>
      <c r="BV31" s="126"/>
      <c r="BW31" s="1323"/>
      <c r="BX31" s="127"/>
      <c r="BY31" s="126"/>
      <c r="BZ31" s="1346"/>
      <c r="CA31" s="1338"/>
    </row>
    <row r="32" spans="1:79" ht="14.25" customHeight="1" x14ac:dyDescent="0.3">
      <c r="A32" s="1329"/>
      <c r="B32" s="1330"/>
      <c r="C32" s="1331"/>
      <c r="D32" s="1323"/>
      <c r="E32" s="1323"/>
      <c r="F32" s="1323"/>
      <c r="G32" s="1342"/>
      <c r="H32" s="1343"/>
      <c r="I32" s="125"/>
      <c r="J32" s="126"/>
      <c r="K32" s="1341"/>
      <c r="L32" s="125"/>
      <c r="M32" s="126"/>
      <c r="N32" s="1341"/>
      <c r="O32" s="125"/>
      <c r="P32" s="126"/>
      <c r="Q32" s="1341"/>
      <c r="R32" s="125"/>
      <c r="S32" s="126"/>
      <c r="T32" s="1341"/>
      <c r="U32" s="125"/>
      <c r="V32" s="126"/>
      <c r="W32" s="1341"/>
      <c r="X32" s="125"/>
      <c r="Y32" s="126"/>
      <c r="Z32" s="1341"/>
      <c r="AA32" s="125"/>
      <c r="AB32" s="126"/>
      <c r="AC32" s="1341"/>
      <c r="AD32" s="125"/>
      <c r="AE32" s="126"/>
      <c r="AF32" s="1341"/>
      <c r="AG32" s="125"/>
      <c r="AH32" s="126"/>
      <c r="AI32" s="1324" t="s">
        <v>323</v>
      </c>
      <c r="AJ32" s="1338" t="s">
        <v>323</v>
      </c>
      <c r="AK32" s="1317">
        <v>0</v>
      </c>
      <c r="AL32" s="1322">
        <v>0</v>
      </c>
      <c r="AM32" s="1317">
        <v>0</v>
      </c>
      <c r="AN32" s="1317">
        <v>0</v>
      </c>
      <c r="AO32" s="1317">
        <v>0</v>
      </c>
      <c r="AP32" s="1317">
        <v>0</v>
      </c>
      <c r="AQ32" s="1344">
        <v>0</v>
      </c>
      <c r="AR32" s="1329"/>
      <c r="AS32" s="1330"/>
      <c r="AT32" s="1331"/>
      <c r="AU32" s="1323"/>
      <c r="AV32" s="1323"/>
      <c r="AW32" s="1323"/>
      <c r="AX32" s="1342"/>
      <c r="AY32" s="1343"/>
      <c r="AZ32" s="125"/>
      <c r="BA32" s="126"/>
      <c r="BB32" s="1341"/>
      <c r="BC32" s="125"/>
      <c r="BD32" s="126"/>
      <c r="BE32" s="1341"/>
      <c r="BF32" s="125"/>
      <c r="BG32" s="126"/>
      <c r="BH32" s="1341"/>
      <c r="BI32" s="125"/>
      <c r="BJ32" s="126"/>
      <c r="BK32" s="1341"/>
      <c r="BL32" s="125"/>
      <c r="BM32" s="126"/>
      <c r="BN32" s="1341"/>
      <c r="BO32" s="125"/>
      <c r="BP32" s="126"/>
      <c r="BQ32" s="1341"/>
      <c r="BR32" s="125"/>
      <c r="BS32" s="126"/>
      <c r="BT32" s="1341"/>
      <c r="BU32" s="125"/>
      <c r="BV32" s="126"/>
      <c r="BW32" s="1341"/>
      <c r="BX32" s="125"/>
      <c r="BY32" s="126"/>
      <c r="BZ32" s="1324" t="s">
        <v>323</v>
      </c>
      <c r="CA32" s="1338" t="s">
        <v>323</v>
      </c>
    </row>
    <row r="33" spans="1:79" ht="14.25" customHeight="1" x14ac:dyDescent="0.3">
      <c r="A33" s="1329"/>
      <c r="B33" s="1330"/>
      <c r="C33" s="1331"/>
      <c r="D33" s="1323"/>
      <c r="E33" s="1323"/>
      <c r="F33" s="1323"/>
      <c r="G33" s="1342"/>
      <c r="H33" s="1343"/>
      <c r="I33" s="125"/>
      <c r="J33" s="126"/>
      <c r="K33" s="1341"/>
      <c r="L33" s="125"/>
      <c r="M33" s="126"/>
      <c r="N33" s="1341"/>
      <c r="O33" s="125"/>
      <c r="P33" s="126"/>
      <c r="Q33" s="1341"/>
      <c r="R33" s="125"/>
      <c r="S33" s="126"/>
      <c r="T33" s="1341"/>
      <c r="U33" s="125"/>
      <c r="V33" s="126"/>
      <c r="W33" s="1341"/>
      <c r="X33" s="125"/>
      <c r="Y33" s="126"/>
      <c r="Z33" s="1341"/>
      <c r="AA33" s="125"/>
      <c r="AB33" s="126"/>
      <c r="AC33" s="1341"/>
      <c r="AD33" s="125"/>
      <c r="AE33" s="126"/>
      <c r="AF33" s="1341"/>
      <c r="AG33" s="125"/>
      <c r="AH33" s="126"/>
      <c r="AI33" s="1324"/>
      <c r="AJ33" s="1338"/>
      <c r="AK33" s="1317"/>
      <c r="AL33" s="1322"/>
      <c r="AM33" s="1317"/>
      <c r="AN33" s="1317"/>
      <c r="AO33" s="1317"/>
      <c r="AP33" s="1317"/>
      <c r="AQ33" s="1344"/>
      <c r="AR33" s="1329"/>
      <c r="AS33" s="1330"/>
      <c r="AT33" s="1331"/>
      <c r="AU33" s="1323"/>
      <c r="AV33" s="1323"/>
      <c r="AW33" s="1323"/>
      <c r="AX33" s="1342"/>
      <c r="AY33" s="1343"/>
      <c r="AZ33" s="125"/>
      <c r="BA33" s="126"/>
      <c r="BB33" s="1341"/>
      <c r="BC33" s="125"/>
      <c r="BD33" s="126"/>
      <c r="BE33" s="1341"/>
      <c r="BF33" s="125"/>
      <c r="BG33" s="126"/>
      <c r="BH33" s="1341"/>
      <c r="BI33" s="125"/>
      <c r="BJ33" s="126"/>
      <c r="BK33" s="1341"/>
      <c r="BL33" s="125"/>
      <c r="BM33" s="126"/>
      <c r="BN33" s="1341"/>
      <c r="BO33" s="125"/>
      <c r="BP33" s="126"/>
      <c r="BQ33" s="1341"/>
      <c r="BR33" s="125"/>
      <c r="BS33" s="126"/>
      <c r="BT33" s="1341"/>
      <c r="BU33" s="125"/>
      <c r="BV33" s="126"/>
      <c r="BW33" s="1341"/>
      <c r="BX33" s="125"/>
      <c r="BY33" s="126"/>
      <c r="BZ33" s="1324"/>
      <c r="CA33" s="1338"/>
    </row>
    <row r="34" spans="1:79" ht="14.25" customHeight="1" x14ac:dyDescent="0.3">
      <c r="A34" s="1339"/>
      <c r="B34" s="1312"/>
      <c r="C34" s="1313"/>
      <c r="D34" s="1314"/>
      <c r="E34" s="1314"/>
      <c r="F34" s="1314"/>
      <c r="G34" s="1315"/>
      <c r="H34" s="1331"/>
      <c r="I34" s="127"/>
      <c r="J34" s="126"/>
      <c r="K34" s="1323"/>
      <c r="L34" s="127"/>
      <c r="M34" s="126"/>
      <c r="N34" s="1323"/>
      <c r="O34" s="127"/>
      <c r="P34" s="126"/>
      <c r="Q34" s="1323"/>
      <c r="R34" s="127"/>
      <c r="S34" s="126"/>
      <c r="T34" s="1323"/>
      <c r="U34" s="127"/>
      <c r="V34" s="126"/>
      <c r="W34" s="1323"/>
      <c r="X34" s="127"/>
      <c r="Y34" s="126"/>
      <c r="Z34" s="1323"/>
      <c r="AA34" s="127"/>
      <c r="AB34" s="126"/>
      <c r="AC34" s="1323"/>
      <c r="AD34" s="127"/>
      <c r="AE34" s="126"/>
      <c r="AF34" s="1323"/>
      <c r="AG34" s="127"/>
      <c r="AH34" s="126"/>
      <c r="AI34" s="1345" t="s">
        <v>323</v>
      </c>
      <c r="AJ34" s="1338" t="s">
        <v>323</v>
      </c>
      <c r="AK34" s="1317">
        <v>0</v>
      </c>
      <c r="AL34" s="1322">
        <v>0</v>
      </c>
      <c r="AM34" s="1317">
        <v>0</v>
      </c>
      <c r="AN34" s="1317">
        <v>0</v>
      </c>
      <c r="AO34" s="1317">
        <v>0</v>
      </c>
      <c r="AP34" s="1317">
        <v>0</v>
      </c>
      <c r="AQ34" s="1344">
        <v>0</v>
      </c>
      <c r="AR34" s="1339"/>
      <c r="AS34" s="1312"/>
      <c r="AT34" s="1313"/>
      <c r="AU34" s="1314"/>
      <c r="AV34" s="1314"/>
      <c r="AW34" s="1314"/>
      <c r="AX34" s="1315"/>
      <c r="AY34" s="1331"/>
      <c r="AZ34" s="127"/>
      <c r="BA34" s="126"/>
      <c r="BB34" s="1323"/>
      <c r="BC34" s="127"/>
      <c r="BD34" s="126"/>
      <c r="BE34" s="1323"/>
      <c r="BF34" s="127"/>
      <c r="BG34" s="126"/>
      <c r="BH34" s="1323"/>
      <c r="BI34" s="127"/>
      <c r="BJ34" s="126"/>
      <c r="BK34" s="1323"/>
      <c r="BL34" s="127"/>
      <c r="BM34" s="126"/>
      <c r="BN34" s="1323"/>
      <c r="BO34" s="127"/>
      <c r="BP34" s="126"/>
      <c r="BQ34" s="1323"/>
      <c r="BR34" s="127"/>
      <c r="BS34" s="126"/>
      <c r="BT34" s="1323"/>
      <c r="BU34" s="127"/>
      <c r="BV34" s="126"/>
      <c r="BW34" s="1323"/>
      <c r="BX34" s="127"/>
      <c r="BY34" s="126"/>
      <c r="BZ34" s="1345" t="s">
        <v>323</v>
      </c>
      <c r="CA34" s="1338" t="s">
        <v>323</v>
      </c>
    </row>
    <row r="35" spans="1:79" ht="14.25" customHeight="1" x14ac:dyDescent="0.3">
      <c r="A35" s="1339"/>
      <c r="B35" s="1312"/>
      <c r="C35" s="1313"/>
      <c r="D35" s="1314"/>
      <c r="E35" s="1314"/>
      <c r="F35" s="1314"/>
      <c r="G35" s="1316"/>
      <c r="H35" s="1331"/>
      <c r="I35" s="127"/>
      <c r="J35" s="126"/>
      <c r="K35" s="1323"/>
      <c r="L35" s="127"/>
      <c r="M35" s="126"/>
      <c r="N35" s="1323"/>
      <c r="O35" s="127"/>
      <c r="P35" s="126"/>
      <c r="Q35" s="1323"/>
      <c r="R35" s="127"/>
      <c r="S35" s="126"/>
      <c r="T35" s="1323"/>
      <c r="U35" s="127"/>
      <c r="V35" s="126"/>
      <c r="W35" s="1323"/>
      <c r="X35" s="127"/>
      <c r="Y35" s="126"/>
      <c r="Z35" s="1323"/>
      <c r="AA35" s="127"/>
      <c r="AB35" s="126"/>
      <c r="AC35" s="1323"/>
      <c r="AD35" s="127"/>
      <c r="AE35" s="126"/>
      <c r="AF35" s="1323"/>
      <c r="AG35" s="127"/>
      <c r="AH35" s="126"/>
      <c r="AI35" s="1346"/>
      <c r="AJ35" s="1338"/>
      <c r="AK35" s="1317"/>
      <c r="AL35" s="1322"/>
      <c r="AM35" s="1317"/>
      <c r="AN35" s="1317"/>
      <c r="AO35" s="1317"/>
      <c r="AP35" s="1317"/>
      <c r="AQ35" s="1344"/>
      <c r="AR35" s="1339"/>
      <c r="AS35" s="1312"/>
      <c r="AT35" s="1313"/>
      <c r="AU35" s="1314"/>
      <c r="AV35" s="1314"/>
      <c r="AW35" s="1314"/>
      <c r="AX35" s="1316"/>
      <c r="AY35" s="1331"/>
      <c r="AZ35" s="127"/>
      <c r="BA35" s="126"/>
      <c r="BB35" s="1323"/>
      <c r="BC35" s="127"/>
      <c r="BD35" s="126"/>
      <c r="BE35" s="1323"/>
      <c r="BF35" s="127"/>
      <c r="BG35" s="126"/>
      <c r="BH35" s="1323"/>
      <c r="BI35" s="127"/>
      <c r="BJ35" s="126"/>
      <c r="BK35" s="1323"/>
      <c r="BL35" s="127"/>
      <c r="BM35" s="126"/>
      <c r="BN35" s="1323"/>
      <c r="BO35" s="127"/>
      <c r="BP35" s="126"/>
      <c r="BQ35" s="1323"/>
      <c r="BR35" s="127"/>
      <c r="BS35" s="126"/>
      <c r="BT35" s="1323"/>
      <c r="BU35" s="127"/>
      <c r="BV35" s="126"/>
      <c r="BW35" s="1323"/>
      <c r="BX35" s="127"/>
      <c r="BY35" s="126"/>
      <c r="BZ35" s="1346"/>
      <c r="CA35" s="1338"/>
    </row>
    <row r="36" spans="1:79" ht="14.25" customHeight="1" x14ac:dyDescent="0.3">
      <c r="A36" s="1329"/>
      <c r="B36" s="1330"/>
      <c r="C36" s="1331"/>
      <c r="D36" s="1323"/>
      <c r="E36" s="1323"/>
      <c r="F36" s="1323"/>
      <c r="G36" s="1342"/>
      <c r="H36" s="1343"/>
      <c r="I36" s="125"/>
      <c r="J36" s="126"/>
      <c r="K36" s="1341"/>
      <c r="L36" s="125"/>
      <c r="M36" s="126"/>
      <c r="N36" s="1341"/>
      <c r="O36" s="125"/>
      <c r="P36" s="126"/>
      <c r="Q36" s="1341"/>
      <c r="R36" s="125"/>
      <c r="S36" s="126"/>
      <c r="T36" s="1341"/>
      <c r="U36" s="125"/>
      <c r="V36" s="126"/>
      <c r="W36" s="1341"/>
      <c r="X36" s="125"/>
      <c r="Y36" s="126"/>
      <c r="Z36" s="1341"/>
      <c r="AA36" s="125"/>
      <c r="AB36" s="126"/>
      <c r="AC36" s="1341"/>
      <c r="AD36" s="125"/>
      <c r="AE36" s="126"/>
      <c r="AF36" s="1341"/>
      <c r="AG36" s="125"/>
      <c r="AH36" s="126"/>
      <c r="AI36" s="1324" t="s">
        <v>323</v>
      </c>
      <c r="AJ36" s="1338" t="s">
        <v>323</v>
      </c>
      <c r="AK36" s="1317">
        <v>0</v>
      </c>
      <c r="AL36" s="1322">
        <v>0</v>
      </c>
      <c r="AM36" s="1317">
        <v>0</v>
      </c>
      <c r="AN36" s="1317">
        <v>0</v>
      </c>
      <c r="AO36" s="1317">
        <v>0</v>
      </c>
      <c r="AP36" s="1317">
        <v>0</v>
      </c>
      <c r="AQ36" s="1344">
        <v>0</v>
      </c>
      <c r="AR36" s="1329"/>
      <c r="AS36" s="1330"/>
      <c r="AT36" s="1331"/>
      <c r="AU36" s="1323"/>
      <c r="AV36" s="1323"/>
      <c r="AW36" s="1323"/>
      <c r="AX36" s="1342"/>
      <c r="AY36" s="1343"/>
      <c r="AZ36" s="125"/>
      <c r="BA36" s="126"/>
      <c r="BB36" s="1341"/>
      <c r="BC36" s="125"/>
      <c r="BD36" s="126"/>
      <c r="BE36" s="1341"/>
      <c r="BF36" s="125"/>
      <c r="BG36" s="126"/>
      <c r="BH36" s="1341"/>
      <c r="BI36" s="125"/>
      <c r="BJ36" s="126"/>
      <c r="BK36" s="1341"/>
      <c r="BL36" s="125"/>
      <c r="BM36" s="126"/>
      <c r="BN36" s="1341"/>
      <c r="BO36" s="125"/>
      <c r="BP36" s="126"/>
      <c r="BQ36" s="1341"/>
      <c r="BR36" s="125"/>
      <c r="BS36" s="126"/>
      <c r="BT36" s="1341"/>
      <c r="BU36" s="125"/>
      <c r="BV36" s="126"/>
      <c r="BW36" s="1341"/>
      <c r="BX36" s="125"/>
      <c r="BY36" s="126"/>
      <c r="BZ36" s="1324" t="s">
        <v>323</v>
      </c>
      <c r="CA36" s="1338" t="s">
        <v>323</v>
      </c>
    </row>
    <row r="37" spans="1:79" ht="14.25" customHeight="1" x14ac:dyDescent="0.3">
      <c r="A37" s="1329"/>
      <c r="B37" s="1330"/>
      <c r="C37" s="1331"/>
      <c r="D37" s="1323"/>
      <c r="E37" s="1323"/>
      <c r="F37" s="1323"/>
      <c r="G37" s="1342"/>
      <c r="H37" s="1343"/>
      <c r="I37" s="125"/>
      <c r="J37" s="126"/>
      <c r="K37" s="1341"/>
      <c r="L37" s="125"/>
      <c r="M37" s="126"/>
      <c r="N37" s="1341"/>
      <c r="O37" s="125"/>
      <c r="P37" s="126"/>
      <c r="Q37" s="1341"/>
      <c r="R37" s="125"/>
      <c r="S37" s="126"/>
      <c r="T37" s="1341"/>
      <c r="U37" s="125"/>
      <c r="V37" s="126"/>
      <c r="W37" s="1341"/>
      <c r="X37" s="125"/>
      <c r="Y37" s="126"/>
      <c r="Z37" s="1341"/>
      <c r="AA37" s="125"/>
      <c r="AB37" s="126"/>
      <c r="AC37" s="1341"/>
      <c r="AD37" s="125"/>
      <c r="AE37" s="126"/>
      <c r="AF37" s="1341"/>
      <c r="AG37" s="125"/>
      <c r="AH37" s="126"/>
      <c r="AI37" s="1324"/>
      <c r="AJ37" s="1338"/>
      <c r="AK37" s="1317"/>
      <c r="AL37" s="1322"/>
      <c r="AM37" s="1317"/>
      <c r="AN37" s="1317"/>
      <c r="AO37" s="1317"/>
      <c r="AP37" s="1317"/>
      <c r="AQ37" s="1344"/>
      <c r="AR37" s="1329"/>
      <c r="AS37" s="1330"/>
      <c r="AT37" s="1331"/>
      <c r="AU37" s="1323"/>
      <c r="AV37" s="1323"/>
      <c r="AW37" s="1323"/>
      <c r="AX37" s="1342"/>
      <c r="AY37" s="1343"/>
      <c r="AZ37" s="125"/>
      <c r="BA37" s="126"/>
      <c r="BB37" s="1341"/>
      <c r="BC37" s="125"/>
      <c r="BD37" s="126"/>
      <c r="BE37" s="1341"/>
      <c r="BF37" s="125"/>
      <c r="BG37" s="126"/>
      <c r="BH37" s="1341"/>
      <c r="BI37" s="125"/>
      <c r="BJ37" s="126"/>
      <c r="BK37" s="1341"/>
      <c r="BL37" s="125"/>
      <c r="BM37" s="126"/>
      <c r="BN37" s="1341"/>
      <c r="BO37" s="125"/>
      <c r="BP37" s="126"/>
      <c r="BQ37" s="1341"/>
      <c r="BR37" s="125"/>
      <c r="BS37" s="126"/>
      <c r="BT37" s="1341"/>
      <c r="BU37" s="125"/>
      <c r="BV37" s="126"/>
      <c r="BW37" s="1341"/>
      <c r="BX37" s="125"/>
      <c r="BY37" s="126"/>
      <c r="BZ37" s="1324"/>
      <c r="CA37" s="1338"/>
    </row>
    <row r="38" spans="1:79" ht="14.25" customHeight="1" x14ac:dyDescent="0.3">
      <c r="A38" s="1339"/>
      <c r="B38" s="1312"/>
      <c r="C38" s="1313"/>
      <c r="D38" s="1314"/>
      <c r="E38" s="1314"/>
      <c r="F38" s="1314"/>
      <c r="G38" s="1315"/>
      <c r="H38" s="1331"/>
      <c r="I38" s="127"/>
      <c r="J38" s="126"/>
      <c r="K38" s="1323"/>
      <c r="L38" s="127"/>
      <c r="M38" s="126"/>
      <c r="N38" s="1323"/>
      <c r="O38" s="127"/>
      <c r="P38" s="126"/>
      <c r="Q38" s="1323"/>
      <c r="R38" s="127"/>
      <c r="S38" s="126"/>
      <c r="T38" s="1323"/>
      <c r="U38" s="127"/>
      <c r="V38" s="126"/>
      <c r="W38" s="1323"/>
      <c r="X38" s="127"/>
      <c r="Y38" s="126"/>
      <c r="Z38" s="1323"/>
      <c r="AA38" s="127"/>
      <c r="AB38" s="126"/>
      <c r="AC38" s="1323"/>
      <c r="AD38" s="127"/>
      <c r="AE38" s="126"/>
      <c r="AF38" s="1323"/>
      <c r="AG38" s="127"/>
      <c r="AH38" s="126"/>
      <c r="AI38" s="1345" t="s">
        <v>323</v>
      </c>
      <c r="AJ38" s="1338" t="s">
        <v>323</v>
      </c>
      <c r="AK38" s="1317">
        <v>0</v>
      </c>
      <c r="AL38" s="1322">
        <v>0</v>
      </c>
      <c r="AM38" s="1317">
        <v>0</v>
      </c>
      <c r="AN38" s="1317">
        <v>0</v>
      </c>
      <c r="AO38" s="1317">
        <v>0</v>
      </c>
      <c r="AP38" s="1317">
        <v>0</v>
      </c>
      <c r="AQ38" s="1344">
        <v>0</v>
      </c>
      <c r="AR38" s="1339"/>
      <c r="AS38" s="1312"/>
      <c r="AT38" s="1313"/>
      <c r="AU38" s="1314"/>
      <c r="AV38" s="1314"/>
      <c r="AW38" s="1314"/>
      <c r="AX38" s="1315"/>
      <c r="AY38" s="1331"/>
      <c r="AZ38" s="127"/>
      <c r="BA38" s="126"/>
      <c r="BB38" s="1323"/>
      <c r="BC38" s="127"/>
      <c r="BD38" s="126"/>
      <c r="BE38" s="1323"/>
      <c r="BF38" s="127"/>
      <c r="BG38" s="126"/>
      <c r="BH38" s="1323"/>
      <c r="BI38" s="127"/>
      <c r="BJ38" s="126"/>
      <c r="BK38" s="1323"/>
      <c r="BL38" s="127"/>
      <c r="BM38" s="126"/>
      <c r="BN38" s="1323"/>
      <c r="BO38" s="127"/>
      <c r="BP38" s="126"/>
      <c r="BQ38" s="1323"/>
      <c r="BR38" s="127"/>
      <c r="BS38" s="126"/>
      <c r="BT38" s="1323"/>
      <c r="BU38" s="127"/>
      <c r="BV38" s="126"/>
      <c r="BW38" s="1323"/>
      <c r="BX38" s="127"/>
      <c r="BY38" s="126"/>
      <c r="BZ38" s="1345" t="s">
        <v>323</v>
      </c>
      <c r="CA38" s="1338" t="s">
        <v>323</v>
      </c>
    </row>
    <row r="39" spans="1:79" ht="14.25" customHeight="1" x14ac:dyDescent="0.3">
      <c r="A39" s="1339"/>
      <c r="B39" s="1312"/>
      <c r="C39" s="1313"/>
      <c r="D39" s="1314"/>
      <c r="E39" s="1314"/>
      <c r="F39" s="1314"/>
      <c r="G39" s="1316"/>
      <c r="H39" s="1331"/>
      <c r="I39" s="127"/>
      <c r="J39" s="126"/>
      <c r="K39" s="1323"/>
      <c r="L39" s="127"/>
      <c r="M39" s="126"/>
      <c r="N39" s="1323"/>
      <c r="O39" s="127"/>
      <c r="P39" s="126"/>
      <c r="Q39" s="1323"/>
      <c r="R39" s="127"/>
      <c r="S39" s="126"/>
      <c r="T39" s="1323"/>
      <c r="U39" s="127"/>
      <c r="V39" s="126"/>
      <c r="W39" s="1323"/>
      <c r="X39" s="127"/>
      <c r="Y39" s="126"/>
      <c r="Z39" s="1323"/>
      <c r="AA39" s="127"/>
      <c r="AB39" s="126"/>
      <c r="AC39" s="1323"/>
      <c r="AD39" s="127"/>
      <c r="AE39" s="126"/>
      <c r="AF39" s="1323"/>
      <c r="AG39" s="127"/>
      <c r="AH39" s="126"/>
      <c r="AI39" s="1346"/>
      <c r="AJ39" s="1338"/>
      <c r="AK39" s="1317"/>
      <c r="AL39" s="1322"/>
      <c r="AM39" s="1317"/>
      <c r="AN39" s="1317"/>
      <c r="AO39" s="1317"/>
      <c r="AP39" s="1317"/>
      <c r="AQ39" s="1344"/>
      <c r="AR39" s="1339"/>
      <c r="AS39" s="1312"/>
      <c r="AT39" s="1313"/>
      <c r="AU39" s="1314"/>
      <c r="AV39" s="1314"/>
      <c r="AW39" s="1314"/>
      <c r="AX39" s="1316"/>
      <c r="AY39" s="1331"/>
      <c r="AZ39" s="127"/>
      <c r="BA39" s="126"/>
      <c r="BB39" s="1323"/>
      <c r="BC39" s="127"/>
      <c r="BD39" s="126"/>
      <c r="BE39" s="1323"/>
      <c r="BF39" s="127"/>
      <c r="BG39" s="126"/>
      <c r="BH39" s="1323"/>
      <c r="BI39" s="127"/>
      <c r="BJ39" s="126"/>
      <c r="BK39" s="1323"/>
      <c r="BL39" s="127"/>
      <c r="BM39" s="126"/>
      <c r="BN39" s="1323"/>
      <c r="BO39" s="127"/>
      <c r="BP39" s="126"/>
      <c r="BQ39" s="1323"/>
      <c r="BR39" s="127"/>
      <c r="BS39" s="126"/>
      <c r="BT39" s="1323"/>
      <c r="BU39" s="127"/>
      <c r="BV39" s="126"/>
      <c r="BW39" s="1323"/>
      <c r="BX39" s="127"/>
      <c r="BY39" s="126"/>
      <c r="BZ39" s="1346"/>
      <c r="CA39" s="1338"/>
    </row>
    <row r="40" spans="1:79" ht="14.25" customHeight="1" x14ac:dyDescent="0.3">
      <c r="A40" s="1329"/>
      <c r="B40" s="1330"/>
      <c r="C40" s="1331"/>
      <c r="D40" s="1323"/>
      <c r="E40" s="1323"/>
      <c r="F40" s="1323"/>
      <c r="G40" s="1342"/>
      <c r="H40" s="1343"/>
      <c r="I40" s="125"/>
      <c r="J40" s="126"/>
      <c r="K40" s="1341"/>
      <c r="L40" s="125"/>
      <c r="M40" s="126"/>
      <c r="N40" s="1341"/>
      <c r="O40" s="125"/>
      <c r="P40" s="126"/>
      <c r="Q40" s="1341"/>
      <c r="R40" s="125"/>
      <c r="S40" s="126"/>
      <c r="T40" s="1341"/>
      <c r="U40" s="125"/>
      <c r="V40" s="126"/>
      <c r="W40" s="1341"/>
      <c r="X40" s="125"/>
      <c r="Y40" s="126"/>
      <c r="Z40" s="1341"/>
      <c r="AA40" s="125"/>
      <c r="AB40" s="126"/>
      <c r="AC40" s="1341"/>
      <c r="AD40" s="125"/>
      <c r="AE40" s="126"/>
      <c r="AF40" s="1341"/>
      <c r="AG40" s="125"/>
      <c r="AH40" s="126"/>
      <c r="AI40" s="1324" t="s">
        <v>323</v>
      </c>
      <c r="AJ40" s="1338" t="s">
        <v>323</v>
      </c>
      <c r="AK40" s="1317">
        <v>0</v>
      </c>
      <c r="AL40" s="1322">
        <v>0</v>
      </c>
      <c r="AM40" s="1317">
        <v>0</v>
      </c>
      <c r="AN40" s="1317">
        <v>0</v>
      </c>
      <c r="AO40" s="1317">
        <v>0</v>
      </c>
      <c r="AP40" s="1317">
        <v>0</v>
      </c>
      <c r="AQ40" s="1344">
        <v>0</v>
      </c>
      <c r="AR40" s="1329"/>
      <c r="AS40" s="1330"/>
      <c r="AT40" s="1331"/>
      <c r="AU40" s="1323"/>
      <c r="AV40" s="1323"/>
      <c r="AW40" s="1323"/>
      <c r="AX40" s="1342"/>
      <c r="AY40" s="1343"/>
      <c r="AZ40" s="125"/>
      <c r="BA40" s="126"/>
      <c r="BB40" s="1341"/>
      <c r="BC40" s="125"/>
      <c r="BD40" s="126"/>
      <c r="BE40" s="1341"/>
      <c r="BF40" s="125"/>
      <c r="BG40" s="126"/>
      <c r="BH40" s="1341"/>
      <c r="BI40" s="125"/>
      <c r="BJ40" s="126"/>
      <c r="BK40" s="1341"/>
      <c r="BL40" s="125"/>
      <c r="BM40" s="126"/>
      <c r="BN40" s="1341"/>
      <c r="BO40" s="125"/>
      <c r="BP40" s="126"/>
      <c r="BQ40" s="1341"/>
      <c r="BR40" s="125"/>
      <c r="BS40" s="126"/>
      <c r="BT40" s="1341"/>
      <c r="BU40" s="125"/>
      <c r="BV40" s="126"/>
      <c r="BW40" s="1341"/>
      <c r="BX40" s="125"/>
      <c r="BY40" s="126"/>
      <c r="BZ40" s="1324" t="s">
        <v>323</v>
      </c>
      <c r="CA40" s="1338" t="s">
        <v>323</v>
      </c>
    </row>
    <row r="41" spans="1:79" ht="14.25" customHeight="1" x14ac:dyDescent="0.3">
      <c r="A41" s="1329"/>
      <c r="B41" s="1330"/>
      <c r="C41" s="1331"/>
      <c r="D41" s="1323"/>
      <c r="E41" s="1323"/>
      <c r="F41" s="1323"/>
      <c r="G41" s="1342"/>
      <c r="H41" s="1343"/>
      <c r="I41" s="125"/>
      <c r="J41" s="126"/>
      <c r="K41" s="1341"/>
      <c r="L41" s="125"/>
      <c r="M41" s="126"/>
      <c r="N41" s="1341"/>
      <c r="O41" s="125"/>
      <c r="P41" s="126"/>
      <c r="Q41" s="1341"/>
      <c r="R41" s="125"/>
      <c r="S41" s="126"/>
      <c r="T41" s="1341"/>
      <c r="U41" s="125"/>
      <c r="V41" s="126"/>
      <c r="W41" s="1341"/>
      <c r="X41" s="125"/>
      <c r="Y41" s="126"/>
      <c r="Z41" s="1341"/>
      <c r="AA41" s="125"/>
      <c r="AB41" s="126"/>
      <c r="AC41" s="1341"/>
      <c r="AD41" s="125"/>
      <c r="AE41" s="126"/>
      <c r="AF41" s="1341"/>
      <c r="AG41" s="125"/>
      <c r="AH41" s="126"/>
      <c r="AI41" s="1324"/>
      <c r="AJ41" s="1338"/>
      <c r="AK41" s="1317"/>
      <c r="AL41" s="1322"/>
      <c r="AM41" s="1317"/>
      <c r="AN41" s="1317"/>
      <c r="AO41" s="1317"/>
      <c r="AP41" s="1317"/>
      <c r="AQ41" s="1344"/>
      <c r="AR41" s="1329"/>
      <c r="AS41" s="1330"/>
      <c r="AT41" s="1331"/>
      <c r="AU41" s="1323"/>
      <c r="AV41" s="1323"/>
      <c r="AW41" s="1323"/>
      <c r="AX41" s="1342"/>
      <c r="AY41" s="1343"/>
      <c r="AZ41" s="125"/>
      <c r="BA41" s="126"/>
      <c r="BB41" s="1341"/>
      <c r="BC41" s="125"/>
      <c r="BD41" s="126"/>
      <c r="BE41" s="1341"/>
      <c r="BF41" s="125"/>
      <c r="BG41" s="126"/>
      <c r="BH41" s="1341"/>
      <c r="BI41" s="125"/>
      <c r="BJ41" s="126"/>
      <c r="BK41" s="1341"/>
      <c r="BL41" s="125"/>
      <c r="BM41" s="126"/>
      <c r="BN41" s="1341"/>
      <c r="BO41" s="125"/>
      <c r="BP41" s="126"/>
      <c r="BQ41" s="1341"/>
      <c r="BR41" s="125"/>
      <c r="BS41" s="126"/>
      <c r="BT41" s="1341"/>
      <c r="BU41" s="125"/>
      <c r="BV41" s="126"/>
      <c r="BW41" s="1341"/>
      <c r="BX41" s="125"/>
      <c r="BY41" s="126"/>
      <c r="BZ41" s="1324"/>
      <c r="CA41" s="1338"/>
    </row>
    <row r="42" spans="1:79" ht="14.25" customHeight="1" x14ac:dyDescent="0.3">
      <c r="A42" s="1339"/>
      <c r="B42" s="1312"/>
      <c r="C42" s="1313"/>
      <c r="D42" s="1314"/>
      <c r="E42" s="1314"/>
      <c r="F42" s="1314"/>
      <c r="G42" s="1315"/>
      <c r="H42" s="1331"/>
      <c r="I42" s="127"/>
      <c r="J42" s="126"/>
      <c r="K42" s="1323"/>
      <c r="L42" s="127"/>
      <c r="M42" s="126"/>
      <c r="N42" s="1323"/>
      <c r="O42" s="127"/>
      <c r="P42" s="126"/>
      <c r="Q42" s="1323"/>
      <c r="R42" s="127"/>
      <c r="S42" s="126"/>
      <c r="T42" s="1323"/>
      <c r="U42" s="127"/>
      <c r="V42" s="126"/>
      <c r="W42" s="1323"/>
      <c r="X42" s="127"/>
      <c r="Y42" s="126"/>
      <c r="Z42" s="1323"/>
      <c r="AA42" s="127"/>
      <c r="AB42" s="126"/>
      <c r="AC42" s="1323"/>
      <c r="AD42" s="127"/>
      <c r="AE42" s="126"/>
      <c r="AF42" s="1323"/>
      <c r="AG42" s="127"/>
      <c r="AH42" s="126"/>
      <c r="AI42" s="1345" t="s">
        <v>323</v>
      </c>
      <c r="AJ42" s="1338" t="s">
        <v>323</v>
      </c>
      <c r="AK42" s="1317">
        <v>0</v>
      </c>
      <c r="AL42" s="1322">
        <v>0</v>
      </c>
      <c r="AM42" s="1317">
        <v>0</v>
      </c>
      <c r="AN42" s="1317">
        <v>0</v>
      </c>
      <c r="AO42" s="1317">
        <v>0</v>
      </c>
      <c r="AP42" s="1317">
        <v>0</v>
      </c>
      <c r="AQ42" s="1344">
        <v>0</v>
      </c>
      <c r="AR42" s="1339"/>
      <c r="AS42" s="1312"/>
      <c r="AT42" s="1313"/>
      <c r="AU42" s="1314"/>
      <c r="AV42" s="1314"/>
      <c r="AW42" s="1314"/>
      <c r="AX42" s="1315"/>
      <c r="AY42" s="1331"/>
      <c r="AZ42" s="127"/>
      <c r="BA42" s="126"/>
      <c r="BB42" s="1323"/>
      <c r="BC42" s="127"/>
      <c r="BD42" s="126"/>
      <c r="BE42" s="1323"/>
      <c r="BF42" s="127"/>
      <c r="BG42" s="126"/>
      <c r="BH42" s="1323"/>
      <c r="BI42" s="127"/>
      <c r="BJ42" s="126"/>
      <c r="BK42" s="1323"/>
      <c r="BL42" s="127"/>
      <c r="BM42" s="126"/>
      <c r="BN42" s="1323"/>
      <c r="BO42" s="127"/>
      <c r="BP42" s="126"/>
      <c r="BQ42" s="1323"/>
      <c r="BR42" s="127"/>
      <c r="BS42" s="126"/>
      <c r="BT42" s="1323"/>
      <c r="BU42" s="127"/>
      <c r="BV42" s="126"/>
      <c r="BW42" s="1323"/>
      <c r="BX42" s="127"/>
      <c r="BY42" s="126"/>
      <c r="BZ42" s="1345" t="s">
        <v>323</v>
      </c>
      <c r="CA42" s="1338" t="s">
        <v>323</v>
      </c>
    </row>
    <row r="43" spans="1:79" ht="14.25" customHeight="1" x14ac:dyDescent="0.3">
      <c r="A43" s="1339"/>
      <c r="B43" s="1312"/>
      <c r="C43" s="1313"/>
      <c r="D43" s="1314"/>
      <c r="E43" s="1314"/>
      <c r="F43" s="1314"/>
      <c r="G43" s="1316"/>
      <c r="H43" s="1331"/>
      <c r="I43" s="127"/>
      <c r="J43" s="126"/>
      <c r="K43" s="1323"/>
      <c r="L43" s="127"/>
      <c r="M43" s="126"/>
      <c r="N43" s="1323"/>
      <c r="O43" s="127"/>
      <c r="P43" s="126"/>
      <c r="Q43" s="1323"/>
      <c r="R43" s="127"/>
      <c r="S43" s="126"/>
      <c r="T43" s="1323"/>
      <c r="U43" s="127"/>
      <c r="V43" s="126"/>
      <c r="W43" s="1323"/>
      <c r="X43" s="127"/>
      <c r="Y43" s="126"/>
      <c r="Z43" s="1323"/>
      <c r="AA43" s="127"/>
      <c r="AB43" s="126"/>
      <c r="AC43" s="1323"/>
      <c r="AD43" s="127"/>
      <c r="AE43" s="126"/>
      <c r="AF43" s="1323"/>
      <c r="AG43" s="127"/>
      <c r="AH43" s="126"/>
      <c r="AI43" s="1346"/>
      <c r="AJ43" s="1338"/>
      <c r="AK43" s="1317"/>
      <c r="AL43" s="1322"/>
      <c r="AM43" s="1317"/>
      <c r="AN43" s="1317"/>
      <c r="AO43" s="1317"/>
      <c r="AP43" s="1317"/>
      <c r="AQ43" s="1344"/>
      <c r="AR43" s="1339"/>
      <c r="AS43" s="1312"/>
      <c r="AT43" s="1313"/>
      <c r="AU43" s="1314"/>
      <c r="AV43" s="1314"/>
      <c r="AW43" s="1314"/>
      <c r="AX43" s="1316"/>
      <c r="AY43" s="1331"/>
      <c r="AZ43" s="127"/>
      <c r="BA43" s="126"/>
      <c r="BB43" s="1323"/>
      <c r="BC43" s="127"/>
      <c r="BD43" s="126"/>
      <c r="BE43" s="1323"/>
      <c r="BF43" s="127"/>
      <c r="BG43" s="126"/>
      <c r="BH43" s="1323"/>
      <c r="BI43" s="127"/>
      <c r="BJ43" s="126"/>
      <c r="BK43" s="1323"/>
      <c r="BL43" s="127"/>
      <c r="BM43" s="126"/>
      <c r="BN43" s="1323"/>
      <c r="BO43" s="127"/>
      <c r="BP43" s="126"/>
      <c r="BQ43" s="1323"/>
      <c r="BR43" s="127"/>
      <c r="BS43" s="126"/>
      <c r="BT43" s="1323"/>
      <c r="BU43" s="127"/>
      <c r="BV43" s="126"/>
      <c r="BW43" s="1323"/>
      <c r="BX43" s="127"/>
      <c r="BY43" s="126"/>
      <c r="BZ43" s="1346"/>
      <c r="CA43" s="1338"/>
    </row>
    <row r="44" spans="1:79" ht="14.25" customHeight="1" x14ac:dyDescent="0.3">
      <c r="A44" s="1329"/>
      <c r="B44" s="1330"/>
      <c r="C44" s="1331"/>
      <c r="D44" s="1323"/>
      <c r="E44" s="1323"/>
      <c r="F44" s="1323"/>
      <c r="G44" s="1342"/>
      <c r="H44" s="1343"/>
      <c r="I44" s="125"/>
      <c r="J44" s="126"/>
      <c r="K44" s="1341"/>
      <c r="L44" s="125"/>
      <c r="M44" s="126"/>
      <c r="N44" s="1341"/>
      <c r="O44" s="125"/>
      <c r="P44" s="126"/>
      <c r="Q44" s="1341"/>
      <c r="R44" s="125"/>
      <c r="S44" s="126"/>
      <c r="T44" s="1341"/>
      <c r="U44" s="125"/>
      <c r="V44" s="126"/>
      <c r="W44" s="1341"/>
      <c r="X44" s="125"/>
      <c r="Y44" s="126"/>
      <c r="Z44" s="1341"/>
      <c r="AA44" s="125"/>
      <c r="AB44" s="126"/>
      <c r="AC44" s="1341"/>
      <c r="AD44" s="125"/>
      <c r="AE44" s="126"/>
      <c r="AF44" s="1341"/>
      <c r="AG44" s="125"/>
      <c r="AH44" s="126"/>
      <c r="AI44" s="1324" t="s">
        <v>323</v>
      </c>
      <c r="AJ44" s="1338" t="s">
        <v>323</v>
      </c>
      <c r="AK44" s="1317">
        <v>0</v>
      </c>
      <c r="AL44" s="1322">
        <v>0</v>
      </c>
      <c r="AM44" s="1317">
        <v>0</v>
      </c>
      <c r="AN44" s="1317">
        <v>0</v>
      </c>
      <c r="AO44" s="1317">
        <v>0</v>
      </c>
      <c r="AP44" s="1317">
        <v>0</v>
      </c>
      <c r="AQ44" s="1344">
        <v>0</v>
      </c>
      <c r="AR44" s="1329"/>
      <c r="AS44" s="1330"/>
      <c r="AT44" s="1331"/>
      <c r="AU44" s="1323"/>
      <c r="AV44" s="1323"/>
      <c r="AW44" s="1323"/>
      <c r="AX44" s="1342"/>
      <c r="AY44" s="1343"/>
      <c r="AZ44" s="125"/>
      <c r="BA44" s="126"/>
      <c r="BB44" s="1341"/>
      <c r="BC44" s="125"/>
      <c r="BD44" s="126"/>
      <c r="BE44" s="1341"/>
      <c r="BF44" s="125"/>
      <c r="BG44" s="126"/>
      <c r="BH44" s="1341"/>
      <c r="BI44" s="125"/>
      <c r="BJ44" s="126"/>
      <c r="BK44" s="1341"/>
      <c r="BL44" s="125"/>
      <c r="BM44" s="126"/>
      <c r="BN44" s="1341"/>
      <c r="BO44" s="125"/>
      <c r="BP44" s="126"/>
      <c r="BQ44" s="1341"/>
      <c r="BR44" s="125"/>
      <c r="BS44" s="126"/>
      <c r="BT44" s="1341"/>
      <c r="BU44" s="125"/>
      <c r="BV44" s="126"/>
      <c r="BW44" s="1341"/>
      <c r="BX44" s="125"/>
      <c r="BY44" s="126"/>
      <c r="BZ44" s="1324" t="s">
        <v>323</v>
      </c>
      <c r="CA44" s="1338" t="s">
        <v>323</v>
      </c>
    </row>
    <row r="45" spans="1:79" ht="14.25" customHeight="1" x14ac:dyDescent="0.3">
      <c r="A45" s="1329"/>
      <c r="B45" s="1330"/>
      <c r="C45" s="1331"/>
      <c r="D45" s="1323"/>
      <c r="E45" s="1323"/>
      <c r="F45" s="1323"/>
      <c r="G45" s="1342"/>
      <c r="H45" s="1343"/>
      <c r="I45" s="125"/>
      <c r="J45" s="126"/>
      <c r="K45" s="1341"/>
      <c r="L45" s="125"/>
      <c r="M45" s="126"/>
      <c r="N45" s="1341"/>
      <c r="O45" s="125"/>
      <c r="P45" s="126"/>
      <c r="Q45" s="1341"/>
      <c r="R45" s="125"/>
      <c r="S45" s="126"/>
      <c r="T45" s="1341"/>
      <c r="U45" s="125"/>
      <c r="V45" s="126"/>
      <c r="W45" s="1341"/>
      <c r="X45" s="125"/>
      <c r="Y45" s="126"/>
      <c r="Z45" s="1341"/>
      <c r="AA45" s="125"/>
      <c r="AB45" s="126"/>
      <c r="AC45" s="1341"/>
      <c r="AD45" s="125"/>
      <c r="AE45" s="126"/>
      <c r="AF45" s="1341"/>
      <c r="AG45" s="125"/>
      <c r="AH45" s="126"/>
      <c r="AI45" s="1324"/>
      <c r="AJ45" s="1338"/>
      <c r="AK45" s="1317"/>
      <c r="AL45" s="1322"/>
      <c r="AM45" s="1317"/>
      <c r="AN45" s="1317"/>
      <c r="AO45" s="1317"/>
      <c r="AP45" s="1317"/>
      <c r="AQ45" s="1344"/>
      <c r="AR45" s="1329"/>
      <c r="AS45" s="1330"/>
      <c r="AT45" s="1331"/>
      <c r="AU45" s="1323"/>
      <c r="AV45" s="1323"/>
      <c r="AW45" s="1323"/>
      <c r="AX45" s="1342"/>
      <c r="AY45" s="1343"/>
      <c r="AZ45" s="125"/>
      <c r="BA45" s="126"/>
      <c r="BB45" s="1341"/>
      <c r="BC45" s="125"/>
      <c r="BD45" s="126"/>
      <c r="BE45" s="1341"/>
      <c r="BF45" s="125"/>
      <c r="BG45" s="126"/>
      <c r="BH45" s="1341"/>
      <c r="BI45" s="125"/>
      <c r="BJ45" s="126"/>
      <c r="BK45" s="1341"/>
      <c r="BL45" s="125"/>
      <c r="BM45" s="126"/>
      <c r="BN45" s="1341"/>
      <c r="BO45" s="125"/>
      <c r="BP45" s="126"/>
      <c r="BQ45" s="1341"/>
      <c r="BR45" s="125"/>
      <c r="BS45" s="126"/>
      <c r="BT45" s="1341"/>
      <c r="BU45" s="125"/>
      <c r="BV45" s="126"/>
      <c r="BW45" s="1341"/>
      <c r="BX45" s="125"/>
      <c r="BY45" s="126"/>
      <c r="BZ45" s="1324"/>
      <c r="CA45" s="1338"/>
    </row>
    <row r="46" spans="1:79" ht="14.25" customHeight="1" x14ac:dyDescent="0.3">
      <c r="A46" s="1339"/>
      <c r="B46" s="1312"/>
      <c r="C46" s="1313"/>
      <c r="D46" s="1314"/>
      <c r="E46" s="1314"/>
      <c r="F46" s="1314"/>
      <c r="G46" s="1315"/>
      <c r="H46" s="1331"/>
      <c r="I46" s="127"/>
      <c r="J46" s="126"/>
      <c r="K46" s="1323"/>
      <c r="L46" s="127"/>
      <c r="M46" s="126"/>
      <c r="N46" s="1323"/>
      <c r="O46" s="127"/>
      <c r="P46" s="126"/>
      <c r="Q46" s="1323"/>
      <c r="R46" s="127"/>
      <c r="S46" s="126"/>
      <c r="T46" s="1323"/>
      <c r="U46" s="127"/>
      <c r="V46" s="126"/>
      <c r="W46" s="1323"/>
      <c r="X46" s="127"/>
      <c r="Y46" s="126"/>
      <c r="Z46" s="1323"/>
      <c r="AA46" s="127"/>
      <c r="AB46" s="126"/>
      <c r="AC46" s="1323"/>
      <c r="AD46" s="127"/>
      <c r="AE46" s="126"/>
      <c r="AF46" s="1323"/>
      <c r="AG46" s="127"/>
      <c r="AH46" s="126"/>
      <c r="AI46" s="1345" t="s">
        <v>323</v>
      </c>
      <c r="AJ46" s="1338" t="s">
        <v>323</v>
      </c>
      <c r="AK46" s="1317">
        <v>0</v>
      </c>
      <c r="AL46" s="1322">
        <v>0</v>
      </c>
      <c r="AM46" s="1317">
        <v>0</v>
      </c>
      <c r="AN46" s="1317">
        <v>0</v>
      </c>
      <c r="AO46" s="1317">
        <v>0</v>
      </c>
      <c r="AP46" s="1317">
        <v>0</v>
      </c>
      <c r="AQ46" s="1344">
        <v>0</v>
      </c>
      <c r="AR46" s="1339"/>
      <c r="AS46" s="1312"/>
      <c r="AT46" s="1313"/>
      <c r="AU46" s="1314"/>
      <c r="AV46" s="1314"/>
      <c r="AW46" s="1314"/>
      <c r="AX46" s="1315"/>
      <c r="AY46" s="1331"/>
      <c r="AZ46" s="127"/>
      <c r="BA46" s="126"/>
      <c r="BB46" s="1323"/>
      <c r="BC46" s="127"/>
      <c r="BD46" s="126"/>
      <c r="BE46" s="1323"/>
      <c r="BF46" s="127"/>
      <c r="BG46" s="126"/>
      <c r="BH46" s="1323"/>
      <c r="BI46" s="127"/>
      <c r="BJ46" s="126"/>
      <c r="BK46" s="1323"/>
      <c r="BL46" s="127"/>
      <c r="BM46" s="126"/>
      <c r="BN46" s="1323"/>
      <c r="BO46" s="127"/>
      <c r="BP46" s="126"/>
      <c r="BQ46" s="1323"/>
      <c r="BR46" s="127"/>
      <c r="BS46" s="126"/>
      <c r="BT46" s="1323"/>
      <c r="BU46" s="127"/>
      <c r="BV46" s="126"/>
      <c r="BW46" s="1323"/>
      <c r="BX46" s="127"/>
      <c r="BY46" s="126"/>
      <c r="BZ46" s="1345" t="s">
        <v>323</v>
      </c>
      <c r="CA46" s="1338" t="s">
        <v>323</v>
      </c>
    </row>
    <row r="47" spans="1:79" ht="14.25" customHeight="1" x14ac:dyDescent="0.3">
      <c r="A47" s="1339"/>
      <c r="B47" s="1312"/>
      <c r="C47" s="1313"/>
      <c r="D47" s="1314"/>
      <c r="E47" s="1314"/>
      <c r="F47" s="1314"/>
      <c r="G47" s="1316"/>
      <c r="H47" s="1331"/>
      <c r="I47" s="127"/>
      <c r="J47" s="126"/>
      <c r="K47" s="1323"/>
      <c r="L47" s="127"/>
      <c r="M47" s="126"/>
      <c r="N47" s="1323"/>
      <c r="O47" s="127"/>
      <c r="P47" s="126"/>
      <c r="Q47" s="1323"/>
      <c r="R47" s="127"/>
      <c r="S47" s="126"/>
      <c r="T47" s="1323"/>
      <c r="U47" s="127"/>
      <c r="V47" s="126"/>
      <c r="W47" s="1323"/>
      <c r="X47" s="127"/>
      <c r="Y47" s="126"/>
      <c r="Z47" s="1323"/>
      <c r="AA47" s="127"/>
      <c r="AB47" s="126"/>
      <c r="AC47" s="1323"/>
      <c r="AD47" s="127"/>
      <c r="AE47" s="126"/>
      <c r="AF47" s="1323"/>
      <c r="AG47" s="127"/>
      <c r="AH47" s="126"/>
      <c r="AI47" s="1346"/>
      <c r="AJ47" s="1338"/>
      <c r="AK47" s="1317"/>
      <c r="AL47" s="1322"/>
      <c r="AM47" s="1317"/>
      <c r="AN47" s="1317"/>
      <c r="AO47" s="1317"/>
      <c r="AP47" s="1317"/>
      <c r="AQ47" s="1344"/>
      <c r="AR47" s="1339"/>
      <c r="AS47" s="1312"/>
      <c r="AT47" s="1313"/>
      <c r="AU47" s="1314"/>
      <c r="AV47" s="1314"/>
      <c r="AW47" s="1314"/>
      <c r="AX47" s="1316"/>
      <c r="AY47" s="1331"/>
      <c r="AZ47" s="127"/>
      <c r="BA47" s="126"/>
      <c r="BB47" s="1323"/>
      <c r="BC47" s="127"/>
      <c r="BD47" s="126"/>
      <c r="BE47" s="1323"/>
      <c r="BF47" s="127"/>
      <c r="BG47" s="126"/>
      <c r="BH47" s="1323"/>
      <c r="BI47" s="127"/>
      <c r="BJ47" s="126"/>
      <c r="BK47" s="1323"/>
      <c r="BL47" s="127"/>
      <c r="BM47" s="126"/>
      <c r="BN47" s="1323"/>
      <c r="BO47" s="127"/>
      <c r="BP47" s="126"/>
      <c r="BQ47" s="1323"/>
      <c r="BR47" s="127"/>
      <c r="BS47" s="126"/>
      <c r="BT47" s="1323"/>
      <c r="BU47" s="127"/>
      <c r="BV47" s="126"/>
      <c r="BW47" s="1323"/>
      <c r="BX47" s="127"/>
      <c r="BY47" s="126"/>
      <c r="BZ47" s="1346"/>
      <c r="CA47" s="1338"/>
    </row>
    <row r="48" spans="1:79" ht="14.25" customHeight="1" x14ac:dyDescent="0.3">
      <c r="A48" s="1329"/>
      <c r="B48" s="1330"/>
      <c r="C48" s="1331"/>
      <c r="D48" s="1323"/>
      <c r="E48" s="1323"/>
      <c r="F48" s="1323"/>
      <c r="G48" s="1342"/>
      <c r="H48" s="1343"/>
      <c r="I48" s="125"/>
      <c r="J48" s="126"/>
      <c r="K48" s="1341"/>
      <c r="L48" s="125"/>
      <c r="M48" s="126"/>
      <c r="N48" s="1341"/>
      <c r="O48" s="125"/>
      <c r="P48" s="126"/>
      <c r="Q48" s="1341"/>
      <c r="R48" s="125"/>
      <c r="S48" s="126"/>
      <c r="T48" s="1341"/>
      <c r="U48" s="125"/>
      <c r="V48" s="126"/>
      <c r="W48" s="1341"/>
      <c r="X48" s="125"/>
      <c r="Y48" s="126"/>
      <c r="Z48" s="1341"/>
      <c r="AA48" s="125"/>
      <c r="AB48" s="126"/>
      <c r="AC48" s="1341"/>
      <c r="AD48" s="125"/>
      <c r="AE48" s="126"/>
      <c r="AF48" s="1341"/>
      <c r="AG48" s="125"/>
      <c r="AH48" s="126"/>
      <c r="AI48" s="1324" t="s">
        <v>323</v>
      </c>
      <c r="AJ48" s="1338" t="s">
        <v>323</v>
      </c>
      <c r="AK48" s="1317">
        <v>0</v>
      </c>
      <c r="AL48" s="1322">
        <v>0</v>
      </c>
      <c r="AM48" s="1317">
        <v>0</v>
      </c>
      <c r="AN48" s="1317">
        <v>0</v>
      </c>
      <c r="AO48" s="1317">
        <v>0</v>
      </c>
      <c r="AP48" s="1317">
        <v>0</v>
      </c>
      <c r="AQ48" s="1344">
        <v>0</v>
      </c>
      <c r="AR48" s="1329"/>
      <c r="AS48" s="1330"/>
      <c r="AT48" s="1331"/>
      <c r="AU48" s="1323"/>
      <c r="AV48" s="1323"/>
      <c r="AW48" s="1323"/>
      <c r="AX48" s="1342"/>
      <c r="AY48" s="1343"/>
      <c r="AZ48" s="125"/>
      <c r="BA48" s="126"/>
      <c r="BB48" s="1341"/>
      <c r="BC48" s="125"/>
      <c r="BD48" s="126"/>
      <c r="BE48" s="1341"/>
      <c r="BF48" s="125"/>
      <c r="BG48" s="126"/>
      <c r="BH48" s="1341"/>
      <c r="BI48" s="125"/>
      <c r="BJ48" s="126"/>
      <c r="BK48" s="1341"/>
      <c r="BL48" s="125"/>
      <c r="BM48" s="126"/>
      <c r="BN48" s="1341"/>
      <c r="BO48" s="125"/>
      <c r="BP48" s="126"/>
      <c r="BQ48" s="1341"/>
      <c r="BR48" s="125"/>
      <c r="BS48" s="126"/>
      <c r="BT48" s="1341"/>
      <c r="BU48" s="125"/>
      <c r="BV48" s="126"/>
      <c r="BW48" s="1341"/>
      <c r="BX48" s="125"/>
      <c r="BY48" s="126"/>
      <c r="BZ48" s="1324" t="s">
        <v>323</v>
      </c>
      <c r="CA48" s="1338" t="s">
        <v>323</v>
      </c>
    </row>
    <row r="49" spans="1:79" ht="14.25" customHeight="1" x14ac:dyDescent="0.3">
      <c r="A49" s="1329"/>
      <c r="B49" s="1330"/>
      <c r="C49" s="1331"/>
      <c r="D49" s="1323"/>
      <c r="E49" s="1323"/>
      <c r="F49" s="1323"/>
      <c r="G49" s="1342"/>
      <c r="H49" s="1343"/>
      <c r="I49" s="125"/>
      <c r="J49" s="126"/>
      <c r="K49" s="1341"/>
      <c r="L49" s="125"/>
      <c r="M49" s="126"/>
      <c r="N49" s="1341"/>
      <c r="O49" s="125"/>
      <c r="P49" s="126"/>
      <c r="Q49" s="1341"/>
      <c r="R49" s="125"/>
      <c r="S49" s="126"/>
      <c r="T49" s="1341"/>
      <c r="U49" s="125"/>
      <c r="V49" s="126"/>
      <c r="W49" s="1341"/>
      <c r="X49" s="125"/>
      <c r="Y49" s="126"/>
      <c r="Z49" s="1341"/>
      <c r="AA49" s="125"/>
      <c r="AB49" s="126"/>
      <c r="AC49" s="1341"/>
      <c r="AD49" s="125"/>
      <c r="AE49" s="126"/>
      <c r="AF49" s="1341"/>
      <c r="AG49" s="125"/>
      <c r="AH49" s="126"/>
      <c r="AI49" s="1324"/>
      <c r="AJ49" s="1338"/>
      <c r="AK49" s="1317"/>
      <c r="AL49" s="1322"/>
      <c r="AM49" s="1317"/>
      <c r="AN49" s="1317"/>
      <c r="AO49" s="1317"/>
      <c r="AP49" s="1317"/>
      <c r="AQ49" s="1344"/>
      <c r="AR49" s="1329"/>
      <c r="AS49" s="1330"/>
      <c r="AT49" s="1331"/>
      <c r="AU49" s="1323"/>
      <c r="AV49" s="1323"/>
      <c r="AW49" s="1323"/>
      <c r="AX49" s="1342"/>
      <c r="AY49" s="1343"/>
      <c r="AZ49" s="125"/>
      <c r="BA49" s="126"/>
      <c r="BB49" s="1341"/>
      <c r="BC49" s="125"/>
      <c r="BD49" s="126"/>
      <c r="BE49" s="1341"/>
      <c r="BF49" s="125"/>
      <c r="BG49" s="126"/>
      <c r="BH49" s="1341"/>
      <c r="BI49" s="125"/>
      <c r="BJ49" s="126"/>
      <c r="BK49" s="1341"/>
      <c r="BL49" s="125"/>
      <c r="BM49" s="126"/>
      <c r="BN49" s="1341"/>
      <c r="BO49" s="125"/>
      <c r="BP49" s="126"/>
      <c r="BQ49" s="1341"/>
      <c r="BR49" s="125"/>
      <c r="BS49" s="126"/>
      <c r="BT49" s="1341"/>
      <c r="BU49" s="125"/>
      <c r="BV49" s="126"/>
      <c r="BW49" s="1341"/>
      <c r="BX49" s="125"/>
      <c r="BY49" s="126"/>
      <c r="BZ49" s="1324"/>
      <c r="CA49" s="1338"/>
    </row>
    <row r="50" spans="1:79" ht="14.25" customHeight="1" x14ac:dyDescent="0.3">
      <c r="A50" s="1339"/>
      <c r="B50" s="1312"/>
      <c r="C50" s="1313"/>
      <c r="D50" s="1314"/>
      <c r="E50" s="1314"/>
      <c r="F50" s="1314"/>
      <c r="G50" s="1315"/>
      <c r="H50" s="1331"/>
      <c r="I50" s="127"/>
      <c r="J50" s="126"/>
      <c r="K50" s="1323"/>
      <c r="L50" s="127"/>
      <c r="M50" s="126"/>
      <c r="N50" s="1323"/>
      <c r="O50" s="127"/>
      <c r="P50" s="126"/>
      <c r="Q50" s="1323"/>
      <c r="R50" s="127"/>
      <c r="S50" s="126"/>
      <c r="T50" s="1323"/>
      <c r="U50" s="127"/>
      <c r="V50" s="126"/>
      <c r="W50" s="1323"/>
      <c r="X50" s="127"/>
      <c r="Y50" s="126"/>
      <c r="Z50" s="1323"/>
      <c r="AA50" s="127"/>
      <c r="AB50" s="126"/>
      <c r="AC50" s="1323"/>
      <c r="AD50" s="127"/>
      <c r="AE50" s="126"/>
      <c r="AF50" s="1323"/>
      <c r="AG50" s="127"/>
      <c r="AH50" s="126"/>
      <c r="AI50" s="1345" t="s">
        <v>323</v>
      </c>
      <c r="AJ50" s="1338" t="s">
        <v>323</v>
      </c>
      <c r="AK50" s="1317">
        <v>0</v>
      </c>
      <c r="AL50" s="1322">
        <v>0</v>
      </c>
      <c r="AM50" s="1317">
        <v>0</v>
      </c>
      <c r="AN50" s="1317">
        <v>0</v>
      </c>
      <c r="AO50" s="1317">
        <v>0</v>
      </c>
      <c r="AP50" s="1317">
        <v>0</v>
      </c>
      <c r="AQ50" s="1344">
        <v>0</v>
      </c>
      <c r="AR50" s="1339"/>
      <c r="AS50" s="1312"/>
      <c r="AT50" s="1313"/>
      <c r="AU50" s="1314"/>
      <c r="AV50" s="1314"/>
      <c r="AW50" s="1314"/>
      <c r="AX50" s="1315"/>
      <c r="AY50" s="1331"/>
      <c r="AZ50" s="127"/>
      <c r="BA50" s="126"/>
      <c r="BB50" s="1323"/>
      <c r="BC50" s="127"/>
      <c r="BD50" s="126"/>
      <c r="BE50" s="1323"/>
      <c r="BF50" s="127"/>
      <c r="BG50" s="126"/>
      <c r="BH50" s="1323"/>
      <c r="BI50" s="127"/>
      <c r="BJ50" s="126"/>
      <c r="BK50" s="1323"/>
      <c r="BL50" s="127"/>
      <c r="BM50" s="126"/>
      <c r="BN50" s="1323"/>
      <c r="BO50" s="127"/>
      <c r="BP50" s="126"/>
      <c r="BQ50" s="1323"/>
      <c r="BR50" s="127"/>
      <c r="BS50" s="126"/>
      <c r="BT50" s="1323"/>
      <c r="BU50" s="127"/>
      <c r="BV50" s="126"/>
      <c r="BW50" s="1323"/>
      <c r="BX50" s="127"/>
      <c r="BY50" s="126"/>
      <c r="BZ50" s="1345" t="s">
        <v>323</v>
      </c>
      <c r="CA50" s="1338" t="s">
        <v>323</v>
      </c>
    </row>
    <row r="51" spans="1:79" ht="14.25" customHeight="1" x14ac:dyDescent="0.3">
      <c r="A51" s="1339"/>
      <c r="B51" s="1312"/>
      <c r="C51" s="1313"/>
      <c r="D51" s="1314"/>
      <c r="E51" s="1314"/>
      <c r="F51" s="1314"/>
      <c r="G51" s="1316"/>
      <c r="H51" s="1331"/>
      <c r="I51" s="127"/>
      <c r="J51" s="126"/>
      <c r="K51" s="1323"/>
      <c r="L51" s="127"/>
      <c r="M51" s="126"/>
      <c r="N51" s="1323"/>
      <c r="O51" s="127"/>
      <c r="P51" s="126"/>
      <c r="Q51" s="1323"/>
      <c r="R51" s="127"/>
      <c r="S51" s="126"/>
      <c r="T51" s="1323"/>
      <c r="U51" s="127"/>
      <c r="V51" s="126"/>
      <c r="W51" s="1323"/>
      <c r="X51" s="127"/>
      <c r="Y51" s="126"/>
      <c r="Z51" s="1323"/>
      <c r="AA51" s="127"/>
      <c r="AB51" s="126"/>
      <c r="AC51" s="1323"/>
      <c r="AD51" s="127"/>
      <c r="AE51" s="126"/>
      <c r="AF51" s="1323"/>
      <c r="AG51" s="127"/>
      <c r="AH51" s="126"/>
      <c r="AI51" s="1346"/>
      <c r="AJ51" s="1338"/>
      <c r="AK51" s="1317"/>
      <c r="AL51" s="1322"/>
      <c r="AM51" s="1317"/>
      <c r="AN51" s="1317"/>
      <c r="AO51" s="1317"/>
      <c r="AP51" s="1317"/>
      <c r="AQ51" s="1344"/>
      <c r="AR51" s="1339"/>
      <c r="AS51" s="1312"/>
      <c r="AT51" s="1313"/>
      <c r="AU51" s="1314"/>
      <c r="AV51" s="1314"/>
      <c r="AW51" s="1314"/>
      <c r="AX51" s="1316"/>
      <c r="AY51" s="1331"/>
      <c r="AZ51" s="127"/>
      <c r="BA51" s="126"/>
      <c r="BB51" s="1323"/>
      <c r="BC51" s="127"/>
      <c r="BD51" s="126"/>
      <c r="BE51" s="1323"/>
      <c r="BF51" s="127"/>
      <c r="BG51" s="126"/>
      <c r="BH51" s="1323"/>
      <c r="BI51" s="127"/>
      <c r="BJ51" s="126"/>
      <c r="BK51" s="1323"/>
      <c r="BL51" s="127"/>
      <c r="BM51" s="126"/>
      <c r="BN51" s="1323"/>
      <c r="BO51" s="127"/>
      <c r="BP51" s="126"/>
      <c r="BQ51" s="1323"/>
      <c r="BR51" s="127"/>
      <c r="BS51" s="126"/>
      <c r="BT51" s="1323"/>
      <c r="BU51" s="127"/>
      <c r="BV51" s="126"/>
      <c r="BW51" s="1323"/>
      <c r="BX51" s="127"/>
      <c r="BY51" s="126"/>
      <c r="BZ51" s="1346"/>
      <c r="CA51" s="1338"/>
    </row>
    <row r="52" spans="1:79" ht="14.25" customHeight="1" x14ac:dyDescent="0.3">
      <c r="A52" s="1329"/>
      <c r="B52" s="1330"/>
      <c r="C52" s="1331"/>
      <c r="D52" s="1323"/>
      <c r="E52" s="1323"/>
      <c r="F52" s="1323"/>
      <c r="G52" s="1342"/>
      <c r="H52" s="1343"/>
      <c r="I52" s="125"/>
      <c r="J52" s="126"/>
      <c r="K52" s="1341"/>
      <c r="L52" s="125"/>
      <c r="M52" s="126"/>
      <c r="N52" s="1341"/>
      <c r="O52" s="125"/>
      <c r="P52" s="126"/>
      <c r="Q52" s="1341"/>
      <c r="R52" s="125"/>
      <c r="S52" s="126"/>
      <c r="T52" s="1341"/>
      <c r="U52" s="125"/>
      <c r="V52" s="126"/>
      <c r="W52" s="1341"/>
      <c r="X52" s="125"/>
      <c r="Y52" s="126"/>
      <c r="Z52" s="1341"/>
      <c r="AA52" s="125"/>
      <c r="AB52" s="126"/>
      <c r="AC52" s="1341"/>
      <c r="AD52" s="125"/>
      <c r="AE52" s="126"/>
      <c r="AF52" s="1341"/>
      <c r="AG52" s="125"/>
      <c r="AH52" s="126"/>
      <c r="AI52" s="1324" t="s">
        <v>323</v>
      </c>
      <c r="AJ52" s="1338" t="s">
        <v>323</v>
      </c>
      <c r="AK52" s="1317">
        <v>0</v>
      </c>
      <c r="AL52" s="1322">
        <v>0</v>
      </c>
      <c r="AM52" s="1317">
        <v>0</v>
      </c>
      <c r="AN52" s="1317">
        <v>0</v>
      </c>
      <c r="AO52" s="1317">
        <v>0</v>
      </c>
      <c r="AP52" s="1317">
        <v>0</v>
      </c>
      <c r="AQ52" s="1344">
        <v>0</v>
      </c>
      <c r="AR52" s="1329"/>
      <c r="AS52" s="1330"/>
      <c r="AT52" s="1331"/>
      <c r="AU52" s="1323"/>
      <c r="AV52" s="1323"/>
      <c r="AW52" s="1323"/>
      <c r="AX52" s="1342"/>
      <c r="AY52" s="1343"/>
      <c r="AZ52" s="125"/>
      <c r="BA52" s="126"/>
      <c r="BB52" s="1341"/>
      <c r="BC52" s="125"/>
      <c r="BD52" s="126"/>
      <c r="BE52" s="1341"/>
      <c r="BF52" s="125"/>
      <c r="BG52" s="126"/>
      <c r="BH52" s="1341"/>
      <c r="BI52" s="125"/>
      <c r="BJ52" s="126"/>
      <c r="BK52" s="1341"/>
      <c r="BL52" s="125"/>
      <c r="BM52" s="126"/>
      <c r="BN52" s="1341"/>
      <c r="BO52" s="125"/>
      <c r="BP52" s="126"/>
      <c r="BQ52" s="1341"/>
      <c r="BR52" s="125"/>
      <c r="BS52" s="126"/>
      <c r="BT52" s="1341"/>
      <c r="BU52" s="125"/>
      <c r="BV52" s="126"/>
      <c r="BW52" s="1341"/>
      <c r="BX52" s="125"/>
      <c r="BY52" s="126"/>
      <c r="BZ52" s="1324" t="s">
        <v>323</v>
      </c>
      <c r="CA52" s="1338" t="s">
        <v>323</v>
      </c>
    </row>
    <row r="53" spans="1:79" ht="14.25" customHeight="1" x14ac:dyDescent="0.3">
      <c r="A53" s="1329"/>
      <c r="B53" s="1330"/>
      <c r="C53" s="1331"/>
      <c r="D53" s="1323"/>
      <c r="E53" s="1323"/>
      <c r="F53" s="1323"/>
      <c r="G53" s="1342"/>
      <c r="H53" s="1343"/>
      <c r="I53" s="125"/>
      <c r="J53" s="126"/>
      <c r="K53" s="1341"/>
      <c r="L53" s="125"/>
      <c r="M53" s="126"/>
      <c r="N53" s="1341"/>
      <c r="O53" s="125"/>
      <c r="P53" s="126"/>
      <c r="Q53" s="1341"/>
      <c r="R53" s="125"/>
      <c r="S53" s="126"/>
      <c r="T53" s="1341"/>
      <c r="U53" s="125"/>
      <c r="V53" s="126"/>
      <c r="W53" s="1341"/>
      <c r="X53" s="125"/>
      <c r="Y53" s="126"/>
      <c r="Z53" s="1341"/>
      <c r="AA53" s="125"/>
      <c r="AB53" s="126"/>
      <c r="AC53" s="1341"/>
      <c r="AD53" s="125"/>
      <c r="AE53" s="126"/>
      <c r="AF53" s="1341"/>
      <c r="AG53" s="125"/>
      <c r="AH53" s="126"/>
      <c r="AI53" s="1324"/>
      <c r="AJ53" s="1338"/>
      <c r="AK53" s="1317"/>
      <c r="AL53" s="1322"/>
      <c r="AM53" s="1317"/>
      <c r="AN53" s="1317"/>
      <c r="AO53" s="1317"/>
      <c r="AP53" s="1317"/>
      <c r="AQ53" s="1344"/>
      <c r="AR53" s="1329"/>
      <c r="AS53" s="1330"/>
      <c r="AT53" s="1331"/>
      <c r="AU53" s="1323"/>
      <c r="AV53" s="1323"/>
      <c r="AW53" s="1323"/>
      <c r="AX53" s="1342"/>
      <c r="AY53" s="1343"/>
      <c r="AZ53" s="125"/>
      <c r="BA53" s="126"/>
      <c r="BB53" s="1341"/>
      <c r="BC53" s="125"/>
      <c r="BD53" s="126"/>
      <c r="BE53" s="1341"/>
      <c r="BF53" s="125"/>
      <c r="BG53" s="126"/>
      <c r="BH53" s="1341"/>
      <c r="BI53" s="125"/>
      <c r="BJ53" s="126"/>
      <c r="BK53" s="1341"/>
      <c r="BL53" s="125"/>
      <c r="BM53" s="126"/>
      <c r="BN53" s="1341"/>
      <c r="BO53" s="125"/>
      <c r="BP53" s="126"/>
      <c r="BQ53" s="1341"/>
      <c r="BR53" s="125"/>
      <c r="BS53" s="126"/>
      <c r="BT53" s="1341"/>
      <c r="BU53" s="125"/>
      <c r="BV53" s="126"/>
      <c r="BW53" s="1341"/>
      <c r="BX53" s="125"/>
      <c r="BY53" s="126"/>
      <c r="BZ53" s="1324"/>
      <c r="CA53" s="1338"/>
    </row>
    <row r="54" spans="1:79" ht="14.25" customHeight="1" x14ac:dyDescent="0.3">
      <c r="A54" s="1339"/>
      <c r="B54" s="1312"/>
      <c r="C54" s="1313"/>
      <c r="D54" s="1314"/>
      <c r="E54" s="1314"/>
      <c r="F54" s="1314"/>
      <c r="G54" s="1315"/>
      <c r="H54" s="1331"/>
      <c r="I54" s="127"/>
      <c r="J54" s="126"/>
      <c r="K54" s="1323"/>
      <c r="L54" s="127"/>
      <c r="M54" s="126"/>
      <c r="N54" s="1323"/>
      <c r="O54" s="127"/>
      <c r="P54" s="126"/>
      <c r="Q54" s="1323"/>
      <c r="R54" s="127"/>
      <c r="S54" s="126"/>
      <c r="T54" s="1323"/>
      <c r="U54" s="127"/>
      <c r="V54" s="126"/>
      <c r="W54" s="1323"/>
      <c r="X54" s="127"/>
      <c r="Y54" s="126"/>
      <c r="Z54" s="1323"/>
      <c r="AA54" s="127"/>
      <c r="AB54" s="126"/>
      <c r="AC54" s="1323"/>
      <c r="AD54" s="127"/>
      <c r="AE54" s="126"/>
      <c r="AF54" s="1323"/>
      <c r="AG54" s="127"/>
      <c r="AH54" s="126"/>
      <c r="AI54" s="1345" t="s">
        <v>323</v>
      </c>
      <c r="AJ54" s="1338" t="s">
        <v>323</v>
      </c>
      <c r="AK54" s="1317">
        <v>0</v>
      </c>
      <c r="AL54" s="1322">
        <v>0</v>
      </c>
      <c r="AM54" s="1317">
        <v>0</v>
      </c>
      <c r="AN54" s="1317">
        <v>0</v>
      </c>
      <c r="AO54" s="1317">
        <v>0</v>
      </c>
      <c r="AP54" s="1317">
        <v>0</v>
      </c>
      <c r="AQ54" s="1344">
        <v>0</v>
      </c>
      <c r="AR54" s="1339"/>
      <c r="AS54" s="1312"/>
      <c r="AT54" s="1313"/>
      <c r="AU54" s="1314"/>
      <c r="AV54" s="1314"/>
      <c r="AW54" s="1314"/>
      <c r="AX54" s="1315"/>
      <c r="AY54" s="1331"/>
      <c r="AZ54" s="127"/>
      <c r="BA54" s="126"/>
      <c r="BB54" s="1323"/>
      <c r="BC54" s="127"/>
      <c r="BD54" s="126"/>
      <c r="BE54" s="1323"/>
      <c r="BF54" s="127"/>
      <c r="BG54" s="126"/>
      <c r="BH54" s="1323"/>
      <c r="BI54" s="127"/>
      <c r="BJ54" s="126"/>
      <c r="BK54" s="1323"/>
      <c r="BL54" s="127"/>
      <c r="BM54" s="126"/>
      <c r="BN54" s="1323"/>
      <c r="BO54" s="127"/>
      <c r="BP54" s="126"/>
      <c r="BQ54" s="1323"/>
      <c r="BR54" s="127"/>
      <c r="BS54" s="126"/>
      <c r="BT54" s="1323"/>
      <c r="BU54" s="127"/>
      <c r="BV54" s="126"/>
      <c r="BW54" s="1323"/>
      <c r="BX54" s="127"/>
      <c r="BY54" s="126"/>
      <c r="BZ54" s="1345" t="s">
        <v>323</v>
      </c>
      <c r="CA54" s="1338" t="s">
        <v>323</v>
      </c>
    </row>
    <row r="55" spans="1:79" ht="14.25" customHeight="1" x14ac:dyDescent="0.3">
      <c r="A55" s="1339"/>
      <c r="B55" s="1312"/>
      <c r="C55" s="1313"/>
      <c r="D55" s="1314"/>
      <c r="E55" s="1314"/>
      <c r="F55" s="1314"/>
      <c r="G55" s="1316"/>
      <c r="H55" s="1331"/>
      <c r="I55" s="127"/>
      <c r="J55" s="126"/>
      <c r="K55" s="1323"/>
      <c r="L55" s="127"/>
      <c r="M55" s="126"/>
      <c r="N55" s="1323"/>
      <c r="O55" s="127"/>
      <c r="P55" s="126"/>
      <c r="Q55" s="1323"/>
      <c r="R55" s="127"/>
      <c r="S55" s="126"/>
      <c r="T55" s="1323"/>
      <c r="U55" s="127"/>
      <c r="V55" s="126"/>
      <c r="W55" s="1323"/>
      <c r="X55" s="127"/>
      <c r="Y55" s="126"/>
      <c r="Z55" s="1323"/>
      <c r="AA55" s="127"/>
      <c r="AB55" s="126"/>
      <c r="AC55" s="1323"/>
      <c r="AD55" s="127"/>
      <c r="AE55" s="126"/>
      <c r="AF55" s="1323"/>
      <c r="AG55" s="127"/>
      <c r="AH55" s="126"/>
      <c r="AI55" s="1346"/>
      <c r="AJ55" s="1338"/>
      <c r="AK55" s="1317"/>
      <c r="AL55" s="1322"/>
      <c r="AM55" s="1317"/>
      <c r="AN55" s="1317"/>
      <c r="AO55" s="1317"/>
      <c r="AP55" s="1317"/>
      <c r="AQ55" s="1344"/>
      <c r="AR55" s="1339"/>
      <c r="AS55" s="1312"/>
      <c r="AT55" s="1313"/>
      <c r="AU55" s="1314"/>
      <c r="AV55" s="1314"/>
      <c r="AW55" s="1314"/>
      <c r="AX55" s="1316"/>
      <c r="AY55" s="1331"/>
      <c r="AZ55" s="127"/>
      <c r="BA55" s="126"/>
      <c r="BB55" s="1323"/>
      <c r="BC55" s="127"/>
      <c r="BD55" s="126"/>
      <c r="BE55" s="1323"/>
      <c r="BF55" s="127"/>
      <c r="BG55" s="126"/>
      <c r="BH55" s="1323"/>
      <c r="BI55" s="127"/>
      <c r="BJ55" s="126"/>
      <c r="BK55" s="1323"/>
      <c r="BL55" s="127"/>
      <c r="BM55" s="126"/>
      <c r="BN55" s="1323"/>
      <c r="BO55" s="127"/>
      <c r="BP55" s="126"/>
      <c r="BQ55" s="1323"/>
      <c r="BR55" s="127"/>
      <c r="BS55" s="126"/>
      <c r="BT55" s="1323"/>
      <c r="BU55" s="127"/>
      <c r="BV55" s="126"/>
      <c r="BW55" s="1323"/>
      <c r="BX55" s="127"/>
      <c r="BY55" s="126"/>
      <c r="BZ55" s="1346"/>
      <c r="CA55" s="1338"/>
    </row>
    <row r="56" spans="1:79" ht="14.25" customHeight="1" x14ac:dyDescent="0.3">
      <c r="A56" s="1329"/>
      <c r="B56" s="1330"/>
      <c r="C56" s="1331"/>
      <c r="D56" s="1323"/>
      <c r="E56" s="1323"/>
      <c r="F56" s="1323"/>
      <c r="G56" s="1342"/>
      <c r="H56" s="1343"/>
      <c r="I56" s="125"/>
      <c r="J56" s="126"/>
      <c r="K56" s="1341"/>
      <c r="L56" s="125"/>
      <c r="M56" s="126"/>
      <c r="N56" s="1341"/>
      <c r="O56" s="125"/>
      <c r="P56" s="126"/>
      <c r="Q56" s="1341"/>
      <c r="R56" s="125"/>
      <c r="S56" s="126"/>
      <c r="T56" s="1341"/>
      <c r="U56" s="125"/>
      <c r="V56" s="126"/>
      <c r="W56" s="1341"/>
      <c r="X56" s="125"/>
      <c r="Y56" s="126"/>
      <c r="Z56" s="1341"/>
      <c r="AA56" s="125"/>
      <c r="AB56" s="126"/>
      <c r="AC56" s="1341"/>
      <c r="AD56" s="125"/>
      <c r="AE56" s="126"/>
      <c r="AF56" s="1341"/>
      <c r="AG56" s="125"/>
      <c r="AH56" s="126"/>
      <c r="AI56" s="1324" t="s">
        <v>323</v>
      </c>
      <c r="AJ56" s="1338" t="s">
        <v>323</v>
      </c>
      <c r="AK56" s="1317">
        <v>0</v>
      </c>
      <c r="AL56" s="1322">
        <v>0</v>
      </c>
      <c r="AM56" s="1317">
        <v>0</v>
      </c>
      <c r="AN56" s="1317">
        <v>0</v>
      </c>
      <c r="AO56" s="1317">
        <v>0</v>
      </c>
      <c r="AP56" s="1317">
        <v>0</v>
      </c>
      <c r="AQ56" s="1344">
        <v>0</v>
      </c>
      <c r="AR56" s="1329"/>
      <c r="AS56" s="1330"/>
      <c r="AT56" s="1331"/>
      <c r="AU56" s="1323"/>
      <c r="AV56" s="1323"/>
      <c r="AW56" s="1323"/>
      <c r="AX56" s="1342"/>
      <c r="AY56" s="1343"/>
      <c r="AZ56" s="125"/>
      <c r="BA56" s="126"/>
      <c r="BB56" s="1341"/>
      <c r="BC56" s="125"/>
      <c r="BD56" s="126"/>
      <c r="BE56" s="1341"/>
      <c r="BF56" s="125"/>
      <c r="BG56" s="126"/>
      <c r="BH56" s="1341"/>
      <c r="BI56" s="125"/>
      <c r="BJ56" s="126"/>
      <c r="BK56" s="1341"/>
      <c r="BL56" s="125"/>
      <c r="BM56" s="126"/>
      <c r="BN56" s="1341"/>
      <c r="BO56" s="125"/>
      <c r="BP56" s="126"/>
      <c r="BQ56" s="1341"/>
      <c r="BR56" s="125"/>
      <c r="BS56" s="126"/>
      <c r="BT56" s="1341"/>
      <c r="BU56" s="125"/>
      <c r="BV56" s="126"/>
      <c r="BW56" s="1341"/>
      <c r="BX56" s="125"/>
      <c r="BY56" s="126"/>
      <c r="BZ56" s="1324" t="s">
        <v>323</v>
      </c>
      <c r="CA56" s="1338" t="s">
        <v>323</v>
      </c>
    </row>
    <row r="57" spans="1:79" ht="14.25" customHeight="1" x14ac:dyDescent="0.3">
      <c r="A57" s="1329"/>
      <c r="B57" s="1330"/>
      <c r="C57" s="1331"/>
      <c r="D57" s="1323"/>
      <c r="E57" s="1323"/>
      <c r="F57" s="1323"/>
      <c r="G57" s="1342"/>
      <c r="H57" s="1343"/>
      <c r="I57" s="125"/>
      <c r="J57" s="126"/>
      <c r="K57" s="1341"/>
      <c r="L57" s="125"/>
      <c r="M57" s="126"/>
      <c r="N57" s="1341"/>
      <c r="O57" s="125"/>
      <c r="P57" s="126"/>
      <c r="Q57" s="1341"/>
      <c r="R57" s="125"/>
      <c r="S57" s="126"/>
      <c r="T57" s="1341"/>
      <c r="U57" s="125"/>
      <c r="V57" s="126"/>
      <c r="W57" s="1341"/>
      <c r="X57" s="125"/>
      <c r="Y57" s="126"/>
      <c r="Z57" s="1341"/>
      <c r="AA57" s="125"/>
      <c r="AB57" s="126"/>
      <c r="AC57" s="1341"/>
      <c r="AD57" s="125"/>
      <c r="AE57" s="126"/>
      <c r="AF57" s="1341"/>
      <c r="AG57" s="125"/>
      <c r="AH57" s="126"/>
      <c r="AI57" s="1324"/>
      <c r="AJ57" s="1338"/>
      <c r="AK57" s="1317"/>
      <c r="AL57" s="1322"/>
      <c r="AM57" s="1317"/>
      <c r="AN57" s="1317"/>
      <c r="AO57" s="1317"/>
      <c r="AP57" s="1317"/>
      <c r="AQ57" s="1344"/>
      <c r="AR57" s="1329"/>
      <c r="AS57" s="1330"/>
      <c r="AT57" s="1331"/>
      <c r="AU57" s="1323"/>
      <c r="AV57" s="1323"/>
      <c r="AW57" s="1323"/>
      <c r="AX57" s="1342"/>
      <c r="AY57" s="1343"/>
      <c r="AZ57" s="125"/>
      <c r="BA57" s="126"/>
      <c r="BB57" s="1341"/>
      <c r="BC57" s="125"/>
      <c r="BD57" s="126"/>
      <c r="BE57" s="1341"/>
      <c r="BF57" s="125"/>
      <c r="BG57" s="126"/>
      <c r="BH57" s="1341"/>
      <c r="BI57" s="125"/>
      <c r="BJ57" s="126"/>
      <c r="BK57" s="1341"/>
      <c r="BL57" s="125"/>
      <c r="BM57" s="126"/>
      <c r="BN57" s="1341"/>
      <c r="BO57" s="125"/>
      <c r="BP57" s="126"/>
      <c r="BQ57" s="1341"/>
      <c r="BR57" s="125"/>
      <c r="BS57" s="126"/>
      <c r="BT57" s="1341"/>
      <c r="BU57" s="125"/>
      <c r="BV57" s="126"/>
      <c r="BW57" s="1341"/>
      <c r="BX57" s="125"/>
      <c r="BY57" s="126"/>
      <c r="BZ57" s="1324"/>
      <c r="CA57" s="1338"/>
    </row>
    <row r="58" spans="1:79" ht="14.25" customHeight="1" x14ac:dyDescent="0.3">
      <c r="A58" s="1339"/>
      <c r="B58" s="1312"/>
      <c r="C58" s="1313"/>
      <c r="D58" s="1314"/>
      <c r="E58" s="1314"/>
      <c r="F58" s="1314"/>
      <c r="G58" s="1315"/>
      <c r="H58" s="1331"/>
      <c r="I58" s="127"/>
      <c r="J58" s="126"/>
      <c r="K58" s="1323"/>
      <c r="L58" s="127"/>
      <c r="M58" s="126"/>
      <c r="N58" s="1323"/>
      <c r="O58" s="127"/>
      <c r="P58" s="126"/>
      <c r="Q58" s="1323"/>
      <c r="R58" s="127"/>
      <c r="S58" s="126"/>
      <c r="T58" s="1323"/>
      <c r="U58" s="127"/>
      <c r="V58" s="126"/>
      <c r="W58" s="1323"/>
      <c r="X58" s="127"/>
      <c r="Y58" s="126"/>
      <c r="Z58" s="1323"/>
      <c r="AA58" s="127"/>
      <c r="AB58" s="126"/>
      <c r="AC58" s="1323"/>
      <c r="AD58" s="127"/>
      <c r="AE58" s="126"/>
      <c r="AF58" s="1323"/>
      <c r="AG58" s="127"/>
      <c r="AH58" s="126"/>
      <c r="AI58" s="1345" t="s">
        <v>323</v>
      </c>
      <c r="AJ58" s="1338" t="s">
        <v>323</v>
      </c>
      <c r="AK58" s="1317">
        <v>0</v>
      </c>
      <c r="AL58" s="1322">
        <v>0</v>
      </c>
      <c r="AM58" s="1317">
        <v>0</v>
      </c>
      <c r="AN58" s="1317">
        <v>0</v>
      </c>
      <c r="AO58" s="1317">
        <v>0</v>
      </c>
      <c r="AP58" s="1317">
        <v>0</v>
      </c>
      <c r="AQ58" s="1344">
        <v>0</v>
      </c>
      <c r="AR58" s="1339"/>
      <c r="AS58" s="1312"/>
      <c r="AT58" s="1313"/>
      <c r="AU58" s="1314"/>
      <c r="AV58" s="1314"/>
      <c r="AW58" s="1314"/>
      <c r="AX58" s="1315"/>
      <c r="AY58" s="1331"/>
      <c r="AZ58" s="127"/>
      <c r="BA58" s="126"/>
      <c r="BB58" s="1323"/>
      <c r="BC58" s="127"/>
      <c r="BD58" s="126"/>
      <c r="BE58" s="1323"/>
      <c r="BF58" s="127"/>
      <c r="BG58" s="126"/>
      <c r="BH58" s="1323"/>
      <c r="BI58" s="127"/>
      <c r="BJ58" s="126"/>
      <c r="BK58" s="1323"/>
      <c r="BL58" s="127"/>
      <c r="BM58" s="126"/>
      <c r="BN58" s="1323"/>
      <c r="BO58" s="127"/>
      <c r="BP58" s="126"/>
      <c r="BQ58" s="1323"/>
      <c r="BR58" s="127"/>
      <c r="BS58" s="126"/>
      <c r="BT58" s="1323"/>
      <c r="BU58" s="127"/>
      <c r="BV58" s="126"/>
      <c r="BW58" s="1323"/>
      <c r="BX58" s="127"/>
      <c r="BY58" s="126"/>
      <c r="BZ58" s="1345" t="s">
        <v>323</v>
      </c>
      <c r="CA58" s="1338" t="s">
        <v>323</v>
      </c>
    </row>
    <row r="59" spans="1:79" ht="14.25" customHeight="1" x14ac:dyDescent="0.3">
      <c r="A59" s="1339"/>
      <c r="B59" s="1312"/>
      <c r="C59" s="1313"/>
      <c r="D59" s="1314"/>
      <c r="E59" s="1314"/>
      <c r="F59" s="1314"/>
      <c r="G59" s="1316"/>
      <c r="H59" s="1331"/>
      <c r="I59" s="127"/>
      <c r="J59" s="126"/>
      <c r="K59" s="1323"/>
      <c r="L59" s="127"/>
      <c r="M59" s="126"/>
      <c r="N59" s="1323"/>
      <c r="O59" s="127"/>
      <c r="P59" s="126"/>
      <c r="Q59" s="1323"/>
      <c r="R59" s="127"/>
      <c r="S59" s="126"/>
      <c r="T59" s="1323"/>
      <c r="U59" s="127"/>
      <c r="V59" s="126"/>
      <c r="W59" s="1323"/>
      <c r="X59" s="127"/>
      <c r="Y59" s="126"/>
      <c r="Z59" s="1323"/>
      <c r="AA59" s="127"/>
      <c r="AB59" s="126"/>
      <c r="AC59" s="1323"/>
      <c r="AD59" s="127"/>
      <c r="AE59" s="126"/>
      <c r="AF59" s="1323"/>
      <c r="AG59" s="127"/>
      <c r="AH59" s="126"/>
      <c r="AI59" s="1346"/>
      <c r="AJ59" s="1338"/>
      <c r="AK59" s="1317"/>
      <c r="AL59" s="1322"/>
      <c r="AM59" s="1317"/>
      <c r="AN59" s="1317"/>
      <c r="AO59" s="1317"/>
      <c r="AP59" s="1317"/>
      <c r="AQ59" s="1344"/>
      <c r="AR59" s="1339"/>
      <c r="AS59" s="1312"/>
      <c r="AT59" s="1313"/>
      <c r="AU59" s="1314"/>
      <c r="AV59" s="1314"/>
      <c r="AW59" s="1314"/>
      <c r="AX59" s="1316"/>
      <c r="AY59" s="1331"/>
      <c r="AZ59" s="127"/>
      <c r="BA59" s="126"/>
      <c r="BB59" s="1323"/>
      <c r="BC59" s="127"/>
      <c r="BD59" s="126"/>
      <c r="BE59" s="1323"/>
      <c r="BF59" s="127"/>
      <c r="BG59" s="126"/>
      <c r="BH59" s="1323"/>
      <c r="BI59" s="127"/>
      <c r="BJ59" s="126"/>
      <c r="BK59" s="1323"/>
      <c r="BL59" s="127"/>
      <c r="BM59" s="126"/>
      <c r="BN59" s="1323"/>
      <c r="BO59" s="127"/>
      <c r="BP59" s="126"/>
      <c r="BQ59" s="1323"/>
      <c r="BR59" s="127"/>
      <c r="BS59" s="126"/>
      <c r="BT59" s="1323"/>
      <c r="BU59" s="127"/>
      <c r="BV59" s="126"/>
      <c r="BW59" s="1323"/>
      <c r="BX59" s="127"/>
      <c r="BY59" s="126"/>
      <c r="BZ59" s="1346"/>
      <c r="CA59" s="1338"/>
    </row>
    <row r="60" spans="1:79" ht="14.25" customHeight="1" x14ac:dyDescent="0.3">
      <c r="A60" s="1329"/>
      <c r="B60" s="1330"/>
      <c r="C60" s="1331"/>
      <c r="D60" s="1323"/>
      <c r="E60" s="1323"/>
      <c r="F60" s="1323"/>
      <c r="G60" s="1342"/>
      <c r="H60" s="1343"/>
      <c r="I60" s="125"/>
      <c r="J60" s="126"/>
      <c r="K60" s="1341"/>
      <c r="L60" s="125"/>
      <c r="M60" s="126"/>
      <c r="N60" s="1341"/>
      <c r="O60" s="125"/>
      <c r="P60" s="126"/>
      <c r="Q60" s="1341"/>
      <c r="R60" s="125"/>
      <c r="S60" s="126"/>
      <c r="T60" s="1341"/>
      <c r="U60" s="125"/>
      <c r="V60" s="126"/>
      <c r="W60" s="1341"/>
      <c r="X60" s="125"/>
      <c r="Y60" s="126"/>
      <c r="Z60" s="1341"/>
      <c r="AA60" s="125"/>
      <c r="AB60" s="126"/>
      <c r="AC60" s="1341"/>
      <c r="AD60" s="125"/>
      <c r="AE60" s="126"/>
      <c r="AF60" s="1341"/>
      <c r="AG60" s="125"/>
      <c r="AH60" s="126"/>
      <c r="AI60" s="1324" t="s">
        <v>323</v>
      </c>
      <c r="AJ60" s="1338" t="s">
        <v>323</v>
      </c>
      <c r="AK60" s="1317">
        <v>0</v>
      </c>
      <c r="AL60" s="1322">
        <v>0</v>
      </c>
      <c r="AM60" s="1317">
        <v>0</v>
      </c>
      <c r="AN60" s="1317">
        <v>0</v>
      </c>
      <c r="AO60" s="1317">
        <v>0</v>
      </c>
      <c r="AP60" s="1317">
        <v>0</v>
      </c>
      <c r="AQ60" s="1344">
        <v>0</v>
      </c>
      <c r="AR60" s="1329"/>
      <c r="AS60" s="1330"/>
      <c r="AT60" s="1331"/>
      <c r="AU60" s="1323"/>
      <c r="AV60" s="1323"/>
      <c r="AW60" s="1323"/>
      <c r="AX60" s="1342"/>
      <c r="AY60" s="1343"/>
      <c r="AZ60" s="125"/>
      <c r="BA60" s="126"/>
      <c r="BB60" s="1341"/>
      <c r="BC60" s="125"/>
      <c r="BD60" s="126"/>
      <c r="BE60" s="1341"/>
      <c r="BF60" s="125"/>
      <c r="BG60" s="126"/>
      <c r="BH60" s="1341"/>
      <c r="BI60" s="125"/>
      <c r="BJ60" s="126"/>
      <c r="BK60" s="1341"/>
      <c r="BL60" s="125"/>
      <c r="BM60" s="126"/>
      <c r="BN60" s="1341"/>
      <c r="BO60" s="125"/>
      <c r="BP60" s="126"/>
      <c r="BQ60" s="1341"/>
      <c r="BR60" s="125"/>
      <c r="BS60" s="126"/>
      <c r="BT60" s="1341"/>
      <c r="BU60" s="125"/>
      <c r="BV60" s="126"/>
      <c r="BW60" s="1341"/>
      <c r="BX60" s="125"/>
      <c r="BY60" s="126"/>
      <c r="BZ60" s="1324" t="s">
        <v>323</v>
      </c>
      <c r="CA60" s="1338" t="s">
        <v>323</v>
      </c>
    </row>
    <row r="61" spans="1:79" ht="14.25" customHeight="1" x14ac:dyDescent="0.3">
      <c r="A61" s="1329"/>
      <c r="B61" s="1330"/>
      <c r="C61" s="1331"/>
      <c r="D61" s="1323"/>
      <c r="E61" s="1323"/>
      <c r="F61" s="1323"/>
      <c r="G61" s="1342"/>
      <c r="H61" s="1343"/>
      <c r="I61" s="125"/>
      <c r="J61" s="126"/>
      <c r="K61" s="1341"/>
      <c r="L61" s="125"/>
      <c r="M61" s="126"/>
      <c r="N61" s="1341"/>
      <c r="O61" s="125"/>
      <c r="P61" s="126"/>
      <c r="Q61" s="1341"/>
      <c r="R61" s="125"/>
      <c r="S61" s="126"/>
      <c r="T61" s="1341"/>
      <c r="U61" s="125"/>
      <c r="V61" s="126"/>
      <c r="W61" s="1341"/>
      <c r="X61" s="125"/>
      <c r="Y61" s="126"/>
      <c r="Z61" s="1341"/>
      <c r="AA61" s="125"/>
      <c r="AB61" s="126"/>
      <c r="AC61" s="1341"/>
      <c r="AD61" s="125"/>
      <c r="AE61" s="126"/>
      <c r="AF61" s="1341"/>
      <c r="AG61" s="125"/>
      <c r="AH61" s="126"/>
      <c r="AI61" s="1324"/>
      <c r="AJ61" s="1338"/>
      <c r="AK61" s="1317"/>
      <c r="AL61" s="1322"/>
      <c r="AM61" s="1317"/>
      <c r="AN61" s="1317"/>
      <c r="AO61" s="1317"/>
      <c r="AP61" s="1317"/>
      <c r="AQ61" s="1344"/>
      <c r="AR61" s="1329"/>
      <c r="AS61" s="1330"/>
      <c r="AT61" s="1331"/>
      <c r="AU61" s="1323"/>
      <c r="AV61" s="1323"/>
      <c r="AW61" s="1323"/>
      <c r="AX61" s="1342"/>
      <c r="AY61" s="1343"/>
      <c r="AZ61" s="125"/>
      <c r="BA61" s="126"/>
      <c r="BB61" s="1341"/>
      <c r="BC61" s="125"/>
      <c r="BD61" s="126"/>
      <c r="BE61" s="1341"/>
      <c r="BF61" s="125"/>
      <c r="BG61" s="126"/>
      <c r="BH61" s="1341"/>
      <c r="BI61" s="125"/>
      <c r="BJ61" s="126"/>
      <c r="BK61" s="1341"/>
      <c r="BL61" s="125"/>
      <c r="BM61" s="126"/>
      <c r="BN61" s="1341"/>
      <c r="BO61" s="125"/>
      <c r="BP61" s="126"/>
      <c r="BQ61" s="1341"/>
      <c r="BR61" s="125"/>
      <c r="BS61" s="126"/>
      <c r="BT61" s="1341"/>
      <c r="BU61" s="125"/>
      <c r="BV61" s="126"/>
      <c r="BW61" s="1341"/>
      <c r="BX61" s="125"/>
      <c r="BY61" s="126"/>
      <c r="BZ61" s="1324"/>
      <c r="CA61" s="1338"/>
    </row>
    <row r="62" spans="1:79" ht="14.25" customHeight="1" x14ac:dyDescent="0.3">
      <c r="A62" s="1339"/>
      <c r="B62" s="1312"/>
      <c r="C62" s="1313"/>
      <c r="D62" s="1314"/>
      <c r="E62" s="1314"/>
      <c r="F62" s="1314"/>
      <c r="G62" s="1315"/>
      <c r="H62" s="1331"/>
      <c r="I62" s="127"/>
      <c r="J62" s="126"/>
      <c r="K62" s="1323"/>
      <c r="L62" s="127"/>
      <c r="M62" s="126"/>
      <c r="N62" s="1323"/>
      <c r="O62" s="127"/>
      <c r="P62" s="126"/>
      <c r="Q62" s="1323"/>
      <c r="R62" s="127"/>
      <c r="S62" s="126"/>
      <c r="T62" s="1323"/>
      <c r="U62" s="127"/>
      <c r="V62" s="126"/>
      <c r="W62" s="1323"/>
      <c r="X62" s="127"/>
      <c r="Y62" s="126"/>
      <c r="Z62" s="1323"/>
      <c r="AA62" s="127"/>
      <c r="AB62" s="126"/>
      <c r="AC62" s="1323"/>
      <c r="AD62" s="127"/>
      <c r="AE62" s="126"/>
      <c r="AF62" s="1323"/>
      <c r="AG62" s="127"/>
      <c r="AH62" s="126"/>
      <c r="AI62" s="1345" t="s">
        <v>323</v>
      </c>
      <c r="AJ62" s="1338" t="s">
        <v>323</v>
      </c>
      <c r="AK62" s="1317">
        <v>0</v>
      </c>
      <c r="AL62" s="1322">
        <v>0</v>
      </c>
      <c r="AM62" s="1317">
        <v>0</v>
      </c>
      <c r="AN62" s="1317">
        <v>0</v>
      </c>
      <c r="AO62" s="1317">
        <v>0</v>
      </c>
      <c r="AP62" s="1317">
        <v>0</v>
      </c>
      <c r="AQ62" s="1344">
        <v>0</v>
      </c>
      <c r="AR62" s="1339"/>
      <c r="AS62" s="1312"/>
      <c r="AT62" s="1313"/>
      <c r="AU62" s="1314"/>
      <c r="AV62" s="1314"/>
      <c r="AW62" s="1314"/>
      <c r="AX62" s="1315"/>
      <c r="AY62" s="1331"/>
      <c r="AZ62" s="127"/>
      <c r="BA62" s="126"/>
      <c r="BB62" s="1323"/>
      <c r="BC62" s="127"/>
      <c r="BD62" s="126"/>
      <c r="BE62" s="1323"/>
      <c r="BF62" s="127"/>
      <c r="BG62" s="126"/>
      <c r="BH62" s="1323"/>
      <c r="BI62" s="127"/>
      <c r="BJ62" s="126"/>
      <c r="BK62" s="1323"/>
      <c r="BL62" s="127"/>
      <c r="BM62" s="126"/>
      <c r="BN62" s="1323"/>
      <c r="BO62" s="127"/>
      <c r="BP62" s="126"/>
      <c r="BQ62" s="1323"/>
      <c r="BR62" s="127"/>
      <c r="BS62" s="126"/>
      <c r="BT62" s="1323"/>
      <c r="BU62" s="127"/>
      <c r="BV62" s="126"/>
      <c r="BW62" s="1323"/>
      <c r="BX62" s="127"/>
      <c r="BY62" s="126"/>
      <c r="BZ62" s="1345" t="s">
        <v>323</v>
      </c>
      <c r="CA62" s="1338" t="s">
        <v>323</v>
      </c>
    </row>
    <row r="63" spans="1:79" ht="14.25" customHeight="1" thickBot="1" x14ac:dyDescent="0.35">
      <c r="A63" s="1339"/>
      <c r="B63" s="1312"/>
      <c r="C63" s="1313"/>
      <c r="D63" s="1314"/>
      <c r="E63" s="1314"/>
      <c r="F63" s="1314"/>
      <c r="G63" s="1316"/>
      <c r="H63" s="1331"/>
      <c r="I63" s="127"/>
      <c r="J63" s="126"/>
      <c r="K63" s="1323"/>
      <c r="L63" s="127"/>
      <c r="M63" s="126"/>
      <c r="N63" s="1323"/>
      <c r="O63" s="127"/>
      <c r="P63" s="126"/>
      <c r="Q63" s="1323"/>
      <c r="R63" s="127"/>
      <c r="S63" s="126"/>
      <c r="T63" s="1323"/>
      <c r="U63" s="127"/>
      <c r="V63" s="126"/>
      <c r="W63" s="1323"/>
      <c r="X63" s="127"/>
      <c r="Y63" s="126"/>
      <c r="Z63" s="1323"/>
      <c r="AA63" s="127"/>
      <c r="AB63" s="126"/>
      <c r="AC63" s="1323"/>
      <c r="AD63" s="127"/>
      <c r="AE63" s="126"/>
      <c r="AF63" s="1323"/>
      <c r="AG63" s="127"/>
      <c r="AH63" s="126"/>
      <c r="AI63" s="1346"/>
      <c r="AJ63" s="1338"/>
      <c r="AK63" s="1317"/>
      <c r="AL63" s="1322"/>
      <c r="AM63" s="1317"/>
      <c r="AN63" s="1317"/>
      <c r="AO63" s="1317"/>
      <c r="AP63" s="1317"/>
      <c r="AQ63" s="1344"/>
      <c r="AR63" s="1339"/>
      <c r="AS63" s="1312"/>
      <c r="AT63" s="1313"/>
      <c r="AU63" s="1314"/>
      <c r="AV63" s="1314"/>
      <c r="AW63" s="1314"/>
      <c r="AX63" s="1316"/>
      <c r="AY63" s="1331"/>
      <c r="AZ63" s="127"/>
      <c r="BA63" s="126"/>
      <c r="BB63" s="1323"/>
      <c r="BC63" s="127"/>
      <c r="BD63" s="126"/>
      <c r="BE63" s="1323"/>
      <c r="BF63" s="127"/>
      <c r="BG63" s="126"/>
      <c r="BH63" s="1323"/>
      <c r="BI63" s="127"/>
      <c r="BJ63" s="126"/>
      <c r="BK63" s="1323"/>
      <c r="BL63" s="127"/>
      <c r="BM63" s="126"/>
      <c r="BN63" s="1323"/>
      <c r="BO63" s="127"/>
      <c r="BP63" s="126"/>
      <c r="BQ63" s="1323"/>
      <c r="BR63" s="127"/>
      <c r="BS63" s="126"/>
      <c r="BT63" s="1323"/>
      <c r="BU63" s="127"/>
      <c r="BV63" s="126"/>
      <c r="BW63" s="1323"/>
      <c r="BX63" s="127"/>
      <c r="BY63" s="126"/>
      <c r="BZ63" s="1346"/>
      <c r="CA63" s="1338"/>
    </row>
    <row r="64" spans="1:79" ht="14.25" customHeight="1" thickBot="1" x14ac:dyDescent="0.35">
      <c r="A64" s="1347" t="s">
        <v>323</v>
      </c>
      <c r="B64" s="1349" t="s">
        <v>186</v>
      </c>
      <c r="C64" s="1351" t="s">
        <v>323</v>
      </c>
      <c r="D64" s="1352" t="s">
        <v>323</v>
      </c>
      <c r="E64" s="1352" t="s">
        <v>323</v>
      </c>
      <c r="F64" s="1352" t="s">
        <v>323</v>
      </c>
      <c r="G64" s="1352" t="s">
        <v>323</v>
      </c>
      <c r="H64" s="1347" t="s">
        <v>323</v>
      </c>
      <c r="I64" s="128"/>
      <c r="J64" s="128"/>
      <c r="K64" s="1354" t="s">
        <v>323</v>
      </c>
      <c r="L64" s="128"/>
      <c r="M64" s="128"/>
      <c r="N64" s="1354" t="s">
        <v>323</v>
      </c>
      <c r="O64" s="128"/>
      <c r="P64" s="128"/>
      <c r="Q64" s="1354" t="s">
        <v>323</v>
      </c>
      <c r="R64" s="128"/>
      <c r="S64" s="128"/>
      <c r="T64" s="1354" t="s">
        <v>323</v>
      </c>
      <c r="U64" s="128"/>
      <c r="V64" s="128"/>
      <c r="W64" s="1354" t="s">
        <v>323</v>
      </c>
      <c r="X64" s="128"/>
      <c r="Y64" s="129"/>
      <c r="Z64" s="1354" t="s">
        <v>323</v>
      </c>
      <c r="AA64" s="128"/>
      <c r="AB64" s="128"/>
      <c r="AC64" s="1354" t="s">
        <v>323</v>
      </c>
      <c r="AD64" s="128"/>
      <c r="AE64" s="129"/>
      <c r="AF64" s="1354" t="s">
        <v>323</v>
      </c>
      <c r="AG64" s="128"/>
      <c r="AH64" s="128"/>
      <c r="AI64" s="1355" t="s">
        <v>323</v>
      </c>
      <c r="AJ64" s="1355" t="s">
        <v>323</v>
      </c>
      <c r="AK64" s="1353"/>
      <c r="AL64" s="1353"/>
      <c r="AM64" s="1353"/>
      <c r="AN64" s="1353"/>
      <c r="AO64" s="1353"/>
      <c r="AP64" s="1361"/>
      <c r="AQ64" s="1353"/>
      <c r="AR64" s="1347" t="s">
        <v>323</v>
      </c>
      <c r="AS64" s="1349" t="s">
        <v>186</v>
      </c>
      <c r="AT64" s="1351" t="s">
        <v>323</v>
      </c>
      <c r="AU64" s="1352" t="s">
        <v>323</v>
      </c>
      <c r="AV64" s="1352" t="s">
        <v>323</v>
      </c>
      <c r="AW64" s="1352" t="s">
        <v>323</v>
      </c>
      <c r="AX64" s="1352" t="s">
        <v>323</v>
      </c>
      <c r="AY64" s="1347" t="s">
        <v>323</v>
      </c>
      <c r="AZ64" s="128"/>
      <c r="BA64" s="128"/>
      <c r="BB64" s="1354" t="s">
        <v>323</v>
      </c>
      <c r="BC64" s="128"/>
      <c r="BD64" s="128"/>
      <c r="BE64" s="1354" t="s">
        <v>323</v>
      </c>
      <c r="BF64" s="128"/>
      <c r="BG64" s="128"/>
      <c r="BH64" s="1354" t="s">
        <v>323</v>
      </c>
      <c r="BI64" s="128"/>
      <c r="BJ64" s="128"/>
      <c r="BK64" s="1354" t="s">
        <v>323</v>
      </c>
      <c r="BL64" s="128"/>
      <c r="BM64" s="128"/>
      <c r="BN64" s="1354" t="s">
        <v>323</v>
      </c>
      <c r="BO64" s="128"/>
      <c r="BP64" s="129"/>
      <c r="BQ64" s="1354" t="s">
        <v>323</v>
      </c>
      <c r="BR64" s="128"/>
      <c r="BS64" s="128"/>
      <c r="BT64" s="1354" t="s">
        <v>323</v>
      </c>
      <c r="BU64" s="128"/>
      <c r="BV64" s="129"/>
      <c r="BW64" s="1354" t="s">
        <v>323</v>
      </c>
      <c r="BX64" s="128"/>
      <c r="BY64" s="128"/>
      <c r="BZ64" s="1355" t="s">
        <v>323</v>
      </c>
      <c r="CA64" s="1355" t="s">
        <v>323</v>
      </c>
    </row>
    <row r="65" spans="1:79" ht="14.25" customHeight="1" thickBot="1" x14ac:dyDescent="0.35">
      <c r="A65" s="1348"/>
      <c r="B65" s="1350"/>
      <c r="C65" s="1351"/>
      <c r="D65" s="1352"/>
      <c r="E65" s="1352"/>
      <c r="F65" s="1352"/>
      <c r="G65" s="1352"/>
      <c r="H65" s="1347"/>
      <c r="I65" s="130"/>
      <c r="J65" s="130"/>
      <c r="K65" s="1354"/>
      <c r="L65" s="130"/>
      <c r="M65" s="130"/>
      <c r="N65" s="1354"/>
      <c r="O65" s="130"/>
      <c r="P65" s="130"/>
      <c r="Q65" s="1354"/>
      <c r="R65" s="130"/>
      <c r="S65" s="130"/>
      <c r="T65" s="1354"/>
      <c r="U65" s="130"/>
      <c r="V65" s="130"/>
      <c r="W65" s="1354"/>
      <c r="X65" s="130"/>
      <c r="Y65" s="131"/>
      <c r="Z65" s="1354"/>
      <c r="AA65" s="130"/>
      <c r="AB65" s="130"/>
      <c r="AC65" s="1354"/>
      <c r="AD65" s="130"/>
      <c r="AE65" s="131"/>
      <c r="AF65" s="1354"/>
      <c r="AG65" s="130"/>
      <c r="AH65" s="130"/>
      <c r="AI65" s="1356"/>
      <c r="AJ65" s="1356"/>
      <c r="AK65" s="1353"/>
      <c r="AL65" s="1353"/>
      <c r="AM65" s="1353"/>
      <c r="AN65" s="1353"/>
      <c r="AO65" s="1353"/>
      <c r="AP65" s="1361"/>
      <c r="AQ65" s="1353"/>
      <c r="AR65" s="1348"/>
      <c r="AS65" s="1350"/>
      <c r="AT65" s="1351"/>
      <c r="AU65" s="1352"/>
      <c r="AV65" s="1352"/>
      <c r="AW65" s="1352"/>
      <c r="AX65" s="1352"/>
      <c r="AY65" s="1347"/>
      <c r="AZ65" s="130"/>
      <c r="BA65" s="130"/>
      <c r="BB65" s="1354"/>
      <c r="BC65" s="130"/>
      <c r="BD65" s="130"/>
      <c r="BE65" s="1354"/>
      <c r="BF65" s="130"/>
      <c r="BG65" s="130"/>
      <c r="BH65" s="1354"/>
      <c r="BI65" s="130"/>
      <c r="BJ65" s="130"/>
      <c r="BK65" s="1354"/>
      <c r="BL65" s="130"/>
      <c r="BM65" s="130"/>
      <c r="BN65" s="1354"/>
      <c r="BO65" s="130"/>
      <c r="BP65" s="131"/>
      <c r="BQ65" s="1354"/>
      <c r="BR65" s="130"/>
      <c r="BS65" s="130"/>
      <c r="BT65" s="1354"/>
      <c r="BU65" s="130"/>
      <c r="BV65" s="131"/>
      <c r="BW65" s="1354"/>
      <c r="BX65" s="130"/>
      <c r="BY65" s="130"/>
      <c r="BZ65" s="1356"/>
      <c r="CA65" s="1356"/>
    </row>
    <row r="66" spans="1:79" ht="14.25" customHeight="1" x14ac:dyDescent="0.3">
      <c r="A66" s="1360" t="s">
        <v>326</v>
      </c>
      <c r="B66" s="1360"/>
      <c r="C66" s="1360"/>
      <c r="D66" s="1360"/>
      <c r="E66" s="1360"/>
      <c r="F66" s="1360"/>
      <c r="G66" s="1360"/>
      <c r="H66" s="1360"/>
      <c r="I66" s="1360"/>
      <c r="J66" s="1360"/>
      <c r="K66" s="1360"/>
      <c r="L66" s="1360"/>
      <c r="M66" s="1360"/>
      <c r="N66" s="1360"/>
      <c r="O66" s="1360"/>
      <c r="P66" s="1360"/>
      <c r="Q66" s="1360"/>
      <c r="R66" s="1360"/>
      <c r="S66" s="1360"/>
      <c r="T66" s="1360"/>
      <c r="U66" s="1360"/>
      <c r="V66" s="1360"/>
      <c r="W66" s="1360"/>
      <c r="X66" s="1360"/>
      <c r="Y66" s="1360"/>
      <c r="Z66" s="1360"/>
      <c r="AA66" s="1360"/>
      <c r="AB66" s="1360"/>
      <c r="AC66" s="1360"/>
      <c r="AD66" s="1360"/>
      <c r="AE66" s="1360"/>
      <c r="AF66" s="1360"/>
      <c r="AG66" s="1360"/>
      <c r="AH66" s="1360"/>
      <c r="AI66" s="1360"/>
      <c r="AJ66" s="1360"/>
      <c r="AK66" s="132"/>
      <c r="AL66" s="132"/>
      <c r="AM66" s="132"/>
      <c r="AN66" s="132"/>
      <c r="AO66" s="132"/>
      <c r="AP66" s="132"/>
      <c r="AQ66" s="132"/>
      <c r="AR66" s="1360" t="s">
        <v>326</v>
      </c>
      <c r="AS66" s="1360"/>
      <c r="AT66" s="1360"/>
      <c r="AU66" s="1360"/>
      <c r="AV66" s="1360"/>
      <c r="AW66" s="1360"/>
      <c r="AX66" s="1360"/>
      <c r="AY66" s="1360"/>
      <c r="AZ66" s="1360"/>
      <c r="BA66" s="1360"/>
      <c r="BB66" s="1360"/>
      <c r="BC66" s="1360"/>
      <c r="BD66" s="1360"/>
      <c r="BE66" s="1360"/>
      <c r="BF66" s="1360"/>
      <c r="BG66" s="1360"/>
      <c r="BH66" s="1360"/>
      <c r="BI66" s="1360"/>
      <c r="BJ66" s="1360"/>
      <c r="BK66" s="1360"/>
      <c r="BL66" s="1360"/>
      <c r="BM66" s="1360"/>
      <c r="BN66" s="1360"/>
      <c r="BO66" s="1360"/>
      <c r="BP66" s="1360"/>
      <c r="BQ66" s="1360"/>
      <c r="BR66" s="1360"/>
      <c r="BS66" s="1360"/>
      <c r="BT66" s="1360"/>
      <c r="BU66" s="1360"/>
      <c r="BV66" s="1360"/>
      <c r="BW66" s="1360"/>
      <c r="BX66" s="1360"/>
      <c r="BY66" s="1360"/>
      <c r="BZ66" s="1360"/>
      <c r="CA66" s="1360"/>
    </row>
    <row r="67" spans="1:79" ht="14.25" customHeight="1" x14ac:dyDescent="0.3">
      <c r="A67" s="1357" t="s">
        <v>327</v>
      </c>
      <c r="B67" s="1357"/>
      <c r="C67" s="1357"/>
      <c r="D67" s="1357"/>
      <c r="E67" s="1357"/>
      <c r="F67" s="1357"/>
      <c r="G67" s="1357"/>
      <c r="H67" s="1357"/>
      <c r="I67" s="1357"/>
      <c r="J67" s="1357"/>
      <c r="K67" s="1357"/>
      <c r="L67" s="1357"/>
      <c r="M67" s="1357"/>
      <c r="N67" s="1357"/>
      <c r="O67" s="1357"/>
      <c r="P67" s="1357"/>
      <c r="Q67" s="1357"/>
      <c r="R67" s="1357"/>
      <c r="S67" s="1357"/>
      <c r="T67" s="1357"/>
      <c r="U67" s="1357"/>
      <c r="V67" s="1357"/>
      <c r="W67" s="1357"/>
      <c r="X67" s="1357"/>
      <c r="Y67" s="1357"/>
      <c r="Z67" s="1357"/>
      <c r="AA67" s="1357"/>
      <c r="AB67" s="1357"/>
      <c r="AC67" s="1357"/>
      <c r="AD67" s="1357"/>
      <c r="AE67" s="1357"/>
      <c r="AF67" s="1357"/>
      <c r="AG67" s="1357"/>
      <c r="AH67" s="1357"/>
      <c r="AI67" s="1357"/>
      <c r="AJ67" s="1357"/>
      <c r="AK67" s="132"/>
      <c r="AL67" s="132"/>
      <c r="AM67" s="132"/>
      <c r="AN67" s="132"/>
      <c r="AO67" s="132"/>
      <c r="AP67" s="132"/>
      <c r="AQ67" s="132"/>
      <c r="AR67" s="1357" t="s">
        <v>327</v>
      </c>
      <c r="AS67" s="1357"/>
      <c r="AT67" s="1357"/>
      <c r="AU67" s="1357"/>
      <c r="AV67" s="1357"/>
      <c r="AW67" s="1357"/>
      <c r="AX67" s="1357"/>
      <c r="AY67" s="1357"/>
      <c r="AZ67" s="1357"/>
      <c r="BA67" s="1357"/>
      <c r="BB67" s="1357"/>
      <c r="BC67" s="1357"/>
      <c r="BD67" s="1357"/>
      <c r="BE67" s="1357"/>
      <c r="BF67" s="1357"/>
      <c r="BG67" s="1357"/>
      <c r="BH67" s="1357"/>
      <c r="BI67" s="1357"/>
      <c r="BJ67" s="1357"/>
      <c r="BK67" s="1357"/>
      <c r="BL67" s="1357"/>
      <c r="BM67" s="1357"/>
      <c r="BN67" s="1357"/>
      <c r="BO67" s="1357"/>
      <c r="BP67" s="1357"/>
      <c r="BQ67" s="1357"/>
      <c r="BR67" s="1357"/>
      <c r="BS67" s="1357"/>
      <c r="BT67" s="1357"/>
      <c r="BU67" s="1357"/>
      <c r="BV67" s="1357"/>
      <c r="BW67" s="1357"/>
      <c r="BX67" s="1357"/>
      <c r="BY67" s="1357"/>
      <c r="BZ67" s="1357"/>
      <c r="CA67" s="1357"/>
    </row>
    <row r="68" spans="1:79" ht="14.25" customHeight="1" x14ac:dyDescent="0.3">
      <c r="A68" s="1357" t="s">
        <v>328</v>
      </c>
      <c r="B68" s="1357"/>
      <c r="C68" s="1357"/>
      <c r="D68" s="1357"/>
      <c r="E68" s="1357"/>
      <c r="F68" s="1357"/>
      <c r="G68" s="1357"/>
      <c r="H68" s="1357"/>
      <c r="I68" s="1357"/>
      <c r="J68" s="1357"/>
      <c r="K68" s="1357"/>
      <c r="L68" s="1357"/>
      <c r="M68" s="1357"/>
      <c r="N68" s="1357"/>
      <c r="O68" s="1357"/>
      <c r="P68" s="1357"/>
      <c r="Q68" s="1357"/>
      <c r="R68" s="1357"/>
      <c r="S68" s="1357"/>
      <c r="T68" s="1357"/>
      <c r="U68" s="1357"/>
      <c r="V68" s="1357"/>
      <c r="W68" s="1357"/>
      <c r="X68" s="1357"/>
      <c r="Y68" s="1357"/>
      <c r="Z68" s="1357"/>
      <c r="AA68" s="1357"/>
      <c r="AB68" s="1357"/>
      <c r="AC68" s="1357"/>
      <c r="AD68" s="1357"/>
      <c r="AE68" s="1357"/>
      <c r="AF68" s="1357"/>
      <c r="AG68" s="1357"/>
      <c r="AH68" s="1357"/>
      <c r="AI68" s="1357"/>
      <c r="AJ68" s="1357"/>
      <c r="AK68" s="132"/>
      <c r="AL68" s="132"/>
      <c r="AM68" s="132"/>
      <c r="AN68" s="132"/>
      <c r="AO68" s="132"/>
      <c r="AP68" s="132"/>
      <c r="AQ68" s="132"/>
      <c r="AR68" s="1357" t="s">
        <v>328</v>
      </c>
      <c r="AS68" s="1357"/>
      <c r="AT68" s="1357"/>
      <c r="AU68" s="1357"/>
      <c r="AV68" s="1357"/>
      <c r="AW68" s="1357"/>
      <c r="AX68" s="1357"/>
      <c r="AY68" s="1357"/>
      <c r="AZ68" s="1357"/>
      <c r="BA68" s="1357"/>
      <c r="BB68" s="1357"/>
      <c r="BC68" s="1357"/>
      <c r="BD68" s="1357"/>
      <c r="BE68" s="1357"/>
      <c r="BF68" s="1357"/>
      <c r="BG68" s="1357"/>
      <c r="BH68" s="1357"/>
      <c r="BI68" s="1357"/>
      <c r="BJ68" s="1357"/>
      <c r="BK68" s="1357"/>
      <c r="BL68" s="1357"/>
      <c r="BM68" s="1357"/>
      <c r="BN68" s="1357"/>
      <c r="BO68" s="1357"/>
      <c r="BP68" s="1357"/>
      <c r="BQ68" s="1357"/>
      <c r="BR68" s="1357"/>
      <c r="BS68" s="1357"/>
      <c r="BT68" s="1357"/>
      <c r="BU68" s="1357"/>
      <c r="BV68" s="1357"/>
      <c r="BW68" s="1357"/>
      <c r="BX68" s="1357"/>
      <c r="BY68" s="1357"/>
      <c r="BZ68" s="1357"/>
      <c r="CA68" s="1357"/>
    </row>
    <row r="69" spans="1:79" ht="14.25" customHeight="1" x14ac:dyDescent="0.3">
      <c r="A69" s="1358" t="s">
        <v>329</v>
      </c>
      <c r="B69" s="1358"/>
      <c r="C69" s="1358"/>
      <c r="D69" s="1358"/>
      <c r="E69" s="1358"/>
      <c r="F69" s="1358"/>
      <c r="G69" s="1358"/>
      <c r="H69" s="1358"/>
      <c r="I69" s="1358"/>
      <c r="J69" s="1358"/>
      <c r="K69" s="1358"/>
      <c r="L69" s="1358"/>
      <c r="M69" s="1358"/>
      <c r="N69" s="1358"/>
      <c r="O69" s="1358"/>
      <c r="P69" s="1358"/>
      <c r="Q69" s="1358"/>
      <c r="R69" s="1358"/>
      <c r="S69" s="1358"/>
      <c r="T69" s="1358"/>
      <c r="U69" s="1358"/>
      <c r="V69" s="1358"/>
      <c r="W69" s="1358"/>
      <c r="X69" s="1358"/>
      <c r="Y69" s="1358"/>
      <c r="Z69" s="1358"/>
      <c r="AA69" s="1358"/>
      <c r="AB69" s="1358"/>
      <c r="AC69" s="1358"/>
      <c r="AD69" s="1358"/>
      <c r="AE69" s="1358"/>
      <c r="AF69" s="1358"/>
      <c r="AG69" s="1358"/>
      <c r="AH69" s="1358"/>
      <c r="AI69" s="1358"/>
      <c r="AJ69" s="1358"/>
      <c r="AK69" s="133"/>
      <c r="AL69" s="133"/>
      <c r="AM69" s="133"/>
      <c r="AN69" s="133"/>
      <c r="AO69" s="133"/>
      <c r="AP69" s="133"/>
      <c r="AQ69" s="133"/>
      <c r="AR69" s="1358" t="s">
        <v>329</v>
      </c>
      <c r="AS69" s="1358"/>
      <c r="AT69" s="1358"/>
      <c r="AU69" s="1358"/>
      <c r="AV69" s="1358"/>
      <c r="AW69" s="1358"/>
      <c r="AX69" s="1358"/>
      <c r="AY69" s="1358"/>
      <c r="AZ69" s="1358"/>
      <c r="BA69" s="1358"/>
      <c r="BB69" s="1358"/>
      <c r="BC69" s="1358"/>
      <c r="BD69" s="1358"/>
      <c r="BE69" s="1358"/>
      <c r="BF69" s="1358"/>
      <c r="BG69" s="1358"/>
      <c r="BH69" s="1358"/>
      <c r="BI69" s="1358"/>
      <c r="BJ69" s="1358"/>
      <c r="BK69" s="1358"/>
      <c r="BL69" s="1358"/>
      <c r="BM69" s="1358"/>
      <c r="BN69" s="1358"/>
      <c r="BO69" s="1358"/>
      <c r="BP69" s="1358"/>
      <c r="BQ69" s="1358"/>
      <c r="BR69" s="1358"/>
      <c r="BS69" s="1358"/>
      <c r="BT69" s="1358"/>
      <c r="BU69" s="1358"/>
      <c r="BV69" s="1358"/>
      <c r="BW69" s="1358"/>
      <c r="BX69" s="1358"/>
      <c r="BY69" s="1358"/>
      <c r="BZ69" s="1358"/>
      <c r="CA69" s="1358"/>
    </row>
    <row r="70" spans="1:79" ht="14.25" customHeight="1" thickBot="1" x14ac:dyDescent="0.35">
      <c r="A70" s="1359" t="s">
        <v>330</v>
      </c>
      <c r="B70" s="1359"/>
      <c r="C70" s="1359"/>
      <c r="D70" s="1359"/>
      <c r="E70" s="1359"/>
      <c r="F70" s="1359"/>
      <c r="G70" s="1359"/>
      <c r="H70" s="1359"/>
      <c r="I70" s="1359"/>
      <c r="J70" s="1359"/>
      <c r="K70" s="1359"/>
      <c r="L70" s="1359"/>
      <c r="M70" s="1359"/>
      <c r="N70" s="1359"/>
      <c r="O70" s="1359"/>
      <c r="P70" s="1359"/>
      <c r="Q70" s="1359"/>
      <c r="R70" s="1359"/>
      <c r="S70" s="1359"/>
      <c r="T70" s="1359"/>
      <c r="U70" s="1359"/>
      <c r="V70" s="1359"/>
      <c r="W70" s="1359"/>
      <c r="X70" s="1359"/>
      <c r="Y70" s="1359"/>
      <c r="Z70" s="1359"/>
      <c r="AA70" s="1359"/>
      <c r="AB70" s="1359"/>
      <c r="AC70" s="1359"/>
      <c r="AD70" s="1359"/>
      <c r="AE70" s="1359"/>
      <c r="AF70" s="1359"/>
      <c r="AG70" s="1359"/>
      <c r="AH70" s="1359"/>
      <c r="AI70" s="1359"/>
      <c r="AJ70" s="1359"/>
      <c r="AK70" s="134"/>
      <c r="AL70" s="134"/>
      <c r="AM70" s="134"/>
      <c r="AN70" s="134"/>
      <c r="AO70" s="134"/>
      <c r="AP70" s="134"/>
      <c r="AQ70" s="134"/>
      <c r="AR70" s="1359" t="s">
        <v>330</v>
      </c>
      <c r="AS70" s="1359"/>
      <c r="AT70" s="1359"/>
      <c r="AU70" s="1359"/>
      <c r="AV70" s="1359"/>
      <c r="AW70" s="1359"/>
      <c r="AX70" s="1359"/>
      <c r="AY70" s="1359"/>
      <c r="AZ70" s="1359"/>
      <c r="BA70" s="1359"/>
      <c r="BB70" s="1359"/>
      <c r="BC70" s="1359"/>
      <c r="BD70" s="1359"/>
      <c r="BE70" s="1359"/>
      <c r="BF70" s="1359"/>
      <c r="BG70" s="1359"/>
      <c r="BH70" s="1359"/>
      <c r="BI70" s="1359"/>
      <c r="BJ70" s="1359"/>
      <c r="BK70" s="1359"/>
      <c r="BL70" s="1359"/>
      <c r="BM70" s="1359"/>
      <c r="BN70" s="1359"/>
      <c r="BO70" s="1359"/>
      <c r="BP70" s="1359"/>
      <c r="BQ70" s="1359"/>
      <c r="BR70" s="1359"/>
      <c r="BS70" s="1359"/>
      <c r="BT70" s="1359"/>
      <c r="BU70" s="1359"/>
      <c r="BV70" s="1359"/>
      <c r="BW70" s="1359"/>
      <c r="BX70" s="1359"/>
      <c r="BY70" s="1359"/>
      <c r="BZ70" s="1359"/>
      <c r="CA70" s="1359"/>
    </row>
    <row r="71" spans="1:79" ht="31.2" x14ac:dyDescent="0.6">
      <c r="A71" s="1302" t="s">
        <v>268</v>
      </c>
      <c r="B71" s="1302"/>
      <c r="C71" s="1302"/>
      <c r="D71" s="1302"/>
      <c r="E71" s="1302"/>
      <c r="F71" s="1302"/>
      <c r="G71" s="1302"/>
      <c r="H71" s="1306">
        <f>IF(ISBLANK(IGRF!$B$5), "", IGRF!$B$5)</f>
        <v>41832</v>
      </c>
      <c r="I71" s="1306"/>
      <c r="J71" s="1306"/>
      <c r="K71" s="1304" t="str">
        <f>Score!$A$1</f>
        <v>Rat City Rollergirls / All-Stars</v>
      </c>
      <c r="L71" s="1304"/>
      <c r="M71" s="1304"/>
      <c r="N71" s="1304"/>
      <c r="O71" s="1304"/>
      <c r="P71" s="1304"/>
      <c r="Q71" s="1304"/>
      <c r="R71" s="1304"/>
      <c r="S71" s="1304"/>
      <c r="T71" s="1308"/>
      <c r="U71" s="1308"/>
      <c r="V71" s="1308"/>
      <c r="W71" s="1308"/>
      <c r="X71" s="1308"/>
      <c r="Y71" s="1308"/>
      <c r="Z71" s="1308"/>
      <c r="AA71" s="1308"/>
      <c r="AB71" s="1308"/>
      <c r="AC71" s="1310"/>
      <c r="AD71" s="1310"/>
      <c r="AE71" s="1310"/>
      <c r="AF71" s="1310"/>
      <c r="AG71" s="1310"/>
      <c r="AH71" s="1310"/>
      <c r="AI71" s="1310"/>
      <c r="AJ71" s="1">
        <v>2</v>
      </c>
      <c r="AR71" s="1302" t="s">
        <v>268</v>
      </c>
      <c r="AS71" s="1302"/>
      <c r="AT71" s="1302"/>
      <c r="AU71" s="1302"/>
      <c r="AV71" s="1302"/>
      <c r="AW71" s="1302"/>
      <c r="AX71" s="1302"/>
      <c r="AY71" s="1306">
        <f>IF(ISBLANK(IGRF!$B$5), "", IGRF!$B$5)</f>
        <v>41832</v>
      </c>
      <c r="AZ71" s="1306"/>
      <c r="BA71" s="1306"/>
      <c r="BB71" s="1304" t="str">
        <f>Score!$T$1</f>
        <v>Houston Roller Derby / All-Stars</v>
      </c>
      <c r="BC71" s="1304"/>
      <c r="BD71" s="1304"/>
      <c r="BE71" s="1304"/>
      <c r="BF71" s="1304"/>
      <c r="BG71" s="1304"/>
      <c r="BH71" s="1304"/>
      <c r="BI71" s="1304"/>
      <c r="BJ71" s="1304"/>
      <c r="BK71" s="1308"/>
      <c r="BL71" s="1308"/>
      <c r="BM71" s="1308"/>
      <c r="BN71" s="1308"/>
      <c r="BO71" s="1308"/>
      <c r="BP71" s="1308"/>
      <c r="BQ71" s="1308"/>
      <c r="BR71" s="1308"/>
      <c r="BS71" s="1308"/>
      <c r="BT71" s="1310"/>
      <c r="BU71" s="1310"/>
      <c r="BV71" s="1310"/>
      <c r="BW71" s="1310"/>
      <c r="BX71" s="1310"/>
      <c r="BY71" s="1310"/>
      <c r="BZ71" s="1310"/>
      <c r="CA71" s="1">
        <v>2</v>
      </c>
    </row>
    <row r="72" spans="1:79" ht="15" customHeight="1" thickBot="1" x14ac:dyDescent="0.35">
      <c r="A72" s="1303" t="str">
        <f>A2</f>
        <v>Rev. 140421 © 2014 WFTDA</v>
      </c>
      <c r="B72" s="1303"/>
      <c r="C72" s="1303"/>
      <c r="D72" s="1303"/>
      <c r="E72" s="1303"/>
      <c r="F72" s="1303"/>
      <c r="G72" s="1303"/>
      <c r="H72" s="1307" t="s">
        <v>355</v>
      </c>
      <c r="I72" s="1307"/>
      <c r="J72" s="1307"/>
      <c r="K72" s="1305"/>
      <c r="L72" s="1305"/>
      <c r="M72" s="1305"/>
      <c r="N72" s="1305"/>
      <c r="O72" s="1305"/>
      <c r="P72" s="1305"/>
      <c r="Q72" s="1305"/>
      <c r="R72" s="1305"/>
      <c r="S72" s="1305"/>
      <c r="T72" s="1309" t="s">
        <v>340</v>
      </c>
      <c r="U72" s="1309"/>
      <c r="V72" s="1309"/>
      <c r="W72" s="1309"/>
      <c r="X72" s="1309"/>
      <c r="Y72" s="1309"/>
      <c r="Z72" s="1309"/>
      <c r="AA72" s="1309"/>
      <c r="AB72" s="1309"/>
      <c r="AC72" s="1311" t="s">
        <v>344</v>
      </c>
      <c r="AD72" s="1311"/>
      <c r="AE72" s="1311"/>
      <c r="AF72" s="1311"/>
      <c r="AG72" s="1311"/>
      <c r="AH72" s="1311"/>
      <c r="AI72" s="1311"/>
      <c r="AJ72" s="4" t="str">
        <f>AJ2</f>
        <v>GAME 2</v>
      </c>
      <c r="AR72" s="1303" t="str">
        <f>A72</f>
        <v>Rev. 140421 © 2014 WFTDA</v>
      </c>
      <c r="AS72" s="1303"/>
      <c r="AT72" s="1303"/>
      <c r="AU72" s="1303"/>
      <c r="AV72" s="1303"/>
      <c r="AW72" s="1303"/>
      <c r="AX72" s="1303"/>
      <c r="AY72" s="1307" t="s">
        <v>355</v>
      </c>
      <c r="AZ72" s="1307"/>
      <c r="BA72" s="1307"/>
      <c r="BB72" s="1305"/>
      <c r="BC72" s="1305"/>
      <c r="BD72" s="1305"/>
      <c r="BE72" s="1305"/>
      <c r="BF72" s="1305"/>
      <c r="BG72" s="1305"/>
      <c r="BH72" s="1305"/>
      <c r="BI72" s="1305"/>
      <c r="BJ72" s="1305"/>
      <c r="BK72" s="1309" t="s">
        <v>340</v>
      </c>
      <c r="BL72" s="1309"/>
      <c r="BM72" s="1309"/>
      <c r="BN72" s="1309"/>
      <c r="BO72" s="1309"/>
      <c r="BP72" s="1309"/>
      <c r="BQ72" s="1309"/>
      <c r="BR72" s="1309"/>
      <c r="BS72" s="1309"/>
      <c r="BT72" s="1311" t="s">
        <v>344</v>
      </c>
      <c r="BU72" s="1311"/>
      <c r="BV72" s="1311"/>
      <c r="BW72" s="1311"/>
      <c r="BX72" s="1311"/>
      <c r="BY72" s="1311"/>
      <c r="BZ72" s="1311"/>
      <c r="CA72" s="4" t="str">
        <f>AJ2</f>
        <v>GAME 2</v>
      </c>
    </row>
    <row r="73" spans="1:79" ht="28.2" thickBot="1" x14ac:dyDescent="0.5">
      <c r="A73" s="109" t="s">
        <v>257</v>
      </c>
      <c r="B73" s="110" t="s">
        <v>258</v>
      </c>
      <c r="C73" s="111" t="s">
        <v>259</v>
      </c>
      <c r="D73" s="112" t="s">
        <v>260</v>
      </c>
      <c r="E73" s="112" t="s">
        <v>261</v>
      </c>
      <c r="F73" s="112" t="s">
        <v>262</v>
      </c>
      <c r="G73" s="113" t="s">
        <v>263</v>
      </c>
      <c r="H73" s="114" t="s">
        <v>264</v>
      </c>
      <c r="I73" s="1320" t="s">
        <v>316</v>
      </c>
      <c r="J73" s="1320"/>
      <c r="K73" s="115" t="s">
        <v>265</v>
      </c>
      <c r="L73" s="1320" t="s">
        <v>316</v>
      </c>
      <c r="M73" s="1320"/>
      <c r="N73" s="115" t="s">
        <v>266</v>
      </c>
      <c r="O73" s="1320" t="s">
        <v>316</v>
      </c>
      <c r="P73" s="1320"/>
      <c r="Q73" s="115" t="s">
        <v>179</v>
      </c>
      <c r="R73" s="1320" t="s">
        <v>316</v>
      </c>
      <c r="S73" s="1320"/>
      <c r="T73" s="115" t="s">
        <v>180</v>
      </c>
      <c r="U73" s="1320" t="s">
        <v>316</v>
      </c>
      <c r="V73" s="1320"/>
      <c r="W73" s="115" t="s">
        <v>181</v>
      </c>
      <c r="X73" s="1321" t="s">
        <v>316</v>
      </c>
      <c r="Y73" s="1321"/>
      <c r="Z73" s="115" t="s">
        <v>182</v>
      </c>
      <c r="AA73" s="1318" t="s">
        <v>316</v>
      </c>
      <c r="AB73" s="1319"/>
      <c r="AC73" s="115" t="s">
        <v>324</v>
      </c>
      <c r="AD73" s="1321" t="s">
        <v>316</v>
      </c>
      <c r="AE73" s="1321"/>
      <c r="AF73" s="115" t="s">
        <v>325</v>
      </c>
      <c r="AG73" s="1320" t="s">
        <v>316</v>
      </c>
      <c r="AH73" s="1320"/>
      <c r="AI73" s="116" t="s">
        <v>183</v>
      </c>
      <c r="AJ73" s="135" t="s">
        <v>323</v>
      </c>
      <c r="AK73" s="118" t="s">
        <v>185</v>
      </c>
      <c r="AL73" s="119" t="s">
        <v>317</v>
      </c>
      <c r="AM73" s="120" t="s">
        <v>318</v>
      </c>
      <c r="AN73" s="120" t="s">
        <v>319</v>
      </c>
      <c r="AO73" s="120" t="s">
        <v>320</v>
      </c>
      <c r="AP73" s="120" t="s">
        <v>321</v>
      </c>
      <c r="AQ73" s="136" t="s">
        <v>322</v>
      </c>
      <c r="AR73" s="109" t="s">
        <v>257</v>
      </c>
      <c r="AS73" s="110" t="s">
        <v>258</v>
      </c>
      <c r="AT73" s="111" t="s">
        <v>259</v>
      </c>
      <c r="AU73" s="112" t="s">
        <v>260</v>
      </c>
      <c r="AV73" s="112" t="s">
        <v>261</v>
      </c>
      <c r="AW73" s="112" t="s">
        <v>262</v>
      </c>
      <c r="AX73" s="113" t="s">
        <v>263</v>
      </c>
      <c r="AY73" s="114" t="s">
        <v>264</v>
      </c>
      <c r="AZ73" s="1320" t="s">
        <v>316</v>
      </c>
      <c r="BA73" s="1320"/>
      <c r="BB73" s="115" t="s">
        <v>265</v>
      </c>
      <c r="BC73" s="1320" t="s">
        <v>316</v>
      </c>
      <c r="BD73" s="1320"/>
      <c r="BE73" s="115" t="s">
        <v>266</v>
      </c>
      <c r="BF73" s="1320" t="s">
        <v>316</v>
      </c>
      <c r="BG73" s="1320"/>
      <c r="BH73" s="115" t="s">
        <v>179</v>
      </c>
      <c r="BI73" s="1320" t="s">
        <v>316</v>
      </c>
      <c r="BJ73" s="1320"/>
      <c r="BK73" s="115" t="s">
        <v>180</v>
      </c>
      <c r="BL73" s="1320" t="s">
        <v>316</v>
      </c>
      <c r="BM73" s="1320"/>
      <c r="BN73" s="115" t="s">
        <v>181</v>
      </c>
      <c r="BO73" s="1321" t="s">
        <v>316</v>
      </c>
      <c r="BP73" s="1321"/>
      <c r="BQ73" s="115" t="s">
        <v>182</v>
      </c>
      <c r="BR73" s="1318" t="s">
        <v>316</v>
      </c>
      <c r="BS73" s="1319"/>
      <c r="BT73" s="115" t="s">
        <v>324</v>
      </c>
      <c r="BU73" s="1321" t="s">
        <v>316</v>
      </c>
      <c r="BV73" s="1321"/>
      <c r="BW73" s="115" t="s">
        <v>325</v>
      </c>
      <c r="BX73" s="1320" t="s">
        <v>316</v>
      </c>
      <c r="BY73" s="1320"/>
      <c r="BZ73" s="116" t="s">
        <v>183</v>
      </c>
      <c r="CA73" s="137" t="s">
        <v>323</v>
      </c>
    </row>
    <row r="74" spans="1:79" ht="14.25" customHeight="1" x14ac:dyDescent="0.3">
      <c r="A74" s="1329"/>
      <c r="B74" s="1330"/>
      <c r="C74" s="1331"/>
      <c r="D74" s="1323"/>
      <c r="E74" s="1323"/>
      <c r="F74" s="1323"/>
      <c r="G74" s="1342"/>
      <c r="H74" s="1343"/>
      <c r="I74" s="125"/>
      <c r="J74" s="126"/>
      <c r="K74" s="1341"/>
      <c r="L74" s="125"/>
      <c r="M74" s="126"/>
      <c r="N74" s="1341"/>
      <c r="O74" s="125"/>
      <c r="P74" s="126"/>
      <c r="Q74" s="1341"/>
      <c r="R74" s="125"/>
      <c r="S74" s="126"/>
      <c r="T74" s="1341"/>
      <c r="U74" s="125"/>
      <c r="V74" s="126"/>
      <c r="W74" s="1341"/>
      <c r="X74" s="125"/>
      <c r="Y74" s="126"/>
      <c r="Z74" s="1341"/>
      <c r="AA74" s="125"/>
      <c r="AB74" s="126"/>
      <c r="AC74" s="1341"/>
      <c r="AD74" s="125"/>
      <c r="AE74" s="126"/>
      <c r="AF74" s="1341"/>
      <c r="AG74" s="125"/>
      <c r="AH74" s="126"/>
      <c r="AI74" s="1324" t="s">
        <v>323</v>
      </c>
      <c r="AJ74" s="1338" t="s">
        <v>323</v>
      </c>
      <c r="AK74" s="1317">
        <v>0</v>
      </c>
      <c r="AL74" s="1322">
        <v>0</v>
      </c>
      <c r="AM74" s="1317">
        <v>0</v>
      </c>
      <c r="AN74" s="1317">
        <v>0</v>
      </c>
      <c r="AO74" s="1317">
        <v>0</v>
      </c>
      <c r="AP74" s="1317">
        <v>0</v>
      </c>
      <c r="AQ74" s="1344">
        <v>0</v>
      </c>
      <c r="AR74" s="1329"/>
      <c r="AS74" s="1330"/>
      <c r="AT74" s="1331"/>
      <c r="AU74" s="1323"/>
      <c r="AV74" s="1323"/>
      <c r="AW74" s="1323"/>
      <c r="AX74" s="1342"/>
      <c r="AY74" s="1343"/>
      <c r="AZ74" s="125"/>
      <c r="BA74" s="126"/>
      <c r="BB74" s="1341"/>
      <c r="BC74" s="125"/>
      <c r="BD74" s="126"/>
      <c r="BE74" s="1341"/>
      <c r="BF74" s="125"/>
      <c r="BG74" s="126"/>
      <c r="BH74" s="1341"/>
      <c r="BI74" s="125"/>
      <c r="BJ74" s="126"/>
      <c r="BK74" s="1341"/>
      <c r="BL74" s="125"/>
      <c r="BM74" s="126"/>
      <c r="BN74" s="1341"/>
      <c r="BO74" s="125"/>
      <c r="BP74" s="126"/>
      <c r="BQ74" s="1341"/>
      <c r="BR74" s="125"/>
      <c r="BS74" s="126"/>
      <c r="BT74" s="1341"/>
      <c r="BU74" s="125"/>
      <c r="BV74" s="126"/>
      <c r="BW74" s="1341"/>
      <c r="BX74" s="125"/>
      <c r="BY74" s="126"/>
      <c r="BZ74" s="1324" t="s">
        <v>323</v>
      </c>
      <c r="CA74" s="1338" t="s">
        <v>323</v>
      </c>
    </row>
    <row r="75" spans="1:79" ht="14.25" customHeight="1" x14ac:dyDescent="0.3">
      <c r="A75" s="1329"/>
      <c r="B75" s="1330"/>
      <c r="C75" s="1331"/>
      <c r="D75" s="1323"/>
      <c r="E75" s="1323"/>
      <c r="F75" s="1323"/>
      <c r="G75" s="1342"/>
      <c r="H75" s="1343"/>
      <c r="I75" s="125"/>
      <c r="J75" s="126"/>
      <c r="K75" s="1341"/>
      <c r="L75" s="125"/>
      <c r="M75" s="126"/>
      <c r="N75" s="1341"/>
      <c r="O75" s="125"/>
      <c r="P75" s="126"/>
      <c r="Q75" s="1341"/>
      <c r="R75" s="125"/>
      <c r="S75" s="126"/>
      <c r="T75" s="1341"/>
      <c r="U75" s="125"/>
      <c r="V75" s="126"/>
      <c r="W75" s="1341"/>
      <c r="X75" s="125"/>
      <c r="Y75" s="126"/>
      <c r="Z75" s="1341"/>
      <c r="AA75" s="125"/>
      <c r="AB75" s="126"/>
      <c r="AC75" s="1341"/>
      <c r="AD75" s="125"/>
      <c r="AE75" s="126"/>
      <c r="AF75" s="1341"/>
      <c r="AG75" s="125"/>
      <c r="AH75" s="126"/>
      <c r="AI75" s="1324"/>
      <c r="AJ75" s="1338"/>
      <c r="AK75" s="1317"/>
      <c r="AL75" s="1322"/>
      <c r="AM75" s="1317"/>
      <c r="AN75" s="1317"/>
      <c r="AO75" s="1317"/>
      <c r="AP75" s="1317"/>
      <c r="AQ75" s="1344"/>
      <c r="AR75" s="1329"/>
      <c r="AS75" s="1330"/>
      <c r="AT75" s="1331"/>
      <c r="AU75" s="1323"/>
      <c r="AV75" s="1323"/>
      <c r="AW75" s="1323"/>
      <c r="AX75" s="1342"/>
      <c r="AY75" s="1343"/>
      <c r="AZ75" s="125"/>
      <c r="BA75" s="126"/>
      <c r="BB75" s="1341"/>
      <c r="BC75" s="125"/>
      <c r="BD75" s="126"/>
      <c r="BE75" s="1341"/>
      <c r="BF75" s="125"/>
      <c r="BG75" s="126"/>
      <c r="BH75" s="1341"/>
      <c r="BI75" s="125"/>
      <c r="BJ75" s="126"/>
      <c r="BK75" s="1341"/>
      <c r="BL75" s="125"/>
      <c r="BM75" s="126"/>
      <c r="BN75" s="1341"/>
      <c r="BO75" s="125"/>
      <c r="BP75" s="126"/>
      <c r="BQ75" s="1341"/>
      <c r="BR75" s="125"/>
      <c r="BS75" s="126"/>
      <c r="BT75" s="1341"/>
      <c r="BU75" s="125"/>
      <c r="BV75" s="126"/>
      <c r="BW75" s="1341"/>
      <c r="BX75" s="125"/>
      <c r="BY75" s="126"/>
      <c r="BZ75" s="1324"/>
      <c r="CA75" s="1338"/>
    </row>
    <row r="76" spans="1:79" ht="14.25" customHeight="1" x14ac:dyDescent="0.3">
      <c r="A76" s="1339"/>
      <c r="B76" s="1312"/>
      <c r="C76" s="1313"/>
      <c r="D76" s="1314"/>
      <c r="E76" s="1314"/>
      <c r="F76" s="1314"/>
      <c r="G76" s="1315"/>
      <c r="H76" s="1331"/>
      <c r="I76" s="127"/>
      <c r="J76" s="126"/>
      <c r="K76" s="1323"/>
      <c r="L76" s="127"/>
      <c r="M76" s="126"/>
      <c r="N76" s="1323"/>
      <c r="O76" s="127"/>
      <c r="P76" s="126"/>
      <c r="Q76" s="1323"/>
      <c r="R76" s="127"/>
      <c r="S76" s="126"/>
      <c r="T76" s="1323"/>
      <c r="U76" s="127"/>
      <c r="V76" s="126"/>
      <c r="W76" s="1323"/>
      <c r="X76" s="127"/>
      <c r="Y76" s="126"/>
      <c r="Z76" s="1323"/>
      <c r="AA76" s="127"/>
      <c r="AB76" s="126"/>
      <c r="AC76" s="1323"/>
      <c r="AD76" s="127"/>
      <c r="AE76" s="126"/>
      <c r="AF76" s="1323"/>
      <c r="AG76" s="127"/>
      <c r="AH76" s="126"/>
      <c r="AI76" s="1345" t="s">
        <v>323</v>
      </c>
      <c r="AJ76" s="1338" t="s">
        <v>323</v>
      </c>
      <c r="AK76" s="1317">
        <v>0</v>
      </c>
      <c r="AL76" s="1322">
        <v>0</v>
      </c>
      <c r="AM76" s="1317">
        <v>0</v>
      </c>
      <c r="AN76" s="1317">
        <v>0</v>
      </c>
      <c r="AO76" s="1317">
        <v>0</v>
      </c>
      <c r="AP76" s="1317">
        <v>0</v>
      </c>
      <c r="AQ76" s="1344">
        <v>0</v>
      </c>
      <c r="AR76" s="1339"/>
      <c r="AS76" s="1312"/>
      <c r="AT76" s="1313"/>
      <c r="AU76" s="1314"/>
      <c r="AV76" s="1314"/>
      <c r="AW76" s="1314"/>
      <c r="AX76" s="1315"/>
      <c r="AY76" s="1331"/>
      <c r="AZ76" s="127"/>
      <c r="BA76" s="126"/>
      <c r="BB76" s="1323"/>
      <c r="BC76" s="127"/>
      <c r="BD76" s="126"/>
      <c r="BE76" s="1323"/>
      <c r="BF76" s="127"/>
      <c r="BG76" s="126"/>
      <c r="BH76" s="1323"/>
      <c r="BI76" s="127"/>
      <c r="BJ76" s="126"/>
      <c r="BK76" s="1323"/>
      <c r="BL76" s="127"/>
      <c r="BM76" s="126"/>
      <c r="BN76" s="1323"/>
      <c r="BO76" s="127"/>
      <c r="BP76" s="126"/>
      <c r="BQ76" s="1323"/>
      <c r="BR76" s="127"/>
      <c r="BS76" s="126"/>
      <c r="BT76" s="1323"/>
      <c r="BU76" s="127"/>
      <c r="BV76" s="126"/>
      <c r="BW76" s="1323"/>
      <c r="BX76" s="127"/>
      <c r="BY76" s="126"/>
      <c r="BZ76" s="1345" t="s">
        <v>323</v>
      </c>
      <c r="CA76" s="1338" t="s">
        <v>323</v>
      </c>
    </row>
    <row r="77" spans="1:79" ht="14.25" customHeight="1" x14ac:dyDescent="0.3">
      <c r="A77" s="1339"/>
      <c r="B77" s="1312"/>
      <c r="C77" s="1313"/>
      <c r="D77" s="1314"/>
      <c r="E77" s="1314"/>
      <c r="F77" s="1314"/>
      <c r="G77" s="1316"/>
      <c r="H77" s="1331"/>
      <c r="I77" s="127"/>
      <c r="J77" s="126"/>
      <c r="K77" s="1323"/>
      <c r="L77" s="127"/>
      <c r="M77" s="126"/>
      <c r="N77" s="1323"/>
      <c r="O77" s="127"/>
      <c r="P77" s="126"/>
      <c r="Q77" s="1323"/>
      <c r="R77" s="127"/>
      <c r="S77" s="126"/>
      <c r="T77" s="1323"/>
      <c r="U77" s="127"/>
      <c r="V77" s="126"/>
      <c r="W77" s="1323"/>
      <c r="X77" s="127"/>
      <c r="Y77" s="126"/>
      <c r="Z77" s="1323"/>
      <c r="AA77" s="127"/>
      <c r="AB77" s="126"/>
      <c r="AC77" s="1323"/>
      <c r="AD77" s="127"/>
      <c r="AE77" s="126"/>
      <c r="AF77" s="1323"/>
      <c r="AG77" s="127"/>
      <c r="AH77" s="126"/>
      <c r="AI77" s="1346"/>
      <c r="AJ77" s="1338"/>
      <c r="AK77" s="1317"/>
      <c r="AL77" s="1322"/>
      <c r="AM77" s="1317"/>
      <c r="AN77" s="1317"/>
      <c r="AO77" s="1317"/>
      <c r="AP77" s="1317"/>
      <c r="AQ77" s="1344"/>
      <c r="AR77" s="1339"/>
      <c r="AS77" s="1312"/>
      <c r="AT77" s="1313"/>
      <c r="AU77" s="1314"/>
      <c r="AV77" s="1314"/>
      <c r="AW77" s="1314"/>
      <c r="AX77" s="1316"/>
      <c r="AY77" s="1331"/>
      <c r="AZ77" s="127"/>
      <c r="BA77" s="126"/>
      <c r="BB77" s="1323"/>
      <c r="BC77" s="127"/>
      <c r="BD77" s="126"/>
      <c r="BE77" s="1323"/>
      <c r="BF77" s="127"/>
      <c r="BG77" s="126"/>
      <c r="BH77" s="1323"/>
      <c r="BI77" s="127"/>
      <c r="BJ77" s="126"/>
      <c r="BK77" s="1323"/>
      <c r="BL77" s="127"/>
      <c r="BM77" s="126"/>
      <c r="BN77" s="1323"/>
      <c r="BO77" s="127"/>
      <c r="BP77" s="126"/>
      <c r="BQ77" s="1323"/>
      <c r="BR77" s="127"/>
      <c r="BS77" s="126"/>
      <c r="BT77" s="1323"/>
      <c r="BU77" s="127"/>
      <c r="BV77" s="126"/>
      <c r="BW77" s="1323"/>
      <c r="BX77" s="127"/>
      <c r="BY77" s="126"/>
      <c r="BZ77" s="1346"/>
      <c r="CA77" s="1338"/>
    </row>
    <row r="78" spans="1:79" ht="14.25" customHeight="1" x14ac:dyDescent="0.3">
      <c r="A78" s="1329"/>
      <c r="B78" s="1330"/>
      <c r="C78" s="1331"/>
      <c r="D78" s="1323"/>
      <c r="E78" s="1323"/>
      <c r="F78" s="1323"/>
      <c r="G78" s="1342"/>
      <c r="H78" s="1343"/>
      <c r="I78" s="125"/>
      <c r="J78" s="126"/>
      <c r="K78" s="1341"/>
      <c r="L78" s="125"/>
      <c r="M78" s="126"/>
      <c r="N78" s="1341"/>
      <c r="O78" s="125"/>
      <c r="P78" s="126"/>
      <c r="Q78" s="1341"/>
      <c r="R78" s="125"/>
      <c r="S78" s="126"/>
      <c r="T78" s="1341"/>
      <c r="U78" s="125"/>
      <c r="V78" s="126"/>
      <c r="W78" s="1341"/>
      <c r="X78" s="125"/>
      <c r="Y78" s="126"/>
      <c r="Z78" s="1341"/>
      <c r="AA78" s="125"/>
      <c r="AB78" s="126"/>
      <c r="AC78" s="1341"/>
      <c r="AD78" s="125"/>
      <c r="AE78" s="126"/>
      <c r="AF78" s="1341"/>
      <c r="AG78" s="125"/>
      <c r="AH78" s="126"/>
      <c r="AI78" s="1324" t="s">
        <v>323</v>
      </c>
      <c r="AJ78" s="1338" t="s">
        <v>323</v>
      </c>
      <c r="AK78" s="1317">
        <v>0</v>
      </c>
      <c r="AL78" s="1322">
        <v>0</v>
      </c>
      <c r="AM78" s="1317">
        <v>0</v>
      </c>
      <c r="AN78" s="1317">
        <v>0</v>
      </c>
      <c r="AO78" s="1317">
        <v>0</v>
      </c>
      <c r="AP78" s="1317">
        <v>0</v>
      </c>
      <c r="AQ78" s="1344">
        <v>0</v>
      </c>
      <c r="AR78" s="1329"/>
      <c r="AS78" s="1330"/>
      <c r="AT78" s="1331"/>
      <c r="AU78" s="1323"/>
      <c r="AV78" s="1323"/>
      <c r="AW78" s="1323"/>
      <c r="AX78" s="1342"/>
      <c r="AY78" s="1343"/>
      <c r="AZ78" s="125"/>
      <c r="BA78" s="126"/>
      <c r="BB78" s="1341"/>
      <c r="BC78" s="125"/>
      <c r="BD78" s="126"/>
      <c r="BE78" s="1341"/>
      <c r="BF78" s="125"/>
      <c r="BG78" s="126"/>
      <c r="BH78" s="1341"/>
      <c r="BI78" s="125"/>
      <c r="BJ78" s="126"/>
      <c r="BK78" s="1341"/>
      <c r="BL78" s="125"/>
      <c r="BM78" s="126"/>
      <c r="BN78" s="1341"/>
      <c r="BO78" s="125"/>
      <c r="BP78" s="126"/>
      <c r="BQ78" s="1341"/>
      <c r="BR78" s="125"/>
      <c r="BS78" s="126"/>
      <c r="BT78" s="1341"/>
      <c r="BU78" s="125"/>
      <c r="BV78" s="126"/>
      <c r="BW78" s="1341"/>
      <c r="BX78" s="125"/>
      <c r="BY78" s="126"/>
      <c r="BZ78" s="1324" t="s">
        <v>323</v>
      </c>
      <c r="CA78" s="1338" t="s">
        <v>323</v>
      </c>
    </row>
    <row r="79" spans="1:79" ht="14.25" customHeight="1" x14ac:dyDescent="0.3">
      <c r="A79" s="1329"/>
      <c r="B79" s="1330"/>
      <c r="C79" s="1331"/>
      <c r="D79" s="1323"/>
      <c r="E79" s="1323"/>
      <c r="F79" s="1323"/>
      <c r="G79" s="1342"/>
      <c r="H79" s="1343"/>
      <c r="I79" s="125"/>
      <c r="J79" s="126"/>
      <c r="K79" s="1341"/>
      <c r="L79" s="125"/>
      <c r="M79" s="126"/>
      <c r="N79" s="1341"/>
      <c r="O79" s="125"/>
      <c r="P79" s="126"/>
      <c r="Q79" s="1341"/>
      <c r="R79" s="125"/>
      <c r="S79" s="126"/>
      <c r="T79" s="1341"/>
      <c r="U79" s="125"/>
      <c r="V79" s="126"/>
      <c r="W79" s="1341"/>
      <c r="X79" s="125"/>
      <c r="Y79" s="126"/>
      <c r="Z79" s="1341"/>
      <c r="AA79" s="125"/>
      <c r="AB79" s="126"/>
      <c r="AC79" s="1341"/>
      <c r="AD79" s="125"/>
      <c r="AE79" s="126"/>
      <c r="AF79" s="1341"/>
      <c r="AG79" s="125"/>
      <c r="AH79" s="126"/>
      <c r="AI79" s="1324"/>
      <c r="AJ79" s="1338"/>
      <c r="AK79" s="1317"/>
      <c r="AL79" s="1322"/>
      <c r="AM79" s="1317"/>
      <c r="AN79" s="1317"/>
      <c r="AO79" s="1317"/>
      <c r="AP79" s="1317"/>
      <c r="AQ79" s="1344"/>
      <c r="AR79" s="1329"/>
      <c r="AS79" s="1330"/>
      <c r="AT79" s="1331"/>
      <c r="AU79" s="1323"/>
      <c r="AV79" s="1323"/>
      <c r="AW79" s="1323"/>
      <c r="AX79" s="1342"/>
      <c r="AY79" s="1343"/>
      <c r="AZ79" s="125"/>
      <c r="BA79" s="126"/>
      <c r="BB79" s="1341"/>
      <c r="BC79" s="125"/>
      <c r="BD79" s="126"/>
      <c r="BE79" s="1341"/>
      <c r="BF79" s="125"/>
      <c r="BG79" s="126"/>
      <c r="BH79" s="1341"/>
      <c r="BI79" s="125"/>
      <c r="BJ79" s="126"/>
      <c r="BK79" s="1341"/>
      <c r="BL79" s="125"/>
      <c r="BM79" s="126"/>
      <c r="BN79" s="1341"/>
      <c r="BO79" s="125"/>
      <c r="BP79" s="126"/>
      <c r="BQ79" s="1341"/>
      <c r="BR79" s="125"/>
      <c r="BS79" s="126"/>
      <c r="BT79" s="1341"/>
      <c r="BU79" s="125"/>
      <c r="BV79" s="126"/>
      <c r="BW79" s="1341"/>
      <c r="BX79" s="125"/>
      <c r="BY79" s="126"/>
      <c r="BZ79" s="1324"/>
      <c r="CA79" s="1338"/>
    </row>
    <row r="80" spans="1:79" ht="14.25" customHeight="1" x14ac:dyDescent="0.3">
      <c r="A80" s="1339"/>
      <c r="B80" s="1312"/>
      <c r="C80" s="1313"/>
      <c r="D80" s="1314"/>
      <c r="E80" s="1314"/>
      <c r="F80" s="1314"/>
      <c r="G80" s="1315"/>
      <c r="H80" s="1331"/>
      <c r="I80" s="127"/>
      <c r="J80" s="126"/>
      <c r="K80" s="1323"/>
      <c r="L80" s="127"/>
      <c r="M80" s="126"/>
      <c r="N80" s="1323"/>
      <c r="O80" s="127"/>
      <c r="P80" s="126"/>
      <c r="Q80" s="1323"/>
      <c r="R80" s="127"/>
      <c r="S80" s="126"/>
      <c r="T80" s="1323"/>
      <c r="U80" s="127"/>
      <c r="V80" s="126"/>
      <c r="W80" s="1323"/>
      <c r="X80" s="127"/>
      <c r="Y80" s="126"/>
      <c r="Z80" s="1323"/>
      <c r="AA80" s="127"/>
      <c r="AB80" s="126"/>
      <c r="AC80" s="1323"/>
      <c r="AD80" s="127"/>
      <c r="AE80" s="126"/>
      <c r="AF80" s="1323"/>
      <c r="AG80" s="127"/>
      <c r="AH80" s="126"/>
      <c r="AI80" s="1345" t="s">
        <v>323</v>
      </c>
      <c r="AJ80" s="1338" t="s">
        <v>323</v>
      </c>
      <c r="AK80" s="1317">
        <v>0</v>
      </c>
      <c r="AL80" s="1322">
        <v>0</v>
      </c>
      <c r="AM80" s="1317">
        <v>0</v>
      </c>
      <c r="AN80" s="1317">
        <v>0</v>
      </c>
      <c r="AO80" s="1317">
        <v>0</v>
      </c>
      <c r="AP80" s="1317">
        <v>0</v>
      </c>
      <c r="AQ80" s="1344">
        <v>0</v>
      </c>
      <c r="AR80" s="1339"/>
      <c r="AS80" s="1312"/>
      <c r="AT80" s="1313"/>
      <c r="AU80" s="1314"/>
      <c r="AV80" s="1314"/>
      <c r="AW80" s="1314"/>
      <c r="AX80" s="1315"/>
      <c r="AY80" s="1331"/>
      <c r="AZ80" s="127"/>
      <c r="BA80" s="126"/>
      <c r="BB80" s="1323"/>
      <c r="BC80" s="127"/>
      <c r="BD80" s="126"/>
      <c r="BE80" s="1323"/>
      <c r="BF80" s="127"/>
      <c r="BG80" s="126"/>
      <c r="BH80" s="1323"/>
      <c r="BI80" s="127"/>
      <c r="BJ80" s="126"/>
      <c r="BK80" s="1323"/>
      <c r="BL80" s="127"/>
      <c r="BM80" s="126"/>
      <c r="BN80" s="1323"/>
      <c r="BO80" s="127"/>
      <c r="BP80" s="126"/>
      <c r="BQ80" s="1323"/>
      <c r="BR80" s="127"/>
      <c r="BS80" s="126"/>
      <c r="BT80" s="1323"/>
      <c r="BU80" s="127"/>
      <c r="BV80" s="126"/>
      <c r="BW80" s="1323"/>
      <c r="BX80" s="127"/>
      <c r="BY80" s="126"/>
      <c r="BZ80" s="1345" t="s">
        <v>323</v>
      </c>
      <c r="CA80" s="1338" t="s">
        <v>323</v>
      </c>
    </row>
    <row r="81" spans="1:79" ht="14.25" customHeight="1" x14ac:dyDescent="0.3">
      <c r="A81" s="1339"/>
      <c r="B81" s="1312"/>
      <c r="C81" s="1313"/>
      <c r="D81" s="1314"/>
      <c r="E81" s="1314"/>
      <c r="F81" s="1314"/>
      <c r="G81" s="1316"/>
      <c r="H81" s="1331"/>
      <c r="I81" s="127"/>
      <c r="J81" s="126"/>
      <c r="K81" s="1323"/>
      <c r="L81" s="127"/>
      <c r="M81" s="126"/>
      <c r="N81" s="1323"/>
      <c r="O81" s="127"/>
      <c r="P81" s="126"/>
      <c r="Q81" s="1323"/>
      <c r="R81" s="127"/>
      <c r="S81" s="126"/>
      <c r="T81" s="1323"/>
      <c r="U81" s="127"/>
      <c r="V81" s="126"/>
      <c r="W81" s="1323"/>
      <c r="X81" s="127"/>
      <c r="Y81" s="126"/>
      <c r="Z81" s="1323"/>
      <c r="AA81" s="127"/>
      <c r="AB81" s="126"/>
      <c r="AC81" s="1323"/>
      <c r="AD81" s="127"/>
      <c r="AE81" s="126"/>
      <c r="AF81" s="1323"/>
      <c r="AG81" s="127"/>
      <c r="AH81" s="126"/>
      <c r="AI81" s="1346"/>
      <c r="AJ81" s="1338"/>
      <c r="AK81" s="1317"/>
      <c r="AL81" s="1322"/>
      <c r="AM81" s="1317"/>
      <c r="AN81" s="1317"/>
      <c r="AO81" s="1317"/>
      <c r="AP81" s="1317"/>
      <c r="AQ81" s="1344"/>
      <c r="AR81" s="1339"/>
      <c r="AS81" s="1312"/>
      <c r="AT81" s="1313"/>
      <c r="AU81" s="1314"/>
      <c r="AV81" s="1314"/>
      <c r="AW81" s="1314"/>
      <c r="AX81" s="1316"/>
      <c r="AY81" s="1331"/>
      <c r="AZ81" s="127"/>
      <c r="BA81" s="126"/>
      <c r="BB81" s="1323"/>
      <c r="BC81" s="127"/>
      <c r="BD81" s="126"/>
      <c r="BE81" s="1323"/>
      <c r="BF81" s="127"/>
      <c r="BG81" s="126"/>
      <c r="BH81" s="1323"/>
      <c r="BI81" s="127"/>
      <c r="BJ81" s="126"/>
      <c r="BK81" s="1323"/>
      <c r="BL81" s="127"/>
      <c r="BM81" s="126"/>
      <c r="BN81" s="1323"/>
      <c r="BO81" s="127"/>
      <c r="BP81" s="126"/>
      <c r="BQ81" s="1323"/>
      <c r="BR81" s="127"/>
      <c r="BS81" s="126"/>
      <c r="BT81" s="1323"/>
      <c r="BU81" s="127"/>
      <c r="BV81" s="126"/>
      <c r="BW81" s="1323"/>
      <c r="BX81" s="127"/>
      <c r="BY81" s="126"/>
      <c r="BZ81" s="1346"/>
      <c r="CA81" s="1338"/>
    </row>
    <row r="82" spans="1:79" ht="14.25" customHeight="1" x14ac:dyDescent="0.3">
      <c r="A82" s="1329"/>
      <c r="B82" s="1330"/>
      <c r="C82" s="1331"/>
      <c r="D82" s="1323"/>
      <c r="E82" s="1323"/>
      <c r="F82" s="1323"/>
      <c r="G82" s="1342"/>
      <c r="H82" s="1343"/>
      <c r="I82" s="125"/>
      <c r="J82" s="126"/>
      <c r="K82" s="1341"/>
      <c r="L82" s="125"/>
      <c r="M82" s="126"/>
      <c r="N82" s="1341"/>
      <c r="O82" s="125"/>
      <c r="P82" s="126"/>
      <c r="Q82" s="1341"/>
      <c r="R82" s="125"/>
      <c r="S82" s="126"/>
      <c r="T82" s="1341"/>
      <c r="U82" s="125"/>
      <c r="V82" s="126"/>
      <c r="W82" s="1341"/>
      <c r="X82" s="125"/>
      <c r="Y82" s="126"/>
      <c r="Z82" s="1341"/>
      <c r="AA82" s="125"/>
      <c r="AB82" s="126"/>
      <c r="AC82" s="1341"/>
      <c r="AD82" s="125"/>
      <c r="AE82" s="126"/>
      <c r="AF82" s="1341"/>
      <c r="AG82" s="125"/>
      <c r="AH82" s="126"/>
      <c r="AI82" s="1324" t="s">
        <v>323</v>
      </c>
      <c r="AJ82" s="1338" t="s">
        <v>323</v>
      </c>
      <c r="AK82" s="1317">
        <v>0</v>
      </c>
      <c r="AL82" s="1322">
        <v>0</v>
      </c>
      <c r="AM82" s="1317">
        <v>0</v>
      </c>
      <c r="AN82" s="1317">
        <v>0</v>
      </c>
      <c r="AO82" s="1317">
        <v>0</v>
      </c>
      <c r="AP82" s="1317">
        <v>0</v>
      </c>
      <c r="AQ82" s="1344">
        <v>0</v>
      </c>
      <c r="AR82" s="1329"/>
      <c r="AS82" s="1330"/>
      <c r="AT82" s="1331"/>
      <c r="AU82" s="1323"/>
      <c r="AV82" s="1323"/>
      <c r="AW82" s="1323"/>
      <c r="AX82" s="1342"/>
      <c r="AY82" s="1343"/>
      <c r="AZ82" s="125"/>
      <c r="BA82" s="126"/>
      <c r="BB82" s="1341"/>
      <c r="BC82" s="125"/>
      <c r="BD82" s="126"/>
      <c r="BE82" s="1341"/>
      <c r="BF82" s="125"/>
      <c r="BG82" s="126"/>
      <c r="BH82" s="1341"/>
      <c r="BI82" s="125"/>
      <c r="BJ82" s="126"/>
      <c r="BK82" s="1341"/>
      <c r="BL82" s="125"/>
      <c r="BM82" s="126"/>
      <c r="BN82" s="1341"/>
      <c r="BO82" s="125"/>
      <c r="BP82" s="126"/>
      <c r="BQ82" s="1341"/>
      <c r="BR82" s="125"/>
      <c r="BS82" s="126"/>
      <c r="BT82" s="1341"/>
      <c r="BU82" s="125"/>
      <c r="BV82" s="126"/>
      <c r="BW82" s="1341"/>
      <c r="BX82" s="125"/>
      <c r="BY82" s="126"/>
      <c r="BZ82" s="1324" t="s">
        <v>323</v>
      </c>
      <c r="CA82" s="1338" t="s">
        <v>323</v>
      </c>
    </row>
    <row r="83" spans="1:79" ht="14.25" customHeight="1" x14ac:dyDescent="0.3">
      <c r="A83" s="1329"/>
      <c r="B83" s="1330"/>
      <c r="C83" s="1331"/>
      <c r="D83" s="1323"/>
      <c r="E83" s="1323"/>
      <c r="F83" s="1323"/>
      <c r="G83" s="1342"/>
      <c r="H83" s="1343"/>
      <c r="I83" s="125"/>
      <c r="J83" s="126"/>
      <c r="K83" s="1341"/>
      <c r="L83" s="125"/>
      <c r="M83" s="126"/>
      <c r="N83" s="1341"/>
      <c r="O83" s="125"/>
      <c r="P83" s="126"/>
      <c r="Q83" s="1341"/>
      <c r="R83" s="125"/>
      <c r="S83" s="126"/>
      <c r="T83" s="1341"/>
      <c r="U83" s="125"/>
      <c r="V83" s="126"/>
      <c r="W83" s="1341"/>
      <c r="X83" s="125"/>
      <c r="Y83" s="126"/>
      <c r="Z83" s="1341"/>
      <c r="AA83" s="125"/>
      <c r="AB83" s="126"/>
      <c r="AC83" s="1341"/>
      <c r="AD83" s="125"/>
      <c r="AE83" s="126"/>
      <c r="AF83" s="1341"/>
      <c r="AG83" s="125"/>
      <c r="AH83" s="126"/>
      <c r="AI83" s="1324"/>
      <c r="AJ83" s="1338"/>
      <c r="AK83" s="1317"/>
      <c r="AL83" s="1322"/>
      <c r="AM83" s="1317"/>
      <c r="AN83" s="1317"/>
      <c r="AO83" s="1317"/>
      <c r="AP83" s="1317"/>
      <c r="AQ83" s="1344"/>
      <c r="AR83" s="1329"/>
      <c r="AS83" s="1330"/>
      <c r="AT83" s="1331"/>
      <c r="AU83" s="1323"/>
      <c r="AV83" s="1323"/>
      <c r="AW83" s="1323"/>
      <c r="AX83" s="1342"/>
      <c r="AY83" s="1343"/>
      <c r="AZ83" s="125"/>
      <c r="BA83" s="126"/>
      <c r="BB83" s="1341"/>
      <c r="BC83" s="125"/>
      <c r="BD83" s="126"/>
      <c r="BE83" s="1341"/>
      <c r="BF83" s="125"/>
      <c r="BG83" s="126"/>
      <c r="BH83" s="1341"/>
      <c r="BI83" s="125"/>
      <c r="BJ83" s="126"/>
      <c r="BK83" s="1341"/>
      <c r="BL83" s="125"/>
      <c r="BM83" s="126"/>
      <c r="BN83" s="1341"/>
      <c r="BO83" s="125"/>
      <c r="BP83" s="126"/>
      <c r="BQ83" s="1341"/>
      <c r="BR83" s="125"/>
      <c r="BS83" s="126"/>
      <c r="BT83" s="1341"/>
      <c r="BU83" s="125"/>
      <c r="BV83" s="126"/>
      <c r="BW83" s="1341"/>
      <c r="BX83" s="125"/>
      <c r="BY83" s="126"/>
      <c r="BZ83" s="1324"/>
      <c r="CA83" s="1338"/>
    </row>
    <row r="84" spans="1:79" ht="14.25" customHeight="1" x14ac:dyDescent="0.3">
      <c r="A84" s="1339"/>
      <c r="B84" s="1312"/>
      <c r="C84" s="1313"/>
      <c r="D84" s="1314"/>
      <c r="E84" s="1314"/>
      <c r="F84" s="1314"/>
      <c r="G84" s="1315"/>
      <c r="H84" s="1331"/>
      <c r="I84" s="127"/>
      <c r="J84" s="126"/>
      <c r="K84" s="1323"/>
      <c r="L84" s="127"/>
      <c r="M84" s="126"/>
      <c r="N84" s="1323"/>
      <c r="O84" s="127"/>
      <c r="P84" s="126"/>
      <c r="Q84" s="1323"/>
      <c r="R84" s="127"/>
      <c r="S84" s="126"/>
      <c r="T84" s="1323"/>
      <c r="U84" s="127"/>
      <c r="V84" s="126"/>
      <c r="W84" s="1323"/>
      <c r="X84" s="127"/>
      <c r="Y84" s="126"/>
      <c r="Z84" s="1323"/>
      <c r="AA84" s="127"/>
      <c r="AB84" s="126"/>
      <c r="AC84" s="1323"/>
      <c r="AD84" s="127"/>
      <c r="AE84" s="126"/>
      <c r="AF84" s="1323"/>
      <c r="AG84" s="127"/>
      <c r="AH84" s="126"/>
      <c r="AI84" s="1345" t="s">
        <v>323</v>
      </c>
      <c r="AJ84" s="1338" t="s">
        <v>323</v>
      </c>
      <c r="AK84" s="1317">
        <v>0</v>
      </c>
      <c r="AL84" s="1322">
        <v>0</v>
      </c>
      <c r="AM84" s="1317">
        <v>0</v>
      </c>
      <c r="AN84" s="1317">
        <v>0</v>
      </c>
      <c r="AO84" s="1317">
        <v>0</v>
      </c>
      <c r="AP84" s="1317">
        <v>0</v>
      </c>
      <c r="AQ84" s="1344">
        <v>0</v>
      </c>
      <c r="AR84" s="1339"/>
      <c r="AS84" s="1312"/>
      <c r="AT84" s="1313"/>
      <c r="AU84" s="1314"/>
      <c r="AV84" s="1314"/>
      <c r="AW84" s="1314"/>
      <c r="AX84" s="1315"/>
      <c r="AY84" s="1331"/>
      <c r="AZ84" s="127"/>
      <c r="BA84" s="126"/>
      <c r="BB84" s="1323"/>
      <c r="BC84" s="127"/>
      <c r="BD84" s="126"/>
      <c r="BE84" s="1323"/>
      <c r="BF84" s="127"/>
      <c r="BG84" s="126"/>
      <c r="BH84" s="1323"/>
      <c r="BI84" s="127"/>
      <c r="BJ84" s="126"/>
      <c r="BK84" s="1323"/>
      <c r="BL84" s="127"/>
      <c r="BM84" s="126"/>
      <c r="BN84" s="1323"/>
      <c r="BO84" s="127"/>
      <c r="BP84" s="126"/>
      <c r="BQ84" s="1323"/>
      <c r="BR84" s="127"/>
      <c r="BS84" s="126"/>
      <c r="BT84" s="1323"/>
      <c r="BU84" s="127"/>
      <c r="BV84" s="126"/>
      <c r="BW84" s="1323"/>
      <c r="BX84" s="127"/>
      <c r="BY84" s="126"/>
      <c r="BZ84" s="1345" t="s">
        <v>323</v>
      </c>
      <c r="CA84" s="1338" t="s">
        <v>323</v>
      </c>
    </row>
    <row r="85" spans="1:79" ht="14.25" customHeight="1" x14ac:dyDescent="0.3">
      <c r="A85" s="1339"/>
      <c r="B85" s="1312"/>
      <c r="C85" s="1313"/>
      <c r="D85" s="1314"/>
      <c r="E85" s="1314"/>
      <c r="F85" s="1314"/>
      <c r="G85" s="1316"/>
      <c r="H85" s="1331"/>
      <c r="I85" s="127"/>
      <c r="J85" s="126"/>
      <c r="K85" s="1323"/>
      <c r="L85" s="127"/>
      <c r="M85" s="126"/>
      <c r="N85" s="1323"/>
      <c r="O85" s="127"/>
      <c r="P85" s="126"/>
      <c r="Q85" s="1323"/>
      <c r="R85" s="127"/>
      <c r="S85" s="126"/>
      <c r="T85" s="1323"/>
      <c r="U85" s="127"/>
      <c r="V85" s="126"/>
      <c r="W85" s="1323"/>
      <c r="X85" s="127"/>
      <c r="Y85" s="126"/>
      <c r="Z85" s="1323"/>
      <c r="AA85" s="127"/>
      <c r="AB85" s="126"/>
      <c r="AC85" s="1323"/>
      <c r="AD85" s="127"/>
      <c r="AE85" s="126"/>
      <c r="AF85" s="1323"/>
      <c r="AG85" s="127"/>
      <c r="AH85" s="126"/>
      <c r="AI85" s="1346"/>
      <c r="AJ85" s="1338"/>
      <c r="AK85" s="1317"/>
      <c r="AL85" s="1322"/>
      <c r="AM85" s="1317"/>
      <c r="AN85" s="1317"/>
      <c r="AO85" s="1317"/>
      <c r="AP85" s="1317"/>
      <c r="AQ85" s="1344"/>
      <c r="AR85" s="1339"/>
      <c r="AS85" s="1312"/>
      <c r="AT85" s="1313"/>
      <c r="AU85" s="1314"/>
      <c r="AV85" s="1314"/>
      <c r="AW85" s="1314"/>
      <c r="AX85" s="1316"/>
      <c r="AY85" s="1331"/>
      <c r="AZ85" s="127"/>
      <c r="BA85" s="126"/>
      <c r="BB85" s="1323"/>
      <c r="BC85" s="127"/>
      <c r="BD85" s="126"/>
      <c r="BE85" s="1323"/>
      <c r="BF85" s="127"/>
      <c r="BG85" s="126"/>
      <c r="BH85" s="1323"/>
      <c r="BI85" s="127"/>
      <c r="BJ85" s="126"/>
      <c r="BK85" s="1323"/>
      <c r="BL85" s="127"/>
      <c r="BM85" s="126"/>
      <c r="BN85" s="1323"/>
      <c r="BO85" s="127"/>
      <c r="BP85" s="126"/>
      <c r="BQ85" s="1323"/>
      <c r="BR85" s="127"/>
      <c r="BS85" s="126"/>
      <c r="BT85" s="1323"/>
      <c r="BU85" s="127"/>
      <c r="BV85" s="126"/>
      <c r="BW85" s="1323"/>
      <c r="BX85" s="127"/>
      <c r="BY85" s="126"/>
      <c r="BZ85" s="1346"/>
      <c r="CA85" s="1338"/>
    </row>
    <row r="86" spans="1:79" ht="14.25" customHeight="1" x14ac:dyDescent="0.3">
      <c r="A86" s="1329"/>
      <c r="B86" s="1330"/>
      <c r="C86" s="1331"/>
      <c r="D86" s="1323"/>
      <c r="E86" s="1323"/>
      <c r="F86" s="1323"/>
      <c r="G86" s="1342"/>
      <c r="H86" s="1343"/>
      <c r="I86" s="125"/>
      <c r="J86" s="126"/>
      <c r="K86" s="1341"/>
      <c r="L86" s="125"/>
      <c r="M86" s="126"/>
      <c r="N86" s="1341"/>
      <c r="O86" s="125"/>
      <c r="P86" s="126"/>
      <c r="Q86" s="1341"/>
      <c r="R86" s="125"/>
      <c r="S86" s="126"/>
      <c r="T86" s="1341"/>
      <c r="U86" s="125"/>
      <c r="V86" s="126"/>
      <c r="W86" s="1341"/>
      <c r="X86" s="125"/>
      <c r="Y86" s="126"/>
      <c r="Z86" s="1341"/>
      <c r="AA86" s="125"/>
      <c r="AB86" s="126"/>
      <c r="AC86" s="1341"/>
      <c r="AD86" s="125"/>
      <c r="AE86" s="126"/>
      <c r="AF86" s="1341"/>
      <c r="AG86" s="125"/>
      <c r="AH86" s="126"/>
      <c r="AI86" s="1324" t="s">
        <v>323</v>
      </c>
      <c r="AJ86" s="1338" t="s">
        <v>323</v>
      </c>
      <c r="AK86" s="1317">
        <v>0</v>
      </c>
      <c r="AL86" s="1322">
        <v>0</v>
      </c>
      <c r="AM86" s="1317">
        <v>0</v>
      </c>
      <c r="AN86" s="1317">
        <v>0</v>
      </c>
      <c r="AO86" s="1317">
        <v>0</v>
      </c>
      <c r="AP86" s="1317">
        <v>0</v>
      </c>
      <c r="AQ86" s="1344">
        <v>0</v>
      </c>
      <c r="AR86" s="1329"/>
      <c r="AS86" s="1330"/>
      <c r="AT86" s="1331"/>
      <c r="AU86" s="1323"/>
      <c r="AV86" s="1323"/>
      <c r="AW86" s="1323"/>
      <c r="AX86" s="1342"/>
      <c r="AY86" s="1343"/>
      <c r="AZ86" s="125"/>
      <c r="BA86" s="126"/>
      <c r="BB86" s="1341"/>
      <c r="BC86" s="125"/>
      <c r="BD86" s="126"/>
      <c r="BE86" s="1341"/>
      <c r="BF86" s="125"/>
      <c r="BG86" s="126"/>
      <c r="BH86" s="1341"/>
      <c r="BI86" s="125"/>
      <c r="BJ86" s="126"/>
      <c r="BK86" s="1341"/>
      <c r="BL86" s="125"/>
      <c r="BM86" s="126"/>
      <c r="BN86" s="1341"/>
      <c r="BO86" s="125"/>
      <c r="BP86" s="126"/>
      <c r="BQ86" s="1341"/>
      <c r="BR86" s="125"/>
      <c r="BS86" s="126"/>
      <c r="BT86" s="1341"/>
      <c r="BU86" s="125"/>
      <c r="BV86" s="126"/>
      <c r="BW86" s="1341"/>
      <c r="BX86" s="125"/>
      <c r="BY86" s="126"/>
      <c r="BZ86" s="1324" t="s">
        <v>323</v>
      </c>
      <c r="CA86" s="1338" t="s">
        <v>323</v>
      </c>
    </row>
    <row r="87" spans="1:79" ht="14.25" customHeight="1" x14ac:dyDescent="0.3">
      <c r="A87" s="1329"/>
      <c r="B87" s="1330"/>
      <c r="C87" s="1331"/>
      <c r="D87" s="1323"/>
      <c r="E87" s="1323"/>
      <c r="F87" s="1323"/>
      <c r="G87" s="1342"/>
      <c r="H87" s="1343"/>
      <c r="I87" s="125"/>
      <c r="J87" s="126"/>
      <c r="K87" s="1341"/>
      <c r="L87" s="125"/>
      <c r="M87" s="126"/>
      <c r="N87" s="1341"/>
      <c r="O87" s="125"/>
      <c r="P87" s="126"/>
      <c r="Q87" s="1341"/>
      <c r="R87" s="125"/>
      <c r="S87" s="126"/>
      <c r="T87" s="1341"/>
      <c r="U87" s="125"/>
      <c r="V87" s="126"/>
      <c r="W87" s="1341"/>
      <c r="X87" s="125"/>
      <c r="Y87" s="126"/>
      <c r="Z87" s="1341"/>
      <c r="AA87" s="125"/>
      <c r="AB87" s="126"/>
      <c r="AC87" s="1341"/>
      <c r="AD87" s="125"/>
      <c r="AE87" s="126"/>
      <c r="AF87" s="1341"/>
      <c r="AG87" s="125"/>
      <c r="AH87" s="126"/>
      <c r="AI87" s="1324"/>
      <c r="AJ87" s="1338"/>
      <c r="AK87" s="1317"/>
      <c r="AL87" s="1322"/>
      <c r="AM87" s="1317"/>
      <c r="AN87" s="1317"/>
      <c r="AO87" s="1317"/>
      <c r="AP87" s="1317"/>
      <c r="AQ87" s="1344"/>
      <c r="AR87" s="1329"/>
      <c r="AS87" s="1330"/>
      <c r="AT87" s="1331"/>
      <c r="AU87" s="1323"/>
      <c r="AV87" s="1323"/>
      <c r="AW87" s="1323"/>
      <c r="AX87" s="1342"/>
      <c r="AY87" s="1343"/>
      <c r="AZ87" s="125"/>
      <c r="BA87" s="126"/>
      <c r="BB87" s="1341"/>
      <c r="BC87" s="125"/>
      <c r="BD87" s="126"/>
      <c r="BE87" s="1341"/>
      <c r="BF87" s="125"/>
      <c r="BG87" s="126"/>
      <c r="BH87" s="1341"/>
      <c r="BI87" s="125"/>
      <c r="BJ87" s="126"/>
      <c r="BK87" s="1341"/>
      <c r="BL87" s="125"/>
      <c r="BM87" s="126"/>
      <c r="BN87" s="1341"/>
      <c r="BO87" s="125"/>
      <c r="BP87" s="126"/>
      <c r="BQ87" s="1341"/>
      <c r="BR87" s="125"/>
      <c r="BS87" s="126"/>
      <c r="BT87" s="1341"/>
      <c r="BU87" s="125"/>
      <c r="BV87" s="126"/>
      <c r="BW87" s="1341"/>
      <c r="BX87" s="125"/>
      <c r="BY87" s="126"/>
      <c r="BZ87" s="1324"/>
      <c r="CA87" s="1338"/>
    </row>
    <row r="88" spans="1:79" ht="14.25" customHeight="1" x14ac:dyDescent="0.3">
      <c r="A88" s="1339"/>
      <c r="B88" s="1312"/>
      <c r="C88" s="1313"/>
      <c r="D88" s="1314"/>
      <c r="E88" s="1314"/>
      <c r="F88" s="1314"/>
      <c r="G88" s="1315"/>
      <c r="H88" s="1331"/>
      <c r="I88" s="127"/>
      <c r="J88" s="126"/>
      <c r="K88" s="1323"/>
      <c r="L88" s="127"/>
      <c r="M88" s="126"/>
      <c r="N88" s="1323"/>
      <c r="O88" s="127"/>
      <c r="P88" s="126"/>
      <c r="Q88" s="1323"/>
      <c r="R88" s="127"/>
      <c r="S88" s="126"/>
      <c r="T88" s="1323"/>
      <c r="U88" s="127"/>
      <c r="V88" s="126"/>
      <c r="W88" s="1323"/>
      <c r="X88" s="127"/>
      <c r="Y88" s="126"/>
      <c r="Z88" s="1323"/>
      <c r="AA88" s="127"/>
      <c r="AB88" s="126"/>
      <c r="AC88" s="1323"/>
      <c r="AD88" s="127"/>
      <c r="AE88" s="126"/>
      <c r="AF88" s="1323"/>
      <c r="AG88" s="127"/>
      <c r="AH88" s="126"/>
      <c r="AI88" s="1345" t="s">
        <v>323</v>
      </c>
      <c r="AJ88" s="1338" t="s">
        <v>323</v>
      </c>
      <c r="AK88" s="1317">
        <v>0</v>
      </c>
      <c r="AL88" s="1322">
        <v>0</v>
      </c>
      <c r="AM88" s="1317">
        <v>0</v>
      </c>
      <c r="AN88" s="1317">
        <v>0</v>
      </c>
      <c r="AO88" s="1317">
        <v>0</v>
      </c>
      <c r="AP88" s="1317">
        <v>0</v>
      </c>
      <c r="AQ88" s="1344">
        <v>0</v>
      </c>
      <c r="AR88" s="1339"/>
      <c r="AS88" s="1312"/>
      <c r="AT88" s="1313"/>
      <c r="AU88" s="1314"/>
      <c r="AV88" s="1314"/>
      <c r="AW88" s="1314"/>
      <c r="AX88" s="1315"/>
      <c r="AY88" s="1331"/>
      <c r="AZ88" s="127"/>
      <c r="BA88" s="126"/>
      <c r="BB88" s="1323"/>
      <c r="BC88" s="127"/>
      <c r="BD88" s="126"/>
      <c r="BE88" s="1323"/>
      <c r="BF88" s="127"/>
      <c r="BG88" s="126"/>
      <c r="BH88" s="1323"/>
      <c r="BI88" s="127"/>
      <c r="BJ88" s="126"/>
      <c r="BK88" s="1323"/>
      <c r="BL88" s="127"/>
      <c r="BM88" s="126"/>
      <c r="BN88" s="1323"/>
      <c r="BO88" s="127"/>
      <c r="BP88" s="126"/>
      <c r="BQ88" s="1323"/>
      <c r="BR88" s="127"/>
      <c r="BS88" s="126"/>
      <c r="BT88" s="1323"/>
      <c r="BU88" s="127"/>
      <c r="BV88" s="126"/>
      <c r="BW88" s="1323"/>
      <c r="BX88" s="127"/>
      <c r="BY88" s="126"/>
      <c r="BZ88" s="1345" t="s">
        <v>323</v>
      </c>
      <c r="CA88" s="1338" t="s">
        <v>323</v>
      </c>
    </row>
    <row r="89" spans="1:79" ht="14.25" customHeight="1" x14ac:dyDescent="0.3">
      <c r="A89" s="1339"/>
      <c r="B89" s="1312"/>
      <c r="C89" s="1313"/>
      <c r="D89" s="1314"/>
      <c r="E89" s="1314"/>
      <c r="F89" s="1314"/>
      <c r="G89" s="1316"/>
      <c r="H89" s="1331"/>
      <c r="I89" s="127"/>
      <c r="J89" s="126"/>
      <c r="K89" s="1323"/>
      <c r="L89" s="127"/>
      <c r="M89" s="126"/>
      <c r="N89" s="1323"/>
      <c r="O89" s="127"/>
      <c r="P89" s="126"/>
      <c r="Q89" s="1323"/>
      <c r="R89" s="127"/>
      <c r="S89" s="126"/>
      <c r="T89" s="1323"/>
      <c r="U89" s="127"/>
      <c r="V89" s="126"/>
      <c r="W89" s="1323"/>
      <c r="X89" s="127"/>
      <c r="Y89" s="126"/>
      <c r="Z89" s="1323"/>
      <c r="AA89" s="127"/>
      <c r="AB89" s="126"/>
      <c r="AC89" s="1323"/>
      <c r="AD89" s="127"/>
      <c r="AE89" s="126"/>
      <c r="AF89" s="1323"/>
      <c r="AG89" s="127"/>
      <c r="AH89" s="126"/>
      <c r="AI89" s="1346"/>
      <c r="AJ89" s="1338"/>
      <c r="AK89" s="1317"/>
      <c r="AL89" s="1322"/>
      <c r="AM89" s="1317"/>
      <c r="AN89" s="1317"/>
      <c r="AO89" s="1317"/>
      <c r="AP89" s="1317"/>
      <c r="AQ89" s="1344"/>
      <c r="AR89" s="1339"/>
      <c r="AS89" s="1312"/>
      <c r="AT89" s="1313"/>
      <c r="AU89" s="1314"/>
      <c r="AV89" s="1314"/>
      <c r="AW89" s="1314"/>
      <c r="AX89" s="1316"/>
      <c r="AY89" s="1331"/>
      <c r="AZ89" s="127"/>
      <c r="BA89" s="126"/>
      <c r="BB89" s="1323"/>
      <c r="BC89" s="127"/>
      <c r="BD89" s="126"/>
      <c r="BE89" s="1323"/>
      <c r="BF89" s="127"/>
      <c r="BG89" s="126"/>
      <c r="BH89" s="1323"/>
      <c r="BI89" s="127"/>
      <c r="BJ89" s="126"/>
      <c r="BK89" s="1323"/>
      <c r="BL89" s="127"/>
      <c r="BM89" s="126"/>
      <c r="BN89" s="1323"/>
      <c r="BO89" s="127"/>
      <c r="BP89" s="126"/>
      <c r="BQ89" s="1323"/>
      <c r="BR89" s="127"/>
      <c r="BS89" s="126"/>
      <c r="BT89" s="1323"/>
      <c r="BU89" s="127"/>
      <c r="BV89" s="126"/>
      <c r="BW89" s="1323"/>
      <c r="BX89" s="127"/>
      <c r="BY89" s="126"/>
      <c r="BZ89" s="1346"/>
      <c r="CA89" s="1338"/>
    </row>
    <row r="90" spans="1:79" ht="14.25" customHeight="1" x14ac:dyDescent="0.3">
      <c r="A90" s="1329"/>
      <c r="B90" s="1330"/>
      <c r="C90" s="1331"/>
      <c r="D90" s="1323"/>
      <c r="E90" s="1323"/>
      <c r="F90" s="1323"/>
      <c r="G90" s="1342"/>
      <c r="H90" s="1343"/>
      <c r="I90" s="125"/>
      <c r="J90" s="126"/>
      <c r="K90" s="1341"/>
      <c r="L90" s="125"/>
      <c r="M90" s="126"/>
      <c r="N90" s="1341"/>
      <c r="O90" s="125"/>
      <c r="P90" s="126"/>
      <c r="Q90" s="1341"/>
      <c r="R90" s="125"/>
      <c r="S90" s="126"/>
      <c r="T90" s="1341"/>
      <c r="U90" s="125"/>
      <c r="V90" s="126"/>
      <c r="W90" s="1341"/>
      <c r="X90" s="125"/>
      <c r="Y90" s="126"/>
      <c r="Z90" s="1341"/>
      <c r="AA90" s="125"/>
      <c r="AB90" s="126"/>
      <c r="AC90" s="1341"/>
      <c r="AD90" s="125"/>
      <c r="AE90" s="126"/>
      <c r="AF90" s="1341"/>
      <c r="AG90" s="125"/>
      <c r="AH90" s="126"/>
      <c r="AI90" s="1324" t="s">
        <v>323</v>
      </c>
      <c r="AJ90" s="1338" t="s">
        <v>323</v>
      </c>
      <c r="AK90" s="1317">
        <v>0</v>
      </c>
      <c r="AL90" s="1322">
        <v>0</v>
      </c>
      <c r="AM90" s="1317">
        <v>0</v>
      </c>
      <c r="AN90" s="1317">
        <v>0</v>
      </c>
      <c r="AO90" s="1317">
        <v>0</v>
      </c>
      <c r="AP90" s="1317">
        <v>0</v>
      </c>
      <c r="AQ90" s="1344">
        <v>0</v>
      </c>
      <c r="AR90" s="1329"/>
      <c r="AS90" s="1330"/>
      <c r="AT90" s="1331"/>
      <c r="AU90" s="1323"/>
      <c r="AV90" s="1323"/>
      <c r="AW90" s="1323"/>
      <c r="AX90" s="1342"/>
      <c r="AY90" s="1343"/>
      <c r="AZ90" s="125"/>
      <c r="BA90" s="126"/>
      <c r="BB90" s="1341"/>
      <c r="BC90" s="125"/>
      <c r="BD90" s="126"/>
      <c r="BE90" s="1341"/>
      <c r="BF90" s="125"/>
      <c r="BG90" s="126"/>
      <c r="BH90" s="1341"/>
      <c r="BI90" s="125"/>
      <c r="BJ90" s="126"/>
      <c r="BK90" s="1341"/>
      <c r="BL90" s="125"/>
      <c r="BM90" s="126"/>
      <c r="BN90" s="1341"/>
      <c r="BO90" s="125"/>
      <c r="BP90" s="126"/>
      <c r="BQ90" s="1341"/>
      <c r="BR90" s="125"/>
      <c r="BS90" s="126"/>
      <c r="BT90" s="1341"/>
      <c r="BU90" s="125"/>
      <c r="BV90" s="126"/>
      <c r="BW90" s="1341"/>
      <c r="BX90" s="125"/>
      <c r="BY90" s="126"/>
      <c r="BZ90" s="1324" t="s">
        <v>323</v>
      </c>
      <c r="CA90" s="1338" t="s">
        <v>323</v>
      </c>
    </row>
    <row r="91" spans="1:79" ht="14.25" customHeight="1" x14ac:dyDescent="0.3">
      <c r="A91" s="1329"/>
      <c r="B91" s="1330"/>
      <c r="C91" s="1331"/>
      <c r="D91" s="1323"/>
      <c r="E91" s="1323"/>
      <c r="F91" s="1323"/>
      <c r="G91" s="1342"/>
      <c r="H91" s="1343"/>
      <c r="I91" s="125"/>
      <c r="J91" s="126"/>
      <c r="K91" s="1341"/>
      <c r="L91" s="125"/>
      <c r="M91" s="126"/>
      <c r="N91" s="1341"/>
      <c r="O91" s="125"/>
      <c r="P91" s="126"/>
      <c r="Q91" s="1341"/>
      <c r="R91" s="125"/>
      <c r="S91" s="126"/>
      <c r="T91" s="1341"/>
      <c r="U91" s="125"/>
      <c r="V91" s="126"/>
      <c r="W91" s="1341"/>
      <c r="X91" s="125"/>
      <c r="Y91" s="126"/>
      <c r="Z91" s="1341"/>
      <c r="AA91" s="125"/>
      <c r="AB91" s="126"/>
      <c r="AC91" s="1341"/>
      <c r="AD91" s="125"/>
      <c r="AE91" s="126"/>
      <c r="AF91" s="1341"/>
      <c r="AG91" s="125"/>
      <c r="AH91" s="126"/>
      <c r="AI91" s="1324"/>
      <c r="AJ91" s="1338"/>
      <c r="AK91" s="1317"/>
      <c r="AL91" s="1322"/>
      <c r="AM91" s="1317"/>
      <c r="AN91" s="1317"/>
      <c r="AO91" s="1317"/>
      <c r="AP91" s="1317"/>
      <c r="AQ91" s="1344"/>
      <c r="AR91" s="1329"/>
      <c r="AS91" s="1330"/>
      <c r="AT91" s="1331"/>
      <c r="AU91" s="1323"/>
      <c r="AV91" s="1323"/>
      <c r="AW91" s="1323"/>
      <c r="AX91" s="1342"/>
      <c r="AY91" s="1343"/>
      <c r="AZ91" s="125"/>
      <c r="BA91" s="126"/>
      <c r="BB91" s="1341"/>
      <c r="BC91" s="125"/>
      <c r="BD91" s="126"/>
      <c r="BE91" s="1341"/>
      <c r="BF91" s="125"/>
      <c r="BG91" s="126"/>
      <c r="BH91" s="1341"/>
      <c r="BI91" s="125"/>
      <c r="BJ91" s="126"/>
      <c r="BK91" s="1341"/>
      <c r="BL91" s="125"/>
      <c r="BM91" s="126"/>
      <c r="BN91" s="1341"/>
      <c r="BO91" s="125"/>
      <c r="BP91" s="126"/>
      <c r="BQ91" s="1341"/>
      <c r="BR91" s="125"/>
      <c r="BS91" s="126"/>
      <c r="BT91" s="1341"/>
      <c r="BU91" s="125"/>
      <c r="BV91" s="126"/>
      <c r="BW91" s="1341"/>
      <c r="BX91" s="125"/>
      <c r="BY91" s="126"/>
      <c r="BZ91" s="1324"/>
      <c r="CA91" s="1338"/>
    </row>
    <row r="92" spans="1:79" ht="14.25" customHeight="1" x14ac:dyDescent="0.3">
      <c r="A92" s="1339"/>
      <c r="B92" s="1312"/>
      <c r="C92" s="1313"/>
      <c r="D92" s="1314"/>
      <c r="E92" s="1314"/>
      <c r="F92" s="1314"/>
      <c r="G92" s="1315"/>
      <c r="H92" s="1331"/>
      <c r="I92" s="127"/>
      <c r="J92" s="126"/>
      <c r="K92" s="1323"/>
      <c r="L92" s="127"/>
      <c r="M92" s="126"/>
      <c r="N92" s="1323"/>
      <c r="O92" s="127"/>
      <c r="P92" s="126"/>
      <c r="Q92" s="1323"/>
      <c r="R92" s="127"/>
      <c r="S92" s="126"/>
      <c r="T92" s="1323"/>
      <c r="U92" s="127"/>
      <c r="V92" s="126"/>
      <c r="W92" s="1323"/>
      <c r="X92" s="127"/>
      <c r="Y92" s="126"/>
      <c r="Z92" s="1323"/>
      <c r="AA92" s="127"/>
      <c r="AB92" s="126"/>
      <c r="AC92" s="1323"/>
      <c r="AD92" s="127"/>
      <c r="AE92" s="126"/>
      <c r="AF92" s="1323"/>
      <c r="AG92" s="127"/>
      <c r="AH92" s="126"/>
      <c r="AI92" s="1345" t="s">
        <v>323</v>
      </c>
      <c r="AJ92" s="1338" t="s">
        <v>323</v>
      </c>
      <c r="AK92" s="1317">
        <v>0</v>
      </c>
      <c r="AL92" s="1322">
        <v>0</v>
      </c>
      <c r="AM92" s="1317">
        <v>0</v>
      </c>
      <c r="AN92" s="1317">
        <v>0</v>
      </c>
      <c r="AO92" s="1317">
        <v>0</v>
      </c>
      <c r="AP92" s="1317">
        <v>0</v>
      </c>
      <c r="AQ92" s="1344">
        <v>0</v>
      </c>
      <c r="AR92" s="1339"/>
      <c r="AS92" s="1312"/>
      <c r="AT92" s="1313"/>
      <c r="AU92" s="1314"/>
      <c r="AV92" s="1314"/>
      <c r="AW92" s="1314"/>
      <c r="AX92" s="1315"/>
      <c r="AY92" s="1331"/>
      <c r="AZ92" s="127"/>
      <c r="BA92" s="126"/>
      <c r="BB92" s="1323"/>
      <c r="BC92" s="127"/>
      <c r="BD92" s="126"/>
      <c r="BE92" s="1323"/>
      <c r="BF92" s="127"/>
      <c r="BG92" s="126"/>
      <c r="BH92" s="1323"/>
      <c r="BI92" s="127"/>
      <c r="BJ92" s="126"/>
      <c r="BK92" s="1323"/>
      <c r="BL92" s="127"/>
      <c r="BM92" s="126"/>
      <c r="BN92" s="1323"/>
      <c r="BO92" s="127"/>
      <c r="BP92" s="126"/>
      <c r="BQ92" s="1323"/>
      <c r="BR92" s="127"/>
      <c r="BS92" s="126"/>
      <c r="BT92" s="1323"/>
      <c r="BU92" s="127"/>
      <c r="BV92" s="126"/>
      <c r="BW92" s="1323"/>
      <c r="BX92" s="127"/>
      <c r="BY92" s="126"/>
      <c r="BZ92" s="1345" t="s">
        <v>323</v>
      </c>
      <c r="CA92" s="1338" t="s">
        <v>323</v>
      </c>
    </row>
    <row r="93" spans="1:79" ht="14.25" customHeight="1" x14ac:dyDescent="0.3">
      <c r="A93" s="1339"/>
      <c r="B93" s="1312"/>
      <c r="C93" s="1313"/>
      <c r="D93" s="1314"/>
      <c r="E93" s="1314"/>
      <c r="F93" s="1314"/>
      <c r="G93" s="1316"/>
      <c r="H93" s="1331"/>
      <c r="I93" s="127"/>
      <c r="J93" s="126"/>
      <c r="K93" s="1323"/>
      <c r="L93" s="127"/>
      <c r="M93" s="126"/>
      <c r="N93" s="1323"/>
      <c r="O93" s="127"/>
      <c r="P93" s="126"/>
      <c r="Q93" s="1323"/>
      <c r="R93" s="127"/>
      <c r="S93" s="126"/>
      <c r="T93" s="1323"/>
      <c r="U93" s="127"/>
      <c r="V93" s="126"/>
      <c r="W93" s="1323"/>
      <c r="X93" s="127"/>
      <c r="Y93" s="126"/>
      <c r="Z93" s="1323"/>
      <c r="AA93" s="127"/>
      <c r="AB93" s="126"/>
      <c r="AC93" s="1323"/>
      <c r="AD93" s="127"/>
      <c r="AE93" s="126"/>
      <c r="AF93" s="1323"/>
      <c r="AG93" s="127"/>
      <c r="AH93" s="126"/>
      <c r="AI93" s="1346"/>
      <c r="AJ93" s="1338"/>
      <c r="AK93" s="1317"/>
      <c r="AL93" s="1322"/>
      <c r="AM93" s="1317"/>
      <c r="AN93" s="1317"/>
      <c r="AO93" s="1317"/>
      <c r="AP93" s="1317"/>
      <c r="AQ93" s="1344"/>
      <c r="AR93" s="1339"/>
      <c r="AS93" s="1312"/>
      <c r="AT93" s="1313"/>
      <c r="AU93" s="1314"/>
      <c r="AV93" s="1314"/>
      <c r="AW93" s="1314"/>
      <c r="AX93" s="1316"/>
      <c r="AY93" s="1331"/>
      <c r="AZ93" s="127"/>
      <c r="BA93" s="126"/>
      <c r="BB93" s="1323"/>
      <c r="BC93" s="127"/>
      <c r="BD93" s="126"/>
      <c r="BE93" s="1323"/>
      <c r="BF93" s="127"/>
      <c r="BG93" s="126"/>
      <c r="BH93" s="1323"/>
      <c r="BI93" s="127"/>
      <c r="BJ93" s="126"/>
      <c r="BK93" s="1323"/>
      <c r="BL93" s="127"/>
      <c r="BM93" s="126"/>
      <c r="BN93" s="1323"/>
      <c r="BO93" s="127"/>
      <c r="BP93" s="126"/>
      <c r="BQ93" s="1323"/>
      <c r="BR93" s="127"/>
      <c r="BS93" s="126"/>
      <c r="BT93" s="1323"/>
      <c r="BU93" s="127"/>
      <c r="BV93" s="126"/>
      <c r="BW93" s="1323"/>
      <c r="BX93" s="127"/>
      <c r="BY93" s="126"/>
      <c r="BZ93" s="1346"/>
      <c r="CA93" s="1338"/>
    </row>
    <row r="94" spans="1:79" ht="14.25" customHeight="1" x14ac:dyDescent="0.3">
      <c r="A94" s="1329"/>
      <c r="B94" s="1330"/>
      <c r="C94" s="1331"/>
      <c r="D94" s="1323"/>
      <c r="E94" s="1323"/>
      <c r="F94" s="1323"/>
      <c r="G94" s="1342"/>
      <c r="H94" s="1343"/>
      <c r="I94" s="125"/>
      <c r="J94" s="126"/>
      <c r="K94" s="1341"/>
      <c r="L94" s="125"/>
      <c r="M94" s="126"/>
      <c r="N94" s="1341"/>
      <c r="O94" s="125"/>
      <c r="P94" s="126"/>
      <c r="Q94" s="1341"/>
      <c r="R94" s="125"/>
      <c r="S94" s="126"/>
      <c r="T94" s="1341"/>
      <c r="U94" s="125"/>
      <c r="V94" s="126"/>
      <c r="W94" s="1341"/>
      <c r="X94" s="125"/>
      <c r="Y94" s="126"/>
      <c r="Z94" s="1341"/>
      <c r="AA94" s="125"/>
      <c r="AB94" s="126"/>
      <c r="AC94" s="1341"/>
      <c r="AD94" s="125"/>
      <c r="AE94" s="126"/>
      <c r="AF94" s="1341"/>
      <c r="AG94" s="125"/>
      <c r="AH94" s="126"/>
      <c r="AI94" s="1324" t="s">
        <v>323</v>
      </c>
      <c r="AJ94" s="1338" t="s">
        <v>323</v>
      </c>
      <c r="AK94" s="1317">
        <v>0</v>
      </c>
      <c r="AL94" s="1322">
        <v>0</v>
      </c>
      <c r="AM94" s="1317">
        <v>0</v>
      </c>
      <c r="AN94" s="1317">
        <v>0</v>
      </c>
      <c r="AO94" s="1317">
        <v>0</v>
      </c>
      <c r="AP94" s="1317">
        <v>0</v>
      </c>
      <c r="AQ94" s="1344">
        <v>0</v>
      </c>
      <c r="AR94" s="1329"/>
      <c r="AS94" s="1330"/>
      <c r="AT94" s="1331"/>
      <c r="AU94" s="1323"/>
      <c r="AV94" s="1323"/>
      <c r="AW94" s="1323"/>
      <c r="AX94" s="1342"/>
      <c r="AY94" s="1343"/>
      <c r="AZ94" s="125"/>
      <c r="BA94" s="126"/>
      <c r="BB94" s="1341"/>
      <c r="BC94" s="125"/>
      <c r="BD94" s="126"/>
      <c r="BE94" s="1341"/>
      <c r="BF94" s="125"/>
      <c r="BG94" s="126"/>
      <c r="BH94" s="1341"/>
      <c r="BI94" s="125"/>
      <c r="BJ94" s="126"/>
      <c r="BK94" s="1341"/>
      <c r="BL94" s="125"/>
      <c r="BM94" s="126"/>
      <c r="BN94" s="1341"/>
      <c r="BO94" s="125"/>
      <c r="BP94" s="126"/>
      <c r="BQ94" s="1341"/>
      <c r="BR94" s="125"/>
      <c r="BS94" s="126"/>
      <c r="BT94" s="1341"/>
      <c r="BU94" s="125"/>
      <c r="BV94" s="126"/>
      <c r="BW94" s="1341"/>
      <c r="BX94" s="125"/>
      <c r="BY94" s="126"/>
      <c r="BZ94" s="1324" t="s">
        <v>323</v>
      </c>
      <c r="CA94" s="1338" t="s">
        <v>323</v>
      </c>
    </row>
    <row r="95" spans="1:79" ht="14.25" customHeight="1" x14ac:dyDescent="0.3">
      <c r="A95" s="1329"/>
      <c r="B95" s="1330"/>
      <c r="C95" s="1331"/>
      <c r="D95" s="1323"/>
      <c r="E95" s="1323"/>
      <c r="F95" s="1323"/>
      <c r="G95" s="1342"/>
      <c r="H95" s="1343"/>
      <c r="I95" s="125"/>
      <c r="J95" s="126"/>
      <c r="K95" s="1341"/>
      <c r="L95" s="125"/>
      <c r="M95" s="126"/>
      <c r="N95" s="1341"/>
      <c r="O95" s="125"/>
      <c r="P95" s="126"/>
      <c r="Q95" s="1341"/>
      <c r="R95" s="125"/>
      <c r="S95" s="126"/>
      <c r="T95" s="1341"/>
      <c r="U95" s="125"/>
      <c r="V95" s="126"/>
      <c r="W95" s="1341"/>
      <c r="X95" s="125"/>
      <c r="Y95" s="126"/>
      <c r="Z95" s="1341"/>
      <c r="AA95" s="125"/>
      <c r="AB95" s="126"/>
      <c r="AC95" s="1341"/>
      <c r="AD95" s="125"/>
      <c r="AE95" s="126"/>
      <c r="AF95" s="1341"/>
      <c r="AG95" s="125"/>
      <c r="AH95" s="126"/>
      <c r="AI95" s="1324"/>
      <c r="AJ95" s="1338"/>
      <c r="AK95" s="1317"/>
      <c r="AL95" s="1322"/>
      <c r="AM95" s="1317"/>
      <c r="AN95" s="1317"/>
      <c r="AO95" s="1317"/>
      <c r="AP95" s="1317"/>
      <c r="AQ95" s="1344"/>
      <c r="AR95" s="1329"/>
      <c r="AS95" s="1330"/>
      <c r="AT95" s="1331"/>
      <c r="AU95" s="1323"/>
      <c r="AV95" s="1323"/>
      <c r="AW95" s="1323"/>
      <c r="AX95" s="1342"/>
      <c r="AY95" s="1343"/>
      <c r="AZ95" s="125"/>
      <c r="BA95" s="126"/>
      <c r="BB95" s="1341"/>
      <c r="BC95" s="125"/>
      <c r="BD95" s="126"/>
      <c r="BE95" s="1341"/>
      <c r="BF95" s="125"/>
      <c r="BG95" s="126"/>
      <c r="BH95" s="1341"/>
      <c r="BI95" s="125"/>
      <c r="BJ95" s="126"/>
      <c r="BK95" s="1341"/>
      <c r="BL95" s="125"/>
      <c r="BM95" s="126"/>
      <c r="BN95" s="1341"/>
      <c r="BO95" s="125"/>
      <c r="BP95" s="126"/>
      <c r="BQ95" s="1341"/>
      <c r="BR95" s="125"/>
      <c r="BS95" s="126"/>
      <c r="BT95" s="1341"/>
      <c r="BU95" s="125"/>
      <c r="BV95" s="126"/>
      <c r="BW95" s="1341"/>
      <c r="BX95" s="125"/>
      <c r="BY95" s="126"/>
      <c r="BZ95" s="1324"/>
      <c r="CA95" s="1338"/>
    </row>
    <row r="96" spans="1:79" ht="14.25" customHeight="1" x14ac:dyDescent="0.3">
      <c r="A96" s="1339"/>
      <c r="B96" s="1312"/>
      <c r="C96" s="1313"/>
      <c r="D96" s="1314"/>
      <c r="E96" s="1314"/>
      <c r="F96" s="1314"/>
      <c r="G96" s="1315"/>
      <c r="H96" s="1331"/>
      <c r="I96" s="127"/>
      <c r="J96" s="126"/>
      <c r="K96" s="1323"/>
      <c r="L96" s="127"/>
      <c r="M96" s="126"/>
      <c r="N96" s="1323"/>
      <c r="O96" s="127"/>
      <c r="P96" s="126"/>
      <c r="Q96" s="1323"/>
      <c r="R96" s="127"/>
      <c r="S96" s="126"/>
      <c r="T96" s="1323"/>
      <c r="U96" s="127"/>
      <c r="V96" s="126"/>
      <c r="W96" s="1323"/>
      <c r="X96" s="127"/>
      <c r="Y96" s="126"/>
      <c r="Z96" s="1323"/>
      <c r="AA96" s="127"/>
      <c r="AB96" s="126"/>
      <c r="AC96" s="1323"/>
      <c r="AD96" s="127"/>
      <c r="AE96" s="126"/>
      <c r="AF96" s="1323"/>
      <c r="AG96" s="127"/>
      <c r="AH96" s="126"/>
      <c r="AI96" s="1345" t="s">
        <v>323</v>
      </c>
      <c r="AJ96" s="1338" t="s">
        <v>323</v>
      </c>
      <c r="AK96" s="1317">
        <v>0</v>
      </c>
      <c r="AL96" s="1322">
        <v>0</v>
      </c>
      <c r="AM96" s="1317">
        <v>0</v>
      </c>
      <c r="AN96" s="1317">
        <v>0</v>
      </c>
      <c r="AO96" s="1317">
        <v>0</v>
      </c>
      <c r="AP96" s="1317">
        <v>0</v>
      </c>
      <c r="AQ96" s="1344">
        <v>0</v>
      </c>
      <c r="AR96" s="1339"/>
      <c r="AS96" s="1312"/>
      <c r="AT96" s="1313"/>
      <c r="AU96" s="1314"/>
      <c r="AV96" s="1314"/>
      <c r="AW96" s="1314"/>
      <c r="AX96" s="1315"/>
      <c r="AY96" s="1331"/>
      <c r="AZ96" s="127"/>
      <c r="BA96" s="126"/>
      <c r="BB96" s="1323"/>
      <c r="BC96" s="127"/>
      <c r="BD96" s="126"/>
      <c r="BE96" s="1323"/>
      <c r="BF96" s="127"/>
      <c r="BG96" s="126"/>
      <c r="BH96" s="1323"/>
      <c r="BI96" s="127"/>
      <c r="BJ96" s="126"/>
      <c r="BK96" s="1323"/>
      <c r="BL96" s="127"/>
      <c r="BM96" s="126"/>
      <c r="BN96" s="1323"/>
      <c r="BO96" s="127"/>
      <c r="BP96" s="126"/>
      <c r="BQ96" s="1323"/>
      <c r="BR96" s="127"/>
      <c r="BS96" s="126"/>
      <c r="BT96" s="1323"/>
      <c r="BU96" s="127"/>
      <c r="BV96" s="126"/>
      <c r="BW96" s="1323"/>
      <c r="BX96" s="127"/>
      <c r="BY96" s="126"/>
      <c r="BZ96" s="1345" t="s">
        <v>323</v>
      </c>
      <c r="CA96" s="1338" t="s">
        <v>323</v>
      </c>
    </row>
    <row r="97" spans="1:79" ht="14.25" customHeight="1" x14ac:dyDescent="0.3">
      <c r="A97" s="1339"/>
      <c r="B97" s="1312"/>
      <c r="C97" s="1313"/>
      <c r="D97" s="1314"/>
      <c r="E97" s="1314"/>
      <c r="F97" s="1314"/>
      <c r="G97" s="1316"/>
      <c r="H97" s="1331"/>
      <c r="I97" s="127"/>
      <c r="J97" s="126"/>
      <c r="K97" s="1323"/>
      <c r="L97" s="127"/>
      <c r="M97" s="126"/>
      <c r="N97" s="1323"/>
      <c r="O97" s="127"/>
      <c r="P97" s="126"/>
      <c r="Q97" s="1323"/>
      <c r="R97" s="127"/>
      <c r="S97" s="126"/>
      <c r="T97" s="1323"/>
      <c r="U97" s="127"/>
      <c r="V97" s="126"/>
      <c r="W97" s="1323"/>
      <c r="X97" s="127"/>
      <c r="Y97" s="126"/>
      <c r="Z97" s="1323"/>
      <c r="AA97" s="127"/>
      <c r="AB97" s="126"/>
      <c r="AC97" s="1323"/>
      <c r="AD97" s="127"/>
      <c r="AE97" s="126"/>
      <c r="AF97" s="1323"/>
      <c r="AG97" s="127"/>
      <c r="AH97" s="126"/>
      <c r="AI97" s="1346"/>
      <c r="AJ97" s="1338"/>
      <c r="AK97" s="1317"/>
      <c r="AL97" s="1322"/>
      <c r="AM97" s="1317"/>
      <c r="AN97" s="1317"/>
      <c r="AO97" s="1317"/>
      <c r="AP97" s="1317"/>
      <c r="AQ97" s="1344"/>
      <c r="AR97" s="1339"/>
      <c r="AS97" s="1312"/>
      <c r="AT97" s="1313"/>
      <c r="AU97" s="1314"/>
      <c r="AV97" s="1314"/>
      <c r="AW97" s="1314"/>
      <c r="AX97" s="1316"/>
      <c r="AY97" s="1331"/>
      <c r="AZ97" s="127"/>
      <c r="BA97" s="126"/>
      <c r="BB97" s="1323"/>
      <c r="BC97" s="127"/>
      <c r="BD97" s="126"/>
      <c r="BE97" s="1323"/>
      <c r="BF97" s="127"/>
      <c r="BG97" s="126"/>
      <c r="BH97" s="1323"/>
      <c r="BI97" s="127"/>
      <c r="BJ97" s="126"/>
      <c r="BK97" s="1323"/>
      <c r="BL97" s="127"/>
      <c r="BM97" s="126"/>
      <c r="BN97" s="1323"/>
      <c r="BO97" s="127"/>
      <c r="BP97" s="126"/>
      <c r="BQ97" s="1323"/>
      <c r="BR97" s="127"/>
      <c r="BS97" s="126"/>
      <c r="BT97" s="1323"/>
      <c r="BU97" s="127"/>
      <c r="BV97" s="126"/>
      <c r="BW97" s="1323"/>
      <c r="BX97" s="127"/>
      <c r="BY97" s="126"/>
      <c r="BZ97" s="1346"/>
      <c r="CA97" s="1338"/>
    </row>
    <row r="98" spans="1:79" ht="14.25" customHeight="1" x14ac:dyDescent="0.3">
      <c r="A98" s="1329"/>
      <c r="B98" s="1330"/>
      <c r="C98" s="1331"/>
      <c r="D98" s="1323"/>
      <c r="E98" s="1323"/>
      <c r="F98" s="1323"/>
      <c r="G98" s="1342"/>
      <c r="H98" s="1343"/>
      <c r="I98" s="125"/>
      <c r="J98" s="126"/>
      <c r="K98" s="1341"/>
      <c r="L98" s="125"/>
      <c r="M98" s="126"/>
      <c r="N98" s="1341"/>
      <c r="O98" s="125"/>
      <c r="P98" s="126"/>
      <c r="Q98" s="1341"/>
      <c r="R98" s="125"/>
      <c r="S98" s="126"/>
      <c r="T98" s="1341"/>
      <c r="U98" s="125"/>
      <c r="V98" s="126"/>
      <c r="W98" s="1341"/>
      <c r="X98" s="125"/>
      <c r="Y98" s="126"/>
      <c r="Z98" s="1341"/>
      <c r="AA98" s="125"/>
      <c r="AB98" s="126"/>
      <c r="AC98" s="1341"/>
      <c r="AD98" s="125"/>
      <c r="AE98" s="126"/>
      <c r="AF98" s="1341"/>
      <c r="AG98" s="125"/>
      <c r="AH98" s="126"/>
      <c r="AI98" s="1324" t="s">
        <v>323</v>
      </c>
      <c r="AJ98" s="1338" t="s">
        <v>323</v>
      </c>
      <c r="AK98" s="1317">
        <v>0</v>
      </c>
      <c r="AL98" s="1322">
        <v>0</v>
      </c>
      <c r="AM98" s="1317">
        <v>0</v>
      </c>
      <c r="AN98" s="1317">
        <v>0</v>
      </c>
      <c r="AO98" s="1317">
        <v>0</v>
      </c>
      <c r="AP98" s="1317">
        <v>0</v>
      </c>
      <c r="AQ98" s="1344">
        <v>0</v>
      </c>
      <c r="AR98" s="1329"/>
      <c r="AS98" s="1330"/>
      <c r="AT98" s="1331"/>
      <c r="AU98" s="1323"/>
      <c r="AV98" s="1323"/>
      <c r="AW98" s="1323"/>
      <c r="AX98" s="1342"/>
      <c r="AY98" s="1343"/>
      <c r="AZ98" s="125"/>
      <c r="BA98" s="126"/>
      <c r="BB98" s="1341"/>
      <c r="BC98" s="125"/>
      <c r="BD98" s="126"/>
      <c r="BE98" s="1341"/>
      <c r="BF98" s="125"/>
      <c r="BG98" s="126"/>
      <c r="BH98" s="1341"/>
      <c r="BI98" s="125"/>
      <c r="BJ98" s="126"/>
      <c r="BK98" s="1341"/>
      <c r="BL98" s="125"/>
      <c r="BM98" s="126"/>
      <c r="BN98" s="1341"/>
      <c r="BO98" s="125"/>
      <c r="BP98" s="126"/>
      <c r="BQ98" s="1341"/>
      <c r="BR98" s="125"/>
      <c r="BS98" s="126"/>
      <c r="BT98" s="1341"/>
      <c r="BU98" s="125"/>
      <c r="BV98" s="126"/>
      <c r="BW98" s="1341"/>
      <c r="BX98" s="125"/>
      <c r="BY98" s="126"/>
      <c r="BZ98" s="1324" t="s">
        <v>323</v>
      </c>
      <c r="CA98" s="1338" t="s">
        <v>323</v>
      </c>
    </row>
    <row r="99" spans="1:79" ht="14.25" customHeight="1" x14ac:dyDescent="0.3">
      <c r="A99" s="1329"/>
      <c r="B99" s="1330"/>
      <c r="C99" s="1331"/>
      <c r="D99" s="1323"/>
      <c r="E99" s="1323"/>
      <c r="F99" s="1323"/>
      <c r="G99" s="1342"/>
      <c r="H99" s="1343"/>
      <c r="I99" s="125"/>
      <c r="J99" s="126"/>
      <c r="K99" s="1341"/>
      <c r="L99" s="125"/>
      <c r="M99" s="126"/>
      <c r="N99" s="1341"/>
      <c r="O99" s="125"/>
      <c r="P99" s="126"/>
      <c r="Q99" s="1341"/>
      <c r="R99" s="125"/>
      <c r="S99" s="126"/>
      <c r="T99" s="1341"/>
      <c r="U99" s="125"/>
      <c r="V99" s="126"/>
      <c r="W99" s="1341"/>
      <c r="X99" s="125"/>
      <c r="Y99" s="126"/>
      <c r="Z99" s="1341"/>
      <c r="AA99" s="125"/>
      <c r="AB99" s="126"/>
      <c r="AC99" s="1341"/>
      <c r="AD99" s="125"/>
      <c r="AE99" s="126"/>
      <c r="AF99" s="1341"/>
      <c r="AG99" s="125"/>
      <c r="AH99" s="126"/>
      <c r="AI99" s="1324"/>
      <c r="AJ99" s="1338"/>
      <c r="AK99" s="1317"/>
      <c r="AL99" s="1322"/>
      <c r="AM99" s="1317"/>
      <c r="AN99" s="1317"/>
      <c r="AO99" s="1317"/>
      <c r="AP99" s="1317"/>
      <c r="AQ99" s="1344"/>
      <c r="AR99" s="1329"/>
      <c r="AS99" s="1330"/>
      <c r="AT99" s="1331"/>
      <c r="AU99" s="1323"/>
      <c r="AV99" s="1323"/>
      <c r="AW99" s="1323"/>
      <c r="AX99" s="1342"/>
      <c r="AY99" s="1343"/>
      <c r="AZ99" s="125"/>
      <c r="BA99" s="126"/>
      <c r="BB99" s="1341"/>
      <c r="BC99" s="125"/>
      <c r="BD99" s="126"/>
      <c r="BE99" s="1341"/>
      <c r="BF99" s="125"/>
      <c r="BG99" s="126"/>
      <c r="BH99" s="1341"/>
      <c r="BI99" s="125"/>
      <c r="BJ99" s="126"/>
      <c r="BK99" s="1341"/>
      <c r="BL99" s="125"/>
      <c r="BM99" s="126"/>
      <c r="BN99" s="1341"/>
      <c r="BO99" s="125"/>
      <c r="BP99" s="126"/>
      <c r="BQ99" s="1341"/>
      <c r="BR99" s="125"/>
      <c r="BS99" s="126"/>
      <c r="BT99" s="1341"/>
      <c r="BU99" s="125"/>
      <c r="BV99" s="126"/>
      <c r="BW99" s="1341"/>
      <c r="BX99" s="125"/>
      <c r="BY99" s="126"/>
      <c r="BZ99" s="1324"/>
      <c r="CA99" s="1338"/>
    </row>
    <row r="100" spans="1:79" ht="14.25" customHeight="1" x14ac:dyDescent="0.3">
      <c r="A100" s="1339"/>
      <c r="B100" s="1312"/>
      <c r="C100" s="1313"/>
      <c r="D100" s="1314"/>
      <c r="E100" s="1314"/>
      <c r="F100" s="1314"/>
      <c r="G100" s="1315"/>
      <c r="H100" s="1331"/>
      <c r="I100" s="127"/>
      <c r="J100" s="126"/>
      <c r="K100" s="1323"/>
      <c r="L100" s="127"/>
      <c r="M100" s="126"/>
      <c r="N100" s="1323"/>
      <c r="O100" s="127"/>
      <c r="P100" s="126"/>
      <c r="Q100" s="1323"/>
      <c r="R100" s="127"/>
      <c r="S100" s="126"/>
      <c r="T100" s="1323"/>
      <c r="U100" s="127"/>
      <c r="V100" s="126"/>
      <c r="W100" s="1323"/>
      <c r="X100" s="127"/>
      <c r="Y100" s="126"/>
      <c r="Z100" s="1323"/>
      <c r="AA100" s="127"/>
      <c r="AB100" s="126"/>
      <c r="AC100" s="1323"/>
      <c r="AD100" s="127"/>
      <c r="AE100" s="126"/>
      <c r="AF100" s="1323"/>
      <c r="AG100" s="127"/>
      <c r="AH100" s="126"/>
      <c r="AI100" s="1345" t="s">
        <v>323</v>
      </c>
      <c r="AJ100" s="1338" t="s">
        <v>323</v>
      </c>
      <c r="AK100" s="1317">
        <v>0</v>
      </c>
      <c r="AL100" s="1322">
        <v>0</v>
      </c>
      <c r="AM100" s="1317">
        <v>0</v>
      </c>
      <c r="AN100" s="1317">
        <v>0</v>
      </c>
      <c r="AO100" s="1317">
        <v>0</v>
      </c>
      <c r="AP100" s="1317">
        <v>0</v>
      </c>
      <c r="AQ100" s="1344">
        <v>0</v>
      </c>
      <c r="AR100" s="1339"/>
      <c r="AS100" s="1312"/>
      <c r="AT100" s="1313"/>
      <c r="AU100" s="1314"/>
      <c r="AV100" s="1314"/>
      <c r="AW100" s="1314"/>
      <c r="AX100" s="1315"/>
      <c r="AY100" s="1331"/>
      <c r="AZ100" s="127"/>
      <c r="BA100" s="126"/>
      <c r="BB100" s="1323"/>
      <c r="BC100" s="127"/>
      <c r="BD100" s="126"/>
      <c r="BE100" s="1323"/>
      <c r="BF100" s="127"/>
      <c r="BG100" s="126"/>
      <c r="BH100" s="1323"/>
      <c r="BI100" s="127"/>
      <c r="BJ100" s="126"/>
      <c r="BK100" s="1323"/>
      <c r="BL100" s="127"/>
      <c r="BM100" s="126"/>
      <c r="BN100" s="1323"/>
      <c r="BO100" s="127"/>
      <c r="BP100" s="126"/>
      <c r="BQ100" s="1323"/>
      <c r="BR100" s="127"/>
      <c r="BS100" s="126"/>
      <c r="BT100" s="1323"/>
      <c r="BU100" s="127"/>
      <c r="BV100" s="126"/>
      <c r="BW100" s="1323"/>
      <c r="BX100" s="127"/>
      <c r="BY100" s="126"/>
      <c r="BZ100" s="1345" t="s">
        <v>323</v>
      </c>
      <c r="CA100" s="1338" t="s">
        <v>323</v>
      </c>
    </row>
    <row r="101" spans="1:79" ht="14.25" customHeight="1" x14ac:dyDescent="0.3">
      <c r="A101" s="1339"/>
      <c r="B101" s="1312"/>
      <c r="C101" s="1313"/>
      <c r="D101" s="1314"/>
      <c r="E101" s="1314"/>
      <c r="F101" s="1314"/>
      <c r="G101" s="1316"/>
      <c r="H101" s="1331"/>
      <c r="I101" s="127"/>
      <c r="J101" s="126"/>
      <c r="K101" s="1323"/>
      <c r="L101" s="127"/>
      <c r="M101" s="126"/>
      <c r="N101" s="1323"/>
      <c r="O101" s="127"/>
      <c r="P101" s="126"/>
      <c r="Q101" s="1323"/>
      <c r="R101" s="127"/>
      <c r="S101" s="126"/>
      <c r="T101" s="1323"/>
      <c r="U101" s="127"/>
      <c r="V101" s="126"/>
      <c r="W101" s="1323"/>
      <c r="X101" s="127"/>
      <c r="Y101" s="126"/>
      <c r="Z101" s="1323"/>
      <c r="AA101" s="127"/>
      <c r="AB101" s="126"/>
      <c r="AC101" s="1323"/>
      <c r="AD101" s="127"/>
      <c r="AE101" s="126"/>
      <c r="AF101" s="1323"/>
      <c r="AG101" s="127"/>
      <c r="AH101" s="126"/>
      <c r="AI101" s="1346"/>
      <c r="AJ101" s="1338"/>
      <c r="AK101" s="1317"/>
      <c r="AL101" s="1322"/>
      <c r="AM101" s="1317"/>
      <c r="AN101" s="1317"/>
      <c r="AO101" s="1317"/>
      <c r="AP101" s="1317"/>
      <c r="AQ101" s="1344"/>
      <c r="AR101" s="1339"/>
      <c r="AS101" s="1312"/>
      <c r="AT101" s="1313"/>
      <c r="AU101" s="1314"/>
      <c r="AV101" s="1314"/>
      <c r="AW101" s="1314"/>
      <c r="AX101" s="1316"/>
      <c r="AY101" s="1331"/>
      <c r="AZ101" s="127"/>
      <c r="BA101" s="126"/>
      <c r="BB101" s="1323"/>
      <c r="BC101" s="127"/>
      <c r="BD101" s="126"/>
      <c r="BE101" s="1323"/>
      <c r="BF101" s="127"/>
      <c r="BG101" s="126"/>
      <c r="BH101" s="1323"/>
      <c r="BI101" s="127"/>
      <c r="BJ101" s="126"/>
      <c r="BK101" s="1323"/>
      <c r="BL101" s="127"/>
      <c r="BM101" s="126"/>
      <c r="BN101" s="1323"/>
      <c r="BO101" s="127"/>
      <c r="BP101" s="126"/>
      <c r="BQ101" s="1323"/>
      <c r="BR101" s="127"/>
      <c r="BS101" s="126"/>
      <c r="BT101" s="1323"/>
      <c r="BU101" s="127"/>
      <c r="BV101" s="126"/>
      <c r="BW101" s="1323"/>
      <c r="BX101" s="127"/>
      <c r="BY101" s="126"/>
      <c r="BZ101" s="1346"/>
      <c r="CA101" s="1338"/>
    </row>
    <row r="102" spans="1:79" ht="14.25" customHeight="1" x14ac:dyDescent="0.3">
      <c r="A102" s="1329"/>
      <c r="B102" s="1330"/>
      <c r="C102" s="1331"/>
      <c r="D102" s="1323"/>
      <c r="E102" s="1323"/>
      <c r="F102" s="1323"/>
      <c r="G102" s="1342"/>
      <c r="H102" s="1343"/>
      <c r="I102" s="125"/>
      <c r="J102" s="126"/>
      <c r="K102" s="1341"/>
      <c r="L102" s="125"/>
      <c r="M102" s="126"/>
      <c r="N102" s="1341"/>
      <c r="O102" s="125"/>
      <c r="P102" s="126"/>
      <c r="Q102" s="1341"/>
      <c r="R102" s="125"/>
      <c r="S102" s="126"/>
      <c r="T102" s="1341"/>
      <c r="U102" s="125"/>
      <c r="V102" s="126"/>
      <c r="W102" s="1341"/>
      <c r="X102" s="125"/>
      <c r="Y102" s="126"/>
      <c r="Z102" s="1341"/>
      <c r="AA102" s="125"/>
      <c r="AB102" s="126"/>
      <c r="AC102" s="1341"/>
      <c r="AD102" s="125"/>
      <c r="AE102" s="126"/>
      <c r="AF102" s="1341"/>
      <c r="AG102" s="125"/>
      <c r="AH102" s="126"/>
      <c r="AI102" s="1324" t="s">
        <v>323</v>
      </c>
      <c r="AJ102" s="1338" t="s">
        <v>323</v>
      </c>
      <c r="AK102" s="1317">
        <v>0</v>
      </c>
      <c r="AL102" s="1322">
        <v>0</v>
      </c>
      <c r="AM102" s="1317">
        <v>0</v>
      </c>
      <c r="AN102" s="1317">
        <v>0</v>
      </c>
      <c r="AO102" s="1317">
        <v>0</v>
      </c>
      <c r="AP102" s="1317">
        <v>0</v>
      </c>
      <c r="AQ102" s="1344">
        <v>0</v>
      </c>
      <c r="AR102" s="1329"/>
      <c r="AS102" s="1330"/>
      <c r="AT102" s="1331"/>
      <c r="AU102" s="1323"/>
      <c r="AV102" s="1323"/>
      <c r="AW102" s="1323"/>
      <c r="AX102" s="1342"/>
      <c r="AY102" s="1343"/>
      <c r="AZ102" s="125"/>
      <c r="BA102" s="126"/>
      <c r="BB102" s="1341"/>
      <c r="BC102" s="125"/>
      <c r="BD102" s="126"/>
      <c r="BE102" s="1341"/>
      <c r="BF102" s="125"/>
      <c r="BG102" s="126"/>
      <c r="BH102" s="1341"/>
      <c r="BI102" s="125"/>
      <c r="BJ102" s="126"/>
      <c r="BK102" s="1341"/>
      <c r="BL102" s="125"/>
      <c r="BM102" s="126"/>
      <c r="BN102" s="1341"/>
      <c r="BO102" s="125"/>
      <c r="BP102" s="126"/>
      <c r="BQ102" s="1341"/>
      <c r="BR102" s="125"/>
      <c r="BS102" s="126"/>
      <c r="BT102" s="1341"/>
      <c r="BU102" s="125"/>
      <c r="BV102" s="126"/>
      <c r="BW102" s="1341"/>
      <c r="BX102" s="125"/>
      <c r="BY102" s="126"/>
      <c r="BZ102" s="1324" t="s">
        <v>323</v>
      </c>
      <c r="CA102" s="1338" t="s">
        <v>323</v>
      </c>
    </row>
    <row r="103" spans="1:79" ht="14.25" customHeight="1" x14ac:dyDescent="0.3">
      <c r="A103" s="1329"/>
      <c r="B103" s="1330"/>
      <c r="C103" s="1331"/>
      <c r="D103" s="1323"/>
      <c r="E103" s="1323"/>
      <c r="F103" s="1323"/>
      <c r="G103" s="1342"/>
      <c r="H103" s="1343"/>
      <c r="I103" s="125"/>
      <c r="J103" s="126"/>
      <c r="K103" s="1341"/>
      <c r="L103" s="125"/>
      <c r="M103" s="126"/>
      <c r="N103" s="1341"/>
      <c r="O103" s="125"/>
      <c r="P103" s="126"/>
      <c r="Q103" s="1341"/>
      <c r="R103" s="125"/>
      <c r="S103" s="126"/>
      <c r="T103" s="1341"/>
      <c r="U103" s="125"/>
      <c r="V103" s="126"/>
      <c r="W103" s="1341"/>
      <c r="X103" s="125"/>
      <c r="Y103" s="126"/>
      <c r="Z103" s="1341"/>
      <c r="AA103" s="125"/>
      <c r="AB103" s="126"/>
      <c r="AC103" s="1341"/>
      <c r="AD103" s="125"/>
      <c r="AE103" s="126"/>
      <c r="AF103" s="1341"/>
      <c r="AG103" s="125"/>
      <c r="AH103" s="126"/>
      <c r="AI103" s="1324"/>
      <c r="AJ103" s="1338"/>
      <c r="AK103" s="1317"/>
      <c r="AL103" s="1322"/>
      <c r="AM103" s="1317"/>
      <c r="AN103" s="1317"/>
      <c r="AO103" s="1317"/>
      <c r="AP103" s="1317"/>
      <c r="AQ103" s="1344"/>
      <c r="AR103" s="1329"/>
      <c r="AS103" s="1330"/>
      <c r="AT103" s="1331"/>
      <c r="AU103" s="1323"/>
      <c r="AV103" s="1323"/>
      <c r="AW103" s="1323"/>
      <c r="AX103" s="1342"/>
      <c r="AY103" s="1343"/>
      <c r="AZ103" s="125"/>
      <c r="BA103" s="126"/>
      <c r="BB103" s="1341"/>
      <c r="BC103" s="125"/>
      <c r="BD103" s="126"/>
      <c r="BE103" s="1341"/>
      <c r="BF103" s="125"/>
      <c r="BG103" s="126"/>
      <c r="BH103" s="1341"/>
      <c r="BI103" s="125"/>
      <c r="BJ103" s="126"/>
      <c r="BK103" s="1341"/>
      <c r="BL103" s="125"/>
      <c r="BM103" s="126"/>
      <c r="BN103" s="1341"/>
      <c r="BO103" s="125"/>
      <c r="BP103" s="126"/>
      <c r="BQ103" s="1341"/>
      <c r="BR103" s="125"/>
      <c r="BS103" s="126"/>
      <c r="BT103" s="1341"/>
      <c r="BU103" s="125"/>
      <c r="BV103" s="126"/>
      <c r="BW103" s="1341"/>
      <c r="BX103" s="125"/>
      <c r="BY103" s="126"/>
      <c r="BZ103" s="1324"/>
      <c r="CA103" s="1338"/>
    </row>
    <row r="104" spans="1:79" ht="14.25" customHeight="1" x14ac:dyDescent="0.3">
      <c r="A104" s="1339"/>
      <c r="B104" s="1312"/>
      <c r="C104" s="1313"/>
      <c r="D104" s="1314"/>
      <c r="E104" s="1314"/>
      <c r="F104" s="1314"/>
      <c r="G104" s="1315"/>
      <c r="H104" s="1331"/>
      <c r="I104" s="127"/>
      <c r="J104" s="126"/>
      <c r="K104" s="1323"/>
      <c r="L104" s="127"/>
      <c r="M104" s="126"/>
      <c r="N104" s="1323"/>
      <c r="O104" s="127"/>
      <c r="P104" s="126"/>
      <c r="Q104" s="1323"/>
      <c r="R104" s="127"/>
      <c r="S104" s="126"/>
      <c r="T104" s="1323"/>
      <c r="U104" s="127"/>
      <c r="V104" s="126"/>
      <c r="W104" s="1323"/>
      <c r="X104" s="127"/>
      <c r="Y104" s="126"/>
      <c r="Z104" s="1323"/>
      <c r="AA104" s="127"/>
      <c r="AB104" s="126"/>
      <c r="AC104" s="1323"/>
      <c r="AD104" s="127"/>
      <c r="AE104" s="126"/>
      <c r="AF104" s="1323"/>
      <c r="AG104" s="127"/>
      <c r="AH104" s="126"/>
      <c r="AI104" s="1345" t="s">
        <v>323</v>
      </c>
      <c r="AJ104" s="1338" t="s">
        <v>323</v>
      </c>
      <c r="AK104" s="1317">
        <v>0</v>
      </c>
      <c r="AL104" s="1322">
        <v>0</v>
      </c>
      <c r="AM104" s="1317">
        <v>0</v>
      </c>
      <c r="AN104" s="1317">
        <v>0</v>
      </c>
      <c r="AO104" s="1317">
        <v>0</v>
      </c>
      <c r="AP104" s="1317">
        <v>0</v>
      </c>
      <c r="AQ104" s="1344">
        <v>0</v>
      </c>
      <c r="AR104" s="1339"/>
      <c r="AS104" s="1312"/>
      <c r="AT104" s="1313"/>
      <c r="AU104" s="1314"/>
      <c r="AV104" s="1314"/>
      <c r="AW104" s="1314"/>
      <c r="AX104" s="1315"/>
      <c r="AY104" s="1331"/>
      <c r="AZ104" s="127"/>
      <c r="BA104" s="126"/>
      <c r="BB104" s="1323"/>
      <c r="BC104" s="127"/>
      <c r="BD104" s="126"/>
      <c r="BE104" s="1323"/>
      <c r="BF104" s="127"/>
      <c r="BG104" s="126"/>
      <c r="BH104" s="1323"/>
      <c r="BI104" s="127"/>
      <c r="BJ104" s="126"/>
      <c r="BK104" s="1323"/>
      <c r="BL104" s="127"/>
      <c r="BM104" s="126"/>
      <c r="BN104" s="1323"/>
      <c r="BO104" s="127"/>
      <c r="BP104" s="126"/>
      <c r="BQ104" s="1323"/>
      <c r="BR104" s="127"/>
      <c r="BS104" s="126"/>
      <c r="BT104" s="1323"/>
      <c r="BU104" s="127"/>
      <c r="BV104" s="126"/>
      <c r="BW104" s="1323"/>
      <c r="BX104" s="127"/>
      <c r="BY104" s="126"/>
      <c r="BZ104" s="1345" t="s">
        <v>323</v>
      </c>
      <c r="CA104" s="1338" t="s">
        <v>323</v>
      </c>
    </row>
    <row r="105" spans="1:79" ht="14.25" customHeight="1" x14ac:dyDescent="0.3">
      <c r="A105" s="1339"/>
      <c r="B105" s="1312"/>
      <c r="C105" s="1313"/>
      <c r="D105" s="1314"/>
      <c r="E105" s="1314"/>
      <c r="F105" s="1314"/>
      <c r="G105" s="1316"/>
      <c r="H105" s="1331"/>
      <c r="I105" s="127"/>
      <c r="J105" s="126"/>
      <c r="K105" s="1323"/>
      <c r="L105" s="127"/>
      <c r="M105" s="126"/>
      <c r="N105" s="1323"/>
      <c r="O105" s="127"/>
      <c r="P105" s="126"/>
      <c r="Q105" s="1323"/>
      <c r="R105" s="127"/>
      <c r="S105" s="126"/>
      <c r="T105" s="1323"/>
      <c r="U105" s="127"/>
      <c r="V105" s="126"/>
      <c r="W105" s="1323"/>
      <c r="X105" s="127"/>
      <c r="Y105" s="126"/>
      <c r="Z105" s="1323"/>
      <c r="AA105" s="127"/>
      <c r="AB105" s="126"/>
      <c r="AC105" s="1323"/>
      <c r="AD105" s="127"/>
      <c r="AE105" s="126"/>
      <c r="AF105" s="1323"/>
      <c r="AG105" s="127"/>
      <c r="AH105" s="126"/>
      <c r="AI105" s="1346"/>
      <c r="AJ105" s="1338"/>
      <c r="AK105" s="1317"/>
      <c r="AL105" s="1322"/>
      <c r="AM105" s="1317"/>
      <c r="AN105" s="1317"/>
      <c r="AO105" s="1317"/>
      <c r="AP105" s="1317"/>
      <c r="AQ105" s="1344"/>
      <c r="AR105" s="1339"/>
      <c r="AS105" s="1312"/>
      <c r="AT105" s="1313"/>
      <c r="AU105" s="1314"/>
      <c r="AV105" s="1314"/>
      <c r="AW105" s="1314"/>
      <c r="AX105" s="1316"/>
      <c r="AY105" s="1331"/>
      <c r="AZ105" s="127"/>
      <c r="BA105" s="126"/>
      <c r="BB105" s="1323"/>
      <c r="BC105" s="127"/>
      <c r="BD105" s="126"/>
      <c r="BE105" s="1323"/>
      <c r="BF105" s="127"/>
      <c r="BG105" s="126"/>
      <c r="BH105" s="1323"/>
      <c r="BI105" s="127"/>
      <c r="BJ105" s="126"/>
      <c r="BK105" s="1323"/>
      <c r="BL105" s="127"/>
      <c r="BM105" s="126"/>
      <c r="BN105" s="1323"/>
      <c r="BO105" s="127"/>
      <c r="BP105" s="126"/>
      <c r="BQ105" s="1323"/>
      <c r="BR105" s="127"/>
      <c r="BS105" s="126"/>
      <c r="BT105" s="1323"/>
      <c r="BU105" s="127"/>
      <c r="BV105" s="126"/>
      <c r="BW105" s="1323"/>
      <c r="BX105" s="127"/>
      <c r="BY105" s="126"/>
      <c r="BZ105" s="1346"/>
      <c r="CA105" s="1338"/>
    </row>
    <row r="106" spans="1:79" ht="14.25" customHeight="1" x14ac:dyDescent="0.3">
      <c r="A106" s="1329"/>
      <c r="B106" s="1330"/>
      <c r="C106" s="1331"/>
      <c r="D106" s="1323"/>
      <c r="E106" s="1323"/>
      <c r="F106" s="1323"/>
      <c r="G106" s="1342"/>
      <c r="H106" s="1343"/>
      <c r="I106" s="125"/>
      <c r="J106" s="126"/>
      <c r="K106" s="1341"/>
      <c r="L106" s="125"/>
      <c r="M106" s="126"/>
      <c r="N106" s="1341"/>
      <c r="O106" s="125"/>
      <c r="P106" s="126"/>
      <c r="Q106" s="1341"/>
      <c r="R106" s="125"/>
      <c r="S106" s="126"/>
      <c r="T106" s="1341"/>
      <c r="U106" s="125"/>
      <c r="V106" s="126"/>
      <c r="W106" s="1341"/>
      <c r="X106" s="125"/>
      <c r="Y106" s="126"/>
      <c r="Z106" s="1341"/>
      <c r="AA106" s="125"/>
      <c r="AB106" s="126"/>
      <c r="AC106" s="1341"/>
      <c r="AD106" s="125"/>
      <c r="AE106" s="126"/>
      <c r="AF106" s="1341"/>
      <c r="AG106" s="125"/>
      <c r="AH106" s="126"/>
      <c r="AI106" s="1324" t="s">
        <v>323</v>
      </c>
      <c r="AJ106" s="1338" t="s">
        <v>323</v>
      </c>
      <c r="AK106" s="1317">
        <v>0</v>
      </c>
      <c r="AL106" s="1322">
        <v>0</v>
      </c>
      <c r="AM106" s="1317">
        <v>0</v>
      </c>
      <c r="AN106" s="1317">
        <v>0</v>
      </c>
      <c r="AO106" s="1317">
        <v>0</v>
      </c>
      <c r="AP106" s="1317">
        <v>0</v>
      </c>
      <c r="AQ106" s="1344">
        <v>0</v>
      </c>
      <c r="AR106" s="1329"/>
      <c r="AS106" s="1330"/>
      <c r="AT106" s="1331"/>
      <c r="AU106" s="1323"/>
      <c r="AV106" s="1323"/>
      <c r="AW106" s="1323"/>
      <c r="AX106" s="1342"/>
      <c r="AY106" s="1343"/>
      <c r="AZ106" s="125"/>
      <c r="BA106" s="126"/>
      <c r="BB106" s="1341"/>
      <c r="BC106" s="125"/>
      <c r="BD106" s="126"/>
      <c r="BE106" s="1341"/>
      <c r="BF106" s="125"/>
      <c r="BG106" s="126"/>
      <c r="BH106" s="1341"/>
      <c r="BI106" s="125"/>
      <c r="BJ106" s="126"/>
      <c r="BK106" s="1341"/>
      <c r="BL106" s="125"/>
      <c r="BM106" s="126"/>
      <c r="BN106" s="1341"/>
      <c r="BO106" s="125"/>
      <c r="BP106" s="126"/>
      <c r="BQ106" s="1341"/>
      <c r="BR106" s="125"/>
      <c r="BS106" s="126"/>
      <c r="BT106" s="1341"/>
      <c r="BU106" s="125"/>
      <c r="BV106" s="126"/>
      <c r="BW106" s="1341"/>
      <c r="BX106" s="125"/>
      <c r="BY106" s="126"/>
      <c r="BZ106" s="1324" t="s">
        <v>323</v>
      </c>
      <c r="CA106" s="1338" t="s">
        <v>323</v>
      </c>
    </row>
    <row r="107" spans="1:79" ht="14.25" customHeight="1" x14ac:dyDescent="0.3">
      <c r="A107" s="1329"/>
      <c r="B107" s="1330"/>
      <c r="C107" s="1331"/>
      <c r="D107" s="1323"/>
      <c r="E107" s="1323"/>
      <c r="F107" s="1323"/>
      <c r="G107" s="1342"/>
      <c r="H107" s="1343"/>
      <c r="I107" s="125"/>
      <c r="J107" s="126"/>
      <c r="K107" s="1341"/>
      <c r="L107" s="125"/>
      <c r="M107" s="126"/>
      <c r="N107" s="1341"/>
      <c r="O107" s="125"/>
      <c r="P107" s="126"/>
      <c r="Q107" s="1341"/>
      <c r="R107" s="125"/>
      <c r="S107" s="126"/>
      <c r="T107" s="1341"/>
      <c r="U107" s="125"/>
      <c r="V107" s="126"/>
      <c r="W107" s="1341"/>
      <c r="X107" s="125"/>
      <c r="Y107" s="126"/>
      <c r="Z107" s="1341"/>
      <c r="AA107" s="125"/>
      <c r="AB107" s="126"/>
      <c r="AC107" s="1341"/>
      <c r="AD107" s="125"/>
      <c r="AE107" s="126"/>
      <c r="AF107" s="1341"/>
      <c r="AG107" s="125"/>
      <c r="AH107" s="126"/>
      <c r="AI107" s="1324"/>
      <c r="AJ107" s="1338"/>
      <c r="AK107" s="1317"/>
      <c r="AL107" s="1322"/>
      <c r="AM107" s="1317"/>
      <c r="AN107" s="1317"/>
      <c r="AO107" s="1317"/>
      <c r="AP107" s="1317"/>
      <c r="AQ107" s="1344"/>
      <c r="AR107" s="1329"/>
      <c r="AS107" s="1330"/>
      <c r="AT107" s="1331"/>
      <c r="AU107" s="1323"/>
      <c r="AV107" s="1323"/>
      <c r="AW107" s="1323"/>
      <c r="AX107" s="1342"/>
      <c r="AY107" s="1343"/>
      <c r="AZ107" s="125"/>
      <c r="BA107" s="126"/>
      <c r="BB107" s="1341"/>
      <c r="BC107" s="125"/>
      <c r="BD107" s="126"/>
      <c r="BE107" s="1341"/>
      <c r="BF107" s="125"/>
      <c r="BG107" s="126"/>
      <c r="BH107" s="1341"/>
      <c r="BI107" s="125"/>
      <c r="BJ107" s="126"/>
      <c r="BK107" s="1341"/>
      <c r="BL107" s="125"/>
      <c r="BM107" s="126"/>
      <c r="BN107" s="1341"/>
      <c r="BO107" s="125"/>
      <c r="BP107" s="126"/>
      <c r="BQ107" s="1341"/>
      <c r="BR107" s="125"/>
      <c r="BS107" s="126"/>
      <c r="BT107" s="1341"/>
      <c r="BU107" s="125"/>
      <c r="BV107" s="126"/>
      <c r="BW107" s="1341"/>
      <c r="BX107" s="125"/>
      <c r="BY107" s="126"/>
      <c r="BZ107" s="1324"/>
      <c r="CA107" s="1338"/>
    </row>
    <row r="108" spans="1:79" ht="14.25" customHeight="1" x14ac:dyDescent="0.3">
      <c r="A108" s="1339"/>
      <c r="B108" s="1312"/>
      <c r="C108" s="1313"/>
      <c r="D108" s="1314"/>
      <c r="E108" s="1314"/>
      <c r="F108" s="1314"/>
      <c r="G108" s="1315"/>
      <c r="H108" s="1331"/>
      <c r="I108" s="127"/>
      <c r="J108" s="126"/>
      <c r="K108" s="1323"/>
      <c r="L108" s="127"/>
      <c r="M108" s="126"/>
      <c r="N108" s="1323"/>
      <c r="O108" s="127"/>
      <c r="P108" s="126"/>
      <c r="Q108" s="1323"/>
      <c r="R108" s="127"/>
      <c r="S108" s="126"/>
      <c r="T108" s="1323"/>
      <c r="U108" s="127"/>
      <c r="V108" s="126"/>
      <c r="W108" s="1323"/>
      <c r="X108" s="127"/>
      <c r="Y108" s="126"/>
      <c r="Z108" s="1323"/>
      <c r="AA108" s="127"/>
      <c r="AB108" s="126"/>
      <c r="AC108" s="1323"/>
      <c r="AD108" s="127"/>
      <c r="AE108" s="126"/>
      <c r="AF108" s="1323"/>
      <c r="AG108" s="127"/>
      <c r="AH108" s="126"/>
      <c r="AI108" s="1345" t="s">
        <v>323</v>
      </c>
      <c r="AJ108" s="1338" t="s">
        <v>323</v>
      </c>
      <c r="AK108" s="1317">
        <v>0</v>
      </c>
      <c r="AL108" s="1322">
        <v>0</v>
      </c>
      <c r="AM108" s="1317">
        <v>0</v>
      </c>
      <c r="AN108" s="1317">
        <v>0</v>
      </c>
      <c r="AO108" s="1317">
        <v>0</v>
      </c>
      <c r="AP108" s="1317">
        <v>0</v>
      </c>
      <c r="AQ108" s="1344">
        <v>0</v>
      </c>
      <c r="AR108" s="1339"/>
      <c r="AS108" s="1312"/>
      <c r="AT108" s="1313"/>
      <c r="AU108" s="1314"/>
      <c r="AV108" s="1314"/>
      <c r="AW108" s="1314"/>
      <c r="AX108" s="1315"/>
      <c r="AY108" s="1331"/>
      <c r="AZ108" s="127"/>
      <c r="BA108" s="126"/>
      <c r="BB108" s="1323"/>
      <c r="BC108" s="127"/>
      <c r="BD108" s="126"/>
      <c r="BE108" s="1323"/>
      <c r="BF108" s="127"/>
      <c r="BG108" s="126"/>
      <c r="BH108" s="1323"/>
      <c r="BI108" s="127"/>
      <c r="BJ108" s="126"/>
      <c r="BK108" s="1323"/>
      <c r="BL108" s="127"/>
      <c r="BM108" s="126"/>
      <c r="BN108" s="1323"/>
      <c r="BO108" s="127"/>
      <c r="BP108" s="126"/>
      <c r="BQ108" s="1323"/>
      <c r="BR108" s="127"/>
      <c r="BS108" s="126"/>
      <c r="BT108" s="1323"/>
      <c r="BU108" s="127"/>
      <c r="BV108" s="126"/>
      <c r="BW108" s="1323"/>
      <c r="BX108" s="127"/>
      <c r="BY108" s="126"/>
      <c r="BZ108" s="1345" t="s">
        <v>323</v>
      </c>
      <c r="CA108" s="1338" t="s">
        <v>323</v>
      </c>
    </row>
    <row r="109" spans="1:79" ht="14.25" customHeight="1" x14ac:dyDescent="0.3">
      <c r="A109" s="1339"/>
      <c r="B109" s="1312"/>
      <c r="C109" s="1313"/>
      <c r="D109" s="1314"/>
      <c r="E109" s="1314"/>
      <c r="F109" s="1314"/>
      <c r="G109" s="1316"/>
      <c r="H109" s="1331"/>
      <c r="I109" s="127"/>
      <c r="J109" s="126"/>
      <c r="K109" s="1323"/>
      <c r="L109" s="127"/>
      <c r="M109" s="126"/>
      <c r="N109" s="1323"/>
      <c r="O109" s="127"/>
      <c r="P109" s="126"/>
      <c r="Q109" s="1323"/>
      <c r="R109" s="127"/>
      <c r="S109" s="126"/>
      <c r="T109" s="1323"/>
      <c r="U109" s="127"/>
      <c r="V109" s="126"/>
      <c r="W109" s="1323"/>
      <c r="X109" s="127"/>
      <c r="Y109" s="126"/>
      <c r="Z109" s="1323"/>
      <c r="AA109" s="127"/>
      <c r="AB109" s="126"/>
      <c r="AC109" s="1323"/>
      <c r="AD109" s="127"/>
      <c r="AE109" s="126"/>
      <c r="AF109" s="1323"/>
      <c r="AG109" s="127"/>
      <c r="AH109" s="126"/>
      <c r="AI109" s="1346"/>
      <c r="AJ109" s="1338"/>
      <c r="AK109" s="1317"/>
      <c r="AL109" s="1322"/>
      <c r="AM109" s="1317"/>
      <c r="AN109" s="1317"/>
      <c r="AO109" s="1317"/>
      <c r="AP109" s="1317"/>
      <c r="AQ109" s="1344"/>
      <c r="AR109" s="1339"/>
      <c r="AS109" s="1312"/>
      <c r="AT109" s="1313"/>
      <c r="AU109" s="1314"/>
      <c r="AV109" s="1314"/>
      <c r="AW109" s="1314"/>
      <c r="AX109" s="1316"/>
      <c r="AY109" s="1331"/>
      <c r="AZ109" s="127"/>
      <c r="BA109" s="126"/>
      <c r="BB109" s="1323"/>
      <c r="BC109" s="127"/>
      <c r="BD109" s="126"/>
      <c r="BE109" s="1323"/>
      <c r="BF109" s="127"/>
      <c r="BG109" s="126"/>
      <c r="BH109" s="1323"/>
      <c r="BI109" s="127"/>
      <c r="BJ109" s="126"/>
      <c r="BK109" s="1323"/>
      <c r="BL109" s="127"/>
      <c r="BM109" s="126"/>
      <c r="BN109" s="1323"/>
      <c r="BO109" s="127"/>
      <c r="BP109" s="126"/>
      <c r="BQ109" s="1323"/>
      <c r="BR109" s="127"/>
      <c r="BS109" s="126"/>
      <c r="BT109" s="1323"/>
      <c r="BU109" s="127"/>
      <c r="BV109" s="126"/>
      <c r="BW109" s="1323"/>
      <c r="BX109" s="127"/>
      <c r="BY109" s="126"/>
      <c r="BZ109" s="1346"/>
      <c r="CA109" s="1338"/>
    </row>
    <row r="110" spans="1:79" ht="14.25" customHeight="1" x14ac:dyDescent="0.3">
      <c r="A110" s="1329"/>
      <c r="B110" s="1330"/>
      <c r="C110" s="1331"/>
      <c r="D110" s="1323"/>
      <c r="E110" s="1323"/>
      <c r="F110" s="1323"/>
      <c r="G110" s="1342"/>
      <c r="H110" s="1343"/>
      <c r="I110" s="125"/>
      <c r="J110" s="126"/>
      <c r="K110" s="1341"/>
      <c r="L110" s="125"/>
      <c r="M110" s="126"/>
      <c r="N110" s="1341"/>
      <c r="O110" s="125"/>
      <c r="P110" s="126"/>
      <c r="Q110" s="1341"/>
      <c r="R110" s="125"/>
      <c r="S110" s="126"/>
      <c r="T110" s="1341"/>
      <c r="U110" s="125"/>
      <c r="V110" s="126"/>
      <c r="W110" s="1341"/>
      <c r="X110" s="125"/>
      <c r="Y110" s="126"/>
      <c r="Z110" s="1341"/>
      <c r="AA110" s="125"/>
      <c r="AB110" s="126"/>
      <c r="AC110" s="1341"/>
      <c r="AD110" s="125"/>
      <c r="AE110" s="126"/>
      <c r="AF110" s="1341"/>
      <c r="AG110" s="125"/>
      <c r="AH110" s="126"/>
      <c r="AI110" s="1324" t="s">
        <v>323</v>
      </c>
      <c r="AJ110" s="1338" t="s">
        <v>323</v>
      </c>
      <c r="AK110" s="1317">
        <v>0</v>
      </c>
      <c r="AL110" s="1322">
        <v>0</v>
      </c>
      <c r="AM110" s="1317">
        <v>0</v>
      </c>
      <c r="AN110" s="1317">
        <v>0</v>
      </c>
      <c r="AO110" s="1317">
        <v>0</v>
      </c>
      <c r="AP110" s="1317">
        <v>0</v>
      </c>
      <c r="AQ110" s="1344">
        <v>0</v>
      </c>
      <c r="AR110" s="1329"/>
      <c r="AS110" s="1330"/>
      <c r="AT110" s="1331"/>
      <c r="AU110" s="1323"/>
      <c r="AV110" s="1323"/>
      <c r="AW110" s="1323"/>
      <c r="AX110" s="1342"/>
      <c r="AY110" s="1343"/>
      <c r="AZ110" s="125"/>
      <c r="BA110" s="126"/>
      <c r="BB110" s="1341"/>
      <c r="BC110" s="125"/>
      <c r="BD110" s="126"/>
      <c r="BE110" s="1341"/>
      <c r="BF110" s="125"/>
      <c r="BG110" s="126"/>
      <c r="BH110" s="1341"/>
      <c r="BI110" s="125"/>
      <c r="BJ110" s="126"/>
      <c r="BK110" s="1341"/>
      <c r="BL110" s="125"/>
      <c r="BM110" s="126"/>
      <c r="BN110" s="1341"/>
      <c r="BO110" s="125"/>
      <c r="BP110" s="126"/>
      <c r="BQ110" s="1341"/>
      <c r="BR110" s="125"/>
      <c r="BS110" s="126"/>
      <c r="BT110" s="1341"/>
      <c r="BU110" s="125"/>
      <c r="BV110" s="126"/>
      <c r="BW110" s="1341"/>
      <c r="BX110" s="125"/>
      <c r="BY110" s="126"/>
      <c r="BZ110" s="1324" t="s">
        <v>323</v>
      </c>
      <c r="CA110" s="1338" t="s">
        <v>323</v>
      </c>
    </row>
    <row r="111" spans="1:79" ht="14.25" customHeight="1" x14ac:dyDescent="0.3">
      <c r="A111" s="1329"/>
      <c r="B111" s="1330"/>
      <c r="C111" s="1331"/>
      <c r="D111" s="1323"/>
      <c r="E111" s="1323"/>
      <c r="F111" s="1323"/>
      <c r="G111" s="1342"/>
      <c r="H111" s="1343"/>
      <c r="I111" s="125"/>
      <c r="J111" s="126"/>
      <c r="K111" s="1341"/>
      <c r="L111" s="125"/>
      <c r="M111" s="126"/>
      <c r="N111" s="1341"/>
      <c r="O111" s="125"/>
      <c r="P111" s="126"/>
      <c r="Q111" s="1341"/>
      <c r="R111" s="125"/>
      <c r="S111" s="126"/>
      <c r="T111" s="1341"/>
      <c r="U111" s="125"/>
      <c r="V111" s="126"/>
      <c r="W111" s="1341"/>
      <c r="X111" s="125"/>
      <c r="Y111" s="126"/>
      <c r="Z111" s="1341"/>
      <c r="AA111" s="125"/>
      <c r="AB111" s="126"/>
      <c r="AC111" s="1341"/>
      <c r="AD111" s="125"/>
      <c r="AE111" s="126"/>
      <c r="AF111" s="1341"/>
      <c r="AG111" s="125"/>
      <c r="AH111" s="126"/>
      <c r="AI111" s="1324"/>
      <c r="AJ111" s="1338"/>
      <c r="AK111" s="1317"/>
      <c r="AL111" s="1322"/>
      <c r="AM111" s="1317"/>
      <c r="AN111" s="1317"/>
      <c r="AO111" s="1317"/>
      <c r="AP111" s="1317"/>
      <c r="AQ111" s="1344"/>
      <c r="AR111" s="1329"/>
      <c r="AS111" s="1330"/>
      <c r="AT111" s="1331"/>
      <c r="AU111" s="1323"/>
      <c r="AV111" s="1323"/>
      <c r="AW111" s="1323"/>
      <c r="AX111" s="1342"/>
      <c r="AY111" s="1343"/>
      <c r="AZ111" s="125"/>
      <c r="BA111" s="126"/>
      <c r="BB111" s="1341"/>
      <c r="BC111" s="125"/>
      <c r="BD111" s="126"/>
      <c r="BE111" s="1341"/>
      <c r="BF111" s="125"/>
      <c r="BG111" s="126"/>
      <c r="BH111" s="1341"/>
      <c r="BI111" s="125"/>
      <c r="BJ111" s="126"/>
      <c r="BK111" s="1341"/>
      <c r="BL111" s="125"/>
      <c r="BM111" s="126"/>
      <c r="BN111" s="1341"/>
      <c r="BO111" s="125"/>
      <c r="BP111" s="126"/>
      <c r="BQ111" s="1341"/>
      <c r="BR111" s="125"/>
      <c r="BS111" s="126"/>
      <c r="BT111" s="1341"/>
      <c r="BU111" s="125"/>
      <c r="BV111" s="126"/>
      <c r="BW111" s="1341"/>
      <c r="BX111" s="125"/>
      <c r="BY111" s="126"/>
      <c r="BZ111" s="1324"/>
      <c r="CA111" s="1338"/>
    </row>
    <row r="112" spans="1:79" ht="14.25" customHeight="1" x14ac:dyDescent="0.3">
      <c r="A112" s="1339"/>
      <c r="B112" s="1312"/>
      <c r="C112" s="1313"/>
      <c r="D112" s="1314"/>
      <c r="E112" s="1314"/>
      <c r="F112" s="1314"/>
      <c r="G112" s="1315"/>
      <c r="H112" s="1331"/>
      <c r="I112" s="127"/>
      <c r="J112" s="126"/>
      <c r="K112" s="1323"/>
      <c r="L112" s="127"/>
      <c r="M112" s="126"/>
      <c r="N112" s="1323"/>
      <c r="O112" s="127"/>
      <c r="P112" s="126"/>
      <c r="Q112" s="1323"/>
      <c r="R112" s="127"/>
      <c r="S112" s="126"/>
      <c r="T112" s="1323"/>
      <c r="U112" s="127"/>
      <c r="V112" s="126"/>
      <c r="W112" s="1323"/>
      <c r="X112" s="127"/>
      <c r="Y112" s="126"/>
      <c r="Z112" s="1323"/>
      <c r="AA112" s="127"/>
      <c r="AB112" s="126"/>
      <c r="AC112" s="1323"/>
      <c r="AD112" s="127"/>
      <c r="AE112" s="126"/>
      <c r="AF112" s="1323"/>
      <c r="AG112" s="127"/>
      <c r="AH112" s="126"/>
      <c r="AI112" s="1345" t="s">
        <v>323</v>
      </c>
      <c r="AJ112" s="1338" t="s">
        <v>323</v>
      </c>
      <c r="AK112" s="1317">
        <v>0</v>
      </c>
      <c r="AL112" s="1322">
        <v>0</v>
      </c>
      <c r="AM112" s="1317">
        <v>0</v>
      </c>
      <c r="AN112" s="1317">
        <v>0</v>
      </c>
      <c r="AO112" s="1317">
        <v>0</v>
      </c>
      <c r="AP112" s="1317">
        <v>0</v>
      </c>
      <c r="AQ112" s="1344">
        <v>0</v>
      </c>
      <c r="AR112" s="1339"/>
      <c r="AS112" s="1312"/>
      <c r="AT112" s="1313"/>
      <c r="AU112" s="1314"/>
      <c r="AV112" s="1314"/>
      <c r="AW112" s="1314"/>
      <c r="AX112" s="1315"/>
      <c r="AY112" s="1331"/>
      <c r="AZ112" s="127"/>
      <c r="BA112" s="126"/>
      <c r="BB112" s="1323"/>
      <c r="BC112" s="127"/>
      <c r="BD112" s="126"/>
      <c r="BE112" s="1323"/>
      <c r="BF112" s="127"/>
      <c r="BG112" s="126"/>
      <c r="BH112" s="1323"/>
      <c r="BI112" s="127"/>
      <c r="BJ112" s="126"/>
      <c r="BK112" s="1323"/>
      <c r="BL112" s="127"/>
      <c r="BM112" s="126"/>
      <c r="BN112" s="1323"/>
      <c r="BO112" s="127"/>
      <c r="BP112" s="126"/>
      <c r="BQ112" s="1323"/>
      <c r="BR112" s="127"/>
      <c r="BS112" s="126"/>
      <c r="BT112" s="1323"/>
      <c r="BU112" s="127"/>
      <c r="BV112" s="126"/>
      <c r="BW112" s="1323"/>
      <c r="BX112" s="127"/>
      <c r="BY112" s="126"/>
      <c r="BZ112" s="1345" t="s">
        <v>323</v>
      </c>
      <c r="CA112" s="1338" t="s">
        <v>323</v>
      </c>
    </row>
    <row r="113" spans="1:79" ht="14.25" customHeight="1" x14ac:dyDescent="0.3">
      <c r="A113" s="1339"/>
      <c r="B113" s="1312"/>
      <c r="C113" s="1313"/>
      <c r="D113" s="1314"/>
      <c r="E113" s="1314"/>
      <c r="F113" s="1314"/>
      <c r="G113" s="1316"/>
      <c r="H113" s="1331"/>
      <c r="I113" s="127"/>
      <c r="J113" s="126"/>
      <c r="K113" s="1323"/>
      <c r="L113" s="127"/>
      <c r="M113" s="126"/>
      <c r="N113" s="1323"/>
      <c r="O113" s="127"/>
      <c r="P113" s="126"/>
      <c r="Q113" s="1323"/>
      <c r="R113" s="127"/>
      <c r="S113" s="126"/>
      <c r="T113" s="1323"/>
      <c r="U113" s="127"/>
      <c r="V113" s="126"/>
      <c r="W113" s="1323"/>
      <c r="X113" s="127"/>
      <c r="Y113" s="126"/>
      <c r="Z113" s="1323"/>
      <c r="AA113" s="127"/>
      <c r="AB113" s="126"/>
      <c r="AC113" s="1323"/>
      <c r="AD113" s="127"/>
      <c r="AE113" s="126"/>
      <c r="AF113" s="1323"/>
      <c r="AG113" s="127"/>
      <c r="AH113" s="126"/>
      <c r="AI113" s="1346"/>
      <c r="AJ113" s="1338"/>
      <c r="AK113" s="1317"/>
      <c r="AL113" s="1322"/>
      <c r="AM113" s="1317"/>
      <c r="AN113" s="1317"/>
      <c r="AO113" s="1317"/>
      <c r="AP113" s="1317"/>
      <c r="AQ113" s="1344"/>
      <c r="AR113" s="1339"/>
      <c r="AS113" s="1312"/>
      <c r="AT113" s="1313"/>
      <c r="AU113" s="1314"/>
      <c r="AV113" s="1314"/>
      <c r="AW113" s="1314"/>
      <c r="AX113" s="1316"/>
      <c r="AY113" s="1331"/>
      <c r="AZ113" s="127"/>
      <c r="BA113" s="126"/>
      <c r="BB113" s="1323"/>
      <c r="BC113" s="127"/>
      <c r="BD113" s="126"/>
      <c r="BE113" s="1323"/>
      <c r="BF113" s="127"/>
      <c r="BG113" s="126"/>
      <c r="BH113" s="1323"/>
      <c r="BI113" s="127"/>
      <c r="BJ113" s="126"/>
      <c r="BK113" s="1323"/>
      <c r="BL113" s="127"/>
      <c r="BM113" s="126"/>
      <c r="BN113" s="1323"/>
      <c r="BO113" s="127"/>
      <c r="BP113" s="126"/>
      <c r="BQ113" s="1323"/>
      <c r="BR113" s="127"/>
      <c r="BS113" s="126"/>
      <c r="BT113" s="1323"/>
      <c r="BU113" s="127"/>
      <c r="BV113" s="126"/>
      <c r="BW113" s="1323"/>
      <c r="BX113" s="127"/>
      <c r="BY113" s="126"/>
      <c r="BZ113" s="1346"/>
      <c r="CA113" s="1338"/>
    </row>
    <row r="114" spans="1:79" ht="14.25" customHeight="1" x14ac:dyDescent="0.3">
      <c r="A114" s="1329"/>
      <c r="B114" s="1330"/>
      <c r="C114" s="1331"/>
      <c r="D114" s="1323"/>
      <c r="E114" s="1323"/>
      <c r="F114" s="1323"/>
      <c r="G114" s="1342"/>
      <c r="H114" s="1343"/>
      <c r="I114" s="125"/>
      <c r="J114" s="126"/>
      <c r="K114" s="1341"/>
      <c r="L114" s="125"/>
      <c r="M114" s="126"/>
      <c r="N114" s="1341"/>
      <c r="O114" s="125"/>
      <c r="P114" s="126"/>
      <c r="Q114" s="1341"/>
      <c r="R114" s="125"/>
      <c r="S114" s="126"/>
      <c r="T114" s="1341"/>
      <c r="U114" s="125"/>
      <c r="V114" s="126"/>
      <c r="W114" s="1341"/>
      <c r="X114" s="125"/>
      <c r="Y114" s="126"/>
      <c r="Z114" s="1341"/>
      <c r="AA114" s="125"/>
      <c r="AB114" s="126"/>
      <c r="AC114" s="1341"/>
      <c r="AD114" s="125"/>
      <c r="AE114" s="126"/>
      <c r="AF114" s="1341"/>
      <c r="AG114" s="125"/>
      <c r="AH114" s="126"/>
      <c r="AI114" s="1324" t="s">
        <v>323</v>
      </c>
      <c r="AJ114" s="1338" t="s">
        <v>323</v>
      </c>
      <c r="AK114" s="1317">
        <v>0</v>
      </c>
      <c r="AL114" s="1322">
        <v>0</v>
      </c>
      <c r="AM114" s="1317">
        <v>0</v>
      </c>
      <c r="AN114" s="1317">
        <v>0</v>
      </c>
      <c r="AO114" s="1317">
        <v>0</v>
      </c>
      <c r="AP114" s="1317">
        <v>0</v>
      </c>
      <c r="AQ114" s="1344">
        <v>0</v>
      </c>
      <c r="AR114" s="1329"/>
      <c r="AS114" s="1330"/>
      <c r="AT114" s="1331"/>
      <c r="AU114" s="1323"/>
      <c r="AV114" s="1323"/>
      <c r="AW114" s="1323"/>
      <c r="AX114" s="1342"/>
      <c r="AY114" s="1343"/>
      <c r="AZ114" s="125"/>
      <c r="BA114" s="126"/>
      <c r="BB114" s="1341"/>
      <c r="BC114" s="125"/>
      <c r="BD114" s="126"/>
      <c r="BE114" s="1341"/>
      <c r="BF114" s="125"/>
      <c r="BG114" s="126"/>
      <c r="BH114" s="1341"/>
      <c r="BI114" s="125"/>
      <c r="BJ114" s="126"/>
      <c r="BK114" s="1341"/>
      <c r="BL114" s="125"/>
      <c r="BM114" s="126"/>
      <c r="BN114" s="1341"/>
      <c r="BO114" s="125"/>
      <c r="BP114" s="126"/>
      <c r="BQ114" s="1341"/>
      <c r="BR114" s="125"/>
      <c r="BS114" s="126"/>
      <c r="BT114" s="1341"/>
      <c r="BU114" s="125"/>
      <c r="BV114" s="126"/>
      <c r="BW114" s="1341"/>
      <c r="BX114" s="125"/>
      <c r="BY114" s="126"/>
      <c r="BZ114" s="1324" t="s">
        <v>323</v>
      </c>
      <c r="CA114" s="1338" t="s">
        <v>323</v>
      </c>
    </row>
    <row r="115" spans="1:79" ht="14.25" customHeight="1" x14ac:dyDescent="0.3">
      <c r="A115" s="1329"/>
      <c r="B115" s="1330"/>
      <c r="C115" s="1331"/>
      <c r="D115" s="1323"/>
      <c r="E115" s="1323"/>
      <c r="F115" s="1323"/>
      <c r="G115" s="1342"/>
      <c r="H115" s="1343"/>
      <c r="I115" s="125"/>
      <c r="J115" s="126"/>
      <c r="K115" s="1341"/>
      <c r="L115" s="125"/>
      <c r="M115" s="126"/>
      <c r="N115" s="1341"/>
      <c r="O115" s="125"/>
      <c r="P115" s="126"/>
      <c r="Q115" s="1341"/>
      <c r="R115" s="125"/>
      <c r="S115" s="126"/>
      <c r="T115" s="1341"/>
      <c r="U115" s="125"/>
      <c r="V115" s="126"/>
      <c r="W115" s="1341"/>
      <c r="X115" s="125"/>
      <c r="Y115" s="126"/>
      <c r="Z115" s="1341"/>
      <c r="AA115" s="125"/>
      <c r="AB115" s="126"/>
      <c r="AC115" s="1341"/>
      <c r="AD115" s="125"/>
      <c r="AE115" s="126"/>
      <c r="AF115" s="1341"/>
      <c r="AG115" s="125"/>
      <c r="AH115" s="126"/>
      <c r="AI115" s="1324"/>
      <c r="AJ115" s="1338"/>
      <c r="AK115" s="1317"/>
      <c r="AL115" s="1322"/>
      <c r="AM115" s="1317"/>
      <c r="AN115" s="1317"/>
      <c r="AO115" s="1317"/>
      <c r="AP115" s="1317"/>
      <c r="AQ115" s="1344"/>
      <c r="AR115" s="1329"/>
      <c r="AS115" s="1330"/>
      <c r="AT115" s="1331"/>
      <c r="AU115" s="1323"/>
      <c r="AV115" s="1323"/>
      <c r="AW115" s="1323"/>
      <c r="AX115" s="1342"/>
      <c r="AY115" s="1343"/>
      <c r="AZ115" s="125"/>
      <c r="BA115" s="126"/>
      <c r="BB115" s="1341"/>
      <c r="BC115" s="125"/>
      <c r="BD115" s="126"/>
      <c r="BE115" s="1341"/>
      <c r="BF115" s="125"/>
      <c r="BG115" s="126"/>
      <c r="BH115" s="1341"/>
      <c r="BI115" s="125"/>
      <c r="BJ115" s="126"/>
      <c r="BK115" s="1341"/>
      <c r="BL115" s="125"/>
      <c r="BM115" s="126"/>
      <c r="BN115" s="1341"/>
      <c r="BO115" s="125"/>
      <c r="BP115" s="126"/>
      <c r="BQ115" s="1341"/>
      <c r="BR115" s="125"/>
      <c r="BS115" s="126"/>
      <c r="BT115" s="1341"/>
      <c r="BU115" s="125"/>
      <c r="BV115" s="126"/>
      <c r="BW115" s="1341"/>
      <c r="BX115" s="125"/>
      <c r="BY115" s="126"/>
      <c r="BZ115" s="1324"/>
      <c r="CA115" s="1338"/>
    </row>
    <row r="116" spans="1:79" ht="14.25" customHeight="1" x14ac:dyDescent="0.3">
      <c r="A116" s="1339"/>
      <c r="B116" s="1312"/>
      <c r="C116" s="1313"/>
      <c r="D116" s="1314"/>
      <c r="E116" s="1314"/>
      <c r="F116" s="1314"/>
      <c r="G116" s="1315"/>
      <c r="H116" s="1331"/>
      <c r="I116" s="127"/>
      <c r="J116" s="126"/>
      <c r="K116" s="1323"/>
      <c r="L116" s="127"/>
      <c r="M116" s="126"/>
      <c r="N116" s="1323"/>
      <c r="O116" s="127"/>
      <c r="P116" s="126"/>
      <c r="Q116" s="1323"/>
      <c r="R116" s="127"/>
      <c r="S116" s="126"/>
      <c r="T116" s="1323"/>
      <c r="U116" s="127"/>
      <c r="V116" s="126"/>
      <c r="W116" s="1323"/>
      <c r="X116" s="127"/>
      <c r="Y116" s="126"/>
      <c r="Z116" s="1323"/>
      <c r="AA116" s="127"/>
      <c r="AB116" s="126"/>
      <c r="AC116" s="1323"/>
      <c r="AD116" s="127"/>
      <c r="AE116" s="126"/>
      <c r="AF116" s="1323"/>
      <c r="AG116" s="127"/>
      <c r="AH116" s="126"/>
      <c r="AI116" s="1345" t="s">
        <v>323</v>
      </c>
      <c r="AJ116" s="1338" t="s">
        <v>323</v>
      </c>
      <c r="AK116" s="1317">
        <v>0</v>
      </c>
      <c r="AL116" s="1322">
        <v>0</v>
      </c>
      <c r="AM116" s="1317">
        <v>0</v>
      </c>
      <c r="AN116" s="1317">
        <v>0</v>
      </c>
      <c r="AO116" s="1317">
        <v>0</v>
      </c>
      <c r="AP116" s="1317">
        <v>0</v>
      </c>
      <c r="AQ116" s="1344">
        <v>0</v>
      </c>
      <c r="AR116" s="1339"/>
      <c r="AS116" s="1312"/>
      <c r="AT116" s="1313"/>
      <c r="AU116" s="1314"/>
      <c r="AV116" s="1314"/>
      <c r="AW116" s="1314"/>
      <c r="AX116" s="1315"/>
      <c r="AY116" s="1331"/>
      <c r="AZ116" s="127"/>
      <c r="BA116" s="126"/>
      <c r="BB116" s="1323"/>
      <c r="BC116" s="127"/>
      <c r="BD116" s="126"/>
      <c r="BE116" s="1323"/>
      <c r="BF116" s="127"/>
      <c r="BG116" s="126"/>
      <c r="BH116" s="1323"/>
      <c r="BI116" s="127"/>
      <c r="BJ116" s="126"/>
      <c r="BK116" s="1323"/>
      <c r="BL116" s="127"/>
      <c r="BM116" s="126"/>
      <c r="BN116" s="1323"/>
      <c r="BO116" s="127"/>
      <c r="BP116" s="126"/>
      <c r="BQ116" s="1323"/>
      <c r="BR116" s="127"/>
      <c r="BS116" s="126"/>
      <c r="BT116" s="1323"/>
      <c r="BU116" s="127"/>
      <c r="BV116" s="126"/>
      <c r="BW116" s="1323"/>
      <c r="BX116" s="127"/>
      <c r="BY116" s="126"/>
      <c r="BZ116" s="1345" t="s">
        <v>323</v>
      </c>
      <c r="CA116" s="1338" t="s">
        <v>323</v>
      </c>
    </row>
    <row r="117" spans="1:79" ht="14.25" customHeight="1" x14ac:dyDescent="0.3">
      <c r="A117" s="1339"/>
      <c r="B117" s="1312"/>
      <c r="C117" s="1313"/>
      <c r="D117" s="1314"/>
      <c r="E117" s="1314"/>
      <c r="F117" s="1314"/>
      <c r="G117" s="1316"/>
      <c r="H117" s="1331"/>
      <c r="I117" s="127"/>
      <c r="J117" s="126"/>
      <c r="K117" s="1323"/>
      <c r="L117" s="127"/>
      <c r="M117" s="126"/>
      <c r="N117" s="1323"/>
      <c r="O117" s="127"/>
      <c r="P117" s="126"/>
      <c r="Q117" s="1323"/>
      <c r="R117" s="127"/>
      <c r="S117" s="126"/>
      <c r="T117" s="1323"/>
      <c r="U117" s="127"/>
      <c r="V117" s="126"/>
      <c r="W117" s="1323"/>
      <c r="X117" s="127"/>
      <c r="Y117" s="126"/>
      <c r="Z117" s="1323"/>
      <c r="AA117" s="127"/>
      <c r="AB117" s="126"/>
      <c r="AC117" s="1323"/>
      <c r="AD117" s="127"/>
      <c r="AE117" s="126"/>
      <c r="AF117" s="1323"/>
      <c r="AG117" s="127"/>
      <c r="AH117" s="126"/>
      <c r="AI117" s="1346"/>
      <c r="AJ117" s="1338"/>
      <c r="AK117" s="1317"/>
      <c r="AL117" s="1322"/>
      <c r="AM117" s="1317"/>
      <c r="AN117" s="1317"/>
      <c r="AO117" s="1317"/>
      <c r="AP117" s="1317"/>
      <c r="AQ117" s="1344"/>
      <c r="AR117" s="1339"/>
      <c r="AS117" s="1312"/>
      <c r="AT117" s="1313"/>
      <c r="AU117" s="1314"/>
      <c r="AV117" s="1314"/>
      <c r="AW117" s="1314"/>
      <c r="AX117" s="1316"/>
      <c r="AY117" s="1331"/>
      <c r="AZ117" s="127"/>
      <c r="BA117" s="126"/>
      <c r="BB117" s="1323"/>
      <c r="BC117" s="127"/>
      <c r="BD117" s="126"/>
      <c r="BE117" s="1323"/>
      <c r="BF117" s="127"/>
      <c r="BG117" s="126"/>
      <c r="BH117" s="1323"/>
      <c r="BI117" s="127"/>
      <c r="BJ117" s="126"/>
      <c r="BK117" s="1323"/>
      <c r="BL117" s="127"/>
      <c r="BM117" s="126"/>
      <c r="BN117" s="1323"/>
      <c r="BO117" s="127"/>
      <c r="BP117" s="126"/>
      <c r="BQ117" s="1323"/>
      <c r="BR117" s="127"/>
      <c r="BS117" s="126"/>
      <c r="BT117" s="1323"/>
      <c r="BU117" s="127"/>
      <c r="BV117" s="126"/>
      <c r="BW117" s="1323"/>
      <c r="BX117" s="127"/>
      <c r="BY117" s="126"/>
      <c r="BZ117" s="1346"/>
      <c r="CA117" s="1338"/>
    </row>
    <row r="118" spans="1:79" ht="14.25" customHeight="1" x14ac:dyDescent="0.3">
      <c r="A118" s="1329"/>
      <c r="B118" s="1330"/>
      <c r="C118" s="1331"/>
      <c r="D118" s="1323"/>
      <c r="E118" s="1323"/>
      <c r="F118" s="1323"/>
      <c r="G118" s="1342"/>
      <c r="H118" s="1343"/>
      <c r="I118" s="125"/>
      <c r="J118" s="126"/>
      <c r="K118" s="1341"/>
      <c r="L118" s="125"/>
      <c r="M118" s="126"/>
      <c r="N118" s="1341"/>
      <c r="O118" s="125"/>
      <c r="P118" s="126"/>
      <c r="Q118" s="1341"/>
      <c r="R118" s="125"/>
      <c r="S118" s="126"/>
      <c r="T118" s="1341"/>
      <c r="U118" s="125"/>
      <c r="V118" s="126"/>
      <c r="W118" s="1341"/>
      <c r="X118" s="125"/>
      <c r="Y118" s="126"/>
      <c r="Z118" s="1341"/>
      <c r="AA118" s="125"/>
      <c r="AB118" s="126"/>
      <c r="AC118" s="1341"/>
      <c r="AD118" s="125"/>
      <c r="AE118" s="126"/>
      <c r="AF118" s="1341"/>
      <c r="AG118" s="125"/>
      <c r="AH118" s="126"/>
      <c r="AI118" s="1324" t="s">
        <v>323</v>
      </c>
      <c r="AJ118" s="1338" t="s">
        <v>323</v>
      </c>
      <c r="AK118" s="1317">
        <v>0</v>
      </c>
      <c r="AL118" s="1322">
        <v>0</v>
      </c>
      <c r="AM118" s="1317">
        <v>0</v>
      </c>
      <c r="AN118" s="1317">
        <v>0</v>
      </c>
      <c r="AO118" s="1317">
        <v>0</v>
      </c>
      <c r="AP118" s="1317">
        <v>0</v>
      </c>
      <c r="AQ118" s="1344">
        <v>0</v>
      </c>
      <c r="AR118" s="1329"/>
      <c r="AS118" s="1330"/>
      <c r="AT118" s="1331"/>
      <c r="AU118" s="1323"/>
      <c r="AV118" s="1323"/>
      <c r="AW118" s="1323"/>
      <c r="AX118" s="1342"/>
      <c r="AY118" s="1343"/>
      <c r="AZ118" s="125"/>
      <c r="BA118" s="126"/>
      <c r="BB118" s="1341"/>
      <c r="BC118" s="125"/>
      <c r="BD118" s="126"/>
      <c r="BE118" s="1341"/>
      <c r="BF118" s="125"/>
      <c r="BG118" s="126"/>
      <c r="BH118" s="1341"/>
      <c r="BI118" s="125"/>
      <c r="BJ118" s="126"/>
      <c r="BK118" s="1341"/>
      <c r="BL118" s="125"/>
      <c r="BM118" s="126"/>
      <c r="BN118" s="1341"/>
      <c r="BO118" s="125"/>
      <c r="BP118" s="126"/>
      <c r="BQ118" s="1341"/>
      <c r="BR118" s="125"/>
      <c r="BS118" s="126"/>
      <c r="BT118" s="1341"/>
      <c r="BU118" s="125"/>
      <c r="BV118" s="126"/>
      <c r="BW118" s="1341"/>
      <c r="BX118" s="125"/>
      <c r="BY118" s="126"/>
      <c r="BZ118" s="1324" t="s">
        <v>323</v>
      </c>
      <c r="CA118" s="1338" t="s">
        <v>323</v>
      </c>
    </row>
    <row r="119" spans="1:79" ht="14.25" customHeight="1" x14ac:dyDescent="0.3">
      <c r="A119" s="1329"/>
      <c r="B119" s="1330"/>
      <c r="C119" s="1331"/>
      <c r="D119" s="1323"/>
      <c r="E119" s="1323"/>
      <c r="F119" s="1323"/>
      <c r="G119" s="1342"/>
      <c r="H119" s="1343"/>
      <c r="I119" s="125"/>
      <c r="J119" s="126"/>
      <c r="K119" s="1341"/>
      <c r="L119" s="125"/>
      <c r="M119" s="126"/>
      <c r="N119" s="1341"/>
      <c r="O119" s="125"/>
      <c r="P119" s="126"/>
      <c r="Q119" s="1341"/>
      <c r="R119" s="125"/>
      <c r="S119" s="126"/>
      <c r="T119" s="1341"/>
      <c r="U119" s="125"/>
      <c r="V119" s="126"/>
      <c r="W119" s="1341"/>
      <c r="X119" s="125"/>
      <c r="Y119" s="126"/>
      <c r="Z119" s="1341"/>
      <c r="AA119" s="125"/>
      <c r="AB119" s="126"/>
      <c r="AC119" s="1341"/>
      <c r="AD119" s="125"/>
      <c r="AE119" s="126"/>
      <c r="AF119" s="1341"/>
      <c r="AG119" s="125"/>
      <c r="AH119" s="126"/>
      <c r="AI119" s="1324"/>
      <c r="AJ119" s="1338"/>
      <c r="AK119" s="1317"/>
      <c r="AL119" s="1322"/>
      <c r="AM119" s="1317"/>
      <c r="AN119" s="1317"/>
      <c r="AO119" s="1317"/>
      <c r="AP119" s="1317"/>
      <c r="AQ119" s="1344"/>
      <c r="AR119" s="1329"/>
      <c r="AS119" s="1330"/>
      <c r="AT119" s="1331"/>
      <c r="AU119" s="1323"/>
      <c r="AV119" s="1323"/>
      <c r="AW119" s="1323"/>
      <c r="AX119" s="1342"/>
      <c r="AY119" s="1343"/>
      <c r="AZ119" s="125"/>
      <c r="BA119" s="126"/>
      <c r="BB119" s="1341"/>
      <c r="BC119" s="125"/>
      <c r="BD119" s="126"/>
      <c r="BE119" s="1341"/>
      <c r="BF119" s="125"/>
      <c r="BG119" s="126"/>
      <c r="BH119" s="1341"/>
      <c r="BI119" s="125"/>
      <c r="BJ119" s="126"/>
      <c r="BK119" s="1341"/>
      <c r="BL119" s="125"/>
      <c r="BM119" s="126"/>
      <c r="BN119" s="1341"/>
      <c r="BO119" s="125"/>
      <c r="BP119" s="126"/>
      <c r="BQ119" s="1341"/>
      <c r="BR119" s="125"/>
      <c r="BS119" s="126"/>
      <c r="BT119" s="1341"/>
      <c r="BU119" s="125"/>
      <c r="BV119" s="126"/>
      <c r="BW119" s="1341"/>
      <c r="BX119" s="125"/>
      <c r="BY119" s="126"/>
      <c r="BZ119" s="1324"/>
      <c r="CA119" s="1338"/>
    </row>
    <row r="120" spans="1:79" ht="14.25" customHeight="1" x14ac:dyDescent="0.3">
      <c r="A120" s="1339"/>
      <c r="B120" s="1312"/>
      <c r="C120" s="1313"/>
      <c r="D120" s="1314"/>
      <c r="E120" s="1314"/>
      <c r="F120" s="1314"/>
      <c r="G120" s="1315"/>
      <c r="H120" s="1331"/>
      <c r="I120" s="127"/>
      <c r="J120" s="126"/>
      <c r="K120" s="1323"/>
      <c r="L120" s="127"/>
      <c r="M120" s="126"/>
      <c r="N120" s="1323"/>
      <c r="O120" s="127"/>
      <c r="P120" s="126"/>
      <c r="Q120" s="1323"/>
      <c r="R120" s="127"/>
      <c r="S120" s="126"/>
      <c r="T120" s="1323"/>
      <c r="U120" s="127"/>
      <c r="V120" s="126"/>
      <c r="W120" s="1323"/>
      <c r="X120" s="127"/>
      <c r="Y120" s="126"/>
      <c r="Z120" s="1323"/>
      <c r="AA120" s="127"/>
      <c r="AB120" s="126"/>
      <c r="AC120" s="1323"/>
      <c r="AD120" s="127"/>
      <c r="AE120" s="126"/>
      <c r="AF120" s="1323"/>
      <c r="AG120" s="127"/>
      <c r="AH120" s="126"/>
      <c r="AI120" s="1345" t="s">
        <v>323</v>
      </c>
      <c r="AJ120" s="1338" t="s">
        <v>323</v>
      </c>
      <c r="AK120" s="1317">
        <v>0</v>
      </c>
      <c r="AL120" s="1322">
        <v>0</v>
      </c>
      <c r="AM120" s="1317">
        <v>0</v>
      </c>
      <c r="AN120" s="1317">
        <v>0</v>
      </c>
      <c r="AO120" s="1317">
        <v>0</v>
      </c>
      <c r="AP120" s="1317">
        <v>0</v>
      </c>
      <c r="AQ120" s="1344">
        <v>0</v>
      </c>
      <c r="AR120" s="1339"/>
      <c r="AS120" s="1312"/>
      <c r="AT120" s="1313"/>
      <c r="AU120" s="1314"/>
      <c r="AV120" s="1314"/>
      <c r="AW120" s="1314"/>
      <c r="AX120" s="1315"/>
      <c r="AY120" s="1331"/>
      <c r="AZ120" s="127"/>
      <c r="BA120" s="126"/>
      <c r="BB120" s="1323"/>
      <c r="BC120" s="127"/>
      <c r="BD120" s="126"/>
      <c r="BE120" s="1323"/>
      <c r="BF120" s="127"/>
      <c r="BG120" s="126"/>
      <c r="BH120" s="1323"/>
      <c r="BI120" s="127"/>
      <c r="BJ120" s="126"/>
      <c r="BK120" s="1323"/>
      <c r="BL120" s="127"/>
      <c r="BM120" s="126"/>
      <c r="BN120" s="1323"/>
      <c r="BO120" s="127"/>
      <c r="BP120" s="126"/>
      <c r="BQ120" s="1323"/>
      <c r="BR120" s="127"/>
      <c r="BS120" s="126"/>
      <c r="BT120" s="1323"/>
      <c r="BU120" s="127"/>
      <c r="BV120" s="126"/>
      <c r="BW120" s="1323"/>
      <c r="BX120" s="127"/>
      <c r="BY120" s="126"/>
      <c r="BZ120" s="1345" t="s">
        <v>323</v>
      </c>
      <c r="CA120" s="1338" t="s">
        <v>323</v>
      </c>
    </row>
    <row r="121" spans="1:79" ht="14.25" customHeight="1" x14ac:dyDescent="0.3">
      <c r="A121" s="1339"/>
      <c r="B121" s="1312"/>
      <c r="C121" s="1313"/>
      <c r="D121" s="1314"/>
      <c r="E121" s="1314"/>
      <c r="F121" s="1314"/>
      <c r="G121" s="1316"/>
      <c r="H121" s="1331"/>
      <c r="I121" s="127"/>
      <c r="J121" s="126"/>
      <c r="K121" s="1323"/>
      <c r="L121" s="127"/>
      <c r="M121" s="126"/>
      <c r="N121" s="1323"/>
      <c r="O121" s="127"/>
      <c r="P121" s="126"/>
      <c r="Q121" s="1323"/>
      <c r="R121" s="127"/>
      <c r="S121" s="126"/>
      <c r="T121" s="1323"/>
      <c r="U121" s="127"/>
      <c r="V121" s="126"/>
      <c r="W121" s="1323"/>
      <c r="X121" s="127"/>
      <c r="Y121" s="126"/>
      <c r="Z121" s="1323"/>
      <c r="AA121" s="127"/>
      <c r="AB121" s="126"/>
      <c r="AC121" s="1323"/>
      <c r="AD121" s="127"/>
      <c r="AE121" s="126"/>
      <c r="AF121" s="1323"/>
      <c r="AG121" s="127"/>
      <c r="AH121" s="126"/>
      <c r="AI121" s="1346"/>
      <c r="AJ121" s="1338"/>
      <c r="AK121" s="1317"/>
      <c r="AL121" s="1322"/>
      <c r="AM121" s="1317"/>
      <c r="AN121" s="1317"/>
      <c r="AO121" s="1317"/>
      <c r="AP121" s="1317"/>
      <c r="AQ121" s="1344"/>
      <c r="AR121" s="1339"/>
      <c r="AS121" s="1312"/>
      <c r="AT121" s="1313"/>
      <c r="AU121" s="1314"/>
      <c r="AV121" s="1314"/>
      <c r="AW121" s="1314"/>
      <c r="AX121" s="1316"/>
      <c r="AY121" s="1331"/>
      <c r="AZ121" s="127"/>
      <c r="BA121" s="126"/>
      <c r="BB121" s="1323"/>
      <c r="BC121" s="127"/>
      <c r="BD121" s="126"/>
      <c r="BE121" s="1323"/>
      <c r="BF121" s="127"/>
      <c r="BG121" s="126"/>
      <c r="BH121" s="1323"/>
      <c r="BI121" s="127"/>
      <c r="BJ121" s="126"/>
      <c r="BK121" s="1323"/>
      <c r="BL121" s="127"/>
      <c r="BM121" s="126"/>
      <c r="BN121" s="1323"/>
      <c r="BO121" s="127"/>
      <c r="BP121" s="126"/>
      <c r="BQ121" s="1323"/>
      <c r="BR121" s="127"/>
      <c r="BS121" s="126"/>
      <c r="BT121" s="1323"/>
      <c r="BU121" s="127"/>
      <c r="BV121" s="126"/>
      <c r="BW121" s="1323"/>
      <c r="BX121" s="127"/>
      <c r="BY121" s="126"/>
      <c r="BZ121" s="1346"/>
      <c r="CA121" s="1338"/>
    </row>
    <row r="122" spans="1:79" ht="14.25" customHeight="1" x14ac:dyDescent="0.3">
      <c r="A122" s="1329"/>
      <c r="B122" s="1330"/>
      <c r="C122" s="1331"/>
      <c r="D122" s="1323"/>
      <c r="E122" s="1323"/>
      <c r="F122" s="1323"/>
      <c r="G122" s="1342"/>
      <c r="H122" s="1343"/>
      <c r="I122" s="125"/>
      <c r="J122" s="126"/>
      <c r="K122" s="1341"/>
      <c r="L122" s="125"/>
      <c r="M122" s="126"/>
      <c r="N122" s="1341"/>
      <c r="O122" s="125"/>
      <c r="P122" s="126"/>
      <c r="Q122" s="1341"/>
      <c r="R122" s="125"/>
      <c r="S122" s="126"/>
      <c r="T122" s="1341"/>
      <c r="U122" s="125"/>
      <c r="V122" s="126"/>
      <c r="W122" s="1341"/>
      <c r="X122" s="125"/>
      <c r="Y122" s="126"/>
      <c r="Z122" s="1341"/>
      <c r="AA122" s="125"/>
      <c r="AB122" s="126"/>
      <c r="AC122" s="1341"/>
      <c r="AD122" s="125"/>
      <c r="AE122" s="126"/>
      <c r="AF122" s="1341"/>
      <c r="AG122" s="125"/>
      <c r="AH122" s="126"/>
      <c r="AI122" s="1324" t="s">
        <v>323</v>
      </c>
      <c r="AJ122" s="1338" t="s">
        <v>323</v>
      </c>
      <c r="AK122" s="1317">
        <v>0</v>
      </c>
      <c r="AL122" s="1322">
        <v>0</v>
      </c>
      <c r="AM122" s="1317">
        <v>0</v>
      </c>
      <c r="AN122" s="1317">
        <v>0</v>
      </c>
      <c r="AO122" s="1317">
        <v>0</v>
      </c>
      <c r="AP122" s="1317">
        <v>0</v>
      </c>
      <c r="AQ122" s="1344">
        <v>0</v>
      </c>
      <c r="AR122" s="1329"/>
      <c r="AS122" s="1330"/>
      <c r="AT122" s="1331"/>
      <c r="AU122" s="1323"/>
      <c r="AV122" s="1323"/>
      <c r="AW122" s="1323"/>
      <c r="AX122" s="1342"/>
      <c r="AY122" s="1343"/>
      <c r="AZ122" s="125"/>
      <c r="BA122" s="126"/>
      <c r="BB122" s="1341"/>
      <c r="BC122" s="125"/>
      <c r="BD122" s="126"/>
      <c r="BE122" s="1341"/>
      <c r="BF122" s="125"/>
      <c r="BG122" s="126"/>
      <c r="BH122" s="1341"/>
      <c r="BI122" s="125"/>
      <c r="BJ122" s="126"/>
      <c r="BK122" s="1341"/>
      <c r="BL122" s="125"/>
      <c r="BM122" s="126"/>
      <c r="BN122" s="1341"/>
      <c r="BO122" s="125"/>
      <c r="BP122" s="126"/>
      <c r="BQ122" s="1341"/>
      <c r="BR122" s="125"/>
      <c r="BS122" s="126"/>
      <c r="BT122" s="1341"/>
      <c r="BU122" s="125"/>
      <c r="BV122" s="126"/>
      <c r="BW122" s="1341"/>
      <c r="BX122" s="125"/>
      <c r="BY122" s="126"/>
      <c r="BZ122" s="1324" t="s">
        <v>323</v>
      </c>
      <c r="CA122" s="1338" t="s">
        <v>323</v>
      </c>
    </row>
    <row r="123" spans="1:79" ht="14.25" customHeight="1" x14ac:dyDescent="0.3">
      <c r="A123" s="1329"/>
      <c r="B123" s="1330"/>
      <c r="C123" s="1331"/>
      <c r="D123" s="1323"/>
      <c r="E123" s="1323"/>
      <c r="F123" s="1323"/>
      <c r="G123" s="1342"/>
      <c r="H123" s="1343"/>
      <c r="I123" s="125"/>
      <c r="J123" s="126"/>
      <c r="K123" s="1341"/>
      <c r="L123" s="125"/>
      <c r="M123" s="126"/>
      <c r="N123" s="1341"/>
      <c r="O123" s="125"/>
      <c r="P123" s="126"/>
      <c r="Q123" s="1341"/>
      <c r="R123" s="125"/>
      <c r="S123" s="126"/>
      <c r="T123" s="1341"/>
      <c r="U123" s="125"/>
      <c r="V123" s="126"/>
      <c r="W123" s="1341"/>
      <c r="X123" s="125"/>
      <c r="Y123" s="126"/>
      <c r="Z123" s="1341"/>
      <c r="AA123" s="125"/>
      <c r="AB123" s="126"/>
      <c r="AC123" s="1341"/>
      <c r="AD123" s="125"/>
      <c r="AE123" s="126"/>
      <c r="AF123" s="1341"/>
      <c r="AG123" s="125"/>
      <c r="AH123" s="126"/>
      <c r="AI123" s="1324"/>
      <c r="AJ123" s="1338"/>
      <c r="AK123" s="1317"/>
      <c r="AL123" s="1322"/>
      <c r="AM123" s="1317"/>
      <c r="AN123" s="1317"/>
      <c r="AO123" s="1317"/>
      <c r="AP123" s="1317"/>
      <c r="AQ123" s="1344"/>
      <c r="AR123" s="1329"/>
      <c r="AS123" s="1330"/>
      <c r="AT123" s="1331"/>
      <c r="AU123" s="1323"/>
      <c r="AV123" s="1323"/>
      <c r="AW123" s="1323"/>
      <c r="AX123" s="1342"/>
      <c r="AY123" s="1343"/>
      <c r="AZ123" s="125"/>
      <c r="BA123" s="126"/>
      <c r="BB123" s="1341"/>
      <c r="BC123" s="125"/>
      <c r="BD123" s="126"/>
      <c r="BE123" s="1341"/>
      <c r="BF123" s="125"/>
      <c r="BG123" s="126"/>
      <c r="BH123" s="1341"/>
      <c r="BI123" s="125"/>
      <c r="BJ123" s="126"/>
      <c r="BK123" s="1341"/>
      <c r="BL123" s="125"/>
      <c r="BM123" s="126"/>
      <c r="BN123" s="1341"/>
      <c r="BO123" s="125"/>
      <c r="BP123" s="126"/>
      <c r="BQ123" s="1341"/>
      <c r="BR123" s="125"/>
      <c r="BS123" s="126"/>
      <c r="BT123" s="1341"/>
      <c r="BU123" s="125"/>
      <c r="BV123" s="126"/>
      <c r="BW123" s="1341"/>
      <c r="BX123" s="125"/>
      <c r="BY123" s="126"/>
      <c r="BZ123" s="1324"/>
      <c r="CA123" s="1338"/>
    </row>
    <row r="124" spans="1:79" ht="14.25" customHeight="1" x14ac:dyDescent="0.3">
      <c r="A124" s="1339"/>
      <c r="B124" s="1312"/>
      <c r="C124" s="1313"/>
      <c r="D124" s="1314"/>
      <c r="E124" s="1314"/>
      <c r="F124" s="1314"/>
      <c r="G124" s="1315"/>
      <c r="H124" s="1331"/>
      <c r="I124" s="127"/>
      <c r="J124" s="126"/>
      <c r="K124" s="1323"/>
      <c r="L124" s="127"/>
      <c r="M124" s="126"/>
      <c r="N124" s="1323"/>
      <c r="O124" s="127"/>
      <c r="P124" s="126"/>
      <c r="Q124" s="1323"/>
      <c r="R124" s="127"/>
      <c r="S124" s="126"/>
      <c r="T124" s="1323"/>
      <c r="U124" s="127"/>
      <c r="V124" s="126"/>
      <c r="W124" s="1323"/>
      <c r="X124" s="127"/>
      <c r="Y124" s="126"/>
      <c r="Z124" s="1323"/>
      <c r="AA124" s="127"/>
      <c r="AB124" s="126"/>
      <c r="AC124" s="1323"/>
      <c r="AD124" s="127"/>
      <c r="AE124" s="126"/>
      <c r="AF124" s="1323"/>
      <c r="AG124" s="127"/>
      <c r="AH124" s="126"/>
      <c r="AI124" s="1345" t="s">
        <v>323</v>
      </c>
      <c r="AJ124" s="1338" t="s">
        <v>323</v>
      </c>
      <c r="AK124" s="1317">
        <v>0</v>
      </c>
      <c r="AL124" s="1322">
        <v>0</v>
      </c>
      <c r="AM124" s="1317">
        <v>0</v>
      </c>
      <c r="AN124" s="1317">
        <v>0</v>
      </c>
      <c r="AO124" s="1317">
        <v>0</v>
      </c>
      <c r="AP124" s="1317">
        <v>0</v>
      </c>
      <c r="AQ124" s="1344">
        <v>0</v>
      </c>
      <c r="AR124" s="1339"/>
      <c r="AS124" s="1312"/>
      <c r="AT124" s="1313"/>
      <c r="AU124" s="1314"/>
      <c r="AV124" s="1314"/>
      <c r="AW124" s="1314"/>
      <c r="AX124" s="1315"/>
      <c r="AY124" s="1331"/>
      <c r="AZ124" s="127"/>
      <c r="BA124" s="126"/>
      <c r="BB124" s="1323"/>
      <c r="BC124" s="127"/>
      <c r="BD124" s="126"/>
      <c r="BE124" s="1323"/>
      <c r="BF124" s="127"/>
      <c r="BG124" s="126"/>
      <c r="BH124" s="1323"/>
      <c r="BI124" s="127"/>
      <c r="BJ124" s="126"/>
      <c r="BK124" s="1323"/>
      <c r="BL124" s="127"/>
      <c r="BM124" s="126"/>
      <c r="BN124" s="1323"/>
      <c r="BO124" s="127"/>
      <c r="BP124" s="126"/>
      <c r="BQ124" s="1323"/>
      <c r="BR124" s="127"/>
      <c r="BS124" s="126"/>
      <c r="BT124" s="1323"/>
      <c r="BU124" s="127"/>
      <c r="BV124" s="126"/>
      <c r="BW124" s="1323"/>
      <c r="BX124" s="127"/>
      <c r="BY124" s="126"/>
      <c r="BZ124" s="1345" t="s">
        <v>323</v>
      </c>
      <c r="CA124" s="1338" t="s">
        <v>323</v>
      </c>
    </row>
    <row r="125" spans="1:79" ht="14.25" customHeight="1" x14ac:dyDescent="0.3">
      <c r="A125" s="1339"/>
      <c r="B125" s="1312"/>
      <c r="C125" s="1313"/>
      <c r="D125" s="1314"/>
      <c r="E125" s="1314"/>
      <c r="F125" s="1314"/>
      <c r="G125" s="1316"/>
      <c r="H125" s="1331"/>
      <c r="I125" s="127"/>
      <c r="J125" s="126"/>
      <c r="K125" s="1323"/>
      <c r="L125" s="127"/>
      <c r="M125" s="126"/>
      <c r="N125" s="1323"/>
      <c r="O125" s="127"/>
      <c r="P125" s="126"/>
      <c r="Q125" s="1323"/>
      <c r="R125" s="127"/>
      <c r="S125" s="126"/>
      <c r="T125" s="1323"/>
      <c r="U125" s="127"/>
      <c r="V125" s="126"/>
      <c r="W125" s="1323"/>
      <c r="X125" s="127"/>
      <c r="Y125" s="126"/>
      <c r="Z125" s="1323"/>
      <c r="AA125" s="127"/>
      <c r="AB125" s="126"/>
      <c r="AC125" s="1323"/>
      <c r="AD125" s="127"/>
      <c r="AE125" s="126"/>
      <c r="AF125" s="1323"/>
      <c r="AG125" s="127"/>
      <c r="AH125" s="126"/>
      <c r="AI125" s="1346"/>
      <c r="AJ125" s="1338"/>
      <c r="AK125" s="1317"/>
      <c r="AL125" s="1322"/>
      <c r="AM125" s="1317"/>
      <c r="AN125" s="1317"/>
      <c r="AO125" s="1317"/>
      <c r="AP125" s="1317"/>
      <c r="AQ125" s="1344"/>
      <c r="AR125" s="1339"/>
      <c r="AS125" s="1312"/>
      <c r="AT125" s="1313"/>
      <c r="AU125" s="1314"/>
      <c r="AV125" s="1314"/>
      <c r="AW125" s="1314"/>
      <c r="AX125" s="1316"/>
      <c r="AY125" s="1331"/>
      <c r="AZ125" s="127"/>
      <c r="BA125" s="126"/>
      <c r="BB125" s="1323"/>
      <c r="BC125" s="127"/>
      <c r="BD125" s="126"/>
      <c r="BE125" s="1323"/>
      <c r="BF125" s="127"/>
      <c r="BG125" s="126"/>
      <c r="BH125" s="1323"/>
      <c r="BI125" s="127"/>
      <c r="BJ125" s="126"/>
      <c r="BK125" s="1323"/>
      <c r="BL125" s="127"/>
      <c r="BM125" s="126"/>
      <c r="BN125" s="1323"/>
      <c r="BO125" s="127"/>
      <c r="BP125" s="126"/>
      <c r="BQ125" s="1323"/>
      <c r="BR125" s="127"/>
      <c r="BS125" s="126"/>
      <c r="BT125" s="1323"/>
      <c r="BU125" s="127"/>
      <c r="BV125" s="126"/>
      <c r="BW125" s="1323"/>
      <c r="BX125" s="127"/>
      <c r="BY125" s="126"/>
      <c r="BZ125" s="1346"/>
      <c r="CA125" s="1338"/>
    </row>
    <row r="126" spans="1:79" ht="14.25" customHeight="1" x14ac:dyDescent="0.3">
      <c r="A126" s="1329"/>
      <c r="B126" s="1330"/>
      <c r="C126" s="1331"/>
      <c r="D126" s="1323"/>
      <c r="E126" s="1323"/>
      <c r="F126" s="1323"/>
      <c r="G126" s="1342"/>
      <c r="H126" s="1343"/>
      <c r="I126" s="125"/>
      <c r="J126" s="126"/>
      <c r="K126" s="1341"/>
      <c r="L126" s="125"/>
      <c r="M126" s="126"/>
      <c r="N126" s="1341"/>
      <c r="O126" s="125"/>
      <c r="P126" s="126"/>
      <c r="Q126" s="1341"/>
      <c r="R126" s="125"/>
      <c r="S126" s="126"/>
      <c r="T126" s="1341"/>
      <c r="U126" s="125"/>
      <c r="V126" s="126"/>
      <c r="W126" s="1341"/>
      <c r="X126" s="125"/>
      <c r="Y126" s="126"/>
      <c r="Z126" s="1341"/>
      <c r="AA126" s="125"/>
      <c r="AB126" s="126"/>
      <c r="AC126" s="1341"/>
      <c r="AD126" s="125"/>
      <c r="AE126" s="126"/>
      <c r="AF126" s="1341"/>
      <c r="AG126" s="125"/>
      <c r="AH126" s="126"/>
      <c r="AI126" s="1324" t="s">
        <v>323</v>
      </c>
      <c r="AJ126" s="1338" t="s">
        <v>323</v>
      </c>
      <c r="AK126" s="1317">
        <v>0</v>
      </c>
      <c r="AL126" s="1322">
        <v>0</v>
      </c>
      <c r="AM126" s="1317">
        <v>0</v>
      </c>
      <c r="AN126" s="1317">
        <v>0</v>
      </c>
      <c r="AO126" s="1317">
        <v>0</v>
      </c>
      <c r="AP126" s="1317">
        <v>0</v>
      </c>
      <c r="AQ126" s="1344">
        <v>0</v>
      </c>
      <c r="AR126" s="1329"/>
      <c r="AS126" s="1330"/>
      <c r="AT126" s="1331"/>
      <c r="AU126" s="1323"/>
      <c r="AV126" s="1323"/>
      <c r="AW126" s="1323"/>
      <c r="AX126" s="1342"/>
      <c r="AY126" s="1343"/>
      <c r="AZ126" s="125"/>
      <c r="BA126" s="126"/>
      <c r="BB126" s="1341"/>
      <c r="BC126" s="125"/>
      <c r="BD126" s="126"/>
      <c r="BE126" s="1341"/>
      <c r="BF126" s="125"/>
      <c r="BG126" s="126"/>
      <c r="BH126" s="1341"/>
      <c r="BI126" s="125"/>
      <c r="BJ126" s="126"/>
      <c r="BK126" s="1341"/>
      <c r="BL126" s="125"/>
      <c r="BM126" s="126"/>
      <c r="BN126" s="1341"/>
      <c r="BO126" s="125"/>
      <c r="BP126" s="126"/>
      <c r="BQ126" s="1341"/>
      <c r="BR126" s="125"/>
      <c r="BS126" s="126"/>
      <c r="BT126" s="1341"/>
      <c r="BU126" s="125"/>
      <c r="BV126" s="126"/>
      <c r="BW126" s="1341"/>
      <c r="BX126" s="125"/>
      <c r="BY126" s="126"/>
      <c r="BZ126" s="1324" t="s">
        <v>323</v>
      </c>
      <c r="CA126" s="1338" t="s">
        <v>323</v>
      </c>
    </row>
    <row r="127" spans="1:79" ht="14.25" customHeight="1" x14ac:dyDescent="0.3">
      <c r="A127" s="1329"/>
      <c r="B127" s="1330"/>
      <c r="C127" s="1331"/>
      <c r="D127" s="1323"/>
      <c r="E127" s="1323"/>
      <c r="F127" s="1323"/>
      <c r="G127" s="1342"/>
      <c r="H127" s="1343"/>
      <c r="I127" s="125"/>
      <c r="J127" s="126"/>
      <c r="K127" s="1341"/>
      <c r="L127" s="125"/>
      <c r="M127" s="126"/>
      <c r="N127" s="1341"/>
      <c r="O127" s="125"/>
      <c r="P127" s="126"/>
      <c r="Q127" s="1341"/>
      <c r="R127" s="125"/>
      <c r="S127" s="126"/>
      <c r="T127" s="1341"/>
      <c r="U127" s="125"/>
      <c r="V127" s="126"/>
      <c r="W127" s="1341"/>
      <c r="X127" s="125"/>
      <c r="Y127" s="126"/>
      <c r="Z127" s="1341"/>
      <c r="AA127" s="125"/>
      <c r="AB127" s="126"/>
      <c r="AC127" s="1341"/>
      <c r="AD127" s="125"/>
      <c r="AE127" s="126"/>
      <c r="AF127" s="1341"/>
      <c r="AG127" s="125"/>
      <c r="AH127" s="126"/>
      <c r="AI127" s="1324"/>
      <c r="AJ127" s="1338"/>
      <c r="AK127" s="1317"/>
      <c r="AL127" s="1322"/>
      <c r="AM127" s="1317"/>
      <c r="AN127" s="1317"/>
      <c r="AO127" s="1317"/>
      <c r="AP127" s="1317"/>
      <c r="AQ127" s="1344"/>
      <c r="AR127" s="1329"/>
      <c r="AS127" s="1330"/>
      <c r="AT127" s="1331"/>
      <c r="AU127" s="1323"/>
      <c r="AV127" s="1323"/>
      <c r="AW127" s="1323"/>
      <c r="AX127" s="1342"/>
      <c r="AY127" s="1343"/>
      <c r="AZ127" s="125"/>
      <c r="BA127" s="126"/>
      <c r="BB127" s="1341"/>
      <c r="BC127" s="125"/>
      <c r="BD127" s="126"/>
      <c r="BE127" s="1341"/>
      <c r="BF127" s="125"/>
      <c r="BG127" s="126"/>
      <c r="BH127" s="1341"/>
      <c r="BI127" s="125"/>
      <c r="BJ127" s="126"/>
      <c r="BK127" s="1341"/>
      <c r="BL127" s="125"/>
      <c r="BM127" s="126"/>
      <c r="BN127" s="1341"/>
      <c r="BO127" s="125"/>
      <c r="BP127" s="126"/>
      <c r="BQ127" s="1341"/>
      <c r="BR127" s="125"/>
      <c r="BS127" s="126"/>
      <c r="BT127" s="1341"/>
      <c r="BU127" s="125"/>
      <c r="BV127" s="126"/>
      <c r="BW127" s="1341"/>
      <c r="BX127" s="125"/>
      <c r="BY127" s="126"/>
      <c r="BZ127" s="1324"/>
      <c r="CA127" s="1338"/>
    </row>
    <row r="128" spans="1:79" ht="14.25" customHeight="1" x14ac:dyDescent="0.3">
      <c r="A128" s="1339"/>
      <c r="B128" s="1312"/>
      <c r="C128" s="1313"/>
      <c r="D128" s="1314"/>
      <c r="E128" s="1314"/>
      <c r="F128" s="1314"/>
      <c r="G128" s="1315"/>
      <c r="H128" s="1331"/>
      <c r="I128" s="127"/>
      <c r="J128" s="126"/>
      <c r="K128" s="1323"/>
      <c r="L128" s="127"/>
      <c r="M128" s="126"/>
      <c r="N128" s="1323"/>
      <c r="O128" s="127"/>
      <c r="P128" s="126"/>
      <c r="Q128" s="1323"/>
      <c r="R128" s="127"/>
      <c r="S128" s="126"/>
      <c r="T128" s="1323"/>
      <c r="U128" s="127"/>
      <c r="V128" s="126"/>
      <c r="W128" s="1323"/>
      <c r="X128" s="127"/>
      <c r="Y128" s="126"/>
      <c r="Z128" s="1323"/>
      <c r="AA128" s="127"/>
      <c r="AB128" s="126"/>
      <c r="AC128" s="1323"/>
      <c r="AD128" s="127"/>
      <c r="AE128" s="126"/>
      <c r="AF128" s="1323"/>
      <c r="AG128" s="127"/>
      <c r="AH128" s="126"/>
      <c r="AI128" s="1345" t="s">
        <v>323</v>
      </c>
      <c r="AJ128" s="1338" t="s">
        <v>323</v>
      </c>
      <c r="AK128" s="1317">
        <v>0</v>
      </c>
      <c r="AL128" s="1322">
        <v>0</v>
      </c>
      <c r="AM128" s="1317">
        <v>0</v>
      </c>
      <c r="AN128" s="1317">
        <v>0</v>
      </c>
      <c r="AO128" s="1317">
        <v>0</v>
      </c>
      <c r="AP128" s="1317">
        <v>0</v>
      </c>
      <c r="AQ128" s="1344">
        <v>0</v>
      </c>
      <c r="AR128" s="1339"/>
      <c r="AS128" s="1312"/>
      <c r="AT128" s="1313"/>
      <c r="AU128" s="1314"/>
      <c r="AV128" s="1314"/>
      <c r="AW128" s="1314"/>
      <c r="AX128" s="1315"/>
      <c r="AY128" s="1331"/>
      <c r="AZ128" s="127"/>
      <c r="BA128" s="126"/>
      <c r="BB128" s="1323"/>
      <c r="BC128" s="127"/>
      <c r="BD128" s="126"/>
      <c r="BE128" s="1323"/>
      <c r="BF128" s="127"/>
      <c r="BG128" s="126"/>
      <c r="BH128" s="1323"/>
      <c r="BI128" s="127"/>
      <c r="BJ128" s="126"/>
      <c r="BK128" s="1323"/>
      <c r="BL128" s="127"/>
      <c r="BM128" s="126"/>
      <c r="BN128" s="1323"/>
      <c r="BO128" s="127"/>
      <c r="BP128" s="126"/>
      <c r="BQ128" s="1323"/>
      <c r="BR128" s="127"/>
      <c r="BS128" s="126"/>
      <c r="BT128" s="1323"/>
      <c r="BU128" s="127"/>
      <c r="BV128" s="126"/>
      <c r="BW128" s="1323"/>
      <c r="BX128" s="127"/>
      <c r="BY128" s="126"/>
      <c r="BZ128" s="1345" t="s">
        <v>323</v>
      </c>
      <c r="CA128" s="1338" t="s">
        <v>323</v>
      </c>
    </row>
    <row r="129" spans="1:79" ht="14.25" customHeight="1" x14ac:dyDescent="0.3">
      <c r="A129" s="1339"/>
      <c r="B129" s="1312"/>
      <c r="C129" s="1313"/>
      <c r="D129" s="1314"/>
      <c r="E129" s="1314"/>
      <c r="F129" s="1314"/>
      <c r="G129" s="1316"/>
      <c r="H129" s="1331"/>
      <c r="I129" s="127"/>
      <c r="J129" s="126"/>
      <c r="K129" s="1323"/>
      <c r="L129" s="127"/>
      <c r="M129" s="126"/>
      <c r="N129" s="1323"/>
      <c r="O129" s="127"/>
      <c r="P129" s="126"/>
      <c r="Q129" s="1323"/>
      <c r="R129" s="127"/>
      <c r="S129" s="126"/>
      <c r="T129" s="1323"/>
      <c r="U129" s="127"/>
      <c r="V129" s="126"/>
      <c r="W129" s="1323"/>
      <c r="X129" s="127"/>
      <c r="Y129" s="126"/>
      <c r="Z129" s="1323"/>
      <c r="AA129" s="127"/>
      <c r="AB129" s="126"/>
      <c r="AC129" s="1323"/>
      <c r="AD129" s="127"/>
      <c r="AE129" s="126"/>
      <c r="AF129" s="1323"/>
      <c r="AG129" s="127"/>
      <c r="AH129" s="126"/>
      <c r="AI129" s="1346"/>
      <c r="AJ129" s="1338"/>
      <c r="AK129" s="1317"/>
      <c r="AL129" s="1322"/>
      <c r="AM129" s="1317"/>
      <c r="AN129" s="1317"/>
      <c r="AO129" s="1317"/>
      <c r="AP129" s="1317"/>
      <c r="AQ129" s="1344"/>
      <c r="AR129" s="1339"/>
      <c r="AS129" s="1312"/>
      <c r="AT129" s="1313"/>
      <c r="AU129" s="1314"/>
      <c r="AV129" s="1314"/>
      <c r="AW129" s="1314"/>
      <c r="AX129" s="1316"/>
      <c r="AY129" s="1331"/>
      <c r="AZ129" s="127"/>
      <c r="BA129" s="126"/>
      <c r="BB129" s="1323"/>
      <c r="BC129" s="127"/>
      <c r="BD129" s="126"/>
      <c r="BE129" s="1323"/>
      <c r="BF129" s="127"/>
      <c r="BG129" s="126"/>
      <c r="BH129" s="1323"/>
      <c r="BI129" s="127"/>
      <c r="BJ129" s="126"/>
      <c r="BK129" s="1323"/>
      <c r="BL129" s="127"/>
      <c r="BM129" s="126"/>
      <c r="BN129" s="1323"/>
      <c r="BO129" s="127"/>
      <c r="BP129" s="126"/>
      <c r="BQ129" s="1323"/>
      <c r="BR129" s="127"/>
      <c r="BS129" s="126"/>
      <c r="BT129" s="1323"/>
      <c r="BU129" s="127"/>
      <c r="BV129" s="126"/>
      <c r="BW129" s="1323"/>
      <c r="BX129" s="127"/>
      <c r="BY129" s="126"/>
      <c r="BZ129" s="1346"/>
      <c r="CA129" s="1338"/>
    </row>
    <row r="130" spans="1:79" ht="14.25" customHeight="1" x14ac:dyDescent="0.3">
      <c r="A130" s="1329"/>
      <c r="B130" s="1330"/>
      <c r="C130" s="1331"/>
      <c r="D130" s="1323"/>
      <c r="E130" s="1323"/>
      <c r="F130" s="1323"/>
      <c r="G130" s="1342"/>
      <c r="H130" s="1343"/>
      <c r="I130" s="125"/>
      <c r="J130" s="126"/>
      <c r="K130" s="1341"/>
      <c r="L130" s="125"/>
      <c r="M130" s="126"/>
      <c r="N130" s="1341"/>
      <c r="O130" s="125"/>
      <c r="P130" s="126"/>
      <c r="Q130" s="1341"/>
      <c r="R130" s="125"/>
      <c r="S130" s="126"/>
      <c r="T130" s="1341"/>
      <c r="U130" s="125"/>
      <c r="V130" s="126"/>
      <c r="W130" s="1341"/>
      <c r="X130" s="125"/>
      <c r="Y130" s="126"/>
      <c r="Z130" s="1341"/>
      <c r="AA130" s="125"/>
      <c r="AB130" s="126"/>
      <c r="AC130" s="1341"/>
      <c r="AD130" s="125"/>
      <c r="AE130" s="126"/>
      <c r="AF130" s="1341"/>
      <c r="AG130" s="125"/>
      <c r="AH130" s="126"/>
      <c r="AI130" s="1324" t="s">
        <v>323</v>
      </c>
      <c r="AJ130" s="1338" t="s">
        <v>323</v>
      </c>
      <c r="AK130" s="1317">
        <v>0</v>
      </c>
      <c r="AL130" s="1322">
        <v>0</v>
      </c>
      <c r="AM130" s="1317">
        <v>0</v>
      </c>
      <c r="AN130" s="1317">
        <v>0</v>
      </c>
      <c r="AO130" s="1317">
        <v>0</v>
      </c>
      <c r="AP130" s="1317">
        <v>0</v>
      </c>
      <c r="AQ130" s="1344">
        <v>0</v>
      </c>
      <c r="AR130" s="1329"/>
      <c r="AS130" s="1330"/>
      <c r="AT130" s="1331"/>
      <c r="AU130" s="1323"/>
      <c r="AV130" s="1323"/>
      <c r="AW130" s="1323"/>
      <c r="AX130" s="1342"/>
      <c r="AY130" s="1343"/>
      <c r="AZ130" s="125"/>
      <c r="BA130" s="126"/>
      <c r="BB130" s="1341"/>
      <c r="BC130" s="125"/>
      <c r="BD130" s="126"/>
      <c r="BE130" s="1341"/>
      <c r="BF130" s="125"/>
      <c r="BG130" s="126"/>
      <c r="BH130" s="1341"/>
      <c r="BI130" s="125"/>
      <c r="BJ130" s="126"/>
      <c r="BK130" s="1341"/>
      <c r="BL130" s="125"/>
      <c r="BM130" s="126"/>
      <c r="BN130" s="1341"/>
      <c r="BO130" s="125"/>
      <c r="BP130" s="126"/>
      <c r="BQ130" s="1341"/>
      <c r="BR130" s="125"/>
      <c r="BS130" s="126"/>
      <c r="BT130" s="1341"/>
      <c r="BU130" s="125"/>
      <c r="BV130" s="126"/>
      <c r="BW130" s="1341"/>
      <c r="BX130" s="125"/>
      <c r="BY130" s="126"/>
      <c r="BZ130" s="1324" t="s">
        <v>323</v>
      </c>
      <c r="CA130" s="1338" t="s">
        <v>323</v>
      </c>
    </row>
    <row r="131" spans="1:79" ht="14.25" customHeight="1" x14ac:dyDescent="0.3">
      <c r="A131" s="1329"/>
      <c r="B131" s="1330"/>
      <c r="C131" s="1331"/>
      <c r="D131" s="1323"/>
      <c r="E131" s="1323"/>
      <c r="F131" s="1323"/>
      <c r="G131" s="1342"/>
      <c r="H131" s="1343"/>
      <c r="I131" s="125"/>
      <c r="J131" s="126"/>
      <c r="K131" s="1341"/>
      <c r="L131" s="125"/>
      <c r="M131" s="126"/>
      <c r="N131" s="1341"/>
      <c r="O131" s="125"/>
      <c r="P131" s="126"/>
      <c r="Q131" s="1341"/>
      <c r="R131" s="125"/>
      <c r="S131" s="126"/>
      <c r="T131" s="1341"/>
      <c r="U131" s="125"/>
      <c r="V131" s="126"/>
      <c r="W131" s="1341"/>
      <c r="X131" s="125"/>
      <c r="Y131" s="126"/>
      <c r="Z131" s="1341"/>
      <c r="AA131" s="125"/>
      <c r="AB131" s="126"/>
      <c r="AC131" s="1341"/>
      <c r="AD131" s="125"/>
      <c r="AE131" s="126"/>
      <c r="AF131" s="1341"/>
      <c r="AG131" s="125"/>
      <c r="AH131" s="126"/>
      <c r="AI131" s="1324"/>
      <c r="AJ131" s="1338"/>
      <c r="AK131" s="1317"/>
      <c r="AL131" s="1322"/>
      <c r="AM131" s="1317"/>
      <c r="AN131" s="1317"/>
      <c r="AO131" s="1317"/>
      <c r="AP131" s="1317"/>
      <c r="AQ131" s="1344"/>
      <c r="AR131" s="1329"/>
      <c r="AS131" s="1330"/>
      <c r="AT131" s="1331"/>
      <c r="AU131" s="1323"/>
      <c r="AV131" s="1323"/>
      <c r="AW131" s="1323"/>
      <c r="AX131" s="1342"/>
      <c r="AY131" s="1343"/>
      <c r="AZ131" s="125"/>
      <c r="BA131" s="126"/>
      <c r="BB131" s="1341"/>
      <c r="BC131" s="125"/>
      <c r="BD131" s="126"/>
      <c r="BE131" s="1341"/>
      <c r="BF131" s="125"/>
      <c r="BG131" s="126"/>
      <c r="BH131" s="1341"/>
      <c r="BI131" s="125"/>
      <c r="BJ131" s="126"/>
      <c r="BK131" s="1341"/>
      <c r="BL131" s="125"/>
      <c r="BM131" s="126"/>
      <c r="BN131" s="1341"/>
      <c r="BO131" s="125"/>
      <c r="BP131" s="126"/>
      <c r="BQ131" s="1341"/>
      <c r="BR131" s="125"/>
      <c r="BS131" s="126"/>
      <c r="BT131" s="1341"/>
      <c r="BU131" s="125"/>
      <c r="BV131" s="126"/>
      <c r="BW131" s="1341"/>
      <c r="BX131" s="125"/>
      <c r="BY131" s="126"/>
      <c r="BZ131" s="1324"/>
      <c r="CA131" s="1338"/>
    </row>
    <row r="132" spans="1:79" ht="14.25" customHeight="1" x14ac:dyDescent="0.3">
      <c r="A132" s="1339"/>
      <c r="B132" s="1312"/>
      <c r="C132" s="1313"/>
      <c r="D132" s="1314"/>
      <c r="E132" s="1314"/>
      <c r="F132" s="1314"/>
      <c r="G132" s="1315"/>
      <c r="H132" s="1331"/>
      <c r="I132" s="127"/>
      <c r="J132" s="126"/>
      <c r="K132" s="1323"/>
      <c r="L132" s="127"/>
      <c r="M132" s="126"/>
      <c r="N132" s="1323"/>
      <c r="O132" s="127"/>
      <c r="P132" s="126"/>
      <c r="Q132" s="1323"/>
      <c r="R132" s="127"/>
      <c r="S132" s="126"/>
      <c r="T132" s="1323"/>
      <c r="U132" s="127"/>
      <c r="V132" s="126"/>
      <c r="W132" s="1323"/>
      <c r="X132" s="127"/>
      <c r="Y132" s="126"/>
      <c r="Z132" s="1323"/>
      <c r="AA132" s="127"/>
      <c r="AB132" s="126"/>
      <c r="AC132" s="1323"/>
      <c r="AD132" s="127"/>
      <c r="AE132" s="126"/>
      <c r="AF132" s="1323"/>
      <c r="AG132" s="127"/>
      <c r="AH132" s="126"/>
      <c r="AI132" s="1345" t="s">
        <v>323</v>
      </c>
      <c r="AJ132" s="1338" t="s">
        <v>323</v>
      </c>
      <c r="AK132" s="1317">
        <v>0</v>
      </c>
      <c r="AL132" s="1322">
        <v>0</v>
      </c>
      <c r="AM132" s="1317">
        <v>0</v>
      </c>
      <c r="AN132" s="1317">
        <v>0</v>
      </c>
      <c r="AO132" s="1317">
        <v>0</v>
      </c>
      <c r="AP132" s="1317">
        <v>0</v>
      </c>
      <c r="AQ132" s="1344">
        <v>0</v>
      </c>
      <c r="AR132" s="1339"/>
      <c r="AS132" s="1312"/>
      <c r="AT132" s="1313"/>
      <c r="AU132" s="1314"/>
      <c r="AV132" s="1314"/>
      <c r="AW132" s="1314"/>
      <c r="AX132" s="1315"/>
      <c r="AY132" s="1331"/>
      <c r="AZ132" s="127"/>
      <c r="BA132" s="126"/>
      <c r="BB132" s="1323"/>
      <c r="BC132" s="127"/>
      <c r="BD132" s="126"/>
      <c r="BE132" s="1323"/>
      <c r="BF132" s="127"/>
      <c r="BG132" s="126"/>
      <c r="BH132" s="1323"/>
      <c r="BI132" s="127"/>
      <c r="BJ132" s="126"/>
      <c r="BK132" s="1323"/>
      <c r="BL132" s="127"/>
      <c r="BM132" s="126"/>
      <c r="BN132" s="1323"/>
      <c r="BO132" s="127"/>
      <c r="BP132" s="126"/>
      <c r="BQ132" s="1323"/>
      <c r="BR132" s="127"/>
      <c r="BS132" s="126"/>
      <c r="BT132" s="1323"/>
      <c r="BU132" s="127"/>
      <c r="BV132" s="126"/>
      <c r="BW132" s="1323"/>
      <c r="BX132" s="127"/>
      <c r="BY132" s="126"/>
      <c r="BZ132" s="1345" t="s">
        <v>323</v>
      </c>
      <c r="CA132" s="1338" t="s">
        <v>323</v>
      </c>
    </row>
    <row r="133" spans="1:79" ht="14.25" customHeight="1" thickBot="1" x14ac:dyDescent="0.35">
      <c r="A133" s="1339"/>
      <c r="B133" s="1312"/>
      <c r="C133" s="1313"/>
      <c r="D133" s="1314"/>
      <c r="E133" s="1314"/>
      <c r="F133" s="1314"/>
      <c r="G133" s="1316"/>
      <c r="H133" s="1331"/>
      <c r="I133" s="127"/>
      <c r="J133" s="126"/>
      <c r="K133" s="1323"/>
      <c r="L133" s="127"/>
      <c r="M133" s="126"/>
      <c r="N133" s="1323"/>
      <c r="O133" s="127"/>
      <c r="P133" s="126"/>
      <c r="Q133" s="1323"/>
      <c r="R133" s="127"/>
      <c r="S133" s="126"/>
      <c r="T133" s="1323"/>
      <c r="U133" s="127"/>
      <c r="V133" s="126"/>
      <c r="W133" s="1323"/>
      <c r="X133" s="127"/>
      <c r="Y133" s="126"/>
      <c r="Z133" s="1323"/>
      <c r="AA133" s="127"/>
      <c r="AB133" s="126"/>
      <c r="AC133" s="1323"/>
      <c r="AD133" s="127"/>
      <c r="AE133" s="126"/>
      <c r="AF133" s="1323"/>
      <c r="AG133" s="127"/>
      <c r="AH133" s="126"/>
      <c r="AI133" s="1346"/>
      <c r="AJ133" s="1338"/>
      <c r="AK133" s="1317"/>
      <c r="AL133" s="1322"/>
      <c r="AM133" s="1317"/>
      <c r="AN133" s="1317"/>
      <c r="AO133" s="1317"/>
      <c r="AP133" s="1317"/>
      <c r="AQ133" s="1344"/>
      <c r="AR133" s="1339"/>
      <c r="AS133" s="1312"/>
      <c r="AT133" s="1313"/>
      <c r="AU133" s="1314"/>
      <c r="AV133" s="1314"/>
      <c r="AW133" s="1314"/>
      <c r="AX133" s="1316"/>
      <c r="AY133" s="1331"/>
      <c r="AZ133" s="127"/>
      <c r="BA133" s="126"/>
      <c r="BB133" s="1323"/>
      <c r="BC133" s="127"/>
      <c r="BD133" s="126"/>
      <c r="BE133" s="1323"/>
      <c r="BF133" s="127"/>
      <c r="BG133" s="126"/>
      <c r="BH133" s="1323"/>
      <c r="BI133" s="127"/>
      <c r="BJ133" s="126"/>
      <c r="BK133" s="1323"/>
      <c r="BL133" s="127"/>
      <c r="BM133" s="126"/>
      <c r="BN133" s="1323"/>
      <c r="BO133" s="127"/>
      <c r="BP133" s="126"/>
      <c r="BQ133" s="1323"/>
      <c r="BR133" s="127"/>
      <c r="BS133" s="126"/>
      <c r="BT133" s="1323"/>
      <c r="BU133" s="127"/>
      <c r="BV133" s="126"/>
      <c r="BW133" s="1323"/>
      <c r="BX133" s="127"/>
      <c r="BY133" s="126"/>
      <c r="BZ133" s="1346"/>
      <c r="CA133" s="1338"/>
    </row>
    <row r="134" spans="1:79" ht="14.25" customHeight="1" thickBot="1" x14ac:dyDescent="0.5">
      <c r="A134" s="1347" t="s">
        <v>323</v>
      </c>
      <c r="B134" s="1349" t="s">
        <v>186</v>
      </c>
      <c r="C134" s="1351" t="s">
        <v>323</v>
      </c>
      <c r="D134" s="1352" t="s">
        <v>323</v>
      </c>
      <c r="E134" s="1352" t="s">
        <v>323</v>
      </c>
      <c r="F134" s="1352" t="s">
        <v>323</v>
      </c>
      <c r="G134" s="1352" t="s">
        <v>323</v>
      </c>
      <c r="H134" s="1347" t="s">
        <v>323</v>
      </c>
      <c r="I134" s="128"/>
      <c r="J134" s="128"/>
      <c r="K134" s="1354" t="s">
        <v>323</v>
      </c>
      <c r="L134" s="128"/>
      <c r="M134" s="128"/>
      <c r="N134" s="1354" t="s">
        <v>323</v>
      </c>
      <c r="O134" s="128"/>
      <c r="P134" s="128"/>
      <c r="Q134" s="1354" t="s">
        <v>323</v>
      </c>
      <c r="R134" s="128"/>
      <c r="S134" s="128"/>
      <c r="T134" s="1354" t="s">
        <v>323</v>
      </c>
      <c r="U134" s="128"/>
      <c r="V134" s="128"/>
      <c r="W134" s="1354" t="s">
        <v>323</v>
      </c>
      <c r="X134" s="128"/>
      <c r="Y134" s="129"/>
      <c r="Z134" s="1354" t="s">
        <v>323</v>
      </c>
      <c r="AA134" s="128"/>
      <c r="AB134" s="128"/>
      <c r="AC134" s="1354" t="s">
        <v>323</v>
      </c>
      <c r="AD134" s="128"/>
      <c r="AE134" s="129"/>
      <c r="AF134" s="1354" t="s">
        <v>323</v>
      </c>
      <c r="AG134" s="128"/>
      <c r="AH134" s="128"/>
      <c r="AI134" s="1355" t="s">
        <v>323</v>
      </c>
      <c r="AJ134" s="1355" t="s">
        <v>323</v>
      </c>
      <c r="AK134" s="1362"/>
      <c r="AL134" s="1362"/>
      <c r="AM134" s="1362"/>
      <c r="AN134" s="1362"/>
      <c r="AO134" s="1362"/>
      <c r="AP134" s="1362"/>
      <c r="AQ134" s="138"/>
      <c r="AR134" s="1347" t="s">
        <v>323</v>
      </c>
      <c r="AS134" s="1349" t="s">
        <v>186</v>
      </c>
      <c r="AT134" s="1351" t="s">
        <v>323</v>
      </c>
      <c r="AU134" s="1352" t="s">
        <v>323</v>
      </c>
      <c r="AV134" s="1352" t="s">
        <v>323</v>
      </c>
      <c r="AW134" s="1352" t="s">
        <v>323</v>
      </c>
      <c r="AX134" s="1352" t="s">
        <v>323</v>
      </c>
      <c r="AY134" s="1347" t="s">
        <v>323</v>
      </c>
      <c r="AZ134" s="128"/>
      <c r="BA134" s="128"/>
      <c r="BB134" s="1354" t="s">
        <v>323</v>
      </c>
      <c r="BC134" s="128"/>
      <c r="BD134" s="128"/>
      <c r="BE134" s="1354" t="s">
        <v>323</v>
      </c>
      <c r="BF134" s="128"/>
      <c r="BG134" s="128"/>
      <c r="BH134" s="1354" t="s">
        <v>323</v>
      </c>
      <c r="BI134" s="128"/>
      <c r="BJ134" s="128"/>
      <c r="BK134" s="1354" t="s">
        <v>323</v>
      </c>
      <c r="BL134" s="128"/>
      <c r="BM134" s="128"/>
      <c r="BN134" s="139"/>
      <c r="BO134" s="140"/>
      <c r="BP134" s="140"/>
      <c r="BQ134" s="139"/>
      <c r="BR134" s="140"/>
      <c r="BS134" s="140"/>
      <c r="BT134" s="1354" t="s">
        <v>323</v>
      </c>
      <c r="BU134" s="128"/>
      <c r="BV134" s="129"/>
      <c r="BW134" s="1354" t="s">
        <v>323</v>
      </c>
      <c r="BX134" s="128"/>
      <c r="BY134" s="128"/>
      <c r="BZ134" s="1355" t="s">
        <v>323</v>
      </c>
      <c r="CA134" s="1355" t="s">
        <v>323</v>
      </c>
    </row>
    <row r="135" spans="1:79" ht="14.25" customHeight="1" thickBot="1" x14ac:dyDescent="0.5">
      <c r="A135" s="1348"/>
      <c r="B135" s="1350"/>
      <c r="C135" s="1351"/>
      <c r="D135" s="1352"/>
      <c r="E135" s="1352"/>
      <c r="F135" s="1352"/>
      <c r="G135" s="1352"/>
      <c r="H135" s="1347"/>
      <c r="I135" s="130"/>
      <c r="J135" s="130"/>
      <c r="K135" s="1354"/>
      <c r="L135" s="130"/>
      <c r="M135" s="130"/>
      <c r="N135" s="1354"/>
      <c r="O135" s="130"/>
      <c r="P135" s="130"/>
      <c r="Q135" s="1354"/>
      <c r="R135" s="130"/>
      <c r="S135" s="130"/>
      <c r="T135" s="1354"/>
      <c r="U135" s="130"/>
      <c r="V135" s="130"/>
      <c r="W135" s="1354"/>
      <c r="X135" s="130"/>
      <c r="Y135" s="131"/>
      <c r="Z135" s="1354"/>
      <c r="AA135" s="130"/>
      <c r="AB135" s="130"/>
      <c r="AC135" s="1354"/>
      <c r="AD135" s="130"/>
      <c r="AE135" s="131"/>
      <c r="AF135" s="1354"/>
      <c r="AG135" s="130"/>
      <c r="AH135" s="130"/>
      <c r="AI135" s="1355"/>
      <c r="AJ135" s="1355"/>
      <c r="AK135" s="1362"/>
      <c r="AL135" s="1362"/>
      <c r="AM135" s="1362"/>
      <c r="AN135" s="1362"/>
      <c r="AO135" s="1362"/>
      <c r="AP135" s="1362"/>
      <c r="AQ135" s="141"/>
      <c r="AR135" s="1348"/>
      <c r="AS135" s="1350"/>
      <c r="AT135" s="1351"/>
      <c r="AU135" s="1352"/>
      <c r="AV135" s="1352"/>
      <c r="AW135" s="1352"/>
      <c r="AX135" s="1352"/>
      <c r="AY135" s="1347"/>
      <c r="AZ135" s="130"/>
      <c r="BA135" s="130"/>
      <c r="BB135" s="1354"/>
      <c r="BC135" s="130"/>
      <c r="BD135" s="130"/>
      <c r="BE135" s="1354"/>
      <c r="BF135" s="130"/>
      <c r="BG135" s="130"/>
      <c r="BH135" s="1354"/>
      <c r="BI135" s="130"/>
      <c r="BJ135" s="130"/>
      <c r="BK135" s="1354"/>
      <c r="BL135" s="130"/>
      <c r="BM135" s="130"/>
      <c r="BN135" s="142"/>
      <c r="BO135" s="142"/>
      <c r="BP135" s="142"/>
      <c r="BQ135" s="142"/>
      <c r="BR135" s="142"/>
      <c r="BS135" s="142"/>
      <c r="BT135" s="1354"/>
      <c r="BU135" s="130"/>
      <c r="BV135" s="131"/>
      <c r="BW135" s="1354"/>
      <c r="BX135" s="130"/>
      <c r="BY135" s="130"/>
      <c r="BZ135" s="1355"/>
      <c r="CA135" s="1355"/>
    </row>
    <row r="136" spans="1:79" x14ac:dyDescent="0.3">
      <c r="A136" s="1360" t="s">
        <v>326</v>
      </c>
      <c r="B136" s="1360"/>
      <c r="C136" s="1360"/>
      <c r="D136" s="1360"/>
      <c r="E136" s="1360"/>
      <c r="F136" s="1360"/>
      <c r="G136" s="1360"/>
      <c r="H136" s="1360"/>
      <c r="I136" s="1360"/>
      <c r="J136" s="1360"/>
      <c r="K136" s="1360"/>
      <c r="L136" s="1360"/>
      <c r="M136" s="1360"/>
      <c r="N136" s="1360"/>
      <c r="O136" s="1360"/>
      <c r="P136" s="1360"/>
      <c r="Q136" s="1360"/>
      <c r="R136" s="1360"/>
      <c r="S136" s="1360"/>
      <c r="T136" s="1360"/>
      <c r="U136" s="1360"/>
      <c r="V136" s="1360"/>
      <c r="W136" s="1360"/>
      <c r="X136" s="1360"/>
      <c r="Y136" s="1360"/>
      <c r="Z136" s="1360"/>
      <c r="AA136" s="1360"/>
      <c r="AB136" s="1360"/>
      <c r="AC136" s="1360"/>
      <c r="AD136" s="1360"/>
      <c r="AE136" s="1360"/>
      <c r="AF136" s="1360"/>
      <c r="AG136" s="1360"/>
      <c r="AH136" s="1360"/>
      <c r="AI136" s="1360"/>
      <c r="AJ136" s="1360"/>
      <c r="AK136" s="143"/>
      <c r="AL136" s="143"/>
      <c r="AM136" s="143"/>
      <c r="AN136" s="143"/>
      <c r="AO136" s="143"/>
      <c r="AP136" s="143"/>
      <c r="AQ136" s="143"/>
      <c r="AR136" s="1360" t="s">
        <v>326</v>
      </c>
      <c r="AS136" s="1360"/>
      <c r="AT136" s="1360"/>
      <c r="AU136" s="1360"/>
      <c r="AV136" s="1360"/>
      <c r="AW136" s="1360"/>
      <c r="AX136" s="1360"/>
      <c r="AY136" s="1360"/>
      <c r="AZ136" s="1360"/>
      <c r="BA136" s="1360"/>
      <c r="BB136" s="1360"/>
      <c r="BC136" s="1360"/>
      <c r="BD136" s="1360"/>
      <c r="BE136" s="1360"/>
      <c r="BF136" s="1360"/>
      <c r="BG136" s="1360"/>
      <c r="BH136" s="1360"/>
      <c r="BI136" s="1360"/>
      <c r="BJ136" s="1360"/>
      <c r="BK136" s="1360"/>
      <c r="BL136" s="1360"/>
      <c r="BM136" s="1360"/>
      <c r="BN136" s="1360"/>
      <c r="BO136" s="1360"/>
      <c r="BP136" s="1360"/>
      <c r="BQ136" s="1360"/>
      <c r="BR136" s="1360"/>
      <c r="BS136" s="1360"/>
      <c r="BT136" s="1360"/>
      <c r="BU136" s="1360"/>
      <c r="BV136" s="1360"/>
      <c r="BW136" s="1360"/>
      <c r="BX136" s="1360"/>
      <c r="BY136" s="1360"/>
      <c r="BZ136" s="1360"/>
      <c r="CA136" s="1360"/>
    </row>
    <row r="137" spans="1:79" x14ac:dyDescent="0.3">
      <c r="A137" s="1357" t="s">
        <v>327</v>
      </c>
      <c r="B137" s="1357"/>
      <c r="C137" s="1357"/>
      <c r="D137" s="1357"/>
      <c r="E137" s="1357"/>
      <c r="F137" s="1357"/>
      <c r="G137" s="1357"/>
      <c r="H137" s="1357"/>
      <c r="I137" s="1357"/>
      <c r="J137" s="1357"/>
      <c r="K137" s="1357"/>
      <c r="L137" s="1357"/>
      <c r="M137" s="1357"/>
      <c r="N137" s="1357"/>
      <c r="O137" s="1357"/>
      <c r="P137" s="1357"/>
      <c r="Q137" s="1357"/>
      <c r="R137" s="1357"/>
      <c r="S137" s="1357"/>
      <c r="T137" s="1357"/>
      <c r="U137" s="1357"/>
      <c r="V137" s="1357"/>
      <c r="W137" s="1357"/>
      <c r="X137" s="1357"/>
      <c r="Y137" s="1357"/>
      <c r="Z137" s="1357"/>
      <c r="AA137" s="1357"/>
      <c r="AB137" s="1357"/>
      <c r="AC137" s="1357"/>
      <c r="AD137" s="1357"/>
      <c r="AE137" s="1357"/>
      <c r="AF137" s="1357"/>
      <c r="AG137" s="1357"/>
      <c r="AH137" s="1357"/>
      <c r="AI137" s="1357"/>
      <c r="AJ137" s="1357"/>
      <c r="AK137" s="132"/>
      <c r="AL137" s="132"/>
      <c r="AM137" s="132"/>
      <c r="AN137" s="132"/>
      <c r="AO137" s="132"/>
      <c r="AP137" s="132"/>
      <c r="AQ137" s="132"/>
      <c r="AR137" s="1357" t="s">
        <v>327</v>
      </c>
      <c r="AS137" s="1357"/>
      <c r="AT137" s="1357"/>
      <c r="AU137" s="1357"/>
      <c r="AV137" s="1357"/>
      <c r="AW137" s="1357"/>
      <c r="AX137" s="1357"/>
      <c r="AY137" s="1357"/>
      <c r="AZ137" s="1357"/>
      <c r="BA137" s="1357"/>
      <c r="BB137" s="1357"/>
      <c r="BC137" s="1357"/>
      <c r="BD137" s="1357"/>
      <c r="BE137" s="1357"/>
      <c r="BF137" s="1357"/>
      <c r="BG137" s="1357"/>
      <c r="BH137" s="1357"/>
      <c r="BI137" s="1357"/>
      <c r="BJ137" s="1357"/>
      <c r="BK137" s="1357"/>
      <c r="BL137" s="1357"/>
      <c r="BM137" s="1357"/>
      <c r="BN137" s="1357"/>
      <c r="BO137" s="1357"/>
      <c r="BP137" s="1357"/>
      <c r="BQ137" s="1357"/>
      <c r="BR137" s="1357"/>
      <c r="BS137" s="1357"/>
      <c r="BT137" s="1357"/>
      <c r="BU137" s="1357"/>
      <c r="BV137" s="1357"/>
      <c r="BW137" s="1357"/>
      <c r="BX137" s="1357"/>
      <c r="BY137" s="1357"/>
      <c r="BZ137" s="1357"/>
      <c r="CA137" s="1357"/>
    </row>
    <row r="138" spans="1:79" x14ac:dyDescent="0.3">
      <c r="A138" s="1357" t="s">
        <v>328</v>
      </c>
      <c r="B138" s="1357"/>
      <c r="C138" s="1357"/>
      <c r="D138" s="1357"/>
      <c r="E138" s="1357"/>
      <c r="F138" s="1357"/>
      <c r="G138" s="1357"/>
      <c r="H138" s="1357"/>
      <c r="I138" s="1357"/>
      <c r="J138" s="1357"/>
      <c r="K138" s="1357"/>
      <c r="L138" s="1357"/>
      <c r="M138" s="1357"/>
      <c r="N138" s="1357"/>
      <c r="O138" s="1357"/>
      <c r="P138" s="1357"/>
      <c r="Q138" s="1357"/>
      <c r="R138" s="1357"/>
      <c r="S138" s="1357"/>
      <c r="T138" s="1357"/>
      <c r="U138" s="1357"/>
      <c r="V138" s="1357"/>
      <c r="W138" s="1357"/>
      <c r="X138" s="1357"/>
      <c r="Y138" s="1357"/>
      <c r="Z138" s="1357"/>
      <c r="AA138" s="1357"/>
      <c r="AB138" s="1357"/>
      <c r="AC138" s="1357"/>
      <c r="AD138" s="1357"/>
      <c r="AE138" s="1357"/>
      <c r="AF138" s="1357"/>
      <c r="AG138" s="1357"/>
      <c r="AH138" s="1357"/>
      <c r="AI138" s="1357"/>
      <c r="AJ138" s="1357"/>
      <c r="AK138" s="132"/>
      <c r="AL138" s="132"/>
      <c r="AM138" s="132"/>
      <c r="AN138" s="132"/>
      <c r="AO138" s="132"/>
      <c r="AP138" s="132"/>
      <c r="AQ138" s="132"/>
      <c r="AR138" s="1357" t="s">
        <v>328</v>
      </c>
      <c r="AS138" s="1357"/>
      <c r="AT138" s="1357"/>
      <c r="AU138" s="1357"/>
      <c r="AV138" s="1357"/>
      <c r="AW138" s="1357"/>
      <c r="AX138" s="1357"/>
      <c r="AY138" s="1357"/>
      <c r="AZ138" s="1357"/>
      <c r="BA138" s="1357"/>
      <c r="BB138" s="1357"/>
      <c r="BC138" s="1357"/>
      <c r="BD138" s="1357"/>
      <c r="BE138" s="1357"/>
      <c r="BF138" s="1357"/>
      <c r="BG138" s="1357"/>
      <c r="BH138" s="1357"/>
      <c r="BI138" s="1357"/>
      <c r="BJ138" s="1357"/>
      <c r="BK138" s="1357"/>
      <c r="BL138" s="1357"/>
      <c r="BM138" s="1357"/>
      <c r="BN138" s="1357"/>
      <c r="BO138" s="1357"/>
      <c r="BP138" s="1357"/>
      <c r="BQ138" s="1357"/>
      <c r="BR138" s="1357"/>
      <c r="BS138" s="1357"/>
      <c r="BT138" s="1357"/>
      <c r="BU138" s="1357"/>
      <c r="BV138" s="1357"/>
      <c r="BW138" s="1357"/>
      <c r="BX138" s="1357"/>
      <c r="BY138" s="1357"/>
      <c r="BZ138" s="1357"/>
      <c r="CA138" s="1357"/>
    </row>
    <row r="139" spans="1:79" x14ac:dyDescent="0.3">
      <c r="A139" s="1358" t="s">
        <v>329</v>
      </c>
      <c r="B139" s="1358"/>
      <c r="C139" s="1358"/>
      <c r="D139" s="1358"/>
      <c r="E139" s="1358"/>
      <c r="F139" s="1358"/>
      <c r="G139" s="1358"/>
      <c r="H139" s="1358"/>
      <c r="I139" s="1358"/>
      <c r="J139" s="1358"/>
      <c r="K139" s="1358"/>
      <c r="L139" s="1358"/>
      <c r="M139" s="1358"/>
      <c r="N139" s="1358"/>
      <c r="O139" s="1358"/>
      <c r="P139" s="1358"/>
      <c r="Q139" s="1358"/>
      <c r="R139" s="1358"/>
      <c r="S139" s="1358"/>
      <c r="T139" s="1358"/>
      <c r="U139" s="1358"/>
      <c r="V139" s="1358"/>
      <c r="W139" s="1358"/>
      <c r="X139" s="1358"/>
      <c r="Y139" s="1358"/>
      <c r="Z139" s="1358"/>
      <c r="AA139" s="1358"/>
      <c r="AB139" s="1358"/>
      <c r="AC139" s="1358"/>
      <c r="AD139" s="1358"/>
      <c r="AE139" s="1358"/>
      <c r="AF139" s="1358"/>
      <c r="AG139" s="1358"/>
      <c r="AH139" s="1358"/>
      <c r="AI139" s="1358"/>
      <c r="AJ139" s="1358"/>
      <c r="AK139" s="133"/>
      <c r="AL139" s="133"/>
      <c r="AM139" s="133"/>
      <c r="AN139" s="133"/>
      <c r="AO139" s="133"/>
      <c r="AP139" s="133"/>
      <c r="AQ139" s="133"/>
      <c r="AR139" s="1358" t="s">
        <v>329</v>
      </c>
      <c r="AS139" s="1358"/>
      <c r="AT139" s="1358"/>
      <c r="AU139" s="1358"/>
      <c r="AV139" s="1358"/>
      <c r="AW139" s="1358"/>
      <c r="AX139" s="1358"/>
      <c r="AY139" s="1358"/>
      <c r="AZ139" s="1358"/>
      <c r="BA139" s="1358"/>
      <c r="BB139" s="1358"/>
      <c r="BC139" s="1358"/>
      <c r="BD139" s="1358"/>
      <c r="BE139" s="1358"/>
      <c r="BF139" s="1358"/>
      <c r="BG139" s="1358"/>
      <c r="BH139" s="1358"/>
      <c r="BI139" s="1358"/>
      <c r="BJ139" s="1358"/>
      <c r="BK139" s="1358"/>
      <c r="BL139" s="1358"/>
      <c r="BM139" s="1358"/>
      <c r="BN139" s="1358"/>
      <c r="BO139" s="1358"/>
      <c r="BP139" s="1358"/>
      <c r="BQ139" s="1358"/>
      <c r="BR139" s="1358"/>
      <c r="BS139" s="1358"/>
      <c r="BT139" s="1358"/>
      <c r="BU139" s="1358"/>
      <c r="BV139" s="1358"/>
      <c r="BW139" s="1358"/>
      <c r="BX139" s="1358"/>
      <c r="BY139" s="1358"/>
      <c r="BZ139" s="1358"/>
      <c r="CA139" s="1358"/>
    </row>
    <row r="140" spans="1:79" ht="14.4" thickBot="1" x14ac:dyDescent="0.35">
      <c r="A140" s="1359" t="s">
        <v>330</v>
      </c>
      <c r="B140" s="1359"/>
      <c r="C140" s="1359"/>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59"/>
      <c r="AB140" s="1359"/>
      <c r="AC140" s="1359"/>
      <c r="AD140" s="1359"/>
      <c r="AE140" s="1359"/>
      <c r="AF140" s="1359"/>
      <c r="AG140" s="1359"/>
      <c r="AH140" s="1359"/>
      <c r="AI140" s="1359"/>
      <c r="AJ140" s="1359"/>
      <c r="AK140" s="134"/>
      <c r="AL140" s="134"/>
      <c r="AM140" s="134"/>
      <c r="AN140" s="134"/>
      <c r="AO140" s="134"/>
      <c r="AP140" s="134"/>
      <c r="AQ140" s="134"/>
      <c r="AR140" s="1359" t="s">
        <v>330</v>
      </c>
      <c r="AS140" s="1359"/>
      <c r="AT140" s="1359"/>
      <c r="AU140" s="1359"/>
      <c r="AV140" s="1359"/>
      <c r="AW140" s="1359"/>
      <c r="AX140" s="1359"/>
      <c r="AY140" s="1359"/>
      <c r="AZ140" s="1359"/>
      <c r="BA140" s="1359"/>
      <c r="BB140" s="1359"/>
      <c r="BC140" s="1359"/>
      <c r="BD140" s="1359"/>
      <c r="BE140" s="1359"/>
      <c r="BF140" s="1359"/>
      <c r="BG140" s="1359"/>
      <c r="BH140" s="1359"/>
      <c r="BI140" s="1359"/>
      <c r="BJ140" s="1359"/>
      <c r="BK140" s="1359"/>
      <c r="BL140" s="1359"/>
      <c r="BM140" s="1359"/>
      <c r="BN140" s="1359"/>
      <c r="BO140" s="1359"/>
      <c r="BP140" s="1359"/>
      <c r="BQ140" s="1359"/>
      <c r="BR140" s="1359"/>
      <c r="BS140" s="1359"/>
      <c r="BT140" s="1359"/>
      <c r="BU140" s="1359"/>
      <c r="BV140" s="1359"/>
      <c r="BW140" s="1359"/>
      <c r="BX140" s="1359"/>
      <c r="BY140" s="1359"/>
      <c r="BZ140" s="1359"/>
      <c r="CA140" s="1359"/>
    </row>
  </sheetData>
  <mergeCells count="2755">
    <mergeCell ref="A140:AJ140"/>
    <mergeCell ref="AR140:CA140"/>
    <mergeCell ref="A137:AJ137"/>
    <mergeCell ref="AR137:CA137"/>
    <mergeCell ref="A138:AJ138"/>
    <mergeCell ref="AR138:CA138"/>
    <mergeCell ref="A139:AJ139"/>
    <mergeCell ref="AR139:CA139"/>
    <mergeCell ref="BK134:BK135"/>
    <mergeCell ref="BT134:BT135"/>
    <mergeCell ref="BW134:BW135"/>
    <mergeCell ref="BZ134:BZ135"/>
    <mergeCell ref="CA134:CA135"/>
    <mergeCell ref="A136:AJ136"/>
    <mergeCell ref="AR136:CA136"/>
    <mergeCell ref="AW134:AW135"/>
    <mergeCell ref="AX134:AX135"/>
    <mergeCell ref="AY134:AY135"/>
    <mergeCell ref="BB134:BB135"/>
    <mergeCell ref="BE134:BE135"/>
    <mergeCell ref="BH134:BH135"/>
    <mergeCell ref="AP134:AP135"/>
    <mergeCell ref="AR134:AR135"/>
    <mergeCell ref="AS134:AS135"/>
    <mergeCell ref="AO134:AO135"/>
    <mergeCell ref="T134:T135"/>
    <mergeCell ref="W134:W135"/>
    <mergeCell ref="Z134:Z135"/>
    <mergeCell ref="AC134:AC135"/>
    <mergeCell ref="AF134:AF135"/>
    <mergeCell ref="AI134:AI135"/>
    <mergeCell ref="AN132:AN133"/>
    <mergeCell ref="AO132:AO133"/>
    <mergeCell ref="AP132:AP133"/>
    <mergeCell ref="BQ132:BQ133"/>
    <mergeCell ref="BT132:BT133"/>
    <mergeCell ref="BW132:BW133"/>
    <mergeCell ref="BZ132:BZ133"/>
    <mergeCell ref="Q132:Q133"/>
    <mergeCell ref="T132:T133"/>
    <mergeCell ref="W132:W133"/>
    <mergeCell ref="Z132:Z133"/>
    <mergeCell ref="AJ134:AJ135"/>
    <mergeCell ref="AK134:AK135"/>
    <mergeCell ref="AL134:AL135"/>
    <mergeCell ref="AM134:AM135"/>
    <mergeCell ref="AN134:AN135"/>
    <mergeCell ref="F134:F135"/>
    <mergeCell ref="G134:G135"/>
    <mergeCell ref="H134:H135"/>
    <mergeCell ref="K134:K135"/>
    <mergeCell ref="N134:N135"/>
    <mergeCell ref="Q134:Q135"/>
    <mergeCell ref="AF132:AF133"/>
    <mergeCell ref="AI132:AI133"/>
    <mergeCell ref="AJ132:AJ133"/>
    <mergeCell ref="AK132:AK133"/>
    <mergeCell ref="AL132:AL133"/>
    <mergeCell ref="K132:K133"/>
    <mergeCell ref="N132:N133"/>
    <mergeCell ref="AS130:AS131"/>
    <mergeCell ref="AT130:AT131"/>
    <mergeCell ref="AU130:AU131"/>
    <mergeCell ref="AJ130:AJ131"/>
    <mergeCell ref="AK130:AK131"/>
    <mergeCell ref="AL130:AL131"/>
    <mergeCell ref="AM130:AM131"/>
    <mergeCell ref="CA132:CA133"/>
    <mergeCell ref="A134:A135"/>
    <mergeCell ref="B134:B135"/>
    <mergeCell ref="C134:C135"/>
    <mergeCell ref="D134:D135"/>
    <mergeCell ref="E134:E135"/>
    <mergeCell ref="AY132:AY133"/>
    <mergeCell ref="BB132:BB133"/>
    <mergeCell ref="BE132:BE133"/>
    <mergeCell ref="BH132:BH133"/>
    <mergeCell ref="BK132:BK133"/>
    <mergeCell ref="BN132:BN133"/>
    <mergeCell ref="AS132:AS133"/>
    <mergeCell ref="AT132:AT133"/>
    <mergeCell ref="AU132:AU133"/>
    <mergeCell ref="AV132:AV133"/>
    <mergeCell ref="AW132:AW133"/>
    <mergeCell ref="AX132:AX133"/>
    <mergeCell ref="AM132:AM133"/>
    <mergeCell ref="AQ132:AQ133"/>
    <mergeCell ref="AR132:AR133"/>
    <mergeCell ref="AC132:AC133"/>
    <mergeCell ref="AT134:AT135"/>
    <mergeCell ref="AU134:AU135"/>
    <mergeCell ref="AV134:AV135"/>
    <mergeCell ref="BQ128:BQ129"/>
    <mergeCell ref="BT128:BT129"/>
    <mergeCell ref="BW128:BW129"/>
    <mergeCell ref="N128:N129"/>
    <mergeCell ref="Q128:Q129"/>
    <mergeCell ref="T128:T129"/>
    <mergeCell ref="W128:W129"/>
    <mergeCell ref="Z128:Z129"/>
    <mergeCell ref="BZ130:BZ131"/>
    <mergeCell ref="CA130:CA131"/>
    <mergeCell ref="A132:A133"/>
    <mergeCell ref="B132:B133"/>
    <mergeCell ref="C132:C133"/>
    <mergeCell ref="D132:D133"/>
    <mergeCell ref="E132:E133"/>
    <mergeCell ref="F132:F133"/>
    <mergeCell ref="G132:G133"/>
    <mergeCell ref="H132:H133"/>
    <mergeCell ref="BH130:BH131"/>
    <mergeCell ref="BK130:BK131"/>
    <mergeCell ref="BN130:BN131"/>
    <mergeCell ref="BQ130:BQ131"/>
    <mergeCell ref="BT130:BT131"/>
    <mergeCell ref="BW130:BW131"/>
    <mergeCell ref="AV130:AV131"/>
    <mergeCell ref="AW130:AW131"/>
    <mergeCell ref="AX130:AX131"/>
    <mergeCell ref="AY130:AY131"/>
    <mergeCell ref="BB130:BB131"/>
    <mergeCell ref="BE130:BE131"/>
    <mergeCell ref="AP130:AP131"/>
    <mergeCell ref="AQ130:AQ131"/>
    <mergeCell ref="AR128:AR129"/>
    <mergeCell ref="AC128:AC129"/>
    <mergeCell ref="AF128:AF129"/>
    <mergeCell ref="AI128:AI129"/>
    <mergeCell ref="AJ128:AJ129"/>
    <mergeCell ref="AK128:AK129"/>
    <mergeCell ref="AL128:AL129"/>
    <mergeCell ref="K128:K129"/>
    <mergeCell ref="AN130:AN131"/>
    <mergeCell ref="AO130:AO131"/>
    <mergeCell ref="T130:T131"/>
    <mergeCell ref="W130:W131"/>
    <mergeCell ref="Z130:Z131"/>
    <mergeCell ref="AC130:AC131"/>
    <mergeCell ref="AF130:AF131"/>
    <mergeCell ref="AI130:AI131"/>
    <mergeCell ref="F130:F131"/>
    <mergeCell ref="G130:G131"/>
    <mergeCell ref="H130:H131"/>
    <mergeCell ref="K130:K131"/>
    <mergeCell ref="N130:N131"/>
    <mergeCell ref="Q130:Q131"/>
    <mergeCell ref="AR130:AR131"/>
    <mergeCell ref="AR126:AR127"/>
    <mergeCell ref="AS126:AS127"/>
    <mergeCell ref="AT126:AT127"/>
    <mergeCell ref="AU126:AU127"/>
    <mergeCell ref="AJ126:AJ127"/>
    <mergeCell ref="AK126:AK127"/>
    <mergeCell ref="AL126:AL127"/>
    <mergeCell ref="AM126:AM127"/>
    <mergeCell ref="BZ128:BZ129"/>
    <mergeCell ref="CA128:CA129"/>
    <mergeCell ref="A130:A131"/>
    <mergeCell ref="B130:B131"/>
    <mergeCell ref="C130:C131"/>
    <mergeCell ref="D130:D131"/>
    <mergeCell ref="E130:E131"/>
    <mergeCell ref="AY128:AY129"/>
    <mergeCell ref="BB128:BB129"/>
    <mergeCell ref="BE128:BE129"/>
    <mergeCell ref="BH128:BH129"/>
    <mergeCell ref="BK128:BK129"/>
    <mergeCell ref="BN128:BN129"/>
    <mergeCell ref="AS128:AS129"/>
    <mergeCell ref="AT128:AT129"/>
    <mergeCell ref="AU128:AU129"/>
    <mergeCell ref="AV128:AV129"/>
    <mergeCell ref="AW128:AW129"/>
    <mergeCell ref="AX128:AX129"/>
    <mergeCell ref="AM128:AM129"/>
    <mergeCell ref="AN128:AN129"/>
    <mergeCell ref="AO128:AO129"/>
    <mergeCell ref="AP128:AP129"/>
    <mergeCell ref="AQ128:AQ129"/>
    <mergeCell ref="BQ124:BQ125"/>
    <mergeCell ref="BT124:BT125"/>
    <mergeCell ref="BW124:BW125"/>
    <mergeCell ref="N124:N125"/>
    <mergeCell ref="Q124:Q125"/>
    <mergeCell ref="T124:T125"/>
    <mergeCell ref="W124:W125"/>
    <mergeCell ref="Z124:Z125"/>
    <mergeCell ref="BZ126:BZ127"/>
    <mergeCell ref="CA126:CA127"/>
    <mergeCell ref="A128:A129"/>
    <mergeCell ref="B128:B129"/>
    <mergeCell ref="C128:C129"/>
    <mergeCell ref="D128:D129"/>
    <mergeCell ref="E128:E129"/>
    <mergeCell ref="F128:F129"/>
    <mergeCell ref="G128:G129"/>
    <mergeCell ref="H128:H129"/>
    <mergeCell ref="BH126:BH127"/>
    <mergeCell ref="BK126:BK127"/>
    <mergeCell ref="BN126:BN127"/>
    <mergeCell ref="BQ126:BQ127"/>
    <mergeCell ref="BT126:BT127"/>
    <mergeCell ref="BW126:BW127"/>
    <mergeCell ref="AV126:AV127"/>
    <mergeCell ref="AW126:AW127"/>
    <mergeCell ref="AX126:AX127"/>
    <mergeCell ref="AY126:AY127"/>
    <mergeCell ref="BB126:BB127"/>
    <mergeCell ref="BE126:BE127"/>
    <mergeCell ref="AP126:AP127"/>
    <mergeCell ref="AQ126:AQ127"/>
    <mergeCell ref="AC124:AC125"/>
    <mergeCell ref="AF124:AF125"/>
    <mergeCell ref="AI124:AI125"/>
    <mergeCell ref="AJ124:AJ125"/>
    <mergeCell ref="AK124:AK125"/>
    <mergeCell ref="AL124:AL125"/>
    <mergeCell ref="K124:K125"/>
    <mergeCell ref="AN126:AN127"/>
    <mergeCell ref="AO126:AO127"/>
    <mergeCell ref="T126:T127"/>
    <mergeCell ref="W126:W127"/>
    <mergeCell ref="Z126:Z127"/>
    <mergeCell ref="AC126:AC127"/>
    <mergeCell ref="AF126:AF127"/>
    <mergeCell ref="AI126:AI127"/>
    <mergeCell ref="F126:F127"/>
    <mergeCell ref="G126:G127"/>
    <mergeCell ref="H126:H127"/>
    <mergeCell ref="K126:K127"/>
    <mergeCell ref="N126:N127"/>
    <mergeCell ref="Q126:Q127"/>
    <mergeCell ref="AS122:AS123"/>
    <mergeCell ref="AT122:AT123"/>
    <mergeCell ref="AU122:AU123"/>
    <mergeCell ref="AJ122:AJ123"/>
    <mergeCell ref="AK122:AK123"/>
    <mergeCell ref="AL122:AL123"/>
    <mergeCell ref="AM122:AM123"/>
    <mergeCell ref="BZ124:BZ125"/>
    <mergeCell ref="CA124:CA125"/>
    <mergeCell ref="A126:A127"/>
    <mergeCell ref="B126:B127"/>
    <mergeCell ref="C126:C127"/>
    <mergeCell ref="D126:D127"/>
    <mergeCell ref="E126:E127"/>
    <mergeCell ref="AY124:AY125"/>
    <mergeCell ref="BB124:BB125"/>
    <mergeCell ref="BE124:BE125"/>
    <mergeCell ref="BH124:BH125"/>
    <mergeCell ref="BK124:BK125"/>
    <mergeCell ref="BN124:BN125"/>
    <mergeCell ref="AS124:AS125"/>
    <mergeCell ref="AT124:AT125"/>
    <mergeCell ref="AU124:AU125"/>
    <mergeCell ref="AV124:AV125"/>
    <mergeCell ref="AW124:AW125"/>
    <mergeCell ref="AX124:AX125"/>
    <mergeCell ref="AM124:AM125"/>
    <mergeCell ref="AN124:AN125"/>
    <mergeCell ref="AO124:AO125"/>
    <mergeCell ref="AP124:AP125"/>
    <mergeCell ref="AQ124:AQ125"/>
    <mergeCell ref="AR124:AR125"/>
    <mergeCell ref="BQ120:BQ121"/>
    <mergeCell ref="BT120:BT121"/>
    <mergeCell ref="BW120:BW121"/>
    <mergeCell ref="N120:N121"/>
    <mergeCell ref="Q120:Q121"/>
    <mergeCell ref="T120:T121"/>
    <mergeCell ref="W120:W121"/>
    <mergeCell ref="Z120:Z121"/>
    <mergeCell ref="BZ122:BZ123"/>
    <mergeCell ref="CA122:CA123"/>
    <mergeCell ref="A124:A125"/>
    <mergeCell ref="B124:B125"/>
    <mergeCell ref="C124:C125"/>
    <mergeCell ref="D124:D125"/>
    <mergeCell ref="E124:E125"/>
    <mergeCell ref="F124:F125"/>
    <mergeCell ref="G124:G125"/>
    <mergeCell ref="H124:H125"/>
    <mergeCell ref="BH122:BH123"/>
    <mergeCell ref="BK122:BK123"/>
    <mergeCell ref="BN122:BN123"/>
    <mergeCell ref="BQ122:BQ123"/>
    <mergeCell ref="BT122:BT123"/>
    <mergeCell ref="BW122:BW123"/>
    <mergeCell ref="AV122:AV123"/>
    <mergeCell ref="AW122:AW123"/>
    <mergeCell ref="AX122:AX123"/>
    <mergeCell ref="AY122:AY123"/>
    <mergeCell ref="BB122:BB123"/>
    <mergeCell ref="BE122:BE123"/>
    <mergeCell ref="AP122:AP123"/>
    <mergeCell ref="AQ122:AQ123"/>
    <mergeCell ref="AR120:AR121"/>
    <mergeCell ref="AC120:AC121"/>
    <mergeCell ref="AF120:AF121"/>
    <mergeCell ref="AI120:AI121"/>
    <mergeCell ref="AJ120:AJ121"/>
    <mergeCell ref="AK120:AK121"/>
    <mergeCell ref="AL120:AL121"/>
    <mergeCell ref="K120:K121"/>
    <mergeCell ref="AN122:AN123"/>
    <mergeCell ref="AO122:AO123"/>
    <mergeCell ref="T122:T123"/>
    <mergeCell ref="W122:W123"/>
    <mergeCell ref="Z122:Z123"/>
    <mergeCell ref="AC122:AC123"/>
    <mergeCell ref="AF122:AF123"/>
    <mergeCell ref="AI122:AI123"/>
    <mergeCell ref="F122:F123"/>
    <mergeCell ref="G122:G123"/>
    <mergeCell ref="H122:H123"/>
    <mergeCell ref="K122:K123"/>
    <mergeCell ref="N122:N123"/>
    <mergeCell ref="Q122:Q123"/>
    <mergeCell ref="AR122:AR123"/>
    <mergeCell ref="AR118:AR119"/>
    <mergeCell ref="AS118:AS119"/>
    <mergeCell ref="AT118:AT119"/>
    <mergeCell ref="AU118:AU119"/>
    <mergeCell ref="AJ118:AJ119"/>
    <mergeCell ref="AK118:AK119"/>
    <mergeCell ref="AL118:AL119"/>
    <mergeCell ref="AM118:AM119"/>
    <mergeCell ref="BZ120:BZ121"/>
    <mergeCell ref="CA120:CA121"/>
    <mergeCell ref="A122:A123"/>
    <mergeCell ref="B122:B123"/>
    <mergeCell ref="C122:C123"/>
    <mergeCell ref="D122:D123"/>
    <mergeCell ref="E122:E123"/>
    <mergeCell ref="AY120:AY121"/>
    <mergeCell ref="BB120:BB121"/>
    <mergeCell ref="BE120:BE121"/>
    <mergeCell ref="BH120:BH121"/>
    <mergeCell ref="BK120:BK121"/>
    <mergeCell ref="BN120:BN121"/>
    <mergeCell ref="AS120:AS121"/>
    <mergeCell ref="AT120:AT121"/>
    <mergeCell ref="AU120:AU121"/>
    <mergeCell ref="AV120:AV121"/>
    <mergeCell ref="AW120:AW121"/>
    <mergeCell ref="AX120:AX121"/>
    <mergeCell ref="AM120:AM121"/>
    <mergeCell ref="AN120:AN121"/>
    <mergeCell ref="AO120:AO121"/>
    <mergeCell ref="AP120:AP121"/>
    <mergeCell ref="AQ120:AQ121"/>
    <mergeCell ref="BQ116:BQ117"/>
    <mergeCell ref="BT116:BT117"/>
    <mergeCell ref="BW116:BW117"/>
    <mergeCell ref="N116:N117"/>
    <mergeCell ref="Q116:Q117"/>
    <mergeCell ref="T116:T117"/>
    <mergeCell ref="W116:W117"/>
    <mergeCell ref="Z116:Z117"/>
    <mergeCell ref="BZ118:BZ119"/>
    <mergeCell ref="CA118:CA119"/>
    <mergeCell ref="A120:A121"/>
    <mergeCell ref="B120:B121"/>
    <mergeCell ref="C120:C121"/>
    <mergeCell ref="D120:D121"/>
    <mergeCell ref="E120:E121"/>
    <mergeCell ref="F120:F121"/>
    <mergeCell ref="G120:G121"/>
    <mergeCell ref="H120:H121"/>
    <mergeCell ref="BH118:BH119"/>
    <mergeCell ref="BK118:BK119"/>
    <mergeCell ref="BN118:BN119"/>
    <mergeCell ref="BQ118:BQ119"/>
    <mergeCell ref="BT118:BT119"/>
    <mergeCell ref="BW118:BW119"/>
    <mergeCell ref="AV118:AV119"/>
    <mergeCell ref="AW118:AW119"/>
    <mergeCell ref="AX118:AX119"/>
    <mergeCell ref="AY118:AY119"/>
    <mergeCell ref="BB118:BB119"/>
    <mergeCell ref="BE118:BE119"/>
    <mergeCell ref="AP118:AP119"/>
    <mergeCell ref="AQ118:AQ119"/>
    <mergeCell ref="AC116:AC117"/>
    <mergeCell ref="AF116:AF117"/>
    <mergeCell ref="AI116:AI117"/>
    <mergeCell ref="AJ116:AJ117"/>
    <mergeCell ref="AK116:AK117"/>
    <mergeCell ref="AL116:AL117"/>
    <mergeCell ref="K116:K117"/>
    <mergeCell ref="AN118:AN119"/>
    <mergeCell ref="AO118:AO119"/>
    <mergeCell ref="T118:T119"/>
    <mergeCell ref="W118:W119"/>
    <mergeCell ref="Z118:Z119"/>
    <mergeCell ref="AC118:AC119"/>
    <mergeCell ref="AF118:AF119"/>
    <mergeCell ref="AI118:AI119"/>
    <mergeCell ref="F118:F119"/>
    <mergeCell ref="G118:G119"/>
    <mergeCell ref="H118:H119"/>
    <mergeCell ref="K118:K119"/>
    <mergeCell ref="N118:N119"/>
    <mergeCell ref="Q118:Q119"/>
    <mergeCell ref="AS114:AS115"/>
    <mergeCell ref="AT114:AT115"/>
    <mergeCell ref="AU114:AU115"/>
    <mergeCell ref="AJ114:AJ115"/>
    <mergeCell ref="AK114:AK115"/>
    <mergeCell ref="AL114:AL115"/>
    <mergeCell ref="AM114:AM115"/>
    <mergeCell ref="BZ116:BZ117"/>
    <mergeCell ref="CA116:CA117"/>
    <mergeCell ref="A118:A119"/>
    <mergeCell ref="B118:B119"/>
    <mergeCell ref="C118:C119"/>
    <mergeCell ref="D118:D119"/>
    <mergeCell ref="E118:E119"/>
    <mergeCell ref="AY116:AY117"/>
    <mergeCell ref="BB116:BB117"/>
    <mergeCell ref="BE116:BE117"/>
    <mergeCell ref="BH116:BH117"/>
    <mergeCell ref="BK116:BK117"/>
    <mergeCell ref="BN116:BN117"/>
    <mergeCell ref="AS116:AS117"/>
    <mergeCell ref="AT116:AT117"/>
    <mergeCell ref="AU116:AU117"/>
    <mergeCell ref="AV116:AV117"/>
    <mergeCell ref="AW116:AW117"/>
    <mergeCell ref="AX116:AX117"/>
    <mergeCell ref="AM116:AM117"/>
    <mergeCell ref="AN116:AN117"/>
    <mergeCell ref="AO116:AO117"/>
    <mergeCell ref="AP116:AP117"/>
    <mergeCell ref="AQ116:AQ117"/>
    <mergeCell ref="AR116:AR117"/>
    <mergeCell ref="BQ112:BQ113"/>
    <mergeCell ref="BT112:BT113"/>
    <mergeCell ref="BW112:BW113"/>
    <mergeCell ref="N112:N113"/>
    <mergeCell ref="Q112:Q113"/>
    <mergeCell ref="T112:T113"/>
    <mergeCell ref="W112:W113"/>
    <mergeCell ref="Z112:Z113"/>
    <mergeCell ref="BZ114:BZ115"/>
    <mergeCell ref="CA114:CA115"/>
    <mergeCell ref="A116:A117"/>
    <mergeCell ref="B116:B117"/>
    <mergeCell ref="C116:C117"/>
    <mergeCell ref="D116:D117"/>
    <mergeCell ref="E116:E117"/>
    <mergeCell ref="F116:F117"/>
    <mergeCell ref="G116:G117"/>
    <mergeCell ref="H116:H117"/>
    <mergeCell ref="BH114:BH115"/>
    <mergeCell ref="BK114:BK115"/>
    <mergeCell ref="BN114:BN115"/>
    <mergeCell ref="BQ114:BQ115"/>
    <mergeCell ref="BT114:BT115"/>
    <mergeCell ref="BW114:BW115"/>
    <mergeCell ref="AV114:AV115"/>
    <mergeCell ref="AW114:AW115"/>
    <mergeCell ref="AX114:AX115"/>
    <mergeCell ref="AY114:AY115"/>
    <mergeCell ref="BB114:BB115"/>
    <mergeCell ref="BE114:BE115"/>
    <mergeCell ref="AP114:AP115"/>
    <mergeCell ref="AQ114:AQ115"/>
    <mergeCell ref="AR112:AR113"/>
    <mergeCell ref="AC112:AC113"/>
    <mergeCell ref="AF112:AF113"/>
    <mergeCell ref="AI112:AI113"/>
    <mergeCell ref="AJ112:AJ113"/>
    <mergeCell ref="AK112:AK113"/>
    <mergeCell ref="AL112:AL113"/>
    <mergeCell ref="K112:K113"/>
    <mergeCell ref="AN114:AN115"/>
    <mergeCell ref="AO114:AO115"/>
    <mergeCell ref="T114:T115"/>
    <mergeCell ref="W114:W115"/>
    <mergeCell ref="Z114:Z115"/>
    <mergeCell ref="AC114:AC115"/>
    <mergeCell ref="AF114:AF115"/>
    <mergeCell ref="AI114:AI115"/>
    <mergeCell ref="F114:F115"/>
    <mergeCell ref="G114:G115"/>
    <mergeCell ref="H114:H115"/>
    <mergeCell ref="K114:K115"/>
    <mergeCell ref="N114:N115"/>
    <mergeCell ref="Q114:Q115"/>
    <mergeCell ref="AR114:AR115"/>
    <mergeCell ref="AR110:AR111"/>
    <mergeCell ref="AS110:AS111"/>
    <mergeCell ref="AT110:AT111"/>
    <mergeCell ref="AU110:AU111"/>
    <mergeCell ref="AJ110:AJ111"/>
    <mergeCell ref="AK110:AK111"/>
    <mergeCell ref="AL110:AL111"/>
    <mergeCell ref="AM110:AM111"/>
    <mergeCell ref="BZ112:BZ113"/>
    <mergeCell ref="CA112:CA113"/>
    <mergeCell ref="A114:A115"/>
    <mergeCell ref="B114:B115"/>
    <mergeCell ref="C114:C115"/>
    <mergeCell ref="D114:D115"/>
    <mergeCell ref="E114:E115"/>
    <mergeCell ref="AY112:AY113"/>
    <mergeCell ref="BB112:BB113"/>
    <mergeCell ref="BE112:BE113"/>
    <mergeCell ref="BH112:BH113"/>
    <mergeCell ref="BK112:BK113"/>
    <mergeCell ref="BN112:BN113"/>
    <mergeCell ref="AS112:AS113"/>
    <mergeCell ref="AT112:AT113"/>
    <mergeCell ref="AU112:AU113"/>
    <mergeCell ref="AV112:AV113"/>
    <mergeCell ref="AW112:AW113"/>
    <mergeCell ref="AX112:AX113"/>
    <mergeCell ref="AM112:AM113"/>
    <mergeCell ref="AN112:AN113"/>
    <mergeCell ref="AO112:AO113"/>
    <mergeCell ref="AP112:AP113"/>
    <mergeCell ref="AQ112:AQ113"/>
    <mergeCell ref="BQ108:BQ109"/>
    <mergeCell ref="BT108:BT109"/>
    <mergeCell ref="BW108:BW109"/>
    <mergeCell ref="N108:N109"/>
    <mergeCell ref="Q108:Q109"/>
    <mergeCell ref="T108:T109"/>
    <mergeCell ref="W108:W109"/>
    <mergeCell ref="Z108:Z109"/>
    <mergeCell ref="BZ110:BZ111"/>
    <mergeCell ref="CA110:CA111"/>
    <mergeCell ref="A112:A113"/>
    <mergeCell ref="B112:B113"/>
    <mergeCell ref="C112:C113"/>
    <mergeCell ref="D112:D113"/>
    <mergeCell ref="E112:E113"/>
    <mergeCell ref="F112:F113"/>
    <mergeCell ref="G112:G113"/>
    <mergeCell ref="H112:H113"/>
    <mergeCell ref="BH110:BH111"/>
    <mergeCell ref="BK110:BK111"/>
    <mergeCell ref="BN110:BN111"/>
    <mergeCell ref="BQ110:BQ111"/>
    <mergeCell ref="BT110:BT111"/>
    <mergeCell ref="BW110:BW111"/>
    <mergeCell ref="AV110:AV111"/>
    <mergeCell ref="AW110:AW111"/>
    <mergeCell ref="AX110:AX111"/>
    <mergeCell ref="AY110:AY111"/>
    <mergeCell ref="BB110:BB111"/>
    <mergeCell ref="BE110:BE111"/>
    <mergeCell ref="AP110:AP111"/>
    <mergeCell ref="AQ110:AQ111"/>
    <mergeCell ref="AC108:AC109"/>
    <mergeCell ref="AF108:AF109"/>
    <mergeCell ref="AI108:AI109"/>
    <mergeCell ref="AJ108:AJ109"/>
    <mergeCell ref="AK108:AK109"/>
    <mergeCell ref="AL108:AL109"/>
    <mergeCell ref="K108:K109"/>
    <mergeCell ref="AN110:AN111"/>
    <mergeCell ref="AO110:AO111"/>
    <mergeCell ref="T110:T111"/>
    <mergeCell ref="W110:W111"/>
    <mergeCell ref="Z110:Z111"/>
    <mergeCell ref="AC110:AC111"/>
    <mergeCell ref="AF110:AF111"/>
    <mergeCell ref="AI110:AI111"/>
    <mergeCell ref="F110:F111"/>
    <mergeCell ref="G110:G111"/>
    <mergeCell ref="H110:H111"/>
    <mergeCell ref="K110:K111"/>
    <mergeCell ref="N110:N111"/>
    <mergeCell ref="Q110:Q111"/>
    <mergeCell ref="AS106:AS107"/>
    <mergeCell ref="AT106:AT107"/>
    <mergeCell ref="AU106:AU107"/>
    <mergeCell ref="AJ106:AJ107"/>
    <mergeCell ref="AK106:AK107"/>
    <mergeCell ref="AL106:AL107"/>
    <mergeCell ref="AM106:AM107"/>
    <mergeCell ref="BZ108:BZ109"/>
    <mergeCell ref="CA108:CA109"/>
    <mergeCell ref="A110:A111"/>
    <mergeCell ref="B110:B111"/>
    <mergeCell ref="C110:C111"/>
    <mergeCell ref="D110:D111"/>
    <mergeCell ref="E110:E111"/>
    <mergeCell ref="AY108:AY109"/>
    <mergeCell ref="BB108:BB109"/>
    <mergeCell ref="BE108:BE109"/>
    <mergeCell ref="BH108:BH109"/>
    <mergeCell ref="BK108:BK109"/>
    <mergeCell ref="BN108:BN109"/>
    <mergeCell ref="AS108:AS109"/>
    <mergeCell ref="AT108:AT109"/>
    <mergeCell ref="AU108:AU109"/>
    <mergeCell ref="AV108:AV109"/>
    <mergeCell ref="AW108:AW109"/>
    <mergeCell ref="AX108:AX109"/>
    <mergeCell ref="AM108:AM109"/>
    <mergeCell ref="AN108:AN109"/>
    <mergeCell ref="AO108:AO109"/>
    <mergeCell ref="AP108:AP109"/>
    <mergeCell ref="AQ108:AQ109"/>
    <mergeCell ref="AR108:AR109"/>
    <mergeCell ref="BQ104:BQ105"/>
    <mergeCell ref="BT104:BT105"/>
    <mergeCell ref="BW104:BW105"/>
    <mergeCell ref="N104:N105"/>
    <mergeCell ref="Q104:Q105"/>
    <mergeCell ref="T104:T105"/>
    <mergeCell ref="W104:W105"/>
    <mergeCell ref="Z104:Z105"/>
    <mergeCell ref="BZ106:BZ107"/>
    <mergeCell ref="CA106:CA107"/>
    <mergeCell ref="A108:A109"/>
    <mergeCell ref="B108:B109"/>
    <mergeCell ref="C108:C109"/>
    <mergeCell ref="D108:D109"/>
    <mergeCell ref="E108:E109"/>
    <mergeCell ref="F108:F109"/>
    <mergeCell ref="G108:G109"/>
    <mergeCell ref="H108:H109"/>
    <mergeCell ref="BH106:BH107"/>
    <mergeCell ref="BK106:BK107"/>
    <mergeCell ref="BN106:BN107"/>
    <mergeCell ref="BQ106:BQ107"/>
    <mergeCell ref="BT106:BT107"/>
    <mergeCell ref="BW106:BW107"/>
    <mergeCell ref="AV106:AV107"/>
    <mergeCell ref="AW106:AW107"/>
    <mergeCell ref="AX106:AX107"/>
    <mergeCell ref="AY106:AY107"/>
    <mergeCell ref="BB106:BB107"/>
    <mergeCell ref="BE106:BE107"/>
    <mergeCell ref="AP106:AP107"/>
    <mergeCell ref="AQ106:AQ107"/>
    <mergeCell ref="AR104:AR105"/>
    <mergeCell ref="AC104:AC105"/>
    <mergeCell ref="AF104:AF105"/>
    <mergeCell ref="AI104:AI105"/>
    <mergeCell ref="AJ104:AJ105"/>
    <mergeCell ref="AK104:AK105"/>
    <mergeCell ref="AL104:AL105"/>
    <mergeCell ref="K104:K105"/>
    <mergeCell ref="AN106:AN107"/>
    <mergeCell ref="AO106:AO107"/>
    <mergeCell ref="T106:T107"/>
    <mergeCell ref="W106:W107"/>
    <mergeCell ref="Z106:Z107"/>
    <mergeCell ref="AC106:AC107"/>
    <mergeCell ref="AF106:AF107"/>
    <mergeCell ref="AI106:AI107"/>
    <mergeCell ref="F106:F107"/>
    <mergeCell ref="G106:G107"/>
    <mergeCell ref="H106:H107"/>
    <mergeCell ref="K106:K107"/>
    <mergeCell ref="N106:N107"/>
    <mergeCell ref="Q106:Q107"/>
    <mergeCell ref="AR106:AR107"/>
    <mergeCell ref="AR102:AR103"/>
    <mergeCell ref="AS102:AS103"/>
    <mergeCell ref="AT102:AT103"/>
    <mergeCell ref="AU102:AU103"/>
    <mergeCell ref="AJ102:AJ103"/>
    <mergeCell ref="AK102:AK103"/>
    <mergeCell ref="AL102:AL103"/>
    <mergeCell ref="AM102:AM103"/>
    <mergeCell ref="BZ104:BZ105"/>
    <mergeCell ref="CA104:CA105"/>
    <mergeCell ref="A106:A107"/>
    <mergeCell ref="B106:B107"/>
    <mergeCell ref="C106:C107"/>
    <mergeCell ref="D106:D107"/>
    <mergeCell ref="E106:E107"/>
    <mergeCell ref="AY104:AY105"/>
    <mergeCell ref="BB104:BB105"/>
    <mergeCell ref="BE104:BE105"/>
    <mergeCell ref="BH104:BH105"/>
    <mergeCell ref="BK104:BK105"/>
    <mergeCell ref="BN104:BN105"/>
    <mergeCell ref="AS104:AS105"/>
    <mergeCell ref="AT104:AT105"/>
    <mergeCell ref="AU104:AU105"/>
    <mergeCell ref="AV104:AV105"/>
    <mergeCell ref="AW104:AW105"/>
    <mergeCell ref="AX104:AX105"/>
    <mergeCell ref="AM104:AM105"/>
    <mergeCell ref="AN104:AN105"/>
    <mergeCell ref="AO104:AO105"/>
    <mergeCell ref="AP104:AP105"/>
    <mergeCell ref="AQ104:AQ105"/>
    <mergeCell ref="BQ100:BQ101"/>
    <mergeCell ref="BT100:BT101"/>
    <mergeCell ref="BW100:BW101"/>
    <mergeCell ref="N100:N101"/>
    <mergeCell ref="Q100:Q101"/>
    <mergeCell ref="T100:T101"/>
    <mergeCell ref="W100:W101"/>
    <mergeCell ref="Z100:Z101"/>
    <mergeCell ref="BZ102:BZ103"/>
    <mergeCell ref="CA102:CA103"/>
    <mergeCell ref="A104:A105"/>
    <mergeCell ref="B104:B105"/>
    <mergeCell ref="C104:C105"/>
    <mergeCell ref="D104:D105"/>
    <mergeCell ref="E104:E105"/>
    <mergeCell ref="F104:F105"/>
    <mergeCell ref="G104:G105"/>
    <mergeCell ref="H104:H105"/>
    <mergeCell ref="BH102:BH103"/>
    <mergeCell ref="BK102:BK103"/>
    <mergeCell ref="BN102:BN103"/>
    <mergeCell ref="BQ102:BQ103"/>
    <mergeCell ref="BT102:BT103"/>
    <mergeCell ref="BW102:BW103"/>
    <mergeCell ref="AV102:AV103"/>
    <mergeCell ref="AW102:AW103"/>
    <mergeCell ref="AX102:AX103"/>
    <mergeCell ref="AY102:AY103"/>
    <mergeCell ref="BB102:BB103"/>
    <mergeCell ref="BE102:BE103"/>
    <mergeCell ref="AP102:AP103"/>
    <mergeCell ref="AQ102:AQ103"/>
    <mergeCell ref="AC100:AC101"/>
    <mergeCell ref="AF100:AF101"/>
    <mergeCell ref="AI100:AI101"/>
    <mergeCell ref="AJ100:AJ101"/>
    <mergeCell ref="AK100:AK101"/>
    <mergeCell ref="AL100:AL101"/>
    <mergeCell ref="K100:K101"/>
    <mergeCell ref="AN102:AN103"/>
    <mergeCell ref="AO102:AO103"/>
    <mergeCell ref="T102:T103"/>
    <mergeCell ref="W102:W103"/>
    <mergeCell ref="Z102:Z103"/>
    <mergeCell ref="AC102:AC103"/>
    <mergeCell ref="AF102:AF103"/>
    <mergeCell ref="AI102:AI103"/>
    <mergeCell ref="F102:F103"/>
    <mergeCell ref="G102:G103"/>
    <mergeCell ref="H102:H103"/>
    <mergeCell ref="K102:K103"/>
    <mergeCell ref="N102:N103"/>
    <mergeCell ref="Q102:Q103"/>
    <mergeCell ref="AS98:AS99"/>
    <mergeCell ref="AT98:AT99"/>
    <mergeCell ref="AU98:AU99"/>
    <mergeCell ref="AJ98:AJ99"/>
    <mergeCell ref="AK98:AK99"/>
    <mergeCell ref="AL98:AL99"/>
    <mergeCell ref="AM98:AM99"/>
    <mergeCell ref="BZ100:BZ101"/>
    <mergeCell ref="CA100:CA101"/>
    <mergeCell ref="A102:A103"/>
    <mergeCell ref="B102:B103"/>
    <mergeCell ref="C102:C103"/>
    <mergeCell ref="D102:D103"/>
    <mergeCell ref="E102:E103"/>
    <mergeCell ref="AY100:AY101"/>
    <mergeCell ref="BB100:BB101"/>
    <mergeCell ref="BE100:BE101"/>
    <mergeCell ref="BH100:BH101"/>
    <mergeCell ref="BK100:BK101"/>
    <mergeCell ref="BN100:BN101"/>
    <mergeCell ref="AS100:AS101"/>
    <mergeCell ref="AT100:AT101"/>
    <mergeCell ref="AU100:AU101"/>
    <mergeCell ref="AV100:AV101"/>
    <mergeCell ref="AW100:AW101"/>
    <mergeCell ref="AX100:AX101"/>
    <mergeCell ref="AM100:AM101"/>
    <mergeCell ref="AN100:AN101"/>
    <mergeCell ref="AO100:AO101"/>
    <mergeCell ref="AP100:AP101"/>
    <mergeCell ref="AQ100:AQ101"/>
    <mergeCell ref="AR100:AR101"/>
    <mergeCell ref="BQ96:BQ97"/>
    <mergeCell ref="BT96:BT97"/>
    <mergeCell ref="BW96:BW97"/>
    <mergeCell ref="N96:N97"/>
    <mergeCell ref="Q96:Q97"/>
    <mergeCell ref="T96:T97"/>
    <mergeCell ref="W96:W97"/>
    <mergeCell ref="Z96:Z97"/>
    <mergeCell ref="BZ98:BZ99"/>
    <mergeCell ref="CA98:CA99"/>
    <mergeCell ref="A100:A101"/>
    <mergeCell ref="B100:B101"/>
    <mergeCell ref="C100:C101"/>
    <mergeCell ref="D100:D101"/>
    <mergeCell ref="E100:E101"/>
    <mergeCell ref="F100:F101"/>
    <mergeCell ref="G100:G101"/>
    <mergeCell ref="H100:H101"/>
    <mergeCell ref="BH98:BH99"/>
    <mergeCell ref="BK98:BK99"/>
    <mergeCell ref="BN98:BN99"/>
    <mergeCell ref="BQ98:BQ99"/>
    <mergeCell ref="BT98:BT99"/>
    <mergeCell ref="BW98:BW99"/>
    <mergeCell ref="AV98:AV99"/>
    <mergeCell ref="AW98:AW99"/>
    <mergeCell ref="AX98:AX99"/>
    <mergeCell ref="AY98:AY99"/>
    <mergeCell ref="BB98:BB99"/>
    <mergeCell ref="BE98:BE99"/>
    <mergeCell ref="AP98:AP99"/>
    <mergeCell ref="AQ98:AQ99"/>
    <mergeCell ref="AR96:AR97"/>
    <mergeCell ref="AC96:AC97"/>
    <mergeCell ref="AF96:AF97"/>
    <mergeCell ref="AI96:AI97"/>
    <mergeCell ref="AJ96:AJ97"/>
    <mergeCell ref="AK96:AK97"/>
    <mergeCell ref="AL96:AL97"/>
    <mergeCell ref="K96:K97"/>
    <mergeCell ref="AN98:AN99"/>
    <mergeCell ref="AO98:AO99"/>
    <mergeCell ref="T98:T99"/>
    <mergeCell ref="W98:W99"/>
    <mergeCell ref="Z98:Z99"/>
    <mergeCell ref="AC98:AC99"/>
    <mergeCell ref="AF98:AF99"/>
    <mergeCell ref="AI98:AI99"/>
    <mergeCell ref="F98:F99"/>
    <mergeCell ref="G98:G99"/>
    <mergeCell ref="H98:H99"/>
    <mergeCell ref="K98:K99"/>
    <mergeCell ref="N98:N99"/>
    <mergeCell ref="Q98:Q99"/>
    <mergeCell ref="AR98:AR99"/>
    <mergeCell ref="AR94:AR95"/>
    <mergeCell ref="AS94:AS95"/>
    <mergeCell ref="AT94:AT95"/>
    <mergeCell ref="AU94:AU95"/>
    <mergeCell ref="AJ94:AJ95"/>
    <mergeCell ref="AK94:AK95"/>
    <mergeCell ref="AL94:AL95"/>
    <mergeCell ref="AM94:AM95"/>
    <mergeCell ref="BZ96:BZ97"/>
    <mergeCell ref="CA96:CA97"/>
    <mergeCell ref="A98:A99"/>
    <mergeCell ref="B98:B99"/>
    <mergeCell ref="C98:C99"/>
    <mergeCell ref="D98:D99"/>
    <mergeCell ref="E98:E99"/>
    <mergeCell ref="AY96:AY97"/>
    <mergeCell ref="BB96:BB97"/>
    <mergeCell ref="BE96:BE97"/>
    <mergeCell ref="BH96:BH97"/>
    <mergeCell ref="BK96:BK97"/>
    <mergeCell ref="BN96:BN97"/>
    <mergeCell ref="AS96:AS97"/>
    <mergeCell ref="AT96:AT97"/>
    <mergeCell ref="AU96:AU97"/>
    <mergeCell ref="AV96:AV97"/>
    <mergeCell ref="AW96:AW97"/>
    <mergeCell ref="AX96:AX97"/>
    <mergeCell ref="AM96:AM97"/>
    <mergeCell ref="AN96:AN97"/>
    <mergeCell ref="AO96:AO97"/>
    <mergeCell ref="AP96:AP97"/>
    <mergeCell ref="AQ96:AQ97"/>
    <mergeCell ref="BQ92:BQ93"/>
    <mergeCell ref="BT92:BT93"/>
    <mergeCell ref="BW92:BW93"/>
    <mergeCell ref="N92:N93"/>
    <mergeCell ref="Q92:Q93"/>
    <mergeCell ref="T92:T93"/>
    <mergeCell ref="W92:W93"/>
    <mergeCell ref="Z92:Z93"/>
    <mergeCell ref="BZ94:BZ95"/>
    <mergeCell ref="CA94:CA95"/>
    <mergeCell ref="A96:A97"/>
    <mergeCell ref="B96:B97"/>
    <mergeCell ref="C96:C97"/>
    <mergeCell ref="D96:D97"/>
    <mergeCell ref="E96:E97"/>
    <mergeCell ref="F96:F97"/>
    <mergeCell ref="G96:G97"/>
    <mergeCell ref="H96:H97"/>
    <mergeCell ref="BH94:BH95"/>
    <mergeCell ref="BK94:BK95"/>
    <mergeCell ref="BN94:BN95"/>
    <mergeCell ref="BQ94:BQ95"/>
    <mergeCell ref="BT94:BT95"/>
    <mergeCell ref="BW94:BW95"/>
    <mergeCell ref="AV94:AV95"/>
    <mergeCell ref="AW94:AW95"/>
    <mergeCell ref="AX94:AX95"/>
    <mergeCell ref="AY94:AY95"/>
    <mergeCell ref="BB94:BB95"/>
    <mergeCell ref="BE94:BE95"/>
    <mergeCell ref="AP94:AP95"/>
    <mergeCell ref="AQ94:AQ95"/>
    <mergeCell ref="AC92:AC93"/>
    <mergeCell ref="AF92:AF93"/>
    <mergeCell ref="AI92:AI93"/>
    <mergeCell ref="AJ92:AJ93"/>
    <mergeCell ref="AK92:AK93"/>
    <mergeCell ref="AL92:AL93"/>
    <mergeCell ref="K92:K93"/>
    <mergeCell ref="AN94:AN95"/>
    <mergeCell ref="AO94:AO95"/>
    <mergeCell ref="T94:T95"/>
    <mergeCell ref="W94:W95"/>
    <mergeCell ref="Z94:Z95"/>
    <mergeCell ref="AC94:AC95"/>
    <mergeCell ref="AF94:AF95"/>
    <mergeCell ref="AI94:AI95"/>
    <mergeCell ref="F94:F95"/>
    <mergeCell ref="G94:G95"/>
    <mergeCell ref="H94:H95"/>
    <mergeCell ref="K94:K95"/>
    <mergeCell ref="N94:N95"/>
    <mergeCell ref="Q94:Q95"/>
    <mergeCell ref="AS90:AS91"/>
    <mergeCell ref="AT90:AT91"/>
    <mergeCell ref="AU90:AU91"/>
    <mergeCell ref="AJ90:AJ91"/>
    <mergeCell ref="AK90:AK91"/>
    <mergeCell ref="AL90:AL91"/>
    <mergeCell ref="AM90:AM91"/>
    <mergeCell ref="BZ92:BZ93"/>
    <mergeCell ref="CA92:CA93"/>
    <mergeCell ref="A94:A95"/>
    <mergeCell ref="B94:B95"/>
    <mergeCell ref="C94:C95"/>
    <mergeCell ref="D94:D95"/>
    <mergeCell ref="E94:E95"/>
    <mergeCell ref="AY92:AY93"/>
    <mergeCell ref="BB92:BB93"/>
    <mergeCell ref="BE92:BE93"/>
    <mergeCell ref="BH92:BH93"/>
    <mergeCell ref="BK92:BK93"/>
    <mergeCell ref="BN92:BN93"/>
    <mergeCell ref="AS92:AS93"/>
    <mergeCell ref="AT92:AT93"/>
    <mergeCell ref="AU92:AU93"/>
    <mergeCell ref="AV92:AV93"/>
    <mergeCell ref="AW92:AW93"/>
    <mergeCell ref="AX92:AX93"/>
    <mergeCell ref="AM92:AM93"/>
    <mergeCell ref="AN92:AN93"/>
    <mergeCell ref="AO92:AO93"/>
    <mergeCell ref="AP92:AP93"/>
    <mergeCell ref="AQ92:AQ93"/>
    <mergeCell ref="AR92:AR93"/>
    <mergeCell ref="BQ88:BQ89"/>
    <mergeCell ref="BT88:BT89"/>
    <mergeCell ref="BW88:BW89"/>
    <mergeCell ref="N88:N89"/>
    <mergeCell ref="Q88:Q89"/>
    <mergeCell ref="T88:T89"/>
    <mergeCell ref="W88:W89"/>
    <mergeCell ref="Z88:Z89"/>
    <mergeCell ref="BZ90:BZ91"/>
    <mergeCell ref="CA90:CA91"/>
    <mergeCell ref="A92:A93"/>
    <mergeCell ref="B92:B93"/>
    <mergeCell ref="C92:C93"/>
    <mergeCell ref="D92:D93"/>
    <mergeCell ref="E92:E93"/>
    <mergeCell ref="F92:F93"/>
    <mergeCell ref="G92:G93"/>
    <mergeCell ref="H92:H93"/>
    <mergeCell ref="BH90:BH91"/>
    <mergeCell ref="BK90:BK91"/>
    <mergeCell ref="BN90:BN91"/>
    <mergeCell ref="BQ90:BQ91"/>
    <mergeCell ref="BT90:BT91"/>
    <mergeCell ref="BW90:BW91"/>
    <mergeCell ref="AV90:AV91"/>
    <mergeCell ref="AW90:AW91"/>
    <mergeCell ref="AX90:AX91"/>
    <mergeCell ref="AY90:AY91"/>
    <mergeCell ref="BB90:BB91"/>
    <mergeCell ref="BE90:BE91"/>
    <mergeCell ref="AP90:AP91"/>
    <mergeCell ref="AQ90:AQ91"/>
    <mergeCell ref="AR88:AR89"/>
    <mergeCell ref="AC88:AC89"/>
    <mergeCell ref="AF88:AF89"/>
    <mergeCell ref="AI88:AI89"/>
    <mergeCell ref="AJ88:AJ89"/>
    <mergeCell ref="AK88:AK89"/>
    <mergeCell ref="AL88:AL89"/>
    <mergeCell ref="K88:K89"/>
    <mergeCell ref="AN90:AN91"/>
    <mergeCell ref="AO90:AO91"/>
    <mergeCell ref="T90:T91"/>
    <mergeCell ref="W90:W91"/>
    <mergeCell ref="Z90:Z91"/>
    <mergeCell ref="AC90:AC91"/>
    <mergeCell ref="AF90:AF91"/>
    <mergeCell ref="AI90:AI91"/>
    <mergeCell ref="F90:F91"/>
    <mergeCell ref="G90:G91"/>
    <mergeCell ref="H90:H91"/>
    <mergeCell ref="K90:K91"/>
    <mergeCell ref="N90:N91"/>
    <mergeCell ref="Q90:Q91"/>
    <mergeCell ref="AR90:AR91"/>
    <mergeCell ref="AR86:AR87"/>
    <mergeCell ref="AS86:AS87"/>
    <mergeCell ref="AT86:AT87"/>
    <mergeCell ref="AU86:AU87"/>
    <mergeCell ref="AJ86:AJ87"/>
    <mergeCell ref="AK86:AK87"/>
    <mergeCell ref="AL86:AL87"/>
    <mergeCell ref="AM86:AM87"/>
    <mergeCell ref="BZ88:BZ89"/>
    <mergeCell ref="CA88:CA89"/>
    <mergeCell ref="A90:A91"/>
    <mergeCell ref="B90:B91"/>
    <mergeCell ref="C90:C91"/>
    <mergeCell ref="D90:D91"/>
    <mergeCell ref="E90:E91"/>
    <mergeCell ref="AY88:AY89"/>
    <mergeCell ref="BB88:BB89"/>
    <mergeCell ref="BE88:BE89"/>
    <mergeCell ref="BH88:BH89"/>
    <mergeCell ref="BK88:BK89"/>
    <mergeCell ref="BN88:BN89"/>
    <mergeCell ref="AS88:AS89"/>
    <mergeCell ref="AT88:AT89"/>
    <mergeCell ref="AU88:AU89"/>
    <mergeCell ref="AV88:AV89"/>
    <mergeCell ref="AW88:AW89"/>
    <mergeCell ref="AX88:AX89"/>
    <mergeCell ref="AM88:AM89"/>
    <mergeCell ref="AN88:AN89"/>
    <mergeCell ref="AO88:AO89"/>
    <mergeCell ref="AP88:AP89"/>
    <mergeCell ref="AQ88:AQ89"/>
    <mergeCell ref="BQ84:BQ85"/>
    <mergeCell ref="BT84:BT85"/>
    <mergeCell ref="BW84:BW85"/>
    <mergeCell ref="N84:N85"/>
    <mergeCell ref="Q84:Q85"/>
    <mergeCell ref="T84:T85"/>
    <mergeCell ref="W84:W85"/>
    <mergeCell ref="Z84:Z85"/>
    <mergeCell ref="BZ86:BZ87"/>
    <mergeCell ref="CA86:CA87"/>
    <mergeCell ref="A88:A89"/>
    <mergeCell ref="B88:B89"/>
    <mergeCell ref="C88:C89"/>
    <mergeCell ref="D88:D89"/>
    <mergeCell ref="E88:E89"/>
    <mergeCell ref="F88:F89"/>
    <mergeCell ref="G88:G89"/>
    <mergeCell ref="H88:H89"/>
    <mergeCell ref="BH86:BH87"/>
    <mergeCell ref="BK86:BK87"/>
    <mergeCell ref="BN86:BN87"/>
    <mergeCell ref="BQ86:BQ87"/>
    <mergeCell ref="BT86:BT87"/>
    <mergeCell ref="BW86:BW87"/>
    <mergeCell ref="AV86:AV87"/>
    <mergeCell ref="AW86:AW87"/>
    <mergeCell ref="AX86:AX87"/>
    <mergeCell ref="AY86:AY87"/>
    <mergeCell ref="BB86:BB87"/>
    <mergeCell ref="BE86:BE87"/>
    <mergeCell ref="AP86:AP87"/>
    <mergeCell ref="AQ86:AQ87"/>
    <mergeCell ref="AC84:AC85"/>
    <mergeCell ref="AF84:AF85"/>
    <mergeCell ref="AI84:AI85"/>
    <mergeCell ref="AJ84:AJ85"/>
    <mergeCell ref="AK84:AK85"/>
    <mergeCell ref="AL84:AL85"/>
    <mergeCell ref="K84:K85"/>
    <mergeCell ref="AN86:AN87"/>
    <mergeCell ref="AO86:AO87"/>
    <mergeCell ref="T86:T87"/>
    <mergeCell ref="W86:W87"/>
    <mergeCell ref="Z86:Z87"/>
    <mergeCell ref="AC86:AC87"/>
    <mergeCell ref="AF86:AF87"/>
    <mergeCell ref="AI86:AI87"/>
    <mergeCell ref="F86:F87"/>
    <mergeCell ref="G86:G87"/>
    <mergeCell ref="H86:H87"/>
    <mergeCell ref="K86:K87"/>
    <mergeCell ref="N86:N87"/>
    <mergeCell ref="Q86:Q87"/>
    <mergeCell ref="AS82:AS83"/>
    <mergeCell ref="AT82:AT83"/>
    <mergeCell ref="AU82:AU83"/>
    <mergeCell ref="AJ82:AJ83"/>
    <mergeCell ref="AK82:AK83"/>
    <mergeCell ref="AL82:AL83"/>
    <mergeCell ref="AM82:AM83"/>
    <mergeCell ref="BZ84:BZ85"/>
    <mergeCell ref="CA84:CA85"/>
    <mergeCell ref="A86:A87"/>
    <mergeCell ref="B86:B87"/>
    <mergeCell ref="C86:C87"/>
    <mergeCell ref="D86:D87"/>
    <mergeCell ref="E86:E87"/>
    <mergeCell ref="AY84:AY85"/>
    <mergeCell ref="BB84:BB85"/>
    <mergeCell ref="BE84:BE85"/>
    <mergeCell ref="BH84:BH85"/>
    <mergeCell ref="BK84:BK85"/>
    <mergeCell ref="BN84:BN85"/>
    <mergeCell ref="AS84:AS85"/>
    <mergeCell ref="AT84:AT85"/>
    <mergeCell ref="AU84:AU85"/>
    <mergeCell ref="AV84:AV85"/>
    <mergeCell ref="AW84:AW85"/>
    <mergeCell ref="AX84:AX85"/>
    <mergeCell ref="AM84:AM85"/>
    <mergeCell ref="AN84:AN85"/>
    <mergeCell ref="AO84:AO85"/>
    <mergeCell ref="AP84:AP85"/>
    <mergeCell ref="AQ84:AQ85"/>
    <mergeCell ref="AR84:AR85"/>
    <mergeCell ref="BQ80:BQ81"/>
    <mergeCell ref="BT80:BT81"/>
    <mergeCell ref="BW80:BW81"/>
    <mergeCell ref="N80:N81"/>
    <mergeCell ref="Q80:Q81"/>
    <mergeCell ref="T80:T81"/>
    <mergeCell ref="W80:W81"/>
    <mergeCell ref="Z80:Z81"/>
    <mergeCell ref="BZ82:BZ83"/>
    <mergeCell ref="CA82:CA83"/>
    <mergeCell ref="A84:A85"/>
    <mergeCell ref="B84:B85"/>
    <mergeCell ref="C84:C85"/>
    <mergeCell ref="D84:D85"/>
    <mergeCell ref="E84:E85"/>
    <mergeCell ref="F84:F85"/>
    <mergeCell ref="G84:G85"/>
    <mergeCell ref="H84:H85"/>
    <mergeCell ref="BH82:BH83"/>
    <mergeCell ref="BK82:BK83"/>
    <mergeCell ref="BN82:BN83"/>
    <mergeCell ref="BQ82:BQ83"/>
    <mergeCell ref="BT82:BT83"/>
    <mergeCell ref="BW82:BW83"/>
    <mergeCell ref="AV82:AV83"/>
    <mergeCell ref="AW82:AW83"/>
    <mergeCell ref="AX82:AX83"/>
    <mergeCell ref="AY82:AY83"/>
    <mergeCell ref="BB82:BB83"/>
    <mergeCell ref="BE82:BE83"/>
    <mergeCell ref="AP82:AP83"/>
    <mergeCell ref="AQ82:AQ83"/>
    <mergeCell ref="AR80:AR81"/>
    <mergeCell ref="AC80:AC81"/>
    <mergeCell ref="AF80:AF81"/>
    <mergeCell ref="AI80:AI81"/>
    <mergeCell ref="AJ80:AJ81"/>
    <mergeCell ref="AK80:AK81"/>
    <mergeCell ref="AL80:AL81"/>
    <mergeCell ref="K80:K81"/>
    <mergeCell ref="AN82:AN83"/>
    <mergeCell ref="AO82:AO83"/>
    <mergeCell ref="T82:T83"/>
    <mergeCell ref="W82:W83"/>
    <mergeCell ref="Z82:Z83"/>
    <mergeCell ref="AC82:AC83"/>
    <mergeCell ref="AF82:AF83"/>
    <mergeCell ref="AI82:AI83"/>
    <mergeCell ref="F82:F83"/>
    <mergeCell ref="G82:G83"/>
    <mergeCell ref="H82:H83"/>
    <mergeCell ref="K82:K83"/>
    <mergeCell ref="N82:N83"/>
    <mergeCell ref="Q82:Q83"/>
    <mergeCell ref="AR82:AR83"/>
    <mergeCell ref="AR78:AR79"/>
    <mergeCell ref="AS78:AS79"/>
    <mergeCell ref="AT78:AT79"/>
    <mergeCell ref="AU78:AU79"/>
    <mergeCell ref="AJ78:AJ79"/>
    <mergeCell ref="AK78:AK79"/>
    <mergeCell ref="AL78:AL79"/>
    <mergeCell ref="AM78:AM79"/>
    <mergeCell ref="BZ80:BZ81"/>
    <mergeCell ref="CA80:CA81"/>
    <mergeCell ref="A82:A83"/>
    <mergeCell ref="B82:B83"/>
    <mergeCell ref="C82:C83"/>
    <mergeCell ref="D82:D83"/>
    <mergeCell ref="E82:E83"/>
    <mergeCell ref="AY80:AY81"/>
    <mergeCell ref="BB80:BB81"/>
    <mergeCell ref="BE80:BE81"/>
    <mergeCell ref="BH80:BH81"/>
    <mergeCell ref="BK80:BK81"/>
    <mergeCell ref="BN80:BN81"/>
    <mergeCell ref="AS80:AS81"/>
    <mergeCell ref="AT80:AT81"/>
    <mergeCell ref="AU80:AU81"/>
    <mergeCell ref="AV80:AV81"/>
    <mergeCell ref="AW80:AW81"/>
    <mergeCell ref="AX80:AX81"/>
    <mergeCell ref="AM80:AM81"/>
    <mergeCell ref="AN80:AN81"/>
    <mergeCell ref="AO80:AO81"/>
    <mergeCell ref="AP80:AP81"/>
    <mergeCell ref="AQ80:AQ81"/>
    <mergeCell ref="BQ76:BQ77"/>
    <mergeCell ref="BT76:BT77"/>
    <mergeCell ref="BW76:BW77"/>
    <mergeCell ref="N76:N77"/>
    <mergeCell ref="Q76:Q77"/>
    <mergeCell ref="T76:T77"/>
    <mergeCell ref="W76:W77"/>
    <mergeCell ref="Z76:Z77"/>
    <mergeCell ref="BZ78:BZ79"/>
    <mergeCell ref="CA78:CA79"/>
    <mergeCell ref="A80:A81"/>
    <mergeCell ref="B80:B81"/>
    <mergeCell ref="C80:C81"/>
    <mergeCell ref="D80:D81"/>
    <mergeCell ref="E80:E81"/>
    <mergeCell ref="F80:F81"/>
    <mergeCell ref="G80:G81"/>
    <mergeCell ref="H80:H81"/>
    <mergeCell ref="BH78:BH79"/>
    <mergeCell ref="BK78:BK79"/>
    <mergeCell ref="BN78:BN79"/>
    <mergeCell ref="BQ78:BQ79"/>
    <mergeCell ref="BT78:BT79"/>
    <mergeCell ref="BW78:BW79"/>
    <mergeCell ref="AV78:AV79"/>
    <mergeCell ref="AW78:AW79"/>
    <mergeCell ref="AX78:AX79"/>
    <mergeCell ref="AY78:AY79"/>
    <mergeCell ref="BB78:BB79"/>
    <mergeCell ref="BE78:BE79"/>
    <mergeCell ref="AP78:AP79"/>
    <mergeCell ref="AQ78:AQ79"/>
    <mergeCell ref="AI76:AI77"/>
    <mergeCell ref="AJ76:AJ77"/>
    <mergeCell ref="AK76:AK77"/>
    <mergeCell ref="AL76:AL77"/>
    <mergeCell ref="K76:K77"/>
    <mergeCell ref="AN78:AN79"/>
    <mergeCell ref="AO78:AO79"/>
    <mergeCell ref="T78:T79"/>
    <mergeCell ref="W78:W79"/>
    <mergeCell ref="Z78:Z79"/>
    <mergeCell ref="AC78:AC79"/>
    <mergeCell ref="AF78:AF79"/>
    <mergeCell ref="AI78:AI79"/>
    <mergeCell ref="F78:F79"/>
    <mergeCell ref="G78:G79"/>
    <mergeCell ref="H78:H79"/>
    <mergeCell ref="K78:K79"/>
    <mergeCell ref="N78:N79"/>
    <mergeCell ref="Q78:Q79"/>
    <mergeCell ref="AU74:AU75"/>
    <mergeCell ref="AJ74:AJ75"/>
    <mergeCell ref="AK74:AK75"/>
    <mergeCell ref="AL74:AL75"/>
    <mergeCell ref="AM74:AM75"/>
    <mergeCell ref="BZ76:BZ77"/>
    <mergeCell ref="CA76:CA77"/>
    <mergeCell ref="A78:A79"/>
    <mergeCell ref="B78:B79"/>
    <mergeCell ref="C78:C79"/>
    <mergeCell ref="D78:D79"/>
    <mergeCell ref="E78:E79"/>
    <mergeCell ref="AY76:AY77"/>
    <mergeCell ref="BB76:BB77"/>
    <mergeCell ref="BE76:BE77"/>
    <mergeCell ref="BH76:BH77"/>
    <mergeCell ref="BK76:BK77"/>
    <mergeCell ref="BN76:BN77"/>
    <mergeCell ref="AS76:AS77"/>
    <mergeCell ref="AT76:AT77"/>
    <mergeCell ref="AU76:AU77"/>
    <mergeCell ref="AV76:AV77"/>
    <mergeCell ref="AW76:AW77"/>
    <mergeCell ref="AX76:AX77"/>
    <mergeCell ref="AM76:AM77"/>
    <mergeCell ref="AN76:AN77"/>
    <mergeCell ref="AO76:AO77"/>
    <mergeCell ref="AP76:AP77"/>
    <mergeCell ref="AQ76:AQ77"/>
    <mergeCell ref="AR76:AR77"/>
    <mergeCell ref="AC76:AC77"/>
    <mergeCell ref="AF76:AF77"/>
    <mergeCell ref="N74:N75"/>
    <mergeCell ref="Q74:Q75"/>
    <mergeCell ref="BL73:BM73"/>
    <mergeCell ref="BO73:BP73"/>
    <mergeCell ref="BR73:BS73"/>
    <mergeCell ref="BZ74:BZ75"/>
    <mergeCell ref="CA74:CA75"/>
    <mergeCell ref="A76:A77"/>
    <mergeCell ref="B76:B77"/>
    <mergeCell ref="C76:C77"/>
    <mergeCell ref="D76:D77"/>
    <mergeCell ref="E76:E77"/>
    <mergeCell ref="F76:F77"/>
    <mergeCell ref="G76:G77"/>
    <mergeCell ref="H76:H77"/>
    <mergeCell ref="BH74:BH75"/>
    <mergeCell ref="BK74:BK75"/>
    <mergeCell ref="BN74:BN75"/>
    <mergeCell ref="BQ74:BQ75"/>
    <mergeCell ref="BT74:BT75"/>
    <mergeCell ref="BW74:BW75"/>
    <mergeCell ref="AV74:AV75"/>
    <mergeCell ref="AW74:AW75"/>
    <mergeCell ref="AX74:AX75"/>
    <mergeCell ref="AY74:AY75"/>
    <mergeCell ref="BB74:BB75"/>
    <mergeCell ref="BE74:BE75"/>
    <mergeCell ref="AP74:AP75"/>
    <mergeCell ref="AQ74:AQ75"/>
    <mergeCell ref="AR74:AR75"/>
    <mergeCell ref="AS74:AS75"/>
    <mergeCell ref="AT74:AT75"/>
    <mergeCell ref="BU73:BV73"/>
    <mergeCell ref="BX73:BY73"/>
    <mergeCell ref="A74:A75"/>
    <mergeCell ref="B74:B75"/>
    <mergeCell ref="C74:C75"/>
    <mergeCell ref="D74:D75"/>
    <mergeCell ref="E74:E75"/>
    <mergeCell ref="AD73:AE73"/>
    <mergeCell ref="AG73:AH73"/>
    <mergeCell ref="AZ73:BA73"/>
    <mergeCell ref="BC73:BD73"/>
    <mergeCell ref="BF73:BG73"/>
    <mergeCell ref="BI73:BJ73"/>
    <mergeCell ref="AN74:AN75"/>
    <mergeCell ref="AO74:AO75"/>
    <mergeCell ref="T74:T75"/>
    <mergeCell ref="W74:W75"/>
    <mergeCell ref="Z74:Z75"/>
    <mergeCell ref="AC74:AC75"/>
    <mergeCell ref="AF74:AF75"/>
    <mergeCell ref="AI74:AI75"/>
    <mergeCell ref="F74:F75"/>
    <mergeCell ref="G74:G75"/>
    <mergeCell ref="H74:H75"/>
    <mergeCell ref="I73:J73"/>
    <mergeCell ref="L73:M73"/>
    <mergeCell ref="O73:P73"/>
    <mergeCell ref="R73:S73"/>
    <mergeCell ref="U73:V73"/>
    <mergeCell ref="X73:Y73"/>
    <mergeCell ref="AA73:AB73"/>
    <mergeCell ref="K74:K75"/>
    <mergeCell ref="A68:AJ68"/>
    <mergeCell ref="AR68:CA68"/>
    <mergeCell ref="A69:AJ69"/>
    <mergeCell ref="AR69:CA69"/>
    <mergeCell ref="A70:AJ70"/>
    <mergeCell ref="AR70:CA70"/>
    <mergeCell ref="BZ64:BZ65"/>
    <mergeCell ref="CA64:CA65"/>
    <mergeCell ref="A66:AJ66"/>
    <mergeCell ref="AR66:CA66"/>
    <mergeCell ref="A67:AJ67"/>
    <mergeCell ref="AR67:CA67"/>
    <mergeCell ref="BH64:BH65"/>
    <mergeCell ref="BK64:BK65"/>
    <mergeCell ref="BN64:BN65"/>
    <mergeCell ref="BQ64:BQ65"/>
    <mergeCell ref="BT64:BT65"/>
    <mergeCell ref="BW64:BW65"/>
    <mergeCell ref="AV64:AV65"/>
    <mergeCell ref="AW64:AW65"/>
    <mergeCell ref="AX64:AX65"/>
    <mergeCell ref="AY64:AY65"/>
    <mergeCell ref="BB64:BB65"/>
    <mergeCell ref="BE64:BE65"/>
    <mergeCell ref="AP64:AP65"/>
    <mergeCell ref="AQ64:AQ65"/>
    <mergeCell ref="AR64:AR65"/>
    <mergeCell ref="AS64:AS65"/>
    <mergeCell ref="AT64:AT65"/>
    <mergeCell ref="AU64:AU65"/>
    <mergeCell ref="AJ64:AJ65"/>
    <mergeCell ref="AK64:AK65"/>
    <mergeCell ref="AO64:AO65"/>
    <mergeCell ref="T64:T65"/>
    <mergeCell ref="W64:W65"/>
    <mergeCell ref="Z64:Z65"/>
    <mergeCell ref="AC64:AC65"/>
    <mergeCell ref="AF64:AF65"/>
    <mergeCell ref="AI64:AI65"/>
    <mergeCell ref="F64:F65"/>
    <mergeCell ref="G64:G65"/>
    <mergeCell ref="H64:H65"/>
    <mergeCell ref="K64:K65"/>
    <mergeCell ref="N64:N65"/>
    <mergeCell ref="Q64:Q65"/>
    <mergeCell ref="BQ62:BQ63"/>
    <mergeCell ref="AL62:AL63"/>
    <mergeCell ref="K62:K63"/>
    <mergeCell ref="N62:N63"/>
    <mergeCell ref="Q62:Q63"/>
    <mergeCell ref="T62:T63"/>
    <mergeCell ref="W62:W63"/>
    <mergeCell ref="Z62:Z63"/>
    <mergeCell ref="CA62:CA63"/>
    <mergeCell ref="A64:A65"/>
    <mergeCell ref="B64:B65"/>
    <mergeCell ref="C64:C65"/>
    <mergeCell ref="D64:D65"/>
    <mergeCell ref="E64:E65"/>
    <mergeCell ref="AY62:AY63"/>
    <mergeCell ref="BB62:BB63"/>
    <mergeCell ref="BE62:BE63"/>
    <mergeCell ref="BH62:BH63"/>
    <mergeCell ref="BK62:BK63"/>
    <mergeCell ref="BN62:BN63"/>
    <mergeCell ref="AS62:AS63"/>
    <mergeCell ref="AT62:AT63"/>
    <mergeCell ref="AU62:AU63"/>
    <mergeCell ref="AV62:AV63"/>
    <mergeCell ref="AW62:AW63"/>
    <mergeCell ref="AX62:AX63"/>
    <mergeCell ref="AM62:AM63"/>
    <mergeCell ref="AN62:AN63"/>
    <mergeCell ref="AO62:AO63"/>
    <mergeCell ref="AP62:AP63"/>
    <mergeCell ref="AQ62:AQ63"/>
    <mergeCell ref="AR62:AR63"/>
    <mergeCell ref="AC62:AC63"/>
    <mergeCell ref="AF62:AF63"/>
    <mergeCell ref="AI62:AI63"/>
    <mergeCell ref="AJ62:AJ63"/>
    <mergeCell ref="AK62:AK63"/>
    <mergeCell ref="AL64:AL65"/>
    <mergeCell ref="AM64:AM65"/>
    <mergeCell ref="AN64:AN65"/>
    <mergeCell ref="AX60:AX61"/>
    <mergeCell ref="AY60:AY61"/>
    <mergeCell ref="BB60:BB61"/>
    <mergeCell ref="BE60:BE61"/>
    <mergeCell ref="AP60:AP61"/>
    <mergeCell ref="AQ60:AQ61"/>
    <mergeCell ref="AR60:AR61"/>
    <mergeCell ref="AS60:AS61"/>
    <mergeCell ref="AT60:AT61"/>
    <mergeCell ref="AU60:AU61"/>
    <mergeCell ref="AJ60:AJ61"/>
    <mergeCell ref="AK60:AK61"/>
    <mergeCell ref="AL60:AL61"/>
    <mergeCell ref="AM60:AM61"/>
    <mergeCell ref="BT62:BT63"/>
    <mergeCell ref="BW62:BW63"/>
    <mergeCell ref="BZ62:BZ63"/>
    <mergeCell ref="F60:F61"/>
    <mergeCell ref="G60:G61"/>
    <mergeCell ref="H60:H61"/>
    <mergeCell ref="K60:K61"/>
    <mergeCell ref="N60:N61"/>
    <mergeCell ref="Q60:Q61"/>
    <mergeCell ref="BQ58:BQ59"/>
    <mergeCell ref="BT58:BT59"/>
    <mergeCell ref="BW58:BW59"/>
    <mergeCell ref="N58:N59"/>
    <mergeCell ref="Q58:Q59"/>
    <mergeCell ref="T58:T59"/>
    <mergeCell ref="W58:W59"/>
    <mergeCell ref="Z58:Z59"/>
    <mergeCell ref="BZ60:BZ61"/>
    <mergeCell ref="CA60:CA61"/>
    <mergeCell ref="A62:A63"/>
    <mergeCell ref="B62:B63"/>
    <mergeCell ref="C62:C63"/>
    <mergeCell ref="D62:D63"/>
    <mergeCell ref="E62:E63"/>
    <mergeCell ref="F62:F63"/>
    <mergeCell ref="G62:G63"/>
    <mergeCell ref="H62:H63"/>
    <mergeCell ref="BH60:BH61"/>
    <mergeCell ref="BK60:BK61"/>
    <mergeCell ref="BN60:BN61"/>
    <mergeCell ref="BQ60:BQ61"/>
    <mergeCell ref="BT60:BT61"/>
    <mergeCell ref="BW60:BW61"/>
    <mergeCell ref="AV60:AV61"/>
    <mergeCell ref="AW60:AW61"/>
    <mergeCell ref="AM58:AM59"/>
    <mergeCell ref="AN58:AN59"/>
    <mergeCell ref="AO58:AO59"/>
    <mergeCell ref="AP58:AP59"/>
    <mergeCell ref="AQ58:AQ59"/>
    <mergeCell ref="AR58:AR59"/>
    <mergeCell ref="AC58:AC59"/>
    <mergeCell ref="AF58:AF59"/>
    <mergeCell ref="AI58:AI59"/>
    <mergeCell ref="AJ58:AJ59"/>
    <mergeCell ref="AK58:AK59"/>
    <mergeCell ref="AL58:AL59"/>
    <mergeCell ref="K58:K59"/>
    <mergeCell ref="AN60:AN61"/>
    <mergeCell ref="AO60:AO61"/>
    <mergeCell ref="T60:T61"/>
    <mergeCell ref="W60:W61"/>
    <mergeCell ref="Z60:Z61"/>
    <mergeCell ref="AC60:AC61"/>
    <mergeCell ref="AF60:AF61"/>
    <mergeCell ref="AI60:AI61"/>
    <mergeCell ref="AY56:AY57"/>
    <mergeCell ref="BB56:BB57"/>
    <mergeCell ref="BE56:BE57"/>
    <mergeCell ref="AP56:AP57"/>
    <mergeCell ref="AQ56:AQ57"/>
    <mergeCell ref="AR56:AR57"/>
    <mergeCell ref="AS56:AS57"/>
    <mergeCell ref="AT56:AT57"/>
    <mergeCell ref="AU56:AU57"/>
    <mergeCell ref="AJ56:AJ57"/>
    <mergeCell ref="AK56:AK57"/>
    <mergeCell ref="AL56:AL57"/>
    <mergeCell ref="AM56:AM57"/>
    <mergeCell ref="BZ58:BZ59"/>
    <mergeCell ref="CA58:CA59"/>
    <mergeCell ref="A60:A61"/>
    <mergeCell ref="B60:B61"/>
    <mergeCell ref="C60:C61"/>
    <mergeCell ref="D60:D61"/>
    <mergeCell ref="E60:E61"/>
    <mergeCell ref="AY58:AY59"/>
    <mergeCell ref="BB58:BB59"/>
    <mergeCell ref="BE58:BE59"/>
    <mergeCell ref="BH58:BH59"/>
    <mergeCell ref="BK58:BK59"/>
    <mergeCell ref="BN58:BN59"/>
    <mergeCell ref="AS58:AS59"/>
    <mergeCell ref="AT58:AT59"/>
    <mergeCell ref="AU58:AU59"/>
    <mergeCell ref="AV58:AV59"/>
    <mergeCell ref="AW58:AW59"/>
    <mergeCell ref="AX58:AX59"/>
    <mergeCell ref="F56:F57"/>
    <mergeCell ref="G56:G57"/>
    <mergeCell ref="H56:H57"/>
    <mergeCell ref="K56:K57"/>
    <mergeCell ref="N56:N57"/>
    <mergeCell ref="Q56:Q57"/>
    <mergeCell ref="BQ54:BQ55"/>
    <mergeCell ref="BT54:BT55"/>
    <mergeCell ref="BW54:BW55"/>
    <mergeCell ref="N54:N55"/>
    <mergeCell ref="Q54:Q55"/>
    <mergeCell ref="T54:T55"/>
    <mergeCell ref="W54:W55"/>
    <mergeCell ref="Z54:Z55"/>
    <mergeCell ref="BZ56:BZ57"/>
    <mergeCell ref="CA56:CA57"/>
    <mergeCell ref="A58:A59"/>
    <mergeCell ref="B58:B59"/>
    <mergeCell ref="C58:C59"/>
    <mergeCell ref="D58:D59"/>
    <mergeCell ref="E58:E59"/>
    <mergeCell ref="F58:F59"/>
    <mergeCell ref="G58:G59"/>
    <mergeCell ref="H58:H59"/>
    <mergeCell ref="BH56:BH57"/>
    <mergeCell ref="BK56:BK57"/>
    <mergeCell ref="BN56:BN57"/>
    <mergeCell ref="BQ56:BQ57"/>
    <mergeCell ref="BT56:BT57"/>
    <mergeCell ref="BW56:BW57"/>
    <mergeCell ref="AV56:AV57"/>
    <mergeCell ref="AW56:AW57"/>
    <mergeCell ref="AX54:AX55"/>
    <mergeCell ref="AM54:AM55"/>
    <mergeCell ref="AN54:AN55"/>
    <mergeCell ref="AO54:AO55"/>
    <mergeCell ref="AP54:AP55"/>
    <mergeCell ref="AQ54:AQ55"/>
    <mergeCell ref="AR54:AR55"/>
    <mergeCell ref="AC54:AC55"/>
    <mergeCell ref="AF54:AF55"/>
    <mergeCell ref="AI54:AI55"/>
    <mergeCell ref="AJ54:AJ55"/>
    <mergeCell ref="AK54:AK55"/>
    <mergeCell ref="AL54:AL55"/>
    <mergeCell ref="K54:K55"/>
    <mergeCell ref="AN56:AN57"/>
    <mergeCell ref="AO56:AO57"/>
    <mergeCell ref="T56:T57"/>
    <mergeCell ref="W56:W57"/>
    <mergeCell ref="Z56:Z57"/>
    <mergeCell ref="AC56:AC57"/>
    <mergeCell ref="AF56:AF57"/>
    <mergeCell ref="AI56:AI57"/>
    <mergeCell ref="AX56:AX57"/>
    <mergeCell ref="AX52:AX53"/>
    <mergeCell ref="AY52:AY53"/>
    <mergeCell ref="BB52:BB53"/>
    <mergeCell ref="BE52:BE53"/>
    <mergeCell ref="AP52:AP53"/>
    <mergeCell ref="AQ52:AQ53"/>
    <mergeCell ref="AR52:AR53"/>
    <mergeCell ref="AS52:AS53"/>
    <mergeCell ref="AT52:AT53"/>
    <mergeCell ref="AU52:AU53"/>
    <mergeCell ref="AJ52:AJ53"/>
    <mergeCell ref="AK52:AK53"/>
    <mergeCell ref="AL52:AL53"/>
    <mergeCell ref="AM52:AM53"/>
    <mergeCell ref="BZ54:BZ55"/>
    <mergeCell ref="CA54:CA55"/>
    <mergeCell ref="A56:A57"/>
    <mergeCell ref="B56:B57"/>
    <mergeCell ref="C56:C57"/>
    <mergeCell ref="D56:D57"/>
    <mergeCell ref="E56:E57"/>
    <mergeCell ref="AY54:AY55"/>
    <mergeCell ref="BB54:BB55"/>
    <mergeCell ref="BE54:BE55"/>
    <mergeCell ref="BH54:BH55"/>
    <mergeCell ref="BK54:BK55"/>
    <mergeCell ref="BN54:BN55"/>
    <mergeCell ref="AS54:AS55"/>
    <mergeCell ref="AT54:AT55"/>
    <mergeCell ref="AU54:AU55"/>
    <mergeCell ref="AV54:AV55"/>
    <mergeCell ref="AW54:AW55"/>
    <mergeCell ref="F52:F53"/>
    <mergeCell ref="G52:G53"/>
    <mergeCell ref="H52:H53"/>
    <mergeCell ref="K52:K53"/>
    <mergeCell ref="N52:N53"/>
    <mergeCell ref="Q52:Q53"/>
    <mergeCell ref="BQ50:BQ51"/>
    <mergeCell ref="BT50:BT51"/>
    <mergeCell ref="BW50:BW51"/>
    <mergeCell ref="N50:N51"/>
    <mergeCell ref="Q50:Q51"/>
    <mergeCell ref="T50:T51"/>
    <mergeCell ref="W50:W51"/>
    <mergeCell ref="Z50:Z51"/>
    <mergeCell ref="BZ52:BZ53"/>
    <mergeCell ref="CA52:CA53"/>
    <mergeCell ref="A54:A55"/>
    <mergeCell ref="B54:B55"/>
    <mergeCell ref="C54:C55"/>
    <mergeCell ref="D54:D55"/>
    <mergeCell ref="E54:E55"/>
    <mergeCell ref="F54:F55"/>
    <mergeCell ref="G54:G55"/>
    <mergeCell ref="H54:H55"/>
    <mergeCell ref="BH52:BH53"/>
    <mergeCell ref="BK52:BK53"/>
    <mergeCell ref="BN52:BN53"/>
    <mergeCell ref="BQ52:BQ53"/>
    <mergeCell ref="BT52:BT53"/>
    <mergeCell ref="BW52:BW53"/>
    <mergeCell ref="AV52:AV53"/>
    <mergeCell ref="AW52:AW53"/>
    <mergeCell ref="AM50:AM51"/>
    <mergeCell ref="AN50:AN51"/>
    <mergeCell ref="AO50:AO51"/>
    <mergeCell ref="AP50:AP51"/>
    <mergeCell ref="AQ50:AQ51"/>
    <mergeCell ref="AR50:AR51"/>
    <mergeCell ref="AC50:AC51"/>
    <mergeCell ref="AF50:AF51"/>
    <mergeCell ref="AI50:AI51"/>
    <mergeCell ref="AJ50:AJ51"/>
    <mergeCell ref="AK50:AK51"/>
    <mergeCell ref="AL50:AL51"/>
    <mergeCell ref="K50:K51"/>
    <mergeCell ref="AN52:AN53"/>
    <mergeCell ref="AO52:AO53"/>
    <mergeCell ref="T52:T53"/>
    <mergeCell ref="W52:W53"/>
    <mergeCell ref="Z52:Z53"/>
    <mergeCell ref="AC52:AC53"/>
    <mergeCell ref="AF52:AF53"/>
    <mergeCell ref="AI52:AI53"/>
    <mergeCell ref="AY48:AY49"/>
    <mergeCell ref="BB48:BB49"/>
    <mergeCell ref="BE48:BE49"/>
    <mergeCell ref="AP48:AP49"/>
    <mergeCell ref="AQ48:AQ49"/>
    <mergeCell ref="AR48:AR49"/>
    <mergeCell ref="AS48:AS49"/>
    <mergeCell ref="AT48:AT49"/>
    <mergeCell ref="AU48:AU49"/>
    <mergeCell ref="AJ48:AJ49"/>
    <mergeCell ref="AK48:AK49"/>
    <mergeCell ref="AL48:AL49"/>
    <mergeCell ref="AM48:AM49"/>
    <mergeCell ref="BZ50:BZ51"/>
    <mergeCell ref="CA50:CA51"/>
    <mergeCell ref="A52:A53"/>
    <mergeCell ref="B52:B53"/>
    <mergeCell ref="C52:C53"/>
    <mergeCell ref="D52:D53"/>
    <mergeCell ref="E52:E53"/>
    <mergeCell ref="AY50:AY51"/>
    <mergeCell ref="BB50:BB51"/>
    <mergeCell ref="BE50:BE51"/>
    <mergeCell ref="BH50:BH51"/>
    <mergeCell ref="BK50:BK51"/>
    <mergeCell ref="BN50:BN51"/>
    <mergeCell ref="AS50:AS51"/>
    <mergeCell ref="AT50:AT51"/>
    <mergeCell ref="AU50:AU51"/>
    <mergeCell ref="AV50:AV51"/>
    <mergeCell ref="AW50:AW51"/>
    <mergeCell ref="AX50:AX51"/>
    <mergeCell ref="F48:F49"/>
    <mergeCell ref="G48:G49"/>
    <mergeCell ref="H48:H49"/>
    <mergeCell ref="K48:K49"/>
    <mergeCell ref="N48:N49"/>
    <mergeCell ref="Q48:Q49"/>
    <mergeCell ref="BQ46:BQ47"/>
    <mergeCell ref="BT46:BT47"/>
    <mergeCell ref="BW46:BW47"/>
    <mergeCell ref="N46:N47"/>
    <mergeCell ref="Q46:Q47"/>
    <mergeCell ref="T46:T47"/>
    <mergeCell ref="W46:W47"/>
    <mergeCell ref="Z46:Z47"/>
    <mergeCell ref="BZ48:BZ49"/>
    <mergeCell ref="CA48:CA49"/>
    <mergeCell ref="A50:A51"/>
    <mergeCell ref="B50:B51"/>
    <mergeCell ref="C50:C51"/>
    <mergeCell ref="D50:D51"/>
    <mergeCell ref="E50:E51"/>
    <mergeCell ref="F50:F51"/>
    <mergeCell ref="G50:G51"/>
    <mergeCell ref="H50:H51"/>
    <mergeCell ref="BH48:BH49"/>
    <mergeCell ref="BK48:BK49"/>
    <mergeCell ref="BN48:BN49"/>
    <mergeCell ref="BQ48:BQ49"/>
    <mergeCell ref="BT48:BT49"/>
    <mergeCell ref="BW48:BW49"/>
    <mergeCell ref="AV48:AV49"/>
    <mergeCell ref="AW48:AW49"/>
    <mergeCell ref="AX46:AX47"/>
    <mergeCell ref="AM46:AM47"/>
    <mergeCell ref="AN46:AN47"/>
    <mergeCell ref="AO46:AO47"/>
    <mergeCell ref="AP46:AP47"/>
    <mergeCell ref="AQ46:AQ47"/>
    <mergeCell ref="AR46:AR47"/>
    <mergeCell ref="AC46:AC47"/>
    <mergeCell ref="AF46:AF47"/>
    <mergeCell ref="AI46:AI47"/>
    <mergeCell ref="AJ46:AJ47"/>
    <mergeCell ref="AK46:AK47"/>
    <mergeCell ref="AL46:AL47"/>
    <mergeCell ref="K46:K47"/>
    <mergeCell ref="AN48:AN49"/>
    <mergeCell ref="AO48:AO49"/>
    <mergeCell ref="T48:T49"/>
    <mergeCell ref="W48:W49"/>
    <mergeCell ref="Z48:Z49"/>
    <mergeCell ref="AC48:AC49"/>
    <mergeCell ref="AF48:AF49"/>
    <mergeCell ref="AI48:AI49"/>
    <mergeCell ref="AX48:AX49"/>
    <mergeCell ref="AX44:AX45"/>
    <mergeCell ref="AY44:AY45"/>
    <mergeCell ref="BB44:BB45"/>
    <mergeCell ref="BE44:BE45"/>
    <mergeCell ref="AP44:AP45"/>
    <mergeCell ref="AQ44:AQ45"/>
    <mergeCell ref="AR44:AR45"/>
    <mergeCell ref="AS44:AS45"/>
    <mergeCell ref="AT44:AT45"/>
    <mergeCell ref="AU44:AU45"/>
    <mergeCell ref="AJ44:AJ45"/>
    <mergeCell ref="AK44:AK45"/>
    <mergeCell ref="AL44:AL45"/>
    <mergeCell ref="AM44:AM45"/>
    <mergeCell ref="BZ46:BZ47"/>
    <mergeCell ref="CA46:CA47"/>
    <mergeCell ref="A48:A49"/>
    <mergeCell ref="B48:B49"/>
    <mergeCell ref="C48:C49"/>
    <mergeCell ref="D48:D49"/>
    <mergeCell ref="E48:E49"/>
    <mergeCell ref="AY46:AY47"/>
    <mergeCell ref="BB46:BB47"/>
    <mergeCell ref="BE46:BE47"/>
    <mergeCell ref="BH46:BH47"/>
    <mergeCell ref="BK46:BK47"/>
    <mergeCell ref="BN46:BN47"/>
    <mergeCell ref="AS46:AS47"/>
    <mergeCell ref="AT46:AT47"/>
    <mergeCell ref="AU46:AU47"/>
    <mergeCell ref="AV46:AV47"/>
    <mergeCell ref="AW46:AW47"/>
    <mergeCell ref="F44:F45"/>
    <mergeCell ref="G44:G45"/>
    <mergeCell ref="H44:H45"/>
    <mergeCell ref="K44:K45"/>
    <mergeCell ref="N44:N45"/>
    <mergeCell ref="Q44:Q45"/>
    <mergeCell ref="BQ42:BQ43"/>
    <mergeCell ref="BT42:BT43"/>
    <mergeCell ref="BW42:BW43"/>
    <mergeCell ref="N42:N43"/>
    <mergeCell ref="Q42:Q43"/>
    <mergeCell ref="T42:T43"/>
    <mergeCell ref="W42:W43"/>
    <mergeCell ref="Z42:Z43"/>
    <mergeCell ref="BZ44:BZ45"/>
    <mergeCell ref="CA44:CA45"/>
    <mergeCell ref="A46:A47"/>
    <mergeCell ref="B46:B47"/>
    <mergeCell ref="C46:C47"/>
    <mergeCell ref="D46:D47"/>
    <mergeCell ref="E46:E47"/>
    <mergeCell ref="F46:F47"/>
    <mergeCell ref="G46:G47"/>
    <mergeCell ref="H46:H47"/>
    <mergeCell ref="BH44:BH45"/>
    <mergeCell ref="BK44:BK45"/>
    <mergeCell ref="BN44:BN45"/>
    <mergeCell ref="BQ44:BQ45"/>
    <mergeCell ref="BT44:BT45"/>
    <mergeCell ref="BW44:BW45"/>
    <mergeCell ref="AV44:AV45"/>
    <mergeCell ref="AW44:AW45"/>
    <mergeCell ref="AM42:AM43"/>
    <mergeCell ref="AN42:AN43"/>
    <mergeCell ref="AO42:AO43"/>
    <mergeCell ref="AP42:AP43"/>
    <mergeCell ref="AQ42:AQ43"/>
    <mergeCell ref="AR42:AR43"/>
    <mergeCell ref="AC42:AC43"/>
    <mergeCell ref="AF42:AF43"/>
    <mergeCell ref="AI42:AI43"/>
    <mergeCell ref="AJ42:AJ43"/>
    <mergeCell ref="AK42:AK43"/>
    <mergeCell ref="AL42:AL43"/>
    <mergeCell ref="K42:K43"/>
    <mergeCell ref="AN44:AN45"/>
    <mergeCell ref="AO44:AO45"/>
    <mergeCell ref="T44:T45"/>
    <mergeCell ref="W44:W45"/>
    <mergeCell ref="Z44:Z45"/>
    <mergeCell ref="AC44:AC45"/>
    <mergeCell ref="AF44:AF45"/>
    <mergeCell ref="AI44:AI45"/>
    <mergeCell ref="AY40:AY41"/>
    <mergeCell ref="BB40:BB41"/>
    <mergeCell ref="BE40:BE41"/>
    <mergeCell ref="AP40:AP41"/>
    <mergeCell ref="AQ40:AQ41"/>
    <mergeCell ref="AR40:AR41"/>
    <mergeCell ref="AS40:AS41"/>
    <mergeCell ref="AT40:AT41"/>
    <mergeCell ref="AU40:AU41"/>
    <mergeCell ref="AJ40:AJ41"/>
    <mergeCell ref="AK40:AK41"/>
    <mergeCell ref="AL40:AL41"/>
    <mergeCell ref="AM40:AM41"/>
    <mergeCell ref="BZ42:BZ43"/>
    <mergeCell ref="CA42:CA43"/>
    <mergeCell ref="A44:A45"/>
    <mergeCell ref="B44:B45"/>
    <mergeCell ref="C44:C45"/>
    <mergeCell ref="D44:D45"/>
    <mergeCell ref="E44:E45"/>
    <mergeCell ref="AY42:AY43"/>
    <mergeCell ref="BB42:BB43"/>
    <mergeCell ref="BE42:BE43"/>
    <mergeCell ref="BH42:BH43"/>
    <mergeCell ref="BK42:BK43"/>
    <mergeCell ref="BN42:BN43"/>
    <mergeCell ref="AS42:AS43"/>
    <mergeCell ref="AT42:AT43"/>
    <mergeCell ref="AU42:AU43"/>
    <mergeCell ref="AV42:AV43"/>
    <mergeCell ref="AW42:AW43"/>
    <mergeCell ref="AX42:AX43"/>
    <mergeCell ref="F40:F41"/>
    <mergeCell ref="G40:G41"/>
    <mergeCell ref="H40:H41"/>
    <mergeCell ref="K40:K41"/>
    <mergeCell ref="N40:N41"/>
    <mergeCell ref="Q40:Q41"/>
    <mergeCell ref="BQ38:BQ39"/>
    <mergeCell ref="BT38:BT39"/>
    <mergeCell ref="BW38:BW39"/>
    <mergeCell ref="N38:N39"/>
    <mergeCell ref="Q38:Q39"/>
    <mergeCell ref="T38:T39"/>
    <mergeCell ref="W38:W39"/>
    <mergeCell ref="Z38:Z39"/>
    <mergeCell ref="BZ40:BZ41"/>
    <mergeCell ref="CA40:CA41"/>
    <mergeCell ref="A42:A43"/>
    <mergeCell ref="B42:B43"/>
    <mergeCell ref="C42:C43"/>
    <mergeCell ref="D42:D43"/>
    <mergeCell ref="E42:E43"/>
    <mergeCell ref="F42:F43"/>
    <mergeCell ref="G42:G43"/>
    <mergeCell ref="H42:H43"/>
    <mergeCell ref="BH40:BH41"/>
    <mergeCell ref="BK40:BK41"/>
    <mergeCell ref="BN40:BN41"/>
    <mergeCell ref="BQ40:BQ41"/>
    <mergeCell ref="BT40:BT41"/>
    <mergeCell ref="BW40:BW41"/>
    <mergeCell ref="AV40:AV41"/>
    <mergeCell ref="AW40:AW41"/>
    <mergeCell ref="AX38:AX39"/>
    <mergeCell ref="AM38:AM39"/>
    <mergeCell ref="AN38:AN39"/>
    <mergeCell ref="AO38:AO39"/>
    <mergeCell ref="AP38:AP39"/>
    <mergeCell ref="AQ38:AQ39"/>
    <mergeCell ref="AR38:AR39"/>
    <mergeCell ref="AC38:AC39"/>
    <mergeCell ref="AF38:AF39"/>
    <mergeCell ref="AI38:AI39"/>
    <mergeCell ref="AJ38:AJ39"/>
    <mergeCell ref="AK38:AK39"/>
    <mergeCell ref="AL38:AL39"/>
    <mergeCell ref="K38:K39"/>
    <mergeCell ref="AN40:AN41"/>
    <mergeCell ref="AO40:AO41"/>
    <mergeCell ref="T40:T41"/>
    <mergeCell ref="W40:W41"/>
    <mergeCell ref="Z40:Z41"/>
    <mergeCell ref="AC40:AC41"/>
    <mergeCell ref="AF40:AF41"/>
    <mergeCell ref="AI40:AI41"/>
    <mergeCell ref="AX40:AX41"/>
    <mergeCell ref="AX36:AX37"/>
    <mergeCell ref="AY36:AY37"/>
    <mergeCell ref="BB36:BB37"/>
    <mergeCell ref="BE36:BE37"/>
    <mergeCell ref="AP36:AP37"/>
    <mergeCell ref="AQ36:AQ37"/>
    <mergeCell ref="AR36:AR37"/>
    <mergeCell ref="AS36:AS37"/>
    <mergeCell ref="AT36:AT37"/>
    <mergeCell ref="AU36:AU37"/>
    <mergeCell ref="AJ36:AJ37"/>
    <mergeCell ref="AK36:AK37"/>
    <mergeCell ref="AL36:AL37"/>
    <mergeCell ref="AM36:AM37"/>
    <mergeCell ref="BZ38:BZ39"/>
    <mergeCell ref="CA38:CA39"/>
    <mergeCell ref="A40:A41"/>
    <mergeCell ref="B40:B41"/>
    <mergeCell ref="C40:C41"/>
    <mergeCell ref="D40:D41"/>
    <mergeCell ref="E40:E41"/>
    <mergeCell ref="AY38:AY39"/>
    <mergeCell ref="BB38:BB39"/>
    <mergeCell ref="BE38:BE39"/>
    <mergeCell ref="BH38:BH39"/>
    <mergeCell ref="BK38:BK39"/>
    <mergeCell ref="BN38:BN39"/>
    <mergeCell ref="AS38:AS39"/>
    <mergeCell ref="AT38:AT39"/>
    <mergeCell ref="AU38:AU39"/>
    <mergeCell ref="AV38:AV39"/>
    <mergeCell ref="AW38:AW39"/>
    <mergeCell ref="F36:F37"/>
    <mergeCell ref="G36:G37"/>
    <mergeCell ref="H36:H37"/>
    <mergeCell ref="K36:K37"/>
    <mergeCell ref="N36:N37"/>
    <mergeCell ref="Q36:Q37"/>
    <mergeCell ref="BQ34:BQ35"/>
    <mergeCell ref="BT34:BT35"/>
    <mergeCell ref="BW34:BW35"/>
    <mergeCell ref="N34:N35"/>
    <mergeCell ref="Q34:Q35"/>
    <mergeCell ref="T34:T35"/>
    <mergeCell ref="W34:W35"/>
    <mergeCell ref="Z34:Z35"/>
    <mergeCell ref="BZ36:BZ37"/>
    <mergeCell ref="CA36:CA37"/>
    <mergeCell ref="A38:A39"/>
    <mergeCell ref="B38:B39"/>
    <mergeCell ref="C38:C39"/>
    <mergeCell ref="D38:D39"/>
    <mergeCell ref="E38:E39"/>
    <mergeCell ref="F38:F39"/>
    <mergeCell ref="G38:G39"/>
    <mergeCell ref="H38:H39"/>
    <mergeCell ref="BH36:BH37"/>
    <mergeCell ref="BK36:BK37"/>
    <mergeCell ref="BN36:BN37"/>
    <mergeCell ref="BQ36:BQ37"/>
    <mergeCell ref="BT36:BT37"/>
    <mergeCell ref="BW36:BW37"/>
    <mergeCell ref="AV36:AV37"/>
    <mergeCell ref="AW36:AW37"/>
    <mergeCell ref="AM34:AM35"/>
    <mergeCell ref="AN34:AN35"/>
    <mergeCell ref="AO34:AO35"/>
    <mergeCell ref="AP34:AP35"/>
    <mergeCell ref="AQ34:AQ35"/>
    <mergeCell ref="AR34:AR35"/>
    <mergeCell ref="AC34:AC35"/>
    <mergeCell ref="AF34:AF35"/>
    <mergeCell ref="AI34:AI35"/>
    <mergeCell ref="AJ34:AJ35"/>
    <mergeCell ref="AK34:AK35"/>
    <mergeCell ref="AL34:AL35"/>
    <mergeCell ref="K34:K35"/>
    <mergeCell ref="AN36:AN37"/>
    <mergeCell ref="AO36:AO37"/>
    <mergeCell ref="T36:T37"/>
    <mergeCell ref="W36:W37"/>
    <mergeCell ref="Z36:Z37"/>
    <mergeCell ref="AC36:AC37"/>
    <mergeCell ref="AF36:AF37"/>
    <mergeCell ref="AI36:AI37"/>
    <mergeCell ref="AY32:AY33"/>
    <mergeCell ref="BB32:BB33"/>
    <mergeCell ref="BE32:BE33"/>
    <mergeCell ref="AP32:AP33"/>
    <mergeCell ref="AQ32:AQ33"/>
    <mergeCell ref="AR32:AR33"/>
    <mergeCell ref="AS32:AS33"/>
    <mergeCell ref="AT32:AT33"/>
    <mergeCell ref="AU32:AU33"/>
    <mergeCell ref="AJ32:AJ33"/>
    <mergeCell ref="AK32:AK33"/>
    <mergeCell ref="AL32:AL33"/>
    <mergeCell ref="AM32:AM33"/>
    <mergeCell ref="BZ34:BZ35"/>
    <mergeCell ref="CA34:CA35"/>
    <mergeCell ref="A36:A37"/>
    <mergeCell ref="B36:B37"/>
    <mergeCell ref="C36:C37"/>
    <mergeCell ref="D36:D37"/>
    <mergeCell ref="E36:E37"/>
    <mergeCell ref="AY34:AY35"/>
    <mergeCell ref="BB34:BB35"/>
    <mergeCell ref="BE34:BE35"/>
    <mergeCell ref="BH34:BH35"/>
    <mergeCell ref="BK34:BK35"/>
    <mergeCell ref="BN34:BN35"/>
    <mergeCell ref="AS34:AS35"/>
    <mergeCell ref="AT34:AT35"/>
    <mergeCell ref="AU34:AU35"/>
    <mergeCell ref="AV34:AV35"/>
    <mergeCell ref="AW34:AW35"/>
    <mergeCell ref="AX34:AX35"/>
    <mergeCell ref="F32:F33"/>
    <mergeCell ref="G32:G33"/>
    <mergeCell ref="H32:H33"/>
    <mergeCell ref="K32:K33"/>
    <mergeCell ref="N32:N33"/>
    <mergeCell ref="Q32:Q33"/>
    <mergeCell ref="BQ30:BQ31"/>
    <mergeCell ref="BT30:BT31"/>
    <mergeCell ref="BW30:BW31"/>
    <mergeCell ref="N30:N31"/>
    <mergeCell ref="Q30:Q31"/>
    <mergeCell ref="T30:T31"/>
    <mergeCell ref="W30:W31"/>
    <mergeCell ref="Z30:Z31"/>
    <mergeCell ref="BZ32:BZ33"/>
    <mergeCell ref="CA32:CA33"/>
    <mergeCell ref="A34:A35"/>
    <mergeCell ref="B34:B35"/>
    <mergeCell ref="C34:C35"/>
    <mergeCell ref="D34:D35"/>
    <mergeCell ref="E34:E35"/>
    <mergeCell ref="F34:F35"/>
    <mergeCell ref="G34:G35"/>
    <mergeCell ref="H34:H35"/>
    <mergeCell ref="BH32:BH33"/>
    <mergeCell ref="BK32:BK33"/>
    <mergeCell ref="BN32:BN33"/>
    <mergeCell ref="BQ32:BQ33"/>
    <mergeCell ref="BT32:BT33"/>
    <mergeCell ref="BW32:BW33"/>
    <mergeCell ref="AV32:AV33"/>
    <mergeCell ref="AW32:AW33"/>
    <mergeCell ref="AX30:AX31"/>
    <mergeCell ref="AM30:AM31"/>
    <mergeCell ref="AN30:AN31"/>
    <mergeCell ref="AO30:AO31"/>
    <mergeCell ref="AP30:AP31"/>
    <mergeCell ref="AQ30:AQ31"/>
    <mergeCell ref="AR30:AR31"/>
    <mergeCell ref="AC30:AC31"/>
    <mergeCell ref="AF30:AF31"/>
    <mergeCell ref="AI30:AI31"/>
    <mergeCell ref="AJ30:AJ31"/>
    <mergeCell ref="AK30:AK31"/>
    <mergeCell ref="AL30:AL31"/>
    <mergeCell ref="K30:K31"/>
    <mergeCell ref="AN32:AN33"/>
    <mergeCell ref="AO32:AO33"/>
    <mergeCell ref="T32:T33"/>
    <mergeCell ref="W32:W33"/>
    <mergeCell ref="Z32:Z33"/>
    <mergeCell ref="AC32:AC33"/>
    <mergeCell ref="AF32:AF33"/>
    <mergeCell ref="AI32:AI33"/>
    <mergeCell ref="AX32:AX33"/>
    <mergeCell ref="AX28:AX29"/>
    <mergeCell ref="AY28:AY29"/>
    <mergeCell ref="BB28:BB29"/>
    <mergeCell ref="BE28:BE29"/>
    <mergeCell ref="AP28:AP29"/>
    <mergeCell ref="AQ28:AQ29"/>
    <mergeCell ref="AR28:AR29"/>
    <mergeCell ref="AS28:AS29"/>
    <mergeCell ref="AT28:AT29"/>
    <mergeCell ref="AU28:AU29"/>
    <mergeCell ref="AJ28:AJ29"/>
    <mergeCell ref="AK28:AK29"/>
    <mergeCell ref="AL28:AL29"/>
    <mergeCell ref="AM28:AM29"/>
    <mergeCell ref="BZ30:BZ31"/>
    <mergeCell ref="CA30:CA31"/>
    <mergeCell ref="A32:A33"/>
    <mergeCell ref="B32:B33"/>
    <mergeCell ref="C32:C33"/>
    <mergeCell ref="D32:D33"/>
    <mergeCell ref="E32:E33"/>
    <mergeCell ref="AY30:AY31"/>
    <mergeCell ref="BB30:BB31"/>
    <mergeCell ref="BE30:BE31"/>
    <mergeCell ref="BH30:BH31"/>
    <mergeCell ref="BK30:BK31"/>
    <mergeCell ref="BN30:BN31"/>
    <mergeCell ref="AS30:AS31"/>
    <mergeCell ref="AT30:AT31"/>
    <mergeCell ref="AU30:AU31"/>
    <mergeCell ref="AV30:AV31"/>
    <mergeCell ref="AW30:AW31"/>
    <mergeCell ref="F28:F29"/>
    <mergeCell ref="G28:G29"/>
    <mergeCell ref="H28:H29"/>
    <mergeCell ref="K28:K29"/>
    <mergeCell ref="N28:N29"/>
    <mergeCell ref="Q28:Q29"/>
    <mergeCell ref="BQ26:BQ27"/>
    <mergeCell ref="BT26:BT27"/>
    <mergeCell ref="BW26:BW27"/>
    <mergeCell ref="N26:N27"/>
    <mergeCell ref="Q26:Q27"/>
    <mergeCell ref="T26:T27"/>
    <mergeCell ref="W26:W27"/>
    <mergeCell ref="Z26:Z27"/>
    <mergeCell ref="BZ28:BZ29"/>
    <mergeCell ref="CA28:CA29"/>
    <mergeCell ref="A30:A31"/>
    <mergeCell ref="B30:B31"/>
    <mergeCell ref="C30:C31"/>
    <mergeCell ref="D30:D31"/>
    <mergeCell ref="E30:E31"/>
    <mergeCell ref="F30:F31"/>
    <mergeCell ref="G30:G31"/>
    <mergeCell ref="H30:H31"/>
    <mergeCell ref="BH28:BH29"/>
    <mergeCell ref="BK28:BK29"/>
    <mergeCell ref="BN28:BN29"/>
    <mergeCell ref="BQ28:BQ29"/>
    <mergeCell ref="BT28:BT29"/>
    <mergeCell ref="BW28:BW29"/>
    <mergeCell ref="AV28:AV29"/>
    <mergeCell ref="AW28:AW29"/>
    <mergeCell ref="AM26:AM27"/>
    <mergeCell ref="AN26:AN27"/>
    <mergeCell ref="AO26:AO27"/>
    <mergeCell ref="AP26:AP27"/>
    <mergeCell ref="AQ26:AQ27"/>
    <mergeCell ref="AR26:AR27"/>
    <mergeCell ref="AC26:AC27"/>
    <mergeCell ref="AF26:AF27"/>
    <mergeCell ref="AI26:AI27"/>
    <mergeCell ref="AJ26:AJ27"/>
    <mergeCell ref="AK26:AK27"/>
    <mergeCell ref="AL26:AL27"/>
    <mergeCell ref="K26:K27"/>
    <mergeCell ref="AN28:AN29"/>
    <mergeCell ref="AO28:AO29"/>
    <mergeCell ref="T28:T29"/>
    <mergeCell ref="W28:W29"/>
    <mergeCell ref="Z28:Z29"/>
    <mergeCell ref="AC28:AC29"/>
    <mergeCell ref="AF28:AF29"/>
    <mergeCell ref="AI28:AI29"/>
    <mergeCell ref="AY24:AY25"/>
    <mergeCell ref="BB24:BB25"/>
    <mergeCell ref="BE24:BE25"/>
    <mergeCell ref="AP24:AP25"/>
    <mergeCell ref="AQ24:AQ25"/>
    <mergeCell ref="AR24:AR25"/>
    <mergeCell ref="AS24:AS25"/>
    <mergeCell ref="AT24:AT25"/>
    <mergeCell ref="AU24:AU25"/>
    <mergeCell ref="AJ24:AJ25"/>
    <mergeCell ref="AK24:AK25"/>
    <mergeCell ref="AL24:AL25"/>
    <mergeCell ref="AM24:AM25"/>
    <mergeCell ref="BZ26:BZ27"/>
    <mergeCell ref="CA26:CA27"/>
    <mergeCell ref="A28:A29"/>
    <mergeCell ref="B28:B29"/>
    <mergeCell ref="C28:C29"/>
    <mergeCell ref="D28:D29"/>
    <mergeCell ref="E28:E29"/>
    <mergeCell ref="AY26:AY27"/>
    <mergeCell ref="BB26:BB27"/>
    <mergeCell ref="BE26:BE27"/>
    <mergeCell ref="BH26:BH27"/>
    <mergeCell ref="BK26:BK27"/>
    <mergeCell ref="BN26:BN27"/>
    <mergeCell ref="AS26:AS27"/>
    <mergeCell ref="AT26:AT27"/>
    <mergeCell ref="AU26:AU27"/>
    <mergeCell ref="AV26:AV27"/>
    <mergeCell ref="AW26:AW27"/>
    <mergeCell ref="AX26:AX27"/>
    <mergeCell ref="F24:F25"/>
    <mergeCell ref="G24:G25"/>
    <mergeCell ref="H24:H25"/>
    <mergeCell ref="K24:K25"/>
    <mergeCell ref="N24:N25"/>
    <mergeCell ref="Q24:Q25"/>
    <mergeCell ref="BQ22:BQ23"/>
    <mergeCell ref="BT22:BT23"/>
    <mergeCell ref="BW22:BW23"/>
    <mergeCell ref="N22:N23"/>
    <mergeCell ref="Q22:Q23"/>
    <mergeCell ref="T22:T23"/>
    <mergeCell ref="W22:W23"/>
    <mergeCell ref="Z22:Z23"/>
    <mergeCell ref="BZ24:BZ25"/>
    <mergeCell ref="CA24:CA25"/>
    <mergeCell ref="A26:A27"/>
    <mergeCell ref="B26:B27"/>
    <mergeCell ref="C26:C27"/>
    <mergeCell ref="D26:D27"/>
    <mergeCell ref="E26:E27"/>
    <mergeCell ref="F26:F27"/>
    <mergeCell ref="G26:G27"/>
    <mergeCell ref="H26:H27"/>
    <mergeCell ref="BH24:BH25"/>
    <mergeCell ref="BK24:BK25"/>
    <mergeCell ref="BN24:BN25"/>
    <mergeCell ref="BQ24:BQ25"/>
    <mergeCell ref="BT24:BT25"/>
    <mergeCell ref="BW24:BW25"/>
    <mergeCell ref="AV24:AV25"/>
    <mergeCell ref="AW24:AW25"/>
    <mergeCell ref="AX22:AX23"/>
    <mergeCell ref="AM22:AM23"/>
    <mergeCell ref="AN22:AN23"/>
    <mergeCell ref="AO22:AO23"/>
    <mergeCell ref="AP22:AP23"/>
    <mergeCell ref="AQ22:AQ23"/>
    <mergeCell ref="AR22:AR23"/>
    <mergeCell ref="AC22:AC23"/>
    <mergeCell ref="AF22:AF23"/>
    <mergeCell ref="AI22:AI23"/>
    <mergeCell ref="AJ22:AJ23"/>
    <mergeCell ref="AK22:AK23"/>
    <mergeCell ref="AL22:AL23"/>
    <mergeCell ref="K22:K23"/>
    <mergeCell ref="AN24:AN25"/>
    <mergeCell ref="AO24:AO25"/>
    <mergeCell ref="T24:T25"/>
    <mergeCell ref="W24:W25"/>
    <mergeCell ref="Z24:Z25"/>
    <mergeCell ref="AC24:AC25"/>
    <mergeCell ref="AF24:AF25"/>
    <mergeCell ref="AI24:AI25"/>
    <mergeCell ref="AX24:AX25"/>
    <mergeCell ref="AX20:AX21"/>
    <mergeCell ref="AY20:AY21"/>
    <mergeCell ref="BB20:BB21"/>
    <mergeCell ref="BE20:BE21"/>
    <mergeCell ref="AP20:AP21"/>
    <mergeCell ref="AQ20:AQ21"/>
    <mergeCell ref="AR20:AR21"/>
    <mergeCell ref="AS20:AS21"/>
    <mergeCell ref="AT20:AT21"/>
    <mergeCell ref="AU20:AU21"/>
    <mergeCell ref="AJ20:AJ21"/>
    <mergeCell ref="AK20:AK21"/>
    <mergeCell ref="AL20:AL21"/>
    <mergeCell ref="AM20:AM21"/>
    <mergeCell ref="BZ22:BZ23"/>
    <mergeCell ref="CA22:CA23"/>
    <mergeCell ref="A24:A25"/>
    <mergeCell ref="B24:B25"/>
    <mergeCell ref="C24:C25"/>
    <mergeCell ref="D24:D25"/>
    <mergeCell ref="E24:E25"/>
    <mergeCell ref="AY22:AY23"/>
    <mergeCell ref="BB22:BB23"/>
    <mergeCell ref="BE22:BE23"/>
    <mergeCell ref="BH22:BH23"/>
    <mergeCell ref="BK22:BK23"/>
    <mergeCell ref="BN22:BN23"/>
    <mergeCell ref="AS22:AS23"/>
    <mergeCell ref="AT22:AT23"/>
    <mergeCell ref="AU22:AU23"/>
    <mergeCell ref="AV22:AV23"/>
    <mergeCell ref="AW22:AW23"/>
    <mergeCell ref="F20:F21"/>
    <mergeCell ref="G20:G21"/>
    <mergeCell ref="H20:H21"/>
    <mergeCell ref="K20:K21"/>
    <mergeCell ref="N20:N21"/>
    <mergeCell ref="Q20:Q21"/>
    <mergeCell ref="BQ18:BQ19"/>
    <mergeCell ref="BT18:BT19"/>
    <mergeCell ref="BW18:BW19"/>
    <mergeCell ref="N18:N19"/>
    <mergeCell ref="Q18:Q19"/>
    <mergeCell ref="T18:T19"/>
    <mergeCell ref="W18:W19"/>
    <mergeCell ref="Z18:Z19"/>
    <mergeCell ref="BZ20:BZ21"/>
    <mergeCell ref="CA20:CA21"/>
    <mergeCell ref="A22:A23"/>
    <mergeCell ref="B22:B23"/>
    <mergeCell ref="C22:C23"/>
    <mergeCell ref="D22:D23"/>
    <mergeCell ref="E22:E23"/>
    <mergeCell ref="F22:F23"/>
    <mergeCell ref="G22:G23"/>
    <mergeCell ref="H22:H23"/>
    <mergeCell ref="BH20:BH21"/>
    <mergeCell ref="BK20:BK21"/>
    <mergeCell ref="BN20:BN21"/>
    <mergeCell ref="BQ20:BQ21"/>
    <mergeCell ref="BT20:BT21"/>
    <mergeCell ref="BW20:BW21"/>
    <mergeCell ref="AV20:AV21"/>
    <mergeCell ref="AW20:AW21"/>
    <mergeCell ref="AM18:AM19"/>
    <mergeCell ref="AN18:AN19"/>
    <mergeCell ref="AO18:AO19"/>
    <mergeCell ref="AP18:AP19"/>
    <mergeCell ref="AQ18:AQ19"/>
    <mergeCell ref="AR18:AR19"/>
    <mergeCell ref="AC18:AC19"/>
    <mergeCell ref="AF18:AF19"/>
    <mergeCell ref="AI18:AI19"/>
    <mergeCell ref="AJ18:AJ19"/>
    <mergeCell ref="AK18:AK19"/>
    <mergeCell ref="AL18:AL19"/>
    <mergeCell ref="K18:K19"/>
    <mergeCell ref="AN20:AN21"/>
    <mergeCell ref="AO20:AO21"/>
    <mergeCell ref="T20:T21"/>
    <mergeCell ref="W20:W21"/>
    <mergeCell ref="Z20:Z21"/>
    <mergeCell ref="AC20:AC21"/>
    <mergeCell ref="AF20:AF21"/>
    <mergeCell ref="AI20:AI21"/>
    <mergeCell ref="AY16:AY17"/>
    <mergeCell ref="BB16:BB17"/>
    <mergeCell ref="BE16:BE17"/>
    <mergeCell ref="AP16:AP17"/>
    <mergeCell ref="AQ16:AQ17"/>
    <mergeCell ref="AR16:AR17"/>
    <mergeCell ref="AS16:AS17"/>
    <mergeCell ref="AT16:AT17"/>
    <mergeCell ref="AU16:AU17"/>
    <mergeCell ref="AJ16:AJ17"/>
    <mergeCell ref="AK16:AK17"/>
    <mergeCell ref="AL16:AL17"/>
    <mergeCell ref="AM16:AM17"/>
    <mergeCell ref="BZ18:BZ19"/>
    <mergeCell ref="CA18:CA19"/>
    <mergeCell ref="A20:A21"/>
    <mergeCell ref="B20:B21"/>
    <mergeCell ref="C20:C21"/>
    <mergeCell ref="D20:D21"/>
    <mergeCell ref="E20:E21"/>
    <mergeCell ref="AY18:AY19"/>
    <mergeCell ref="BB18:BB19"/>
    <mergeCell ref="BE18:BE19"/>
    <mergeCell ref="BH18:BH19"/>
    <mergeCell ref="BK18:BK19"/>
    <mergeCell ref="BN18:BN19"/>
    <mergeCell ref="AS18:AS19"/>
    <mergeCell ref="AT18:AT19"/>
    <mergeCell ref="AU18:AU19"/>
    <mergeCell ref="AV18:AV19"/>
    <mergeCell ref="AW18:AW19"/>
    <mergeCell ref="AX18:AX19"/>
    <mergeCell ref="F16:F17"/>
    <mergeCell ref="G16:G17"/>
    <mergeCell ref="H16:H17"/>
    <mergeCell ref="K16:K17"/>
    <mergeCell ref="N16:N17"/>
    <mergeCell ref="Q16:Q17"/>
    <mergeCell ref="BQ14:BQ15"/>
    <mergeCell ref="BT14:BT15"/>
    <mergeCell ref="BW14:BW15"/>
    <mergeCell ref="N14:N15"/>
    <mergeCell ref="Q14:Q15"/>
    <mergeCell ref="T14:T15"/>
    <mergeCell ref="W14:W15"/>
    <mergeCell ref="Z14:Z15"/>
    <mergeCell ref="BZ16:BZ17"/>
    <mergeCell ref="CA16:CA17"/>
    <mergeCell ref="A18:A19"/>
    <mergeCell ref="B18:B19"/>
    <mergeCell ref="C18:C19"/>
    <mergeCell ref="D18:D19"/>
    <mergeCell ref="E18:E19"/>
    <mergeCell ref="F18:F19"/>
    <mergeCell ref="G18:G19"/>
    <mergeCell ref="H18:H19"/>
    <mergeCell ref="BH16:BH17"/>
    <mergeCell ref="BK16:BK17"/>
    <mergeCell ref="BN16:BN17"/>
    <mergeCell ref="BQ16:BQ17"/>
    <mergeCell ref="BT16:BT17"/>
    <mergeCell ref="BW16:BW17"/>
    <mergeCell ref="AV16:AV17"/>
    <mergeCell ref="AW16:AW17"/>
    <mergeCell ref="AX14:AX15"/>
    <mergeCell ref="AM14:AM15"/>
    <mergeCell ref="AN14:AN15"/>
    <mergeCell ref="AO14:AO15"/>
    <mergeCell ref="AP14:AP15"/>
    <mergeCell ref="AQ14:AQ15"/>
    <mergeCell ref="AR14:AR15"/>
    <mergeCell ref="AC14:AC15"/>
    <mergeCell ref="AF14:AF15"/>
    <mergeCell ref="AI14:AI15"/>
    <mergeCell ref="AJ14:AJ15"/>
    <mergeCell ref="AK14:AK15"/>
    <mergeCell ref="AL14:AL15"/>
    <mergeCell ref="K14:K15"/>
    <mergeCell ref="AN16:AN17"/>
    <mergeCell ref="AO16:AO17"/>
    <mergeCell ref="T16:T17"/>
    <mergeCell ref="W16:W17"/>
    <mergeCell ref="Z16:Z17"/>
    <mergeCell ref="AC16:AC17"/>
    <mergeCell ref="AF16:AF17"/>
    <mergeCell ref="AI16:AI17"/>
    <mergeCell ref="AX16:AX17"/>
    <mergeCell ref="AX12:AX13"/>
    <mergeCell ref="AY12:AY13"/>
    <mergeCell ref="BB12:BB13"/>
    <mergeCell ref="BE12:BE13"/>
    <mergeCell ref="AP12:AP13"/>
    <mergeCell ref="AQ12:AQ13"/>
    <mergeCell ref="AR12:AR13"/>
    <mergeCell ref="AS12:AS13"/>
    <mergeCell ref="AT12:AT13"/>
    <mergeCell ref="AU12:AU13"/>
    <mergeCell ref="AJ12:AJ13"/>
    <mergeCell ref="AK12:AK13"/>
    <mergeCell ref="AL12:AL13"/>
    <mergeCell ref="AM12:AM13"/>
    <mergeCell ref="BZ14:BZ15"/>
    <mergeCell ref="CA14:CA15"/>
    <mergeCell ref="A16:A17"/>
    <mergeCell ref="B16:B17"/>
    <mergeCell ref="C16:C17"/>
    <mergeCell ref="D16:D17"/>
    <mergeCell ref="E16:E17"/>
    <mergeCell ref="AY14:AY15"/>
    <mergeCell ref="BB14:BB15"/>
    <mergeCell ref="BE14:BE15"/>
    <mergeCell ref="BH14:BH15"/>
    <mergeCell ref="BK14:BK15"/>
    <mergeCell ref="BN14:BN15"/>
    <mergeCell ref="AS14:AS15"/>
    <mergeCell ref="AT14:AT15"/>
    <mergeCell ref="AU14:AU15"/>
    <mergeCell ref="AV14:AV15"/>
    <mergeCell ref="AW14:AW15"/>
    <mergeCell ref="F12:F13"/>
    <mergeCell ref="G12:G13"/>
    <mergeCell ref="H12:H13"/>
    <mergeCell ref="K12:K13"/>
    <mergeCell ref="N12:N13"/>
    <mergeCell ref="Q12:Q13"/>
    <mergeCell ref="BQ10:BQ11"/>
    <mergeCell ref="BT10:BT11"/>
    <mergeCell ref="BW10:BW11"/>
    <mergeCell ref="N10:N11"/>
    <mergeCell ref="Q10:Q11"/>
    <mergeCell ref="T10:T11"/>
    <mergeCell ref="W10:W11"/>
    <mergeCell ref="Z10:Z11"/>
    <mergeCell ref="BZ12:BZ13"/>
    <mergeCell ref="CA12:CA13"/>
    <mergeCell ref="A14:A15"/>
    <mergeCell ref="B14:B15"/>
    <mergeCell ref="C14:C15"/>
    <mergeCell ref="D14:D15"/>
    <mergeCell ref="E14:E15"/>
    <mergeCell ref="F14:F15"/>
    <mergeCell ref="G14:G15"/>
    <mergeCell ref="H14:H15"/>
    <mergeCell ref="BH12:BH13"/>
    <mergeCell ref="BK12:BK13"/>
    <mergeCell ref="BN12:BN13"/>
    <mergeCell ref="BQ12:BQ13"/>
    <mergeCell ref="BT12:BT13"/>
    <mergeCell ref="BW12:BW13"/>
    <mergeCell ref="AV12:AV13"/>
    <mergeCell ref="AW12:AW13"/>
    <mergeCell ref="AM10:AM11"/>
    <mergeCell ref="AN10:AN11"/>
    <mergeCell ref="AO10:AO11"/>
    <mergeCell ref="AP10:AP11"/>
    <mergeCell ref="AQ10:AQ11"/>
    <mergeCell ref="AR10:AR11"/>
    <mergeCell ref="AC10:AC11"/>
    <mergeCell ref="AF10:AF11"/>
    <mergeCell ref="AI10:AI11"/>
    <mergeCell ref="AJ10:AJ11"/>
    <mergeCell ref="AK10:AK11"/>
    <mergeCell ref="AL10:AL11"/>
    <mergeCell ref="K10:K11"/>
    <mergeCell ref="AN12:AN13"/>
    <mergeCell ref="AO12:AO13"/>
    <mergeCell ref="T12:T13"/>
    <mergeCell ref="W12:W13"/>
    <mergeCell ref="Z12:Z13"/>
    <mergeCell ref="AC12:AC13"/>
    <mergeCell ref="AF12:AF13"/>
    <mergeCell ref="AI12:AI13"/>
    <mergeCell ref="AY8:AY9"/>
    <mergeCell ref="BB8:BB9"/>
    <mergeCell ref="BE8:BE9"/>
    <mergeCell ref="AP8:AP9"/>
    <mergeCell ref="AQ8:AQ9"/>
    <mergeCell ref="AK8:AK9"/>
    <mergeCell ref="AL8:AL9"/>
    <mergeCell ref="AM8:AM9"/>
    <mergeCell ref="AN8:AN9"/>
    <mergeCell ref="AO8:AO9"/>
    <mergeCell ref="T8:T9"/>
    <mergeCell ref="W8:W9"/>
    <mergeCell ref="Z8:Z9"/>
    <mergeCell ref="BZ10:BZ11"/>
    <mergeCell ref="CA10:CA11"/>
    <mergeCell ref="A12:A13"/>
    <mergeCell ref="B12:B13"/>
    <mergeCell ref="C12:C13"/>
    <mergeCell ref="D12:D13"/>
    <mergeCell ref="E12:E13"/>
    <mergeCell ref="AY10:AY11"/>
    <mergeCell ref="BB10:BB11"/>
    <mergeCell ref="BE10:BE11"/>
    <mergeCell ref="BH10:BH11"/>
    <mergeCell ref="BK10:BK11"/>
    <mergeCell ref="BN10:BN11"/>
    <mergeCell ref="AS10:AS11"/>
    <mergeCell ref="AT10:AT11"/>
    <mergeCell ref="AU10:AU11"/>
    <mergeCell ref="AV10:AV11"/>
    <mergeCell ref="AW10:AW11"/>
    <mergeCell ref="AX10:AX11"/>
    <mergeCell ref="A8:A9"/>
    <mergeCell ref="B8:B9"/>
    <mergeCell ref="C8:C9"/>
    <mergeCell ref="D8:D9"/>
    <mergeCell ref="E8:E9"/>
    <mergeCell ref="AY6:AY7"/>
    <mergeCell ref="BB6:BB7"/>
    <mergeCell ref="BE6:BE7"/>
    <mergeCell ref="AR8:AR9"/>
    <mergeCell ref="AS8:AS9"/>
    <mergeCell ref="AT8:AT9"/>
    <mergeCell ref="AU8:AU9"/>
    <mergeCell ref="AJ8:AJ9"/>
    <mergeCell ref="BZ8:BZ9"/>
    <mergeCell ref="CA8:CA9"/>
    <mergeCell ref="A10:A11"/>
    <mergeCell ref="B10:B11"/>
    <mergeCell ref="C10:C11"/>
    <mergeCell ref="D10:D11"/>
    <mergeCell ref="E10:E11"/>
    <mergeCell ref="F10:F11"/>
    <mergeCell ref="G10:G11"/>
    <mergeCell ref="H10:H11"/>
    <mergeCell ref="BH8:BH9"/>
    <mergeCell ref="BK8:BK9"/>
    <mergeCell ref="BN8:BN9"/>
    <mergeCell ref="BQ8:BQ9"/>
    <mergeCell ref="BT8:BT9"/>
    <mergeCell ref="BW8:BW9"/>
    <mergeCell ref="AV8:AV9"/>
    <mergeCell ref="AW8:AW9"/>
    <mergeCell ref="AX8:AX9"/>
    <mergeCell ref="AN6:AN7"/>
    <mergeCell ref="AO6:AO7"/>
    <mergeCell ref="AP6:AP7"/>
    <mergeCell ref="AQ6:AQ7"/>
    <mergeCell ref="AR6:AR7"/>
    <mergeCell ref="AC6:AC7"/>
    <mergeCell ref="AF6:AF7"/>
    <mergeCell ref="AI6:AI7"/>
    <mergeCell ref="AJ6:AJ7"/>
    <mergeCell ref="AC8:AC9"/>
    <mergeCell ref="AF8:AF9"/>
    <mergeCell ref="AI8:AI9"/>
    <mergeCell ref="F8:F9"/>
    <mergeCell ref="G8:G9"/>
    <mergeCell ref="H8:H9"/>
    <mergeCell ref="K8:K9"/>
    <mergeCell ref="N8:N9"/>
    <mergeCell ref="Q8:Q9"/>
    <mergeCell ref="CA4:CA5"/>
    <mergeCell ref="A6:A7"/>
    <mergeCell ref="B6:B7"/>
    <mergeCell ref="C6:C7"/>
    <mergeCell ref="D6:D7"/>
    <mergeCell ref="E6:E7"/>
    <mergeCell ref="F6:F7"/>
    <mergeCell ref="G6:G7"/>
    <mergeCell ref="H6:H7"/>
    <mergeCell ref="BH4:BH5"/>
    <mergeCell ref="BK4:BK5"/>
    <mergeCell ref="BN4:BN5"/>
    <mergeCell ref="BQ4:BQ5"/>
    <mergeCell ref="BT4:BT5"/>
    <mergeCell ref="BW4:BW5"/>
    <mergeCell ref="AV4:AV5"/>
    <mergeCell ref="AW4:AW5"/>
    <mergeCell ref="AX4:AX5"/>
    <mergeCell ref="AY4:AY5"/>
    <mergeCell ref="BB4:BB5"/>
    <mergeCell ref="BE4:BE5"/>
    <mergeCell ref="AP4:AP5"/>
    <mergeCell ref="AQ4:AQ5"/>
    <mergeCell ref="BQ6:BQ7"/>
    <mergeCell ref="BT6:BT7"/>
    <mergeCell ref="BW6:BW7"/>
    <mergeCell ref="BZ6:BZ7"/>
    <mergeCell ref="CA6:CA7"/>
    <mergeCell ref="AO4:AO5"/>
    <mergeCell ref="T4:T5"/>
    <mergeCell ref="W4:W5"/>
    <mergeCell ref="BH6:BH7"/>
    <mergeCell ref="BK72:BS72"/>
    <mergeCell ref="BT72:BZ72"/>
    <mergeCell ref="A4:A5"/>
    <mergeCell ref="B4:B5"/>
    <mergeCell ref="C4:C5"/>
    <mergeCell ref="D4:D5"/>
    <mergeCell ref="E4:E5"/>
    <mergeCell ref="AD3:AE3"/>
    <mergeCell ref="AG3:AH3"/>
    <mergeCell ref="AZ3:BA3"/>
    <mergeCell ref="BC3:BD3"/>
    <mergeCell ref="BF3:BG3"/>
    <mergeCell ref="BI3:BJ3"/>
    <mergeCell ref="AR4:AR5"/>
    <mergeCell ref="AS4:AS5"/>
    <mergeCell ref="AT4:AT5"/>
    <mergeCell ref="AU4:AU5"/>
    <mergeCell ref="AJ4:AJ5"/>
    <mergeCell ref="AK4:AK5"/>
    <mergeCell ref="AL4:AL5"/>
    <mergeCell ref="AM4:AM5"/>
    <mergeCell ref="AN4:AN5"/>
    <mergeCell ref="Z4:Z5"/>
    <mergeCell ref="AC4:AC5"/>
    <mergeCell ref="AF4:AF5"/>
    <mergeCell ref="AI4:AI5"/>
    <mergeCell ref="F4:F5"/>
    <mergeCell ref="G4:G5"/>
    <mergeCell ref="H4:H5"/>
    <mergeCell ref="K4:K5"/>
    <mergeCell ref="N4:N5"/>
    <mergeCell ref="Q4:Q5"/>
    <mergeCell ref="BK1:BS1"/>
    <mergeCell ref="BT1:BZ1"/>
    <mergeCell ref="AY2:BA2"/>
    <mergeCell ref="BK2:BS2"/>
    <mergeCell ref="BT2:BZ2"/>
    <mergeCell ref="T71:AB71"/>
    <mergeCell ref="AC71:AI71"/>
    <mergeCell ref="BK71:BS71"/>
    <mergeCell ref="BT71:BZ71"/>
    <mergeCell ref="I3:J3"/>
    <mergeCell ref="L3:M3"/>
    <mergeCell ref="O3:P3"/>
    <mergeCell ref="R3:S3"/>
    <mergeCell ref="U3:V3"/>
    <mergeCell ref="X3:Y3"/>
    <mergeCell ref="AA3:AB3"/>
    <mergeCell ref="BL3:BM3"/>
    <mergeCell ref="BO3:BP3"/>
    <mergeCell ref="BR3:BS3"/>
    <mergeCell ref="BU3:BV3"/>
    <mergeCell ref="BX3:BY3"/>
    <mergeCell ref="AK6:AK7"/>
    <mergeCell ref="AL6:AL7"/>
    <mergeCell ref="K6:K7"/>
    <mergeCell ref="N6:N7"/>
    <mergeCell ref="Q6:Q7"/>
    <mergeCell ref="T6:T7"/>
    <mergeCell ref="W6:W7"/>
    <mergeCell ref="Z6:Z7"/>
    <mergeCell ref="BZ4:BZ5"/>
    <mergeCell ref="BK6:BK7"/>
    <mergeCell ref="BN6:BN7"/>
    <mergeCell ref="A71:G71"/>
    <mergeCell ref="A72:G72"/>
    <mergeCell ref="A1:G1"/>
    <mergeCell ref="A2:G2"/>
    <mergeCell ref="K1:S2"/>
    <mergeCell ref="H1:J1"/>
    <mergeCell ref="AR1:AX1"/>
    <mergeCell ref="AY1:BA1"/>
    <mergeCell ref="BB1:BJ2"/>
    <mergeCell ref="AR2:AX2"/>
    <mergeCell ref="H71:J71"/>
    <mergeCell ref="K71:S72"/>
    <mergeCell ref="AR71:AX71"/>
    <mergeCell ref="AY71:BA71"/>
    <mergeCell ref="BB71:BJ72"/>
    <mergeCell ref="AR72:AX72"/>
    <mergeCell ref="H2:J2"/>
    <mergeCell ref="T1:AB1"/>
    <mergeCell ref="T2:AB2"/>
    <mergeCell ref="AC1:AI1"/>
    <mergeCell ref="AC2:AI2"/>
    <mergeCell ref="H72:J72"/>
    <mergeCell ref="T72:AB72"/>
    <mergeCell ref="AC72:AI72"/>
    <mergeCell ref="AY72:BA72"/>
    <mergeCell ref="AS6:AS7"/>
    <mergeCell ref="AT6:AT7"/>
    <mergeCell ref="AU6:AU7"/>
    <mergeCell ref="AV6:AV7"/>
    <mergeCell ref="AW6:AW7"/>
    <mergeCell ref="AX6:AX7"/>
    <mergeCell ref="AM6:AM7"/>
  </mergeCells>
  <phoneticPr fontId="6" type="noConversion"/>
  <dataValidations count="1">
    <dataValidation type="textLength" operator="equal" allowBlank="1" showInputMessage="1" showErrorMessage="1" errorTitle="This Tab is Print-Only" error="Please enter all score data in the &quot;Score&quot; tab at the front of the statsbook." sqref="A4:AH63 A74:AH133 AR74:BY133">
      <formula1>0</formula1>
    </dataValidation>
  </dataValidations>
  <printOptions horizontalCentered="1" verticalCentered="1"/>
  <pageMargins left="0.7" right="0.7" top="0.75" bottom="0.75" header="0.3" footer="0.3"/>
  <pageSetup scale="48" fitToWidth="2" fitToHeight="2" orientation="landscape" horizontalDpi="4294967293" verticalDpi="4294967293"/>
  <rowBreaks count="1" manualBreakCount="1">
    <brk id="70" max="16383" man="1"/>
  </rowBreaks>
  <colBreaks count="1" manualBreakCount="1">
    <brk id="43" max="1048575" man="1"/>
  </colBreaks>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indexed="13"/>
  </sheetPr>
  <dimension ref="A2:AK196"/>
  <sheetViews>
    <sheetView zoomScale="110" zoomScaleNormal="110" zoomScaleSheetLayoutView="40" zoomScalePageLayoutView="110" workbookViewId="0"/>
  </sheetViews>
  <sheetFormatPr defaultColWidth="8.6640625" defaultRowHeight="13.8" x14ac:dyDescent="0.3"/>
  <cols>
    <col min="1" max="1" width="4.6640625" style="45" customWidth="1"/>
    <col min="2" max="2" width="11.44140625" style="3" customWidth="1"/>
    <col min="3" max="3" width="20.6640625" style="3" customWidth="1"/>
    <col min="4" max="18" width="11.44140625" style="3" customWidth="1"/>
    <col min="19" max="19" width="11.44140625" style="97" customWidth="1"/>
    <col min="20" max="20" width="4.6640625" style="45" customWidth="1"/>
    <col min="21" max="21" width="11.44140625" style="3" customWidth="1"/>
    <col min="22" max="22" width="20.6640625" style="3" customWidth="1"/>
    <col min="23" max="258" width="11.44140625" style="3" customWidth="1"/>
    <col min="259" max="16384" width="8.6640625" style="3"/>
  </cols>
  <sheetData>
    <row r="2" spans="1:37" x14ac:dyDescent="0.3">
      <c r="C2" s="235" t="s">
        <v>240</v>
      </c>
      <c r="V2" s="235" t="s">
        <v>240</v>
      </c>
    </row>
    <row r="3" spans="1:37" x14ac:dyDescent="0.3">
      <c r="C3" s="3" t="s">
        <v>39</v>
      </c>
      <c r="D3" s="3">
        <f>MAX(Score!A42,Score!T42)</f>
        <v>23</v>
      </c>
      <c r="V3" s="3" t="s">
        <v>39</v>
      </c>
      <c r="W3" s="3">
        <f>D3</f>
        <v>23</v>
      </c>
    </row>
    <row r="4" spans="1:37" x14ac:dyDescent="0.3">
      <c r="C4" s="3" t="s">
        <v>40</v>
      </c>
      <c r="D4" s="3">
        <f ca="1">SK!H79</f>
        <v>9</v>
      </c>
      <c r="V4" s="3" t="s">
        <v>41</v>
      </c>
      <c r="W4" s="3">
        <f ca="1">SK!X79</f>
        <v>14</v>
      </c>
    </row>
    <row r="5" spans="1:37" x14ac:dyDescent="0.3">
      <c r="C5" s="3" t="s">
        <v>42</v>
      </c>
      <c r="D5" s="3">
        <f>COUNTIF(Q9:Q24,"&gt;0")</f>
        <v>14</v>
      </c>
      <c r="V5" s="3" t="s">
        <v>43</v>
      </c>
      <c r="W5" s="3">
        <f>COUNTIF(AJ9:AJ24,"&gt;0")</f>
        <v>14</v>
      </c>
    </row>
    <row r="7" spans="1:37" x14ac:dyDescent="0.3">
      <c r="A7" s="1363" t="s">
        <v>44</v>
      </c>
      <c r="B7" s="1363"/>
      <c r="C7" s="1363"/>
      <c r="D7" s="236"/>
      <c r="E7" s="236"/>
      <c r="F7" s="236"/>
      <c r="G7" s="236"/>
      <c r="H7" s="236"/>
      <c r="I7" s="236"/>
      <c r="J7" s="236"/>
      <c r="K7" s="236"/>
      <c r="L7" s="236"/>
      <c r="M7" s="236"/>
      <c r="N7" s="236"/>
      <c r="O7" s="236"/>
      <c r="P7" s="236"/>
      <c r="Q7" s="236"/>
      <c r="R7" s="236"/>
      <c r="T7" s="1363" t="s">
        <v>44</v>
      </c>
      <c r="U7" s="1363"/>
      <c r="V7" s="1363"/>
      <c r="W7" s="236"/>
      <c r="X7" s="236"/>
      <c r="Y7" s="236"/>
      <c r="Z7" s="236"/>
      <c r="AA7" s="236"/>
      <c r="AB7" s="236"/>
      <c r="AC7" s="236"/>
      <c r="AD7" s="236"/>
      <c r="AE7" s="236"/>
      <c r="AF7" s="236"/>
      <c r="AG7" s="236"/>
      <c r="AH7" s="236"/>
      <c r="AI7" s="236"/>
      <c r="AJ7" s="236"/>
      <c r="AK7" s="236"/>
    </row>
    <row r="8" spans="1:37" s="45" customFormat="1" x14ac:dyDescent="0.3">
      <c r="A8" s="338">
        <v>0</v>
      </c>
      <c r="B8" s="338" t="s">
        <v>36</v>
      </c>
      <c r="C8" s="338" t="s">
        <v>37</v>
      </c>
      <c r="D8" s="338" t="s">
        <v>175</v>
      </c>
      <c r="E8" s="339" t="s">
        <v>45</v>
      </c>
      <c r="F8" s="343" t="s">
        <v>176</v>
      </c>
      <c r="G8" s="343" t="s">
        <v>176</v>
      </c>
      <c r="H8" s="343" t="s">
        <v>176</v>
      </c>
      <c r="I8" s="343" t="s">
        <v>176</v>
      </c>
      <c r="J8" s="338" t="s">
        <v>46</v>
      </c>
      <c r="K8" s="339" t="s">
        <v>47</v>
      </c>
      <c r="L8" s="338" t="s">
        <v>48</v>
      </c>
      <c r="M8" s="339" t="s">
        <v>49</v>
      </c>
      <c r="N8" s="340" t="s">
        <v>25</v>
      </c>
      <c r="O8" s="338" t="s">
        <v>177</v>
      </c>
      <c r="P8" s="339" t="s">
        <v>50</v>
      </c>
      <c r="Q8" s="338" t="s">
        <v>19</v>
      </c>
      <c r="R8" s="339" t="s">
        <v>51</v>
      </c>
      <c r="S8" s="234"/>
      <c r="T8" s="338">
        <v>0</v>
      </c>
      <c r="U8" s="338" t="s">
        <v>36</v>
      </c>
      <c r="V8" s="338" t="s">
        <v>37</v>
      </c>
      <c r="W8" s="338" t="s">
        <v>175</v>
      </c>
      <c r="X8" s="339" t="s">
        <v>45</v>
      </c>
      <c r="Y8" s="343" t="s">
        <v>176</v>
      </c>
      <c r="Z8" s="343" t="s">
        <v>176</v>
      </c>
      <c r="AA8" s="343" t="s">
        <v>176</v>
      </c>
      <c r="AB8" s="343" t="s">
        <v>176</v>
      </c>
      <c r="AC8" s="338" t="s">
        <v>46</v>
      </c>
      <c r="AD8" s="339" t="s">
        <v>47</v>
      </c>
      <c r="AE8" s="338" t="s">
        <v>48</v>
      </c>
      <c r="AF8" s="339" t="s">
        <v>49</v>
      </c>
      <c r="AG8" s="340" t="s">
        <v>25</v>
      </c>
      <c r="AH8" s="338" t="s">
        <v>177</v>
      </c>
      <c r="AI8" s="339" t="s">
        <v>50</v>
      </c>
      <c r="AJ8" s="338" t="s">
        <v>19</v>
      </c>
      <c r="AK8" s="339" t="s">
        <v>51</v>
      </c>
    </row>
    <row r="9" spans="1:37" x14ac:dyDescent="0.3">
      <c r="A9" s="45">
        <f t="shared" ref="A9:A28" si="0">A8+1</f>
        <v>1</v>
      </c>
      <c r="B9" s="213" t="str">
        <f>IF(ISBLANK(IGRF!B11),"",IGRF!B11)</f>
        <v>12</v>
      </c>
      <c r="C9" s="213" t="str">
        <f>IF(ISBLANK(IGRF!C11),"",IGRF!C11)</f>
        <v>Carmen Getsome</v>
      </c>
      <c r="D9" s="3">
        <f>IF($B9="","",SUMPRODUCT(--(Lineups!$G$4:$G$41=$B9),--(Lineups!$B$4:$B$41="")))</f>
        <v>11</v>
      </c>
      <c r="E9" s="336">
        <f t="shared" ref="E9:E28" si="1">IF($B9="","",IF($D$3=0,"",D9/$D$3))</f>
        <v>0.47826086956521741</v>
      </c>
      <c r="F9" s="344">
        <f>IF($B9="","",SUMPRODUCT(--(Lineups!$G$4:$G$41=$B9),--(Lineups!$B$4:$B$41="X")))</f>
        <v>0</v>
      </c>
      <c r="G9" s="344">
        <f>IF($B9="","",SUMPRODUCT(--(Lineups!K$4:K$41=$B9),--(Lineups!A$4:A$41&lt;&gt;"SP")))</f>
        <v>0</v>
      </c>
      <c r="H9" s="344">
        <f>IF($B9="","",SUMPRODUCT(--(Lineups!O$4:O$41=$B9),--(Lineups!A$4:A$41&lt;&gt;"SP")))</f>
        <v>1</v>
      </c>
      <c r="I9" s="344">
        <f>IF($B9="","",SUMPRODUCT(--(Lineups!S$4:S$41=$B9),--(Lineups!A$4:A$41&lt;&gt;"SP")))</f>
        <v>0</v>
      </c>
      <c r="J9" s="3">
        <f t="shared" ref="J9:J28" si="2">IF(B9="","",SUM(F9:I9))</f>
        <v>1</v>
      </c>
      <c r="K9" s="336">
        <f t="shared" ref="K9:K28" si="3">IF($B9="","",IF($D$3=0,"",J9/$D$3))</f>
        <v>4.3478260869565216E-2</v>
      </c>
      <c r="L9" s="3">
        <f t="shared" ref="L9:L28" si="4">IF(B9="","",SUM(D9,J9))</f>
        <v>12</v>
      </c>
      <c r="M9" s="336">
        <f t="shared" ref="M9:M28" si="5">IF($B9="","",IF($D$3=0,"",L9/$D$3))</f>
        <v>0.52173913043478259</v>
      </c>
      <c r="N9" s="341" t="str">
        <f ca="1">IF(B9="","",IF(OR(SK!E172="",SK!E172=0),"",SK!H172))</f>
        <v/>
      </c>
      <c r="O9" s="3">
        <f>IF($B9="","",SUMPRODUCT(--(Lineups!C$4:C$41=$B9)))</f>
        <v>0</v>
      </c>
      <c r="P9" s="336">
        <f t="shared" ref="P9:P28" si="6">IF($B9="","",IF($D$3=0,"",O9/$D$3))</f>
        <v>0</v>
      </c>
      <c r="Q9" s="3">
        <f t="shared" ref="Q9:Q28" si="7">IF(B9="","",SUM(L9,O9))</f>
        <v>12</v>
      </c>
      <c r="R9" s="336">
        <f t="shared" ref="R9:R28" si="8">IF($B9="","",IF($D$3=0,"",Q9/$D$3))</f>
        <v>0.52173913043478259</v>
      </c>
      <c r="T9" s="45">
        <f t="shared" ref="T9:T28" si="9">T8+1</f>
        <v>1</v>
      </c>
      <c r="U9" s="213" t="str">
        <f>IF(ISBLANK(IGRF!H11),"",IGRF!H11)</f>
        <v>112</v>
      </c>
      <c r="V9" s="213" t="str">
        <f>IF(ISBLANK(IGRF!I11),"",IGRF!I11)</f>
        <v>Singapore Rogue</v>
      </c>
      <c r="W9" s="3">
        <f>IF($U9="","",SUMPRODUCT(--(Lineups!$AG$4:$AG$41=$U9),--(Lineups!$AB$4:$AB$41="")))</f>
        <v>0</v>
      </c>
      <c r="X9" s="336">
        <f t="shared" ref="X9:X28" si="10">IF($U9="","",IF($W$3=0,"",W9/$W$3))</f>
        <v>0</v>
      </c>
      <c r="Y9" s="344">
        <f>IF($U9="","",SUMPRODUCT(--(Lineups!$AG$4:$AG$41=$U9),--(Lineups!$AB$4:$AB$41="X")))</f>
        <v>0</v>
      </c>
      <c r="Z9" s="344">
        <f>IF($U9="","",SUMPRODUCT(--(Lineups!AK$4:AK$41=$U9),--(Lineups!AA$4:AA$41&lt;&gt;"SP")))</f>
        <v>4</v>
      </c>
      <c r="AA9" s="344">
        <f>IF($U9="","",SUMPRODUCT(--(Lineups!AO$4:AO$41=$U9),--(Lineups!AA$4:AA$41&lt;&gt;"SP")))</f>
        <v>1</v>
      </c>
      <c r="AB9" s="344">
        <f>IF($U9="","",SUMPRODUCT(--(Lineups!AS$4:AS$41=$U9),--(Lineups!AA$4:AA$41&lt;&gt;"SP")))</f>
        <v>2</v>
      </c>
      <c r="AC9" s="3">
        <f t="shared" ref="AC9:AC28" si="11">IF(U9="","",SUM(Y9:AB9))</f>
        <v>7</v>
      </c>
      <c r="AD9" s="336">
        <f t="shared" ref="AD9:AD28" si="12">IF($U9="","",IF($W$3=0,"",AC9/$W$3))</f>
        <v>0.30434782608695654</v>
      </c>
      <c r="AE9" s="3">
        <f t="shared" ref="AE9:AE28" si="13">IF(U9="","",SUM(W9,AC9))</f>
        <v>7</v>
      </c>
      <c r="AF9" s="336">
        <f t="shared" ref="AF9:AF28" si="14">IF($U9="","",IF($W$3=0,"",AE9/$W$3))</f>
        <v>0.30434782608695654</v>
      </c>
      <c r="AG9" s="341" t="str">
        <f ca="1">IF(U9="","",IF(OR(SK!U172="",SK!U172=0),"",SK!X172))</f>
        <v/>
      </c>
      <c r="AH9" s="3">
        <f>IF($U9="","",SUMPRODUCT(--(Lineups!AC$4:AC$41=$U9)))</f>
        <v>0</v>
      </c>
      <c r="AI9" s="336">
        <f t="shared" ref="AI9:AI28" si="15">IF($U9="","",IF($W$3=0,"",AH9/$W$3))</f>
        <v>0</v>
      </c>
      <c r="AJ9" s="3">
        <f t="shared" ref="AJ9:AJ28" si="16">IF(U9="","",SUM(AE9,AH9))</f>
        <v>7</v>
      </c>
      <c r="AK9" s="336">
        <f t="shared" ref="AK9:AK28" si="17">IF($U9="","",IF($W$3=0,"",AJ9/$W$3))</f>
        <v>0.30434782608695654</v>
      </c>
    </row>
    <row r="10" spans="1:37" x14ac:dyDescent="0.3">
      <c r="A10" s="333">
        <f t="shared" si="0"/>
        <v>2</v>
      </c>
      <c r="B10" s="334" t="str">
        <f>IF(ISBLANK(IGRF!B12),"",IGRF!B12)</f>
        <v>123</v>
      </c>
      <c r="C10" s="334" t="str">
        <f>IF(ISBLANK(IGRF!C12),"",IGRF!C12)</f>
        <v>Nelson</v>
      </c>
      <c r="D10" s="335">
        <f>IF($B10="","",SUMPRODUCT(--(Lineups!$G$4:$G$41=$B10),--(Lineups!$B$4:$B$41="")))</f>
        <v>10</v>
      </c>
      <c r="E10" s="337">
        <f t="shared" si="1"/>
        <v>0.43478260869565216</v>
      </c>
      <c r="F10" s="344">
        <f>IF($B10="","",SUMPRODUCT(--(Lineups!$G$4:$G$41=$B10),--(Lineups!$B$4:$B$41="X")))</f>
        <v>0</v>
      </c>
      <c r="G10" s="344">
        <f>IF($B10="","",SUMPRODUCT(--(Lineups!K$4:K$41=$B10),--(Lineups!A$4:A$41&lt;&gt;"SP")))</f>
        <v>1</v>
      </c>
      <c r="H10" s="344">
        <f>IF($B10="","",SUMPRODUCT(--(Lineups!O$4:O$41=$B10),--(Lineups!A$4:A$41&lt;&gt;"SP")))</f>
        <v>0</v>
      </c>
      <c r="I10" s="344">
        <f>IF($B10="","",SUMPRODUCT(--(Lineups!S$4:S$41=$B10),--(Lineups!A$4:A$41&lt;&gt;"SP")))</f>
        <v>0</v>
      </c>
      <c r="J10" s="335">
        <f t="shared" si="2"/>
        <v>1</v>
      </c>
      <c r="K10" s="337">
        <f t="shared" si="3"/>
        <v>4.3478260869565216E-2</v>
      </c>
      <c r="L10" s="335">
        <f t="shared" si="4"/>
        <v>11</v>
      </c>
      <c r="M10" s="337">
        <f t="shared" si="5"/>
        <v>0.47826086956521741</v>
      </c>
      <c r="N10" s="342" t="str">
        <f ca="1">IF(B10="","",IF(OR(SK!E175="",SK!E175=0),"",SK!H175))</f>
        <v/>
      </c>
      <c r="O10" s="335">
        <f>IF($B10="","",SUMPRODUCT(--(Lineups!C$4:C$41=$B10)))</f>
        <v>0</v>
      </c>
      <c r="P10" s="337">
        <f t="shared" si="6"/>
        <v>0</v>
      </c>
      <c r="Q10" s="335">
        <f t="shared" si="7"/>
        <v>11</v>
      </c>
      <c r="R10" s="337">
        <f t="shared" si="8"/>
        <v>0.47826086956521741</v>
      </c>
      <c r="T10" s="333">
        <f t="shared" si="9"/>
        <v>2</v>
      </c>
      <c r="U10" s="334" t="str">
        <f>IF(ISBLANK(IGRF!H12),"",IGRF!H12)</f>
        <v>1542</v>
      </c>
      <c r="V10" s="334" t="str">
        <f>IF(ISBLANK(IGRF!I12),"",IGRF!I12)</f>
        <v>Mary Queen of Skates</v>
      </c>
      <c r="W10" s="335">
        <f>IF($U10="","",SUMPRODUCT(--(Lineups!$AG$4:$AG$41=$U10),--(Lineups!$AB$4:$AB$41="")))</f>
        <v>0</v>
      </c>
      <c r="X10" s="337">
        <f t="shared" si="10"/>
        <v>0</v>
      </c>
      <c r="Y10" s="344">
        <f>IF($U10="","",SUMPRODUCT(--(Lineups!$AG$4:$AG$41=$U10),--(Lineups!$AB$4:$AB$41="X")))</f>
        <v>0</v>
      </c>
      <c r="Z10" s="344">
        <f>IF($U10="","",SUMPRODUCT(--(Lineups!AK$4:AK$41=$U10),--(Lineups!AA$4:AA$41&lt;&gt;"SP")))</f>
        <v>1</v>
      </c>
      <c r="AA10" s="344">
        <f>IF($U10="","",SUMPRODUCT(--(Lineups!AO$4:AO$41=$U10),--(Lineups!AA$4:AA$41&lt;&gt;"SP")))</f>
        <v>0</v>
      </c>
      <c r="AB10" s="344">
        <f>IF($U10="","",SUMPRODUCT(--(Lineups!AS$4:AS$41=$U10),--(Lineups!AA$4:AA$41&lt;&gt;"SP")))</f>
        <v>2</v>
      </c>
      <c r="AC10" s="335">
        <f t="shared" si="11"/>
        <v>3</v>
      </c>
      <c r="AD10" s="337">
        <f t="shared" si="12"/>
        <v>0.13043478260869565</v>
      </c>
      <c r="AE10" s="335">
        <f t="shared" si="13"/>
        <v>3</v>
      </c>
      <c r="AF10" s="337">
        <f t="shared" si="14"/>
        <v>0.13043478260869565</v>
      </c>
      <c r="AG10" s="342" t="str">
        <f ca="1">IF(U10="","",IF(OR(SK!U175="",SK!U175=0),"",SK!X175))</f>
        <v/>
      </c>
      <c r="AH10" s="335">
        <f>IF($U10="","",SUMPRODUCT(--(Lineups!AC$4:AC$41=$U10)))</f>
        <v>0</v>
      </c>
      <c r="AI10" s="337">
        <f t="shared" si="15"/>
        <v>0</v>
      </c>
      <c r="AJ10" s="335">
        <f t="shared" si="16"/>
        <v>3</v>
      </c>
      <c r="AK10" s="337">
        <f t="shared" si="17"/>
        <v>0.13043478260869565</v>
      </c>
    </row>
    <row r="11" spans="1:37" x14ac:dyDescent="0.3">
      <c r="A11" s="45">
        <f t="shared" si="0"/>
        <v>3</v>
      </c>
      <c r="B11" s="213" t="str">
        <f>IF(ISBLANK(IGRF!B13),"",IGRF!B13)</f>
        <v>14</v>
      </c>
      <c r="C11" s="213" t="str">
        <f>IF(ISBLANK(IGRF!C13),"",IGRF!C13)</f>
        <v>Shorty Ounce</v>
      </c>
      <c r="D11" s="3">
        <f>IF($B11="","",SUMPRODUCT(--(Lineups!$G$4:$G$41=$B11),--(Lineups!$B$4:$B$41="")))</f>
        <v>0</v>
      </c>
      <c r="E11" s="336">
        <f t="shared" si="1"/>
        <v>0</v>
      </c>
      <c r="F11" s="344">
        <f>IF($B11="","",SUMPRODUCT(--(Lineups!$G$4:$G$41=$B11),--(Lineups!$B$4:$B$41="X")))</f>
        <v>0</v>
      </c>
      <c r="G11" s="344">
        <f>IF($B11="","",SUMPRODUCT(--(Lineups!K$4:K$41=$B11),--(Lineups!A$4:A$41&lt;&gt;"SP")))</f>
        <v>2</v>
      </c>
      <c r="H11" s="344">
        <f>IF($B11="","",SUMPRODUCT(--(Lineups!O$4:O$41=$B11),--(Lineups!A$4:A$41&lt;&gt;"SP")))</f>
        <v>2</v>
      </c>
      <c r="I11" s="344">
        <f>IF($B11="","",SUMPRODUCT(--(Lineups!S$4:S$41=$B11),--(Lineups!A$4:A$41&lt;&gt;"SP")))</f>
        <v>5</v>
      </c>
      <c r="J11" s="3">
        <f t="shared" si="2"/>
        <v>9</v>
      </c>
      <c r="K11" s="336">
        <f t="shared" si="3"/>
        <v>0.39130434782608697</v>
      </c>
      <c r="L11" s="3">
        <f t="shared" si="4"/>
        <v>9</v>
      </c>
      <c r="M11" s="336">
        <f t="shared" si="5"/>
        <v>0.39130434782608697</v>
      </c>
      <c r="N11" s="341" t="str">
        <f ca="1">IF(B11="","",IF(OR(SK!E178="",SK!E178=0),"",SK!H178))</f>
        <v/>
      </c>
      <c r="O11" s="3">
        <f>IF($B11="","",SUMPRODUCT(--(Lineups!C$4:C$41=$B11)))</f>
        <v>0</v>
      </c>
      <c r="P11" s="336">
        <f t="shared" si="6"/>
        <v>0</v>
      </c>
      <c r="Q11" s="3">
        <f t="shared" si="7"/>
        <v>9</v>
      </c>
      <c r="R11" s="336">
        <f t="shared" si="8"/>
        <v>0.39130434782608697</v>
      </c>
      <c r="T11" s="45">
        <f t="shared" si="9"/>
        <v>3</v>
      </c>
      <c r="U11" s="213" t="str">
        <f>IF(ISBLANK(IGRF!H13),"",IGRF!H13)</f>
        <v>16</v>
      </c>
      <c r="V11" s="213" t="str">
        <f>IF(ISBLANK(IGRF!I13),"",IGRF!I13)</f>
        <v>Mistilla</v>
      </c>
      <c r="W11" s="3">
        <f>IF($U11="","",SUMPRODUCT(--(Lineups!$AG$4:$AG$41=$U11),--(Lineups!$AB$4:$AB$41="")))</f>
        <v>8</v>
      </c>
      <c r="X11" s="336">
        <f t="shared" si="10"/>
        <v>0.34782608695652173</v>
      </c>
      <c r="Y11" s="344">
        <f>IF($U11="","",SUMPRODUCT(--(Lineups!$AG$4:$AG$41=$U11),--(Lineups!$AB$4:$AB$41="X")))</f>
        <v>1</v>
      </c>
      <c r="Z11" s="344">
        <f>IF($U11="","",SUMPRODUCT(--(Lineups!AK$4:AK$41=$U11),--(Lineups!AA$4:AA$41&lt;&gt;"SP")))</f>
        <v>2</v>
      </c>
      <c r="AA11" s="344">
        <f>IF($U11="","",SUMPRODUCT(--(Lineups!AO$4:AO$41=$U11),--(Lineups!AA$4:AA$41&lt;&gt;"SP")))</f>
        <v>0</v>
      </c>
      <c r="AB11" s="344">
        <f>IF($U11="","",SUMPRODUCT(--(Lineups!AS$4:AS$41=$U11),--(Lineups!AA$4:AA$41&lt;&gt;"SP")))</f>
        <v>0</v>
      </c>
      <c r="AC11" s="3">
        <f t="shared" si="11"/>
        <v>3</v>
      </c>
      <c r="AD11" s="336">
        <f t="shared" si="12"/>
        <v>0.13043478260869565</v>
      </c>
      <c r="AE11" s="3">
        <f t="shared" si="13"/>
        <v>11</v>
      </c>
      <c r="AF11" s="336">
        <f t="shared" si="14"/>
        <v>0.47826086956521741</v>
      </c>
      <c r="AG11" s="341" t="str">
        <f ca="1">IF(U11="","",IF(OR(SK!U178="",SK!U178=0),"",SK!X178))</f>
        <v/>
      </c>
      <c r="AH11" s="3">
        <f>IF($U11="","",SUMPRODUCT(--(Lineups!AC$4:AC$41=$U11)))</f>
        <v>0</v>
      </c>
      <c r="AI11" s="336">
        <f t="shared" si="15"/>
        <v>0</v>
      </c>
      <c r="AJ11" s="3">
        <f t="shared" si="16"/>
        <v>11</v>
      </c>
      <c r="AK11" s="336">
        <f t="shared" si="17"/>
        <v>0.47826086956521741</v>
      </c>
    </row>
    <row r="12" spans="1:37" x14ac:dyDescent="0.3">
      <c r="A12" s="333">
        <f t="shared" si="0"/>
        <v>4</v>
      </c>
      <c r="B12" s="334" t="str">
        <f>IF(ISBLANK(IGRF!B14),"",IGRF!B14)</f>
        <v>1618</v>
      </c>
      <c r="C12" s="334" t="str">
        <f>IF(ISBLANK(IGRF!C14),"",IGRF!C14)</f>
        <v>Sintripital Force</v>
      </c>
      <c r="D12" s="335">
        <f>IF($B12="","",SUMPRODUCT(--(Lineups!$G$4:$G$41=$B12),--(Lineups!$B$4:$B$41="")))</f>
        <v>0</v>
      </c>
      <c r="E12" s="337">
        <f t="shared" si="1"/>
        <v>0</v>
      </c>
      <c r="F12" s="344">
        <f>IF($B12="","",SUMPRODUCT(--(Lineups!$G$4:$G$41=$B12),--(Lineups!$B$4:$B$41="X")))</f>
        <v>0</v>
      </c>
      <c r="G12" s="344">
        <f>IF($B12="","",SUMPRODUCT(--(Lineups!K$4:K$41=$B12),--(Lineups!A$4:A$41&lt;&gt;"SP")))</f>
        <v>0</v>
      </c>
      <c r="H12" s="344">
        <f>IF($B12="","",SUMPRODUCT(--(Lineups!O$4:O$41=$B12),--(Lineups!A$4:A$41&lt;&gt;"SP")))</f>
        <v>0</v>
      </c>
      <c r="I12" s="344">
        <f>IF($B12="","",SUMPRODUCT(--(Lineups!S$4:S$41=$B12),--(Lineups!A$4:A$41&lt;&gt;"SP")))</f>
        <v>0</v>
      </c>
      <c r="J12" s="335">
        <f t="shared" si="2"/>
        <v>0</v>
      </c>
      <c r="K12" s="337">
        <f t="shared" si="3"/>
        <v>0</v>
      </c>
      <c r="L12" s="335">
        <f t="shared" si="4"/>
        <v>0</v>
      </c>
      <c r="M12" s="337">
        <f t="shared" si="5"/>
        <v>0</v>
      </c>
      <c r="N12" s="342">
        <f ca="1">IF(B12="","",IF(OR(SK!E181="",SK!E181=0),"",SK!H181))</f>
        <v>3</v>
      </c>
      <c r="O12" s="335">
        <f>IF($B12="","",SUMPRODUCT(--(Lineups!C$4:C$41=$B12)))</f>
        <v>5</v>
      </c>
      <c r="P12" s="337">
        <f t="shared" si="6"/>
        <v>0.21739130434782608</v>
      </c>
      <c r="Q12" s="335">
        <f t="shared" si="7"/>
        <v>5</v>
      </c>
      <c r="R12" s="337">
        <f t="shared" si="8"/>
        <v>0.21739130434782608</v>
      </c>
      <c r="T12" s="333">
        <f t="shared" si="9"/>
        <v>4</v>
      </c>
      <c r="U12" s="334" t="str">
        <f>IF(ISBLANK(IGRF!H14),"",IGRF!H14)</f>
        <v>19</v>
      </c>
      <c r="V12" s="334" t="str">
        <f>IF(ISBLANK(IGRF!I14),"",IGRF!I14)</f>
        <v>Betty Watchett</v>
      </c>
      <c r="W12" s="335">
        <f>IF($U12="","",SUMPRODUCT(--(Lineups!$AG$4:$AG$41=$U12),--(Lineups!$AB$4:$AB$41="")))</f>
        <v>11</v>
      </c>
      <c r="X12" s="337">
        <f t="shared" si="10"/>
        <v>0.47826086956521741</v>
      </c>
      <c r="Y12" s="344">
        <f>IF($U12="","",SUMPRODUCT(--(Lineups!$AG$4:$AG$41=$U12),--(Lineups!$AB$4:$AB$41="X")))</f>
        <v>0</v>
      </c>
      <c r="Z12" s="344">
        <f>IF($U12="","",SUMPRODUCT(--(Lineups!AK$4:AK$41=$U12),--(Lineups!AA$4:AA$41&lt;&gt;"SP")))</f>
        <v>0</v>
      </c>
      <c r="AA12" s="344">
        <f>IF($U12="","",SUMPRODUCT(--(Lineups!AO$4:AO$41=$U12),--(Lineups!AA$4:AA$41&lt;&gt;"SP")))</f>
        <v>1</v>
      </c>
      <c r="AB12" s="344">
        <f>IF($U12="","",SUMPRODUCT(--(Lineups!AS$4:AS$41=$U12),--(Lineups!AA$4:AA$41&lt;&gt;"SP")))</f>
        <v>0</v>
      </c>
      <c r="AC12" s="335">
        <f t="shared" si="11"/>
        <v>1</v>
      </c>
      <c r="AD12" s="337">
        <f t="shared" si="12"/>
        <v>4.3478260869565216E-2</v>
      </c>
      <c r="AE12" s="335">
        <f t="shared" si="13"/>
        <v>12</v>
      </c>
      <c r="AF12" s="337">
        <f t="shared" si="14"/>
        <v>0.52173913043478259</v>
      </c>
      <c r="AG12" s="342" t="str">
        <f ca="1">IF(U12="","",IF(OR(SK!U181="",SK!U181=0),"",SK!X181))</f>
        <v/>
      </c>
      <c r="AH12" s="335">
        <f>IF($U12="","",SUMPRODUCT(--(Lineups!AC$4:AC$41=$U12)))</f>
        <v>0</v>
      </c>
      <c r="AI12" s="337">
        <f t="shared" si="15"/>
        <v>0</v>
      </c>
      <c r="AJ12" s="335">
        <f t="shared" si="16"/>
        <v>12</v>
      </c>
      <c r="AK12" s="337">
        <f t="shared" si="17"/>
        <v>0.52173913043478259</v>
      </c>
    </row>
    <row r="13" spans="1:37" x14ac:dyDescent="0.3">
      <c r="A13" s="45">
        <f t="shared" si="0"/>
        <v>5</v>
      </c>
      <c r="B13" s="213" t="str">
        <f>IF(ISBLANK(IGRF!B15),"",IGRF!B15)</f>
        <v>22</v>
      </c>
      <c r="C13" s="213" t="str">
        <f>IF(ISBLANK(IGRF!C15),"",IGRF!C15)</f>
        <v>Sami Automatic</v>
      </c>
      <c r="D13" s="3">
        <f>IF($B13="","",SUMPRODUCT(--(Lineups!$G$4:$G$41=$B13),--(Lineups!$B$4:$B$41="")))</f>
        <v>0</v>
      </c>
      <c r="E13" s="336">
        <f t="shared" si="1"/>
        <v>0</v>
      </c>
      <c r="F13" s="344">
        <f>IF($B13="","",SUMPRODUCT(--(Lineups!$G$4:$G$41=$B13),--(Lineups!$B$4:$B$41="X")))</f>
        <v>0</v>
      </c>
      <c r="G13" s="344">
        <f>IF($B13="","",SUMPRODUCT(--(Lineups!K$4:K$41=$B13),--(Lineups!A$4:A$41&lt;&gt;"SP")))</f>
        <v>4</v>
      </c>
      <c r="H13" s="344">
        <f>IF($B13="","",SUMPRODUCT(--(Lineups!O$4:O$41=$B13),--(Lineups!A$4:A$41&lt;&gt;"SP")))</f>
        <v>3</v>
      </c>
      <c r="I13" s="344">
        <f>IF($B13="","",SUMPRODUCT(--(Lineups!S$4:S$41=$B13),--(Lineups!A$4:A$41&lt;&gt;"SP")))</f>
        <v>2</v>
      </c>
      <c r="J13" s="3">
        <f t="shared" si="2"/>
        <v>9</v>
      </c>
      <c r="K13" s="336">
        <f t="shared" si="3"/>
        <v>0.39130434782608697</v>
      </c>
      <c r="L13" s="3">
        <f t="shared" si="4"/>
        <v>9</v>
      </c>
      <c r="M13" s="336">
        <f t="shared" si="5"/>
        <v>0.39130434782608697</v>
      </c>
      <c r="N13" s="341" t="str">
        <f ca="1">IF(B13="","",IF(OR(SK!E184="",SK!E184=0),"",SK!H184))</f>
        <v/>
      </c>
      <c r="O13" s="3">
        <f>IF($B13="","",SUMPRODUCT(--(Lineups!C$4:C$41=$B13)))</f>
        <v>0</v>
      </c>
      <c r="P13" s="336">
        <f t="shared" si="6"/>
        <v>0</v>
      </c>
      <c r="Q13" s="3">
        <f t="shared" si="7"/>
        <v>9</v>
      </c>
      <c r="R13" s="336">
        <f t="shared" si="8"/>
        <v>0.39130434782608697</v>
      </c>
      <c r="T13" s="45">
        <f t="shared" si="9"/>
        <v>5</v>
      </c>
      <c r="U13" s="213" t="str">
        <f>IF(ISBLANK(IGRF!H15),"",IGRF!H15)</f>
        <v>2000</v>
      </c>
      <c r="V13" s="213" t="str">
        <f>IF(ISBLANK(IGRF!I15),"",IGRF!I15)</f>
        <v>Lisa Lava</v>
      </c>
      <c r="W13" s="3">
        <f>IF($U13="","",SUMPRODUCT(--(Lineups!$AG$4:$AG$41=$U13),--(Lineups!$AB$4:$AB$41="")))</f>
        <v>0</v>
      </c>
      <c r="X13" s="336">
        <f t="shared" si="10"/>
        <v>0</v>
      </c>
      <c r="Y13" s="344">
        <f>IF($U13="","",SUMPRODUCT(--(Lineups!$AG$4:$AG$41=$U13),--(Lineups!$AB$4:$AB$41="X")))</f>
        <v>0</v>
      </c>
      <c r="Z13" s="344">
        <f>IF($U13="","",SUMPRODUCT(--(Lineups!AK$4:AK$41=$U13),--(Lineups!AA$4:AA$41&lt;&gt;"SP")))</f>
        <v>2</v>
      </c>
      <c r="AA13" s="344">
        <f>IF($U13="","",SUMPRODUCT(--(Lineups!AO$4:AO$41=$U13),--(Lineups!AA$4:AA$41&lt;&gt;"SP")))</f>
        <v>2</v>
      </c>
      <c r="AB13" s="344">
        <f>IF($U13="","",SUMPRODUCT(--(Lineups!AS$4:AS$41=$U13),--(Lineups!AA$4:AA$41&lt;&gt;"SP")))</f>
        <v>3</v>
      </c>
      <c r="AC13" s="3">
        <f t="shared" si="11"/>
        <v>7</v>
      </c>
      <c r="AD13" s="336">
        <f t="shared" si="12"/>
        <v>0.30434782608695654</v>
      </c>
      <c r="AE13" s="3">
        <f t="shared" si="13"/>
        <v>7</v>
      </c>
      <c r="AF13" s="336">
        <f t="shared" si="14"/>
        <v>0.30434782608695654</v>
      </c>
      <c r="AG13" s="341" t="str">
        <f ca="1">IF(U13="","",IF(OR(SK!U184="",SK!U184=0),"",SK!X184))</f>
        <v/>
      </c>
      <c r="AH13" s="3">
        <f>IF($U13="","",SUMPRODUCT(--(Lineups!AC$4:AC$41=$U13)))</f>
        <v>0</v>
      </c>
      <c r="AI13" s="336">
        <f t="shared" si="15"/>
        <v>0</v>
      </c>
      <c r="AJ13" s="3">
        <f t="shared" si="16"/>
        <v>7</v>
      </c>
      <c r="AK13" s="336">
        <f t="shared" si="17"/>
        <v>0.30434782608695654</v>
      </c>
    </row>
    <row r="14" spans="1:37" x14ac:dyDescent="0.3">
      <c r="A14" s="333">
        <f t="shared" si="0"/>
        <v>6</v>
      </c>
      <c r="B14" s="334" t="str">
        <f>IF(ISBLANK(IGRF!B16),"",IGRF!B16)</f>
        <v>23</v>
      </c>
      <c r="C14" s="334" t="str">
        <f>IF(ISBLANK(IGRF!C16),"",IGRF!C16)</f>
        <v>LeBrawn Maimes</v>
      </c>
      <c r="D14" s="335">
        <f>IF($B14="","",SUMPRODUCT(--(Lineups!$G$4:$G$41=$B14),--(Lineups!$B$4:$B$41="")))</f>
        <v>0</v>
      </c>
      <c r="E14" s="337">
        <f t="shared" si="1"/>
        <v>0</v>
      </c>
      <c r="F14" s="344">
        <f>IF($B14="","",SUMPRODUCT(--(Lineups!$G$4:$G$41=$B14),--(Lineups!$B$4:$B$41="X")))</f>
        <v>0</v>
      </c>
      <c r="G14" s="344">
        <f>IF($B14="","",SUMPRODUCT(--(Lineups!K$4:K$41=$B14),--(Lineups!A$4:A$41&lt;&gt;"SP")))</f>
        <v>0</v>
      </c>
      <c r="H14" s="344">
        <f>IF($B14="","",SUMPRODUCT(--(Lineups!O$4:O$41=$B14),--(Lineups!A$4:A$41&lt;&gt;"SP")))</f>
        <v>0</v>
      </c>
      <c r="I14" s="344">
        <f>IF($B14="","",SUMPRODUCT(--(Lineups!S$4:S$41=$B14),--(Lineups!A$4:A$41&lt;&gt;"SP")))</f>
        <v>0</v>
      </c>
      <c r="J14" s="335">
        <f t="shared" si="2"/>
        <v>0</v>
      </c>
      <c r="K14" s="337">
        <f t="shared" si="3"/>
        <v>0</v>
      </c>
      <c r="L14" s="335">
        <f t="shared" si="4"/>
        <v>0</v>
      </c>
      <c r="M14" s="337">
        <f t="shared" si="5"/>
        <v>0</v>
      </c>
      <c r="N14" s="342">
        <f ca="1">IF(B14="","",IF(OR(SK!E187="",SK!E187=0),"",SK!H187))</f>
        <v>2</v>
      </c>
      <c r="O14" s="335">
        <f>IF($B14="","",SUMPRODUCT(--(Lineups!C$4:C$41=$B14)))</f>
        <v>6</v>
      </c>
      <c r="P14" s="337">
        <f t="shared" si="6"/>
        <v>0.2608695652173913</v>
      </c>
      <c r="Q14" s="335">
        <f t="shared" si="7"/>
        <v>6</v>
      </c>
      <c r="R14" s="337">
        <f t="shared" si="8"/>
        <v>0.2608695652173913</v>
      </c>
      <c r="T14" s="333">
        <f t="shared" si="9"/>
        <v>6</v>
      </c>
      <c r="U14" s="334" t="str">
        <f>IF(ISBLANK(IGRF!H16),"",IGRF!H16)</f>
        <v>201</v>
      </c>
      <c r="V14" s="334" t="str">
        <f>IF(ISBLANK(IGRF!I16),"",IGRF!I16)</f>
        <v>Dutch Destroyer</v>
      </c>
      <c r="W14" s="335">
        <f>IF($U14="","",SUMPRODUCT(--(Lineups!$AG$4:$AG$41=$U14),--(Lineups!$AB$4:$AB$41="")))</f>
        <v>0</v>
      </c>
      <c r="X14" s="337">
        <f t="shared" si="10"/>
        <v>0</v>
      </c>
      <c r="Y14" s="344">
        <f>IF($U14="","",SUMPRODUCT(--(Lineups!$AG$4:$AG$41=$U14),--(Lineups!$AB$4:$AB$41="X")))</f>
        <v>0</v>
      </c>
      <c r="Z14" s="344">
        <f>IF($U14="","",SUMPRODUCT(--(Lineups!AK$4:AK$41=$U14),--(Lineups!AA$4:AA$41&lt;&gt;"SP")))</f>
        <v>3</v>
      </c>
      <c r="AA14" s="344">
        <f>IF($U14="","",SUMPRODUCT(--(Lineups!AO$4:AO$41=$U14),--(Lineups!AA$4:AA$41&lt;&gt;"SP")))</f>
        <v>1</v>
      </c>
      <c r="AB14" s="344">
        <f>IF($U14="","",SUMPRODUCT(--(Lineups!AS$4:AS$41=$U14),--(Lineups!AA$4:AA$41&lt;&gt;"SP")))</f>
        <v>2</v>
      </c>
      <c r="AC14" s="335">
        <f t="shared" si="11"/>
        <v>6</v>
      </c>
      <c r="AD14" s="337">
        <f t="shared" si="12"/>
        <v>0.2608695652173913</v>
      </c>
      <c r="AE14" s="335">
        <f t="shared" si="13"/>
        <v>6</v>
      </c>
      <c r="AF14" s="337">
        <f t="shared" si="14"/>
        <v>0.2608695652173913</v>
      </c>
      <c r="AG14" s="342" t="str">
        <f ca="1">IF(U14="","",IF(OR(SK!U187="",SK!U187=0),"",SK!X187))</f>
        <v/>
      </c>
      <c r="AH14" s="335">
        <f>IF($U14="","",SUMPRODUCT(--(Lineups!AC$4:AC$41=$U14)))</f>
        <v>0</v>
      </c>
      <c r="AI14" s="337">
        <f t="shared" si="15"/>
        <v>0</v>
      </c>
      <c r="AJ14" s="335">
        <f t="shared" si="16"/>
        <v>6</v>
      </c>
      <c r="AK14" s="337">
        <f t="shared" si="17"/>
        <v>0.2608695652173913</v>
      </c>
    </row>
    <row r="15" spans="1:37" x14ac:dyDescent="0.3">
      <c r="A15" s="45">
        <f t="shared" si="0"/>
        <v>7</v>
      </c>
      <c r="B15" s="213" t="str">
        <f>IF(ISBLANK(IGRF!B17),"",IGRF!B17)</f>
        <v>321</v>
      </c>
      <c r="C15" s="213" t="str">
        <f>IF(ISBLANK(IGRF!C17),"",IGRF!C17)</f>
        <v>Missile America</v>
      </c>
      <c r="D15" s="3">
        <f>IF($B15="","",SUMPRODUCT(--(Lineups!$G$4:$G$41=$B15),--(Lineups!$B$4:$B$41="")))</f>
        <v>0</v>
      </c>
      <c r="E15" s="336">
        <f t="shared" si="1"/>
        <v>0</v>
      </c>
      <c r="F15" s="344">
        <f>IF($B15="","",SUMPRODUCT(--(Lineups!$G$4:$G$41=$B15),--(Lineups!$B$4:$B$41="X")))</f>
        <v>0</v>
      </c>
      <c r="G15" s="344">
        <f>IF($B15="","",SUMPRODUCT(--(Lineups!K$4:K$41=$B15),--(Lineups!A$4:A$41&lt;&gt;"SP")))</f>
        <v>6</v>
      </c>
      <c r="H15" s="344">
        <f>IF($B15="","",SUMPRODUCT(--(Lineups!O$4:O$41=$B15),--(Lineups!A$4:A$41&lt;&gt;"SP")))</f>
        <v>3</v>
      </c>
      <c r="I15" s="344">
        <f>IF($B15="","",SUMPRODUCT(--(Lineups!S$4:S$41=$B15),--(Lineups!A$4:A$41&lt;&gt;"SP")))</f>
        <v>2</v>
      </c>
      <c r="J15" s="3">
        <f t="shared" si="2"/>
        <v>11</v>
      </c>
      <c r="K15" s="336">
        <f t="shared" si="3"/>
        <v>0.47826086956521741</v>
      </c>
      <c r="L15" s="3">
        <f t="shared" si="4"/>
        <v>11</v>
      </c>
      <c r="M15" s="336">
        <f t="shared" si="5"/>
        <v>0.47826086956521741</v>
      </c>
      <c r="N15" s="341" t="str">
        <f ca="1">IF(B15="","",IF(OR(SK!E190="",SK!E190=0),"",SK!H190))</f>
        <v/>
      </c>
      <c r="O15" s="3">
        <f>IF($B15="","",SUMPRODUCT(--(Lineups!C$4:C$41=$B15)))</f>
        <v>0</v>
      </c>
      <c r="P15" s="336">
        <f t="shared" si="6"/>
        <v>0</v>
      </c>
      <c r="Q15" s="3">
        <f t="shared" si="7"/>
        <v>11</v>
      </c>
      <c r="R15" s="336">
        <f t="shared" si="8"/>
        <v>0.47826086956521741</v>
      </c>
      <c r="T15" s="45">
        <f t="shared" si="9"/>
        <v>7</v>
      </c>
      <c r="U15" s="213" t="str">
        <f>IF(ISBLANK(IGRF!H17),"",IGRF!H17)</f>
        <v>21</v>
      </c>
      <c r="V15" s="213" t="str">
        <f>IF(ISBLANK(IGRF!I17),"",IGRF!I17)</f>
        <v>Jekyll &amp; Heidi</v>
      </c>
      <c r="W15" s="3">
        <f>IF($U15="","",SUMPRODUCT(--(Lineups!$AG$4:$AG$41=$U15),--(Lineups!$AB$4:$AB$41="")))</f>
        <v>1</v>
      </c>
      <c r="X15" s="336">
        <f t="shared" si="10"/>
        <v>4.3478260869565216E-2</v>
      </c>
      <c r="Y15" s="344">
        <f>IF($U15="","",SUMPRODUCT(--(Lineups!$AG$4:$AG$41=$U15),--(Lineups!$AB$4:$AB$41="X")))</f>
        <v>0</v>
      </c>
      <c r="Z15" s="344">
        <f>IF($U15="","",SUMPRODUCT(--(Lineups!AK$4:AK$41=$U15),--(Lineups!AA$4:AA$41&lt;&gt;"SP")))</f>
        <v>1</v>
      </c>
      <c r="AA15" s="344">
        <f>IF($U15="","",SUMPRODUCT(--(Lineups!AO$4:AO$41=$U15),--(Lineups!AA$4:AA$41&lt;&gt;"SP")))</f>
        <v>5</v>
      </c>
      <c r="AB15" s="344">
        <f>IF($U15="","",SUMPRODUCT(--(Lineups!AS$4:AS$41=$U15),--(Lineups!AA$4:AA$41&lt;&gt;"SP")))</f>
        <v>6</v>
      </c>
      <c r="AC15" s="3">
        <f t="shared" si="11"/>
        <v>12</v>
      </c>
      <c r="AD15" s="336">
        <f t="shared" si="12"/>
        <v>0.52173913043478259</v>
      </c>
      <c r="AE15" s="3">
        <f t="shared" si="13"/>
        <v>13</v>
      </c>
      <c r="AF15" s="336">
        <f t="shared" si="14"/>
        <v>0.56521739130434778</v>
      </c>
      <c r="AG15" s="341" t="str">
        <f ca="1">IF(U15="","",IF(OR(SK!U190="",SK!U190=0),"",SK!X190))</f>
        <v/>
      </c>
      <c r="AH15" s="3">
        <f>IF($U15="","",SUMPRODUCT(--(Lineups!AC$4:AC$41=$U15)))</f>
        <v>0</v>
      </c>
      <c r="AI15" s="336">
        <f t="shared" si="15"/>
        <v>0</v>
      </c>
      <c r="AJ15" s="3">
        <f t="shared" si="16"/>
        <v>13</v>
      </c>
      <c r="AK15" s="336">
        <f t="shared" si="17"/>
        <v>0.56521739130434778</v>
      </c>
    </row>
    <row r="16" spans="1:37" x14ac:dyDescent="0.3">
      <c r="A16" s="333">
        <f t="shared" si="0"/>
        <v>8</v>
      </c>
      <c r="B16" s="334" t="str">
        <f>IF(ISBLANK(IGRF!B18),"",IGRF!B18)</f>
        <v>4</v>
      </c>
      <c r="C16" s="334" t="str">
        <f>IF(ISBLANK(IGRF!C18),"",IGRF!C18)</f>
        <v>Belle Tolls</v>
      </c>
      <c r="D16" s="335">
        <f>IF($B16="","",SUMPRODUCT(--(Lineups!$G$4:$G$41=$B16),--(Lineups!$B$4:$B$41="")))</f>
        <v>0</v>
      </c>
      <c r="E16" s="337">
        <f t="shared" si="1"/>
        <v>0</v>
      </c>
      <c r="F16" s="344">
        <f>IF($B16="","",SUMPRODUCT(--(Lineups!$G$4:$G$41=$B16),--(Lineups!$B$4:$B$41="X")))</f>
        <v>0</v>
      </c>
      <c r="G16" s="344">
        <f>IF($B16="","",SUMPRODUCT(--(Lineups!K$4:K$41=$B16),--(Lineups!A$4:A$41&lt;&gt;"SP")))</f>
        <v>1</v>
      </c>
      <c r="H16" s="344">
        <f>IF($B16="","",SUMPRODUCT(--(Lineups!O$4:O$41=$B16),--(Lineups!A$4:A$41&lt;&gt;"SP")))</f>
        <v>4</v>
      </c>
      <c r="I16" s="344">
        <f>IF($B16="","",SUMPRODUCT(--(Lineups!S$4:S$41=$B16),--(Lineups!A$4:A$41&lt;&gt;"SP")))</f>
        <v>1</v>
      </c>
      <c r="J16" s="335">
        <f t="shared" si="2"/>
        <v>6</v>
      </c>
      <c r="K16" s="337">
        <f t="shared" si="3"/>
        <v>0.2608695652173913</v>
      </c>
      <c r="L16" s="335">
        <f t="shared" si="4"/>
        <v>6</v>
      </c>
      <c r="M16" s="337">
        <f t="shared" si="5"/>
        <v>0.2608695652173913</v>
      </c>
      <c r="N16" s="342" t="str">
        <f ca="1">IF(B16="","",IF(OR(SK!E193="",SK!E193=0),"",SK!H193))</f>
        <v/>
      </c>
      <c r="O16" s="335">
        <f>IF($B16="","",SUMPRODUCT(--(Lineups!C$4:C$41=$B16)))</f>
        <v>0</v>
      </c>
      <c r="P16" s="337">
        <f t="shared" si="6"/>
        <v>0</v>
      </c>
      <c r="Q16" s="335">
        <f t="shared" si="7"/>
        <v>6</v>
      </c>
      <c r="R16" s="337">
        <f t="shared" si="8"/>
        <v>0.2608695652173913</v>
      </c>
      <c r="T16" s="333">
        <f t="shared" si="9"/>
        <v>8</v>
      </c>
      <c r="U16" s="334" t="str">
        <f>IF(ISBLANK(IGRF!H18),"",IGRF!H18)</f>
        <v>22</v>
      </c>
      <c r="V16" s="334" t="str">
        <f>IF(ISBLANK(IGRF!I18),"",IGRF!I18)</f>
        <v>Freight Train</v>
      </c>
      <c r="W16" s="335">
        <f>IF($U16="","",SUMPRODUCT(--(Lineups!$AG$4:$AG$41=$U16),--(Lineups!$AB$4:$AB$41="")))</f>
        <v>0</v>
      </c>
      <c r="X16" s="337">
        <f t="shared" si="10"/>
        <v>0</v>
      </c>
      <c r="Y16" s="344">
        <f>IF($U16="","",SUMPRODUCT(--(Lineups!$AG$4:$AG$41=$U16),--(Lineups!$AB$4:$AB$41="X")))</f>
        <v>0</v>
      </c>
      <c r="Z16" s="344">
        <f>IF($U16="","",SUMPRODUCT(--(Lineups!AK$4:AK$41=$U16),--(Lineups!AA$4:AA$41&lt;&gt;"SP")))</f>
        <v>0</v>
      </c>
      <c r="AA16" s="344">
        <f>IF($U16="","",SUMPRODUCT(--(Lineups!AO$4:AO$41=$U16),--(Lineups!AA$4:AA$41&lt;&gt;"SP")))</f>
        <v>0</v>
      </c>
      <c r="AB16" s="344">
        <f>IF($U16="","",SUMPRODUCT(--(Lineups!AS$4:AS$41=$U16),--(Lineups!AA$4:AA$41&lt;&gt;"SP")))</f>
        <v>0</v>
      </c>
      <c r="AC16" s="335">
        <f t="shared" si="11"/>
        <v>0</v>
      </c>
      <c r="AD16" s="337">
        <f t="shared" si="12"/>
        <v>0</v>
      </c>
      <c r="AE16" s="335">
        <f t="shared" si="13"/>
        <v>0</v>
      </c>
      <c r="AF16" s="337">
        <f t="shared" si="14"/>
        <v>0</v>
      </c>
      <c r="AG16" s="342">
        <f ca="1">IF(U16="","",IF(OR(SK!U193="",SK!U193=0),"",SK!X193))</f>
        <v>5</v>
      </c>
      <c r="AH16" s="335">
        <f>IF($U16="","",SUMPRODUCT(--(Lineups!AC$4:AC$41=$U16)))</f>
        <v>7</v>
      </c>
      <c r="AI16" s="337">
        <f t="shared" si="15"/>
        <v>0.30434782608695654</v>
      </c>
      <c r="AJ16" s="335">
        <f t="shared" si="16"/>
        <v>7</v>
      </c>
      <c r="AK16" s="337">
        <f t="shared" si="17"/>
        <v>0.30434782608695654</v>
      </c>
    </row>
    <row r="17" spans="1:37" x14ac:dyDescent="0.3">
      <c r="A17" s="45">
        <f t="shared" si="0"/>
        <v>9</v>
      </c>
      <c r="B17" s="213" t="str">
        <f>IF(ISBLANK(IGRF!B19),"",IGRF!B19)</f>
        <v>505</v>
      </c>
      <c r="C17" s="213" t="str">
        <f>IF(ISBLANK(IGRF!C19),"",IGRF!C19)</f>
        <v>Teddy Rupp</v>
      </c>
      <c r="D17" s="3">
        <f>IF($B17="","",SUMPRODUCT(--(Lineups!$G$4:$G$41=$B17),--(Lineups!$B$4:$B$41="")))</f>
        <v>0</v>
      </c>
      <c r="E17" s="336">
        <f t="shared" si="1"/>
        <v>0</v>
      </c>
      <c r="F17" s="344">
        <f>IF($B17="","",SUMPRODUCT(--(Lineups!$G$4:$G$41=$B17),--(Lineups!$B$4:$B$41="X")))</f>
        <v>0</v>
      </c>
      <c r="G17" s="344">
        <f>IF($B17="","",SUMPRODUCT(--(Lineups!K$4:K$41=$B17),--(Lineups!A$4:A$41&lt;&gt;"SP")))</f>
        <v>1</v>
      </c>
      <c r="H17" s="344">
        <f>IF($B17="","",SUMPRODUCT(--(Lineups!O$4:O$41=$B17),--(Lineups!A$4:A$41&lt;&gt;"SP")))</f>
        <v>3</v>
      </c>
      <c r="I17" s="344">
        <f>IF($B17="","",SUMPRODUCT(--(Lineups!S$4:S$41=$B17),--(Lineups!A$4:A$41&lt;&gt;"SP")))</f>
        <v>5</v>
      </c>
      <c r="J17" s="3">
        <f t="shared" si="2"/>
        <v>9</v>
      </c>
      <c r="K17" s="336">
        <f t="shared" si="3"/>
        <v>0.39130434782608697</v>
      </c>
      <c r="L17" s="3">
        <f t="shared" si="4"/>
        <v>9</v>
      </c>
      <c r="M17" s="336">
        <f t="shared" si="5"/>
        <v>0.39130434782608697</v>
      </c>
      <c r="N17" s="341" t="str">
        <f ca="1">IF(B17="","",IF(OR(SK!E196="",SK!E196=0),"",SK!H196))</f>
        <v/>
      </c>
      <c r="O17" s="3">
        <f>IF($B17="","",SUMPRODUCT(--(Lineups!C$4:C$41=$B17)))</f>
        <v>0</v>
      </c>
      <c r="P17" s="336">
        <f t="shared" si="6"/>
        <v>0</v>
      </c>
      <c r="Q17" s="3">
        <f t="shared" si="7"/>
        <v>9</v>
      </c>
      <c r="R17" s="336">
        <f t="shared" si="8"/>
        <v>0.39130434782608697</v>
      </c>
      <c r="T17" s="45">
        <f t="shared" si="9"/>
        <v>9</v>
      </c>
      <c r="U17" s="213" t="str">
        <f>IF(ISBLANK(IGRF!H19),"",IGRF!H19)</f>
        <v>312</v>
      </c>
      <c r="V17" s="213" t="str">
        <f>IF(ISBLANK(IGRF!I19),"",IGRF!I19)</f>
        <v>2x Force</v>
      </c>
      <c r="W17" s="3">
        <f>IF($U17="","",SUMPRODUCT(--(Lineups!$AG$4:$AG$41=$U17),--(Lineups!$AB$4:$AB$41="")))</f>
        <v>0</v>
      </c>
      <c r="X17" s="336">
        <f t="shared" si="10"/>
        <v>0</v>
      </c>
      <c r="Y17" s="344">
        <f>IF($U17="","",SUMPRODUCT(--(Lineups!$AG$4:$AG$41=$U17),--(Lineups!$AB$4:$AB$41="X")))</f>
        <v>0</v>
      </c>
      <c r="Z17" s="344">
        <f>IF($U17="","",SUMPRODUCT(--(Lineups!AK$4:AK$41=$U17),--(Lineups!AA$4:AA$41&lt;&gt;"SP")))</f>
        <v>2</v>
      </c>
      <c r="AA17" s="344">
        <f>IF($U17="","",SUMPRODUCT(--(Lineups!AO$4:AO$41=$U17),--(Lineups!AA$4:AA$41&lt;&gt;"SP")))</f>
        <v>5</v>
      </c>
      <c r="AB17" s="344">
        <f>IF($U17="","",SUMPRODUCT(--(Lineups!AS$4:AS$41=$U17),--(Lineups!AA$4:AA$41&lt;&gt;"SP")))</f>
        <v>4</v>
      </c>
      <c r="AC17" s="3">
        <f t="shared" si="11"/>
        <v>11</v>
      </c>
      <c r="AD17" s="336">
        <f t="shared" si="12"/>
        <v>0.47826086956521741</v>
      </c>
      <c r="AE17" s="3">
        <f t="shared" si="13"/>
        <v>11</v>
      </c>
      <c r="AF17" s="336">
        <f t="shared" si="14"/>
        <v>0.47826086956521741</v>
      </c>
      <c r="AG17" s="341" t="str">
        <f ca="1">IF(U17="","",IF(OR(SK!U196="",SK!U196=0),"",SK!X196))</f>
        <v/>
      </c>
      <c r="AH17" s="3">
        <f>IF($U17="","",SUMPRODUCT(--(Lineups!AC$4:AC$41=$U17)))</f>
        <v>0</v>
      </c>
      <c r="AI17" s="336">
        <f t="shared" si="15"/>
        <v>0</v>
      </c>
      <c r="AJ17" s="3">
        <f t="shared" si="16"/>
        <v>11</v>
      </c>
      <c r="AK17" s="336">
        <f t="shared" si="17"/>
        <v>0.47826086956521741</v>
      </c>
    </row>
    <row r="18" spans="1:37" x14ac:dyDescent="0.3">
      <c r="A18" s="333">
        <f t="shared" si="0"/>
        <v>10</v>
      </c>
      <c r="B18" s="334" t="str">
        <f>IF(ISBLANK(IGRF!B20),"",IGRF!B20)</f>
        <v>53</v>
      </c>
      <c r="C18" s="334" t="str">
        <f>IF(ISBLANK(IGRF!C20),"",IGRF!C20)</f>
        <v>Raven Seaward</v>
      </c>
      <c r="D18" s="335">
        <f>IF($B18="","",SUMPRODUCT(--(Lineups!$G$4:$G$41=$B18),--(Lineups!$B$4:$B$41="")))</f>
        <v>0</v>
      </c>
      <c r="E18" s="337">
        <f t="shared" si="1"/>
        <v>0</v>
      </c>
      <c r="F18" s="344">
        <f>IF($B18="","",SUMPRODUCT(--(Lineups!$G$4:$G$41=$B18),--(Lineups!$B$4:$B$41="X")))</f>
        <v>0</v>
      </c>
      <c r="G18" s="344">
        <f>IF($B18="","",SUMPRODUCT(--(Lineups!K$4:K$41=$B18),--(Lineups!A$4:A$41&lt;&gt;"SP")))</f>
        <v>2</v>
      </c>
      <c r="H18" s="344">
        <f>IF($B18="","",SUMPRODUCT(--(Lineups!O$4:O$41=$B18),--(Lineups!A$4:A$41&lt;&gt;"SP")))</f>
        <v>1</v>
      </c>
      <c r="I18" s="344">
        <f>IF($B18="","",SUMPRODUCT(--(Lineups!S$4:S$41=$B18),--(Lineups!A$4:A$41&lt;&gt;"SP")))</f>
        <v>5</v>
      </c>
      <c r="J18" s="335">
        <f t="shared" si="2"/>
        <v>8</v>
      </c>
      <c r="K18" s="337">
        <f t="shared" si="3"/>
        <v>0.34782608695652173</v>
      </c>
      <c r="L18" s="335">
        <f t="shared" si="4"/>
        <v>8</v>
      </c>
      <c r="M18" s="337">
        <f t="shared" si="5"/>
        <v>0.34782608695652173</v>
      </c>
      <c r="N18" s="342" t="str">
        <f ca="1">IF(B18="","",IF(OR(SK!E199="",SK!E199=0),"",SK!H199))</f>
        <v/>
      </c>
      <c r="O18" s="335">
        <f>IF($B18="","",SUMPRODUCT(--(Lineups!C$4:C$41=$B18)))</f>
        <v>0</v>
      </c>
      <c r="P18" s="337">
        <f t="shared" si="6"/>
        <v>0</v>
      </c>
      <c r="Q18" s="335">
        <f t="shared" si="7"/>
        <v>8</v>
      </c>
      <c r="R18" s="337">
        <f t="shared" si="8"/>
        <v>0.34782608695652173</v>
      </c>
      <c r="T18" s="333">
        <f t="shared" si="9"/>
        <v>10</v>
      </c>
      <c r="U18" s="334" t="str">
        <f>IF(ISBLANK(IGRF!H20),"",IGRF!H20)</f>
        <v>51</v>
      </c>
      <c r="V18" s="334" t="str">
        <f>IF(ISBLANK(IGRF!I20),"",IGRF!I20)</f>
        <v>Bustin’ Beaver</v>
      </c>
      <c r="W18" s="335">
        <f>IF($U18="","",SUMPRODUCT(--(Lineups!$AG$4:$AG$41=$U18),--(Lineups!$AB$4:$AB$41="")))</f>
        <v>2</v>
      </c>
      <c r="X18" s="337">
        <f t="shared" si="10"/>
        <v>8.6956521739130432E-2</v>
      </c>
      <c r="Y18" s="344">
        <f>IF($U18="","",SUMPRODUCT(--(Lineups!$AG$4:$AG$41=$U18),--(Lineups!$AB$4:$AB$41="X")))</f>
        <v>0</v>
      </c>
      <c r="Z18" s="344">
        <f>IF($U18="","",SUMPRODUCT(--(Lineups!AK$4:AK$41=$U18),--(Lineups!AA$4:AA$41&lt;&gt;"SP")))</f>
        <v>1</v>
      </c>
      <c r="AA18" s="344">
        <f>IF($U18="","",SUMPRODUCT(--(Lineups!AO$4:AO$41=$U18),--(Lineups!AA$4:AA$41&lt;&gt;"SP")))</f>
        <v>1</v>
      </c>
      <c r="AB18" s="344">
        <f>IF($U18="","",SUMPRODUCT(--(Lineups!AS$4:AS$41=$U18),--(Lineups!AA$4:AA$41&lt;&gt;"SP")))</f>
        <v>1</v>
      </c>
      <c r="AC18" s="335">
        <f t="shared" si="11"/>
        <v>3</v>
      </c>
      <c r="AD18" s="337">
        <f t="shared" si="12"/>
        <v>0.13043478260869565</v>
      </c>
      <c r="AE18" s="335">
        <f t="shared" si="13"/>
        <v>5</v>
      </c>
      <c r="AF18" s="337">
        <f t="shared" si="14"/>
        <v>0.21739130434782608</v>
      </c>
      <c r="AG18" s="342" t="str">
        <f ca="1">IF(U18="","",IF(OR(SK!U199="",SK!U199=0),"",SK!X199))</f>
        <v/>
      </c>
      <c r="AH18" s="335">
        <f>IF($U18="","",SUMPRODUCT(--(Lineups!AC$4:AC$41=$U18)))</f>
        <v>0</v>
      </c>
      <c r="AI18" s="337">
        <f t="shared" si="15"/>
        <v>0</v>
      </c>
      <c r="AJ18" s="335">
        <f t="shared" si="16"/>
        <v>5</v>
      </c>
      <c r="AK18" s="337">
        <f t="shared" si="17"/>
        <v>0.21739130434782608</v>
      </c>
    </row>
    <row r="19" spans="1:37" x14ac:dyDescent="0.3">
      <c r="A19" s="45">
        <f t="shared" si="0"/>
        <v>11</v>
      </c>
      <c r="B19" s="213" t="str">
        <f>IF(ISBLANK(IGRF!B21),"",IGRF!B21)</f>
        <v>761</v>
      </c>
      <c r="C19" s="213" t="str">
        <f>IF(ISBLANK(IGRF!C21),"",IGRF!C21)</f>
        <v>Rawkhell SqWelch</v>
      </c>
      <c r="D19" s="3">
        <f>IF($B19="","",SUMPRODUCT(--(Lineups!$G$4:$G$41=$B19),--(Lineups!$B$4:$B$41="")))</f>
        <v>0</v>
      </c>
      <c r="E19" s="336">
        <f t="shared" si="1"/>
        <v>0</v>
      </c>
      <c r="F19" s="344">
        <f>IF($B19="","",SUMPRODUCT(--(Lineups!$G$4:$G$41=$B19),--(Lineups!$B$4:$B$41="X")))</f>
        <v>0</v>
      </c>
      <c r="G19" s="344">
        <f>IF($B19="","",SUMPRODUCT(--(Lineups!K$4:K$41=$B19),--(Lineups!A$4:A$41&lt;&gt;"SP")))</f>
        <v>0</v>
      </c>
      <c r="H19" s="344">
        <f>IF($B19="","",SUMPRODUCT(--(Lineups!O$4:O$41=$B19),--(Lineups!A$4:A$41&lt;&gt;"SP")))</f>
        <v>0</v>
      </c>
      <c r="I19" s="344">
        <f>IF($B19="","",SUMPRODUCT(--(Lineups!S$4:S$41=$B19),--(Lineups!A$4:A$41&lt;&gt;"SP")))</f>
        <v>0</v>
      </c>
      <c r="J19" s="3">
        <f t="shared" si="2"/>
        <v>0</v>
      </c>
      <c r="K19" s="336">
        <f t="shared" si="3"/>
        <v>0</v>
      </c>
      <c r="L19" s="3">
        <f t="shared" si="4"/>
        <v>0</v>
      </c>
      <c r="M19" s="336">
        <f t="shared" si="5"/>
        <v>0</v>
      </c>
      <c r="N19" s="341">
        <f ca="1">IF(B19="","",IF(OR(SK!E202="",SK!E202=0),"",SK!H202))</f>
        <v>3</v>
      </c>
      <c r="O19" s="3">
        <f>IF($B19="","",SUMPRODUCT(--(Lineups!C$4:C$41=$B19)))</f>
        <v>5</v>
      </c>
      <c r="P19" s="336">
        <f t="shared" si="6"/>
        <v>0.21739130434782608</v>
      </c>
      <c r="Q19" s="3">
        <f t="shared" si="7"/>
        <v>5</v>
      </c>
      <c r="R19" s="336">
        <f t="shared" si="8"/>
        <v>0.21739130434782608</v>
      </c>
      <c r="T19" s="45">
        <f t="shared" si="9"/>
        <v>11</v>
      </c>
      <c r="U19" s="213" t="str">
        <f>IF(ISBLANK(IGRF!H21),"",IGRF!H21)</f>
        <v>5309</v>
      </c>
      <c r="V19" s="213" t="str">
        <f>IF(ISBLANK(IGRF!I21),"",IGRF!I21)</f>
        <v>Toxic Assets</v>
      </c>
      <c r="W19" s="3">
        <f>IF($U19="","",SUMPRODUCT(--(Lineups!$AG$4:$AG$41=$U19),--(Lineups!$AB$4:$AB$41="")))</f>
        <v>0</v>
      </c>
      <c r="X19" s="336">
        <f t="shared" si="10"/>
        <v>0</v>
      </c>
      <c r="Y19" s="344">
        <f>IF($U19="","",SUMPRODUCT(--(Lineups!$AG$4:$AG$41=$U19),--(Lineups!$AB$4:$AB$41="X")))</f>
        <v>0</v>
      </c>
      <c r="Z19" s="344">
        <f>IF($U19="","",SUMPRODUCT(--(Lineups!AK$4:AK$41=$U19),--(Lineups!AA$4:AA$41&lt;&gt;"SP")))</f>
        <v>4</v>
      </c>
      <c r="AA19" s="344">
        <f>IF($U19="","",SUMPRODUCT(--(Lineups!AO$4:AO$41=$U19),--(Lineups!AA$4:AA$41&lt;&gt;"SP")))</f>
        <v>4</v>
      </c>
      <c r="AB19" s="344">
        <f>IF($U19="","",SUMPRODUCT(--(Lineups!AS$4:AS$41=$U19),--(Lineups!AA$4:AA$41&lt;&gt;"SP")))</f>
        <v>1</v>
      </c>
      <c r="AC19" s="3">
        <f t="shared" si="11"/>
        <v>9</v>
      </c>
      <c r="AD19" s="336">
        <f t="shared" si="12"/>
        <v>0.39130434782608697</v>
      </c>
      <c r="AE19" s="3">
        <f t="shared" si="13"/>
        <v>9</v>
      </c>
      <c r="AF19" s="336">
        <f t="shared" si="14"/>
        <v>0.39130434782608697</v>
      </c>
      <c r="AG19" s="341" t="str">
        <f ca="1">IF(U19="","",IF(OR(SK!U202="",SK!U202=0),"",SK!X202))</f>
        <v/>
      </c>
      <c r="AH19" s="3">
        <f>IF($U19="","",SUMPRODUCT(--(Lineups!AC$4:AC$41=$U19)))</f>
        <v>0</v>
      </c>
      <c r="AI19" s="336">
        <f t="shared" si="15"/>
        <v>0</v>
      </c>
      <c r="AJ19" s="3">
        <f t="shared" si="16"/>
        <v>9</v>
      </c>
      <c r="AK19" s="336">
        <f t="shared" si="17"/>
        <v>0.39130434782608697</v>
      </c>
    </row>
    <row r="20" spans="1:37" x14ac:dyDescent="0.3">
      <c r="A20" s="333">
        <f t="shared" si="0"/>
        <v>12</v>
      </c>
      <c r="B20" s="334" t="str">
        <f>IF(ISBLANK(IGRF!B22),"",IGRF!B22)</f>
        <v>808</v>
      </c>
      <c r="C20" s="334" t="str">
        <f>IF(ISBLANK(IGRF!C22),"",IGRF!C22)</f>
        <v>Kendle Bjelland</v>
      </c>
      <c r="D20" s="335">
        <f>IF($B20="","",SUMPRODUCT(--(Lineups!$G$4:$G$41=$B20),--(Lineups!$B$4:$B$41="")))</f>
        <v>0</v>
      </c>
      <c r="E20" s="337">
        <f t="shared" si="1"/>
        <v>0</v>
      </c>
      <c r="F20" s="344">
        <f>IF($B20="","",SUMPRODUCT(--(Lineups!$G$4:$G$41=$B20),--(Lineups!$B$4:$B$41="X")))</f>
        <v>0</v>
      </c>
      <c r="G20" s="344">
        <f>IF($B20="","",SUMPRODUCT(--(Lineups!K$4:K$41=$B20),--(Lineups!A$4:A$41&lt;&gt;"SP")))</f>
        <v>3</v>
      </c>
      <c r="H20" s="344">
        <f>IF($B20="","",SUMPRODUCT(--(Lineups!O$4:O$41=$B20),--(Lineups!A$4:A$41&lt;&gt;"SP")))</f>
        <v>3</v>
      </c>
      <c r="I20" s="344">
        <f>IF($B20="","",SUMPRODUCT(--(Lineups!S$4:S$41=$B20),--(Lineups!A$4:A$41&lt;&gt;"SP")))</f>
        <v>1</v>
      </c>
      <c r="J20" s="335">
        <f t="shared" si="2"/>
        <v>7</v>
      </c>
      <c r="K20" s="337">
        <f t="shared" si="3"/>
        <v>0.30434782608695654</v>
      </c>
      <c r="L20" s="335">
        <f t="shared" si="4"/>
        <v>7</v>
      </c>
      <c r="M20" s="337">
        <f t="shared" si="5"/>
        <v>0.30434782608695654</v>
      </c>
      <c r="N20" s="342" t="str">
        <f ca="1">IF(B20="","",IF(OR(SK!E205="",SK!E205=0),"",SK!H205))</f>
        <v/>
      </c>
      <c r="O20" s="335">
        <f>IF($B20="","",SUMPRODUCT(--(Lineups!C$4:C$41=$B20)))</f>
        <v>0</v>
      </c>
      <c r="P20" s="337">
        <f t="shared" si="6"/>
        <v>0</v>
      </c>
      <c r="Q20" s="335">
        <f t="shared" si="7"/>
        <v>7</v>
      </c>
      <c r="R20" s="337">
        <f t="shared" si="8"/>
        <v>0.30434782608695654</v>
      </c>
      <c r="T20" s="333">
        <f t="shared" si="9"/>
        <v>12</v>
      </c>
      <c r="U20" s="334" t="str">
        <f>IF(ISBLANK(IGRF!H22),"",IGRF!H22)</f>
        <v>69</v>
      </c>
      <c r="V20" s="334" t="str">
        <f>IF(ISBLANK(IGRF!I22),"",IGRF!I22)</f>
        <v>Death By Chocolate</v>
      </c>
      <c r="W20" s="335">
        <f>IF($U20="","",SUMPRODUCT(--(Lineups!$AG$4:$AG$41=$U20),--(Lineups!$AB$4:$AB$41="")))</f>
        <v>0</v>
      </c>
      <c r="X20" s="337">
        <f t="shared" si="10"/>
        <v>0</v>
      </c>
      <c r="Y20" s="344">
        <f>IF($U20="","",SUMPRODUCT(--(Lineups!$AG$4:$AG$41=$U20),--(Lineups!$AB$4:$AB$41="X")))</f>
        <v>0</v>
      </c>
      <c r="Z20" s="344">
        <f>IF($U20="","",SUMPRODUCT(--(Lineups!AK$4:AK$41=$U20),--(Lineups!AA$4:AA$41&lt;&gt;"SP")))</f>
        <v>0</v>
      </c>
      <c r="AA20" s="344">
        <f>IF($U20="","",SUMPRODUCT(--(Lineups!AO$4:AO$41=$U20),--(Lineups!AA$4:AA$41&lt;&gt;"SP")))</f>
        <v>0</v>
      </c>
      <c r="AB20" s="344">
        <f>IF($U20="","",SUMPRODUCT(--(Lineups!AS$4:AS$41=$U20),--(Lineups!AA$4:AA$41&lt;&gt;"SP")))</f>
        <v>0</v>
      </c>
      <c r="AC20" s="335">
        <f t="shared" si="11"/>
        <v>0</v>
      </c>
      <c r="AD20" s="337">
        <f t="shared" si="12"/>
        <v>0</v>
      </c>
      <c r="AE20" s="335">
        <f t="shared" si="13"/>
        <v>0</v>
      </c>
      <c r="AF20" s="337">
        <f t="shared" si="14"/>
        <v>0</v>
      </c>
      <c r="AG20" s="342">
        <f ca="1">IF(U20="","",IF(OR(SK!U205="",SK!U205=0),"",SK!X205))</f>
        <v>5</v>
      </c>
      <c r="AH20" s="335">
        <f>IF($U20="","",SUMPRODUCT(--(Lineups!AC$4:AC$41=$U20)))</f>
        <v>7</v>
      </c>
      <c r="AI20" s="337">
        <f t="shared" si="15"/>
        <v>0.30434782608695654</v>
      </c>
      <c r="AJ20" s="335">
        <f t="shared" si="16"/>
        <v>7</v>
      </c>
      <c r="AK20" s="337">
        <f t="shared" si="17"/>
        <v>0.30434782608695654</v>
      </c>
    </row>
    <row r="21" spans="1:37" x14ac:dyDescent="0.3">
      <c r="A21" s="45">
        <f t="shared" si="0"/>
        <v>13</v>
      </c>
      <c r="B21" s="213" t="str">
        <f>IF(ISBLANK(IGRF!B23),"",IGRF!B23)</f>
        <v>9</v>
      </c>
      <c r="C21" s="213" t="str">
        <f>IF(ISBLANK(IGRF!C23),"",IGRF!C23)</f>
        <v>P. Wilhelm</v>
      </c>
      <c r="D21" s="3">
        <f>IF($B21="","",SUMPRODUCT(--(Lineups!$G$4:$G$41=$B21),--(Lineups!$B$4:$B$41="")))</f>
        <v>2</v>
      </c>
      <c r="E21" s="336">
        <f t="shared" si="1"/>
        <v>8.6956521739130432E-2</v>
      </c>
      <c r="F21" s="344">
        <f>IF($B21="","",SUMPRODUCT(--(Lineups!$G$4:$G$41=$B21),--(Lineups!$B$4:$B$41="X")))</f>
        <v>0</v>
      </c>
      <c r="G21" s="344">
        <f>IF($B21="","",SUMPRODUCT(--(Lineups!K$4:K$41=$B21),--(Lineups!A$4:A$41&lt;&gt;"SP")))</f>
        <v>3</v>
      </c>
      <c r="H21" s="344">
        <f>IF($B21="","",SUMPRODUCT(--(Lineups!O$4:O$41=$B21),--(Lineups!A$4:A$41&lt;&gt;"SP")))</f>
        <v>3</v>
      </c>
      <c r="I21" s="344">
        <f>IF($B21="","",SUMPRODUCT(--(Lineups!S$4:S$41=$B21),--(Lineups!A$4:A$41&lt;&gt;"SP")))</f>
        <v>2</v>
      </c>
      <c r="J21" s="3">
        <f t="shared" si="2"/>
        <v>8</v>
      </c>
      <c r="K21" s="336">
        <f t="shared" si="3"/>
        <v>0.34782608695652173</v>
      </c>
      <c r="L21" s="3">
        <f t="shared" si="4"/>
        <v>10</v>
      </c>
      <c r="M21" s="336">
        <f t="shared" si="5"/>
        <v>0.43478260869565216</v>
      </c>
      <c r="N21" s="341" t="str">
        <f ca="1">IF(B21="","",IF(OR(SK!E208="",SK!E208=0),"",SK!H208))</f>
        <v/>
      </c>
      <c r="O21" s="3">
        <f>IF($B21="","",SUMPRODUCT(--(Lineups!C$4:C$41=$B21)))</f>
        <v>0</v>
      </c>
      <c r="P21" s="336">
        <f t="shared" si="6"/>
        <v>0</v>
      </c>
      <c r="Q21" s="3">
        <f t="shared" si="7"/>
        <v>10</v>
      </c>
      <c r="R21" s="336">
        <f t="shared" si="8"/>
        <v>0.43478260869565216</v>
      </c>
      <c r="T21" s="45">
        <f t="shared" si="9"/>
        <v>13</v>
      </c>
      <c r="U21" s="213" t="str">
        <f>IF(ISBLANK(IGRF!H23),"",IGRF!H23)</f>
        <v>9</v>
      </c>
      <c r="V21" s="213" t="str">
        <f>IF(ISBLANK(IGRF!I23),"",IGRF!I23)</f>
        <v>Big Bad Voodoo Dollie</v>
      </c>
      <c r="W21" s="3">
        <f>IF($U21="","",SUMPRODUCT(--(Lineups!$AG$4:$AG$41=$U21),--(Lineups!$AB$4:$AB$41="")))</f>
        <v>0</v>
      </c>
      <c r="X21" s="336">
        <f t="shared" si="10"/>
        <v>0</v>
      </c>
      <c r="Y21" s="344">
        <f>IF($U21="","",SUMPRODUCT(--(Lineups!$AG$4:$AG$41=$U21),--(Lineups!$AB$4:$AB$41="X")))</f>
        <v>0</v>
      </c>
      <c r="Z21" s="344">
        <f>IF($U21="","",SUMPRODUCT(--(Lineups!AK$4:AK$41=$U21),--(Lineups!AA$4:AA$41&lt;&gt;"SP")))</f>
        <v>0</v>
      </c>
      <c r="AA21" s="344">
        <f>IF($U21="","",SUMPRODUCT(--(Lineups!AO$4:AO$41=$U21),--(Lineups!AA$4:AA$41&lt;&gt;"SP")))</f>
        <v>0</v>
      </c>
      <c r="AB21" s="344">
        <f>IF($U21="","",SUMPRODUCT(--(Lineups!AS$4:AS$41=$U21),--(Lineups!AA$4:AA$41&lt;&gt;"SP")))</f>
        <v>0</v>
      </c>
      <c r="AC21" s="3">
        <f t="shared" si="11"/>
        <v>0</v>
      </c>
      <c r="AD21" s="336">
        <f t="shared" si="12"/>
        <v>0</v>
      </c>
      <c r="AE21" s="3">
        <f t="shared" si="13"/>
        <v>0</v>
      </c>
      <c r="AF21" s="336">
        <f t="shared" si="14"/>
        <v>0</v>
      </c>
      <c r="AG21" s="341">
        <f ca="1">IF(U21="","",IF(OR(SK!U208="",SK!U208=0),"",SK!X208))</f>
        <v>4</v>
      </c>
      <c r="AH21" s="3">
        <f>IF($U21="","",SUMPRODUCT(--(Lineups!AC$4:AC$41=$U21)))</f>
        <v>8</v>
      </c>
      <c r="AI21" s="336">
        <f t="shared" si="15"/>
        <v>0.34782608695652173</v>
      </c>
      <c r="AJ21" s="3">
        <f t="shared" si="16"/>
        <v>8</v>
      </c>
      <c r="AK21" s="336">
        <f t="shared" si="17"/>
        <v>0.34782608695652173</v>
      </c>
    </row>
    <row r="22" spans="1:37" x14ac:dyDescent="0.3">
      <c r="A22" s="333">
        <f t="shared" si="0"/>
        <v>14</v>
      </c>
      <c r="B22" s="334" t="str">
        <f>IF(ISBLANK(IGRF!B24),"",IGRF!B24)</f>
        <v>911</v>
      </c>
      <c r="C22" s="334" t="str">
        <f>IF(ISBLANK(IGRF!C24),"",IGRF!C24)</f>
        <v>Luna Negra</v>
      </c>
      <c r="D22" s="335">
        <f>IF($B22="","",SUMPRODUCT(--(Lineups!$G$4:$G$41=$B22),--(Lineups!$B$4:$B$41="")))</f>
        <v>0</v>
      </c>
      <c r="E22" s="337">
        <f t="shared" si="1"/>
        <v>0</v>
      </c>
      <c r="F22" s="344">
        <f>IF($B22="","",SUMPRODUCT(--(Lineups!$G$4:$G$41=$B22),--(Lineups!$B$4:$B$41="X")))</f>
        <v>0</v>
      </c>
      <c r="G22" s="344">
        <f>IF($B22="","",SUMPRODUCT(--(Lineups!K$4:K$41=$B22),--(Lineups!A$4:A$41&lt;&gt;"SP")))</f>
        <v>0</v>
      </c>
      <c r="H22" s="344">
        <f>IF($B22="","",SUMPRODUCT(--(Lineups!O$4:O$41=$B22),--(Lineups!A$4:A$41&lt;&gt;"SP")))</f>
        <v>0</v>
      </c>
      <c r="I22" s="344">
        <f>IF($B22="","",SUMPRODUCT(--(Lineups!S$4:S$41=$B22),--(Lineups!A$4:A$41&lt;&gt;"SP")))</f>
        <v>0</v>
      </c>
      <c r="J22" s="335">
        <f t="shared" si="2"/>
        <v>0</v>
      </c>
      <c r="K22" s="337">
        <f t="shared" si="3"/>
        <v>0</v>
      </c>
      <c r="L22" s="335">
        <f t="shared" si="4"/>
        <v>0</v>
      </c>
      <c r="M22" s="337">
        <f t="shared" si="5"/>
        <v>0</v>
      </c>
      <c r="N22" s="342">
        <f ca="1">IF(B22="","",IF(OR(SK!E211="",SK!E211=0),"",SK!H211))</f>
        <v>1</v>
      </c>
      <c r="O22" s="335">
        <f>IF($B22="","",SUMPRODUCT(--(Lineups!C$4:C$41=$B22)))</f>
        <v>7</v>
      </c>
      <c r="P22" s="337">
        <f t="shared" si="6"/>
        <v>0.30434782608695654</v>
      </c>
      <c r="Q22" s="335">
        <f t="shared" si="7"/>
        <v>7</v>
      </c>
      <c r="R22" s="337">
        <f t="shared" si="8"/>
        <v>0.30434782608695654</v>
      </c>
      <c r="T22" s="333">
        <f t="shared" si="9"/>
        <v>14</v>
      </c>
      <c r="U22" s="334" t="str">
        <f>IF(ISBLANK(IGRF!H24),"",IGRF!H24)</f>
        <v>93</v>
      </c>
      <c r="V22" s="334" t="str">
        <f>IF(ISBLANK(IGRF!I24),"",IGRF!I24)</f>
        <v>Erma Gerd</v>
      </c>
      <c r="W22" s="335">
        <f>IF($U22="","",SUMPRODUCT(--(Lineups!$AG$4:$AG$41=$U22),--(Lineups!$AB$4:$AB$41="")))</f>
        <v>0</v>
      </c>
      <c r="X22" s="337">
        <f t="shared" si="10"/>
        <v>0</v>
      </c>
      <c r="Y22" s="344">
        <f>IF($U22="","",SUMPRODUCT(--(Lineups!$AG$4:$AG$41=$U22),--(Lineups!$AB$4:$AB$41="X")))</f>
        <v>0</v>
      </c>
      <c r="Z22" s="344">
        <f>IF($U22="","",SUMPRODUCT(--(Lineups!AK$4:AK$41=$U22),--(Lineups!AA$4:AA$41&lt;&gt;"SP")))</f>
        <v>3</v>
      </c>
      <c r="AA22" s="344">
        <f>IF($U22="","",SUMPRODUCT(--(Lineups!AO$4:AO$41=$U22),--(Lineups!AA$4:AA$41&lt;&gt;"SP")))</f>
        <v>3</v>
      </c>
      <c r="AB22" s="344">
        <f>IF($U22="","",SUMPRODUCT(--(Lineups!AS$4:AS$41=$U22),--(Lineups!AA$4:AA$41&lt;&gt;"SP")))</f>
        <v>2</v>
      </c>
      <c r="AC22" s="335">
        <f t="shared" si="11"/>
        <v>8</v>
      </c>
      <c r="AD22" s="337">
        <f t="shared" si="12"/>
        <v>0.34782608695652173</v>
      </c>
      <c r="AE22" s="335">
        <f t="shared" si="13"/>
        <v>8</v>
      </c>
      <c r="AF22" s="337">
        <f t="shared" si="14"/>
        <v>0.34782608695652173</v>
      </c>
      <c r="AG22" s="342" t="str">
        <f ca="1">IF(U22="","",IF(OR(SK!U211="",SK!U211=0),"",SK!X211))</f>
        <v/>
      </c>
      <c r="AH22" s="335">
        <f>IF($U22="","",SUMPRODUCT(--(Lineups!AC$4:AC$41=$U22)))</f>
        <v>0</v>
      </c>
      <c r="AI22" s="337">
        <f t="shared" si="15"/>
        <v>0</v>
      </c>
      <c r="AJ22" s="335">
        <f t="shared" si="16"/>
        <v>8</v>
      </c>
      <c r="AK22" s="337">
        <f t="shared" si="17"/>
        <v>0.34782608695652173</v>
      </c>
    </row>
    <row r="23" spans="1:37" x14ac:dyDescent="0.3">
      <c r="A23" s="45">
        <f t="shared" si="0"/>
        <v>15</v>
      </c>
      <c r="B23" s="213" t="str">
        <f>IF(ISBLANK(IGRF!B25),"",IGRF!B25)</f>
        <v>0</v>
      </c>
      <c r="C23" s="213" t="str">
        <f>IF(ISBLANK(IGRF!C25),"",IGRF!C25)</f>
        <v>Enurgizer Bunny</v>
      </c>
      <c r="D23" s="3">
        <f>IF($B23="","",SUMPRODUCT(--(Lineups!$G$4:$G$41=$B23),--(Lineups!$B$4:$B$41="")))</f>
        <v>0</v>
      </c>
      <c r="E23" s="336">
        <f t="shared" si="1"/>
        <v>0</v>
      </c>
      <c r="F23" s="344">
        <f>IF($B23="","",SUMPRODUCT(--(Lineups!$G$4:$G$41=$B23),--(Lineups!$B$4:$B$41="X")))</f>
        <v>0</v>
      </c>
      <c r="G23" s="344">
        <f>IF($B23="","",SUMPRODUCT(--(Lineups!K$4:K$41=$B23),--(Lineups!A$4:A$41&lt;&gt;"SP")))</f>
        <v>0</v>
      </c>
      <c r="H23" s="344">
        <f>IF($B23="","",SUMPRODUCT(--(Lineups!O$4:O$41=$B23),--(Lineups!A$4:A$41&lt;&gt;"SP")))</f>
        <v>0</v>
      </c>
      <c r="I23" s="344">
        <f>IF($B23="","",SUMPRODUCT(--(Lineups!S$4:S$41=$B23),--(Lineups!A$4:A$41&lt;&gt;"SP")))</f>
        <v>0</v>
      </c>
      <c r="J23" s="3">
        <f t="shared" si="2"/>
        <v>0</v>
      </c>
      <c r="K23" s="336">
        <f t="shared" si="3"/>
        <v>0</v>
      </c>
      <c r="L23" s="3">
        <f t="shared" si="4"/>
        <v>0</v>
      </c>
      <c r="M23" s="336">
        <f t="shared" si="5"/>
        <v>0</v>
      </c>
      <c r="N23" s="341" t="str">
        <f ca="1">IF(B23="","",IF(OR(SK!E214="",SK!E214=0),"",SK!H214))</f>
        <v/>
      </c>
      <c r="O23" s="3">
        <f>IF($B23="","",SUMPRODUCT(--(Lineups!C$4:C$41=$B23)))</f>
        <v>0</v>
      </c>
      <c r="P23" s="336">
        <f t="shared" si="6"/>
        <v>0</v>
      </c>
      <c r="Q23" s="3">
        <f t="shared" si="7"/>
        <v>0</v>
      </c>
      <c r="R23" s="336">
        <f t="shared" si="8"/>
        <v>0</v>
      </c>
      <c r="T23" s="45">
        <f t="shared" si="9"/>
        <v>15</v>
      </c>
      <c r="U23" s="213" t="str">
        <f>IF(ISBLANK(IGRF!H25),"",IGRF!H25)</f>
        <v/>
      </c>
      <c r="V23" s="213" t="str">
        <f>IF(ISBLANK(IGRF!I25),"",IGRF!I25)</f>
        <v/>
      </c>
      <c r="W23" s="3" t="str">
        <f>IF($U23="","",SUMPRODUCT(--(Lineups!$AG$4:$AG$41=$U23),--(Lineups!$AB$4:$AB$41="")))</f>
        <v/>
      </c>
      <c r="X23" s="336" t="str">
        <f t="shared" si="10"/>
        <v/>
      </c>
      <c r="Y23" s="344" t="str">
        <f>IF($U23="","",SUMPRODUCT(--(Lineups!$AG$4:$AG$41=$U23),--(Lineups!$AB$4:$AB$41="X")))</f>
        <v/>
      </c>
      <c r="Z23" s="344" t="str">
        <f>IF($U23="","",SUMPRODUCT(--(Lineups!AK$4:AK$41=$U23),--(Lineups!AA$4:AA$41&lt;&gt;"SP")))</f>
        <v/>
      </c>
      <c r="AA23" s="344" t="str">
        <f>IF($U23="","",SUMPRODUCT(--(Lineups!AO$4:AO$41=$U23),--(Lineups!AA$4:AA$41&lt;&gt;"SP")))</f>
        <v/>
      </c>
      <c r="AB23" s="344" t="str">
        <f>IF($U23="","",SUMPRODUCT(--(Lineups!AS$4:AS$41=$U23),--(Lineups!AA$4:AA$41&lt;&gt;"SP")))</f>
        <v/>
      </c>
      <c r="AC23" s="3" t="str">
        <f t="shared" si="11"/>
        <v/>
      </c>
      <c r="AD23" s="336" t="str">
        <f t="shared" si="12"/>
        <v/>
      </c>
      <c r="AE23" s="3" t="str">
        <f t="shared" si="13"/>
        <v/>
      </c>
      <c r="AF23" s="336" t="str">
        <f t="shared" si="14"/>
        <v/>
      </c>
      <c r="AG23" s="341" t="str">
        <f>IF(U23="","",IF(OR(SK!U214="",SK!U214=0),"",SK!X214))</f>
        <v/>
      </c>
      <c r="AH23" s="3" t="str">
        <f>IF($U23="","",SUMPRODUCT(--(Lineups!AC$4:AC$41=$U23)))</f>
        <v/>
      </c>
      <c r="AI23" s="336" t="str">
        <f t="shared" si="15"/>
        <v/>
      </c>
      <c r="AJ23" s="3" t="str">
        <f t="shared" si="16"/>
        <v/>
      </c>
      <c r="AK23" s="336" t="str">
        <f t="shared" si="17"/>
        <v/>
      </c>
    </row>
    <row r="24" spans="1:37" x14ac:dyDescent="0.3">
      <c r="A24" s="333">
        <f t="shared" si="0"/>
        <v>16</v>
      </c>
      <c r="B24" s="334" t="str">
        <f>IF(ISBLANK(IGRF!B26),"",IGRF!B26)</f>
        <v>88</v>
      </c>
      <c r="C24" s="334" t="str">
        <f>IF(ISBLANK(IGRF!C26),"",IGRF!C26)</f>
        <v>Ophelia Melons</v>
      </c>
      <c r="D24" s="335">
        <f>IF($B24="","",SUMPRODUCT(--(Lineups!$G$4:$G$41=$B24),--(Lineups!$B$4:$B$41="")))</f>
        <v>0</v>
      </c>
      <c r="E24" s="337">
        <f t="shared" si="1"/>
        <v>0</v>
      </c>
      <c r="F24" s="344">
        <f>IF($B24="","",SUMPRODUCT(--(Lineups!$G$4:$G$41=$B24),--(Lineups!$B$4:$B$41="X")))</f>
        <v>0</v>
      </c>
      <c r="G24" s="344">
        <f>IF($B24="","",SUMPRODUCT(--(Lineups!K$4:K$41=$B24),--(Lineups!A$4:A$41&lt;&gt;"SP")))</f>
        <v>0</v>
      </c>
      <c r="H24" s="344">
        <f>IF($B24="","",SUMPRODUCT(--(Lineups!O$4:O$41=$B24),--(Lineups!A$4:A$41&lt;&gt;"SP")))</f>
        <v>0</v>
      </c>
      <c r="I24" s="344">
        <f>IF($B24="","",SUMPRODUCT(--(Lineups!S$4:S$41=$B24),--(Lineups!A$4:A$41&lt;&gt;"SP")))</f>
        <v>0</v>
      </c>
      <c r="J24" s="335">
        <f t="shared" si="2"/>
        <v>0</v>
      </c>
      <c r="K24" s="337">
        <f t="shared" si="3"/>
        <v>0</v>
      </c>
      <c r="L24" s="335">
        <f t="shared" si="4"/>
        <v>0</v>
      </c>
      <c r="M24" s="337">
        <f t="shared" si="5"/>
        <v>0</v>
      </c>
      <c r="N24" s="342" t="str">
        <f ca="1">IF(B24="","",IF(OR(SK!E217="",SK!E217=0),"",SK!H217))</f>
        <v/>
      </c>
      <c r="O24" s="335">
        <f>IF($B24="","",SUMPRODUCT(--(Lineups!C$4:C$41=$B24)))</f>
        <v>0</v>
      </c>
      <c r="P24" s="337">
        <f t="shared" si="6"/>
        <v>0</v>
      </c>
      <c r="Q24" s="335">
        <f t="shared" si="7"/>
        <v>0</v>
      </c>
      <c r="R24" s="337">
        <f t="shared" si="8"/>
        <v>0</v>
      </c>
      <c r="T24" s="333">
        <f t="shared" si="9"/>
        <v>16</v>
      </c>
      <c r="U24" s="334" t="str">
        <f>IF(ISBLANK(IGRF!H26),"",IGRF!H26)</f>
        <v/>
      </c>
      <c r="V24" s="334" t="str">
        <f>IF(ISBLANK(IGRF!I26),"",IGRF!I26)</f>
        <v/>
      </c>
      <c r="W24" s="335" t="str">
        <f>IF($U24="","",SUMPRODUCT(--(Lineups!$AG$4:$AG$41=$U24),--(Lineups!$AB$4:$AB$41="")))</f>
        <v/>
      </c>
      <c r="X24" s="337" t="str">
        <f t="shared" si="10"/>
        <v/>
      </c>
      <c r="Y24" s="344" t="str">
        <f>IF($U24="","",SUMPRODUCT(--(Lineups!$AG$4:$AG$41=$U24),--(Lineups!$AB$4:$AB$41="X")))</f>
        <v/>
      </c>
      <c r="Z24" s="344" t="str">
        <f>IF($U24="","",SUMPRODUCT(--(Lineups!AK$4:AK$41=$U24),--(Lineups!AA$4:AA$41&lt;&gt;"SP")))</f>
        <v/>
      </c>
      <c r="AA24" s="344" t="str">
        <f>IF($U24="","",SUMPRODUCT(--(Lineups!AO$4:AO$41=$U24),--(Lineups!AA$4:AA$41&lt;&gt;"SP")))</f>
        <v/>
      </c>
      <c r="AB24" s="344" t="str">
        <f>IF($U24="","",SUMPRODUCT(--(Lineups!AS$4:AS$41=$U24),--(Lineups!AA$4:AA$41&lt;&gt;"SP")))</f>
        <v/>
      </c>
      <c r="AC24" s="335" t="str">
        <f t="shared" si="11"/>
        <v/>
      </c>
      <c r="AD24" s="337" t="str">
        <f t="shared" si="12"/>
        <v/>
      </c>
      <c r="AE24" s="335" t="str">
        <f t="shared" si="13"/>
        <v/>
      </c>
      <c r="AF24" s="337" t="str">
        <f t="shared" si="14"/>
        <v/>
      </c>
      <c r="AG24" s="342" t="str">
        <f>IF(U24="","",IF(OR(SK!U217="",SK!U217=0),"",SK!X217))</f>
        <v/>
      </c>
      <c r="AH24" s="335" t="str">
        <f>IF($U24="","",SUMPRODUCT(--(Lineups!AC$4:AC$41=$U24)))</f>
        <v/>
      </c>
      <c r="AI24" s="337" t="str">
        <f t="shared" si="15"/>
        <v/>
      </c>
      <c r="AJ24" s="335" t="str">
        <f t="shared" si="16"/>
        <v/>
      </c>
      <c r="AK24" s="337" t="str">
        <f t="shared" si="17"/>
        <v/>
      </c>
    </row>
    <row r="25" spans="1:37" x14ac:dyDescent="0.3">
      <c r="A25" s="45">
        <f t="shared" si="0"/>
        <v>17</v>
      </c>
      <c r="B25" s="213" t="str">
        <f>IF(ISBLANK(IGRF!B27),"",IGRF!B27)</f>
        <v/>
      </c>
      <c r="C25" s="213" t="str">
        <f>IF(ISBLANK(IGRF!C27),"",IGRF!C27)</f>
        <v/>
      </c>
      <c r="D25" s="3" t="str">
        <f>IF($B25="","",SUMPRODUCT(--(Lineups!$G$4:$G$41=$B25),--(Lineups!$B$4:$B$41="")))</f>
        <v/>
      </c>
      <c r="E25" s="336" t="str">
        <f t="shared" si="1"/>
        <v/>
      </c>
      <c r="F25" s="344" t="str">
        <f>IF($B25="","",SUMPRODUCT(--(Lineups!$G$4:$G$41=$B25),--(Lineups!$B$4:$B$41="X")))</f>
        <v/>
      </c>
      <c r="G25" s="344" t="str">
        <f>IF($B25="","",SUMPRODUCT(--(Lineups!K$4:K$41=$B25),--(Lineups!A$4:A$41&lt;&gt;"SP")))</f>
        <v/>
      </c>
      <c r="H25" s="344" t="str">
        <f>IF($B25="","",SUMPRODUCT(--(Lineups!O$4:O$41=$B25),--(Lineups!A$4:A$41&lt;&gt;"SP")))</f>
        <v/>
      </c>
      <c r="I25" s="344" t="str">
        <f>IF($B25="","",SUMPRODUCT(--(Lineups!S$4:S$41=$B25),--(Lineups!A$4:A$41&lt;&gt;"SP")))</f>
        <v/>
      </c>
      <c r="J25" s="3" t="str">
        <f t="shared" si="2"/>
        <v/>
      </c>
      <c r="K25" s="336" t="str">
        <f t="shared" si="3"/>
        <v/>
      </c>
      <c r="L25" s="3" t="str">
        <f t="shared" si="4"/>
        <v/>
      </c>
      <c r="M25" s="336" t="str">
        <f t="shared" si="5"/>
        <v/>
      </c>
      <c r="N25" s="341" t="str">
        <f>IF(B25="","",IF(OR(SK!E220="",SK!E220=0),"",SK!H220))</f>
        <v/>
      </c>
      <c r="O25" s="3" t="str">
        <f>IF($B25="","",SUMPRODUCT(--(Lineups!C$4:C$41=$B25)))</f>
        <v/>
      </c>
      <c r="P25" s="336" t="str">
        <f t="shared" si="6"/>
        <v/>
      </c>
      <c r="Q25" s="3" t="str">
        <f t="shared" si="7"/>
        <v/>
      </c>
      <c r="R25" s="336" t="str">
        <f t="shared" si="8"/>
        <v/>
      </c>
      <c r="T25" s="45">
        <f t="shared" si="9"/>
        <v>17</v>
      </c>
      <c r="U25" s="213" t="str">
        <f>IF(ISBLANK(IGRF!H27),"",IGRF!H27)</f>
        <v/>
      </c>
      <c r="V25" s="213" t="str">
        <f>IF(ISBLANK(IGRF!I27),"",IGRF!I27)</f>
        <v/>
      </c>
      <c r="W25" s="3" t="str">
        <f>IF($U25="","",SUMPRODUCT(--(Lineups!$AG$4:$AG$41=$U25),--(Lineups!$AB$4:$AB$41="")))</f>
        <v/>
      </c>
      <c r="X25" s="336" t="str">
        <f t="shared" si="10"/>
        <v/>
      </c>
      <c r="Y25" s="344" t="str">
        <f>IF($U25="","",SUMPRODUCT(--(Lineups!$AG$4:$AG$41=$U25),--(Lineups!$AB$4:$AB$41="X")))</f>
        <v/>
      </c>
      <c r="Z25" s="344" t="str">
        <f>IF($U25="","",SUMPRODUCT(--(Lineups!AK$4:AK$41=$U25),--(Lineups!AA$4:AA$41&lt;&gt;"SP")))</f>
        <v/>
      </c>
      <c r="AA25" s="344" t="str">
        <f>IF($U25="","",SUMPRODUCT(--(Lineups!AO$4:AO$41=$U25),--(Lineups!AA$4:AA$41&lt;&gt;"SP")))</f>
        <v/>
      </c>
      <c r="AB25" s="344" t="str">
        <f>IF($U25="","",SUMPRODUCT(--(Lineups!AS$4:AS$41=$U25),--(Lineups!AA$4:AA$41&lt;&gt;"SP")))</f>
        <v/>
      </c>
      <c r="AC25" s="3" t="str">
        <f t="shared" si="11"/>
        <v/>
      </c>
      <c r="AD25" s="336" t="str">
        <f t="shared" si="12"/>
        <v/>
      </c>
      <c r="AE25" s="3" t="str">
        <f t="shared" si="13"/>
        <v/>
      </c>
      <c r="AF25" s="336" t="str">
        <f t="shared" si="14"/>
        <v/>
      </c>
      <c r="AG25" s="341" t="str">
        <f>IF(U25="","",IF(OR(SK!U220="",SK!U220=0),"",SK!X220))</f>
        <v/>
      </c>
      <c r="AH25" s="3" t="str">
        <f>IF($U25="","",SUMPRODUCT(--(Lineups!AC$4:AC$41=$U25)))</f>
        <v/>
      </c>
      <c r="AI25" s="336" t="str">
        <f t="shared" si="15"/>
        <v/>
      </c>
      <c r="AJ25" s="3" t="str">
        <f t="shared" si="16"/>
        <v/>
      </c>
      <c r="AK25" s="336" t="str">
        <f t="shared" si="17"/>
        <v/>
      </c>
    </row>
    <row r="26" spans="1:37" x14ac:dyDescent="0.3">
      <c r="A26" s="333">
        <f t="shared" si="0"/>
        <v>18</v>
      </c>
      <c r="B26" s="334" t="str">
        <f>IF(ISBLANK(IGRF!B28),"",IGRF!B28)</f>
        <v/>
      </c>
      <c r="C26" s="334" t="str">
        <f>IF(ISBLANK(IGRF!C28),"",IGRF!C28)</f>
        <v/>
      </c>
      <c r="D26" s="335" t="str">
        <f>IF($B26="","",SUMPRODUCT(--(Lineups!$G$4:$G$41=$B26),--(Lineups!$B$4:$B$41="")))</f>
        <v/>
      </c>
      <c r="E26" s="337" t="str">
        <f t="shared" si="1"/>
        <v/>
      </c>
      <c r="F26" s="344" t="str">
        <f>IF($B26="","",SUMPRODUCT(--(Lineups!$G$4:$G$41=$B26),--(Lineups!$B$4:$B$41="X")))</f>
        <v/>
      </c>
      <c r="G26" s="344" t="str">
        <f>IF($B26="","",SUMPRODUCT(--(Lineups!K$4:K$41=$B26),--(Lineups!A$4:A$41&lt;&gt;"SP")))</f>
        <v/>
      </c>
      <c r="H26" s="344" t="str">
        <f>IF($B26="","",SUMPRODUCT(--(Lineups!O$4:O$41=$B26),--(Lineups!A$4:A$41&lt;&gt;"SP")))</f>
        <v/>
      </c>
      <c r="I26" s="344" t="str">
        <f>IF($B26="","",SUMPRODUCT(--(Lineups!S$4:S$41=$B26),--(Lineups!A$4:A$41&lt;&gt;"SP")))</f>
        <v/>
      </c>
      <c r="J26" s="335" t="str">
        <f t="shared" si="2"/>
        <v/>
      </c>
      <c r="K26" s="337" t="str">
        <f t="shared" si="3"/>
        <v/>
      </c>
      <c r="L26" s="335" t="str">
        <f t="shared" si="4"/>
        <v/>
      </c>
      <c r="M26" s="337" t="str">
        <f t="shared" si="5"/>
        <v/>
      </c>
      <c r="N26" s="342" t="str">
        <f>IF(B26="","",IF(OR(SK!E223="",SK!E223=0),"",SK!H223))</f>
        <v/>
      </c>
      <c r="O26" s="335" t="str">
        <f>IF($B26="","",SUMPRODUCT(--(Lineups!C$4:C$41=$B26)))</f>
        <v/>
      </c>
      <c r="P26" s="337" t="str">
        <f t="shared" si="6"/>
        <v/>
      </c>
      <c r="Q26" s="335" t="str">
        <f t="shared" si="7"/>
        <v/>
      </c>
      <c r="R26" s="337" t="str">
        <f t="shared" si="8"/>
        <v/>
      </c>
      <c r="T26" s="333">
        <f t="shared" si="9"/>
        <v>18</v>
      </c>
      <c r="U26" s="334" t="str">
        <f>IF(ISBLANK(IGRF!H28),"",IGRF!H28)</f>
        <v/>
      </c>
      <c r="V26" s="334" t="str">
        <f>IF(ISBLANK(IGRF!I28),"",IGRF!I28)</f>
        <v/>
      </c>
      <c r="W26" s="335" t="str">
        <f>IF($U26="","",SUMPRODUCT(--(Lineups!$AG$4:$AG$41=$U26),--(Lineups!$AB$4:$AB$41="")))</f>
        <v/>
      </c>
      <c r="X26" s="337" t="str">
        <f t="shared" si="10"/>
        <v/>
      </c>
      <c r="Y26" s="344" t="str">
        <f>IF($U26="","",SUMPRODUCT(--(Lineups!$AG$4:$AG$41=$U26),--(Lineups!$AB$4:$AB$41="X")))</f>
        <v/>
      </c>
      <c r="Z26" s="344" t="str">
        <f>IF($U26="","",SUMPRODUCT(--(Lineups!AK$4:AK$41=$U26),--(Lineups!AA$4:AA$41&lt;&gt;"SP")))</f>
        <v/>
      </c>
      <c r="AA26" s="344" t="str">
        <f>IF($U26="","",SUMPRODUCT(--(Lineups!AO$4:AO$41=$U26),--(Lineups!AA$4:AA$41&lt;&gt;"SP")))</f>
        <v/>
      </c>
      <c r="AB26" s="344" t="str">
        <f>IF($U26="","",SUMPRODUCT(--(Lineups!AS$4:AS$41=$U26),--(Lineups!AA$4:AA$41&lt;&gt;"SP")))</f>
        <v/>
      </c>
      <c r="AC26" s="335" t="str">
        <f t="shared" si="11"/>
        <v/>
      </c>
      <c r="AD26" s="337" t="str">
        <f t="shared" si="12"/>
        <v/>
      </c>
      <c r="AE26" s="335" t="str">
        <f t="shared" si="13"/>
        <v/>
      </c>
      <c r="AF26" s="337" t="str">
        <f t="shared" si="14"/>
        <v/>
      </c>
      <c r="AG26" s="342" t="str">
        <f>IF(U26="","",IF(OR(SK!U223="",SK!U223=0),"",SK!X223))</f>
        <v/>
      </c>
      <c r="AH26" s="335" t="str">
        <f>IF($U26="","",SUMPRODUCT(--(Lineups!AC$4:AC$41=$U26)))</f>
        <v/>
      </c>
      <c r="AI26" s="337" t="str">
        <f t="shared" si="15"/>
        <v/>
      </c>
      <c r="AJ26" s="335" t="str">
        <f t="shared" si="16"/>
        <v/>
      </c>
      <c r="AK26" s="337" t="str">
        <f t="shared" si="17"/>
        <v/>
      </c>
    </row>
    <row r="27" spans="1:37" x14ac:dyDescent="0.3">
      <c r="A27" s="45">
        <f t="shared" si="0"/>
        <v>19</v>
      </c>
      <c r="B27" s="213" t="str">
        <f>IF(ISBLANK(IGRF!B29),"",IGRF!B29)</f>
        <v/>
      </c>
      <c r="C27" s="213" t="str">
        <f>IF(ISBLANK(IGRF!C29),"",IGRF!C29)</f>
        <v/>
      </c>
      <c r="D27" s="3" t="str">
        <f>IF($B27="","",SUMPRODUCT(--(Lineups!$G$4:$G$41=$B27),--(Lineups!$B$4:$B$41="")))</f>
        <v/>
      </c>
      <c r="E27" s="336" t="str">
        <f t="shared" si="1"/>
        <v/>
      </c>
      <c r="F27" s="344" t="str">
        <f>IF($B27="","",SUMPRODUCT(--(Lineups!$G$4:$G$41=$B27),--(Lineups!$B$4:$B$41="X")))</f>
        <v/>
      </c>
      <c r="G27" s="344" t="str">
        <f>IF($B27="","",SUMPRODUCT(--(Lineups!K$4:K$41=$B27),--(Lineups!A$4:A$41&lt;&gt;"SP")))</f>
        <v/>
      </c>
      <c r="H27" s="344" t="str">
        <f>IF($B27="","",SUMPRODUCT(--(Lineups!O$4:O$41=$B27),--(Lineups!A$4:A$41&lt;&gt;"SP")))</f>
        <v/>
      </c>
      <c r="I27" s="344" t="str">
        <f>IF($B27="","",SUMPRODUCT(--(Lineups!S$4:S$41=$B27),--(Lineups!A$4:A$41&lt;&gt;"SP")))</f>
        <v/>
      </c>
      <c r="J27" s="3" t="str">
        <f t="shared" si="2"/>
        <v/>
      </c>
      <c r="K27" s="336" t="str">
        <f t="shared" si="3"/>
        <v/>
      </c>
      <c r="L27" s="3" t="str">
        <f t="shared" si="4"/>
        <v/>
      </c>
      <c r="M27" s="336" t="str">
        <f t="shared" si="5"/>
        <v/>
      </c>
      <c r="N27" s="341" t="str">
        <f>IF(B27="","",IF(OR(SK!E226="",SK!E226=0),"",SK!H226))</f>
        <v/>
      </c>
      <c r="O27" s="3" t="str">
        <f>IF($B27="","",SUMPRODUCT(--(Lineups!C$4:C$41=$B27)))</f>
        <v/>
      </c>
      <c r="P27" s="336" t="str">
        <f t="shared" si="6"/>
        <v/>
      </c>
      <c r="Q27" s="3" t="str">
        <f t="shared" si="7"/>
        <v/>
      </c>
      <c r="R27" s="336" t="str">
        <f t="shared" si="8"/>
        <v/>
      </c>
      <c r="T27" s="45">
        <f t="shared" si="9"/>
        <v>19</v>
      </c>
      <c r="U27" s="213" t="str">
        <f>IF(ISBLANK(IGRF!H29),"",IGRF!H29)</f>
        <v/>
      </c>
      <c r="V27" s="213" t="str">
        <f>IF(ISBLANK(IGRF!I29),"",IGRF!I29)</f>
        <v/>
      </c>
      <c r="W27" s="3" t="str">
        <f>IF($U27="","",SUMPRODUCT(--(Lineups!$AG$4:$AG$41=$U27),--(Lineups!$AB$4:$AB$41="")))</f>
        <v/>
      </c>
      <c r="X27" s="336" t="str">
        <f t="shared" si="10"/>
        <v/>
      </c>
      <c r="Y27" s="344" t="str">
        <f>IF($U27="","",SUMPRODUCT(--(Lineups!$AG$4:$AG$41=$U27),--(Lineups!$AB$4:$AB$41="X")))</f>
        <v/>
      </c>
      <c r="Z27" s="344" t="str">
        <f>IF($U27="","",SUMPRODUCT(--(Lineups!AK$4:AK$41=$U27),--(Lineups!AA$4:AA$41&lt;&gt;"SP")))</f>
        <v/>
      </c>
      <c r="AA27" s="344" t="str">
        <f>IF($U27="","",SUMPRODUCT(--(Lineups!AO$4:AO$41=$U27),--(Lineups!AA$4:AA$41&lt;&gt;"SP")))</f>
        <v/>
      </c>
      <c r="AB27" s="344" t="str">
        <f>IF($U27="","",SUMPRODUCT(--(Lineups!AS$4:AS$41=$U27),--(Lineups!AA$4:AA$41&lt;&gt;"SP")))</f>
        <v/>
      </c>
      <c r="AC27" s="3" t="str">
        <f t="shared" si="11"/>
        <v/>
      </c>
      <c r="AD27" s="336" t="str">
        <f t="shared" si="12"/>
        <v/>
      </c>
      <c r="AE27" s="3" t="str">
        <f t="shared" si="13"/>
        <v/>
      </c>
      <c r="AF27" s="336" t="str">
        <f t="shared" si="14"/>
        <v/>
      </c>
      <c r="AG27" s="341" t="str">
        <f>IF(U27="","",IF(OR(SK!U226="",SK!U226=0),"",SK!X226))</f>
        <v/>
      </c>
      <c r="AH27" s="3" t="str">
        <f>IF($U27="","",SUMPRODUCT(--(Lineups!AC$4:AC$41=$U27)))</f>
        <v/>
      </c>
      <c r="AI27" s="336" t="str">
        <f t="shared" si="15"/>
        <v/>
      </c>
      <c r="AJ27" s="3" t="str">
        <f t="shared" si="16"/>
        <v/>
      </c>
      <c r="AK27" s="336" t="str">
        <f t="shared" si="17"/>
        <v/>
      </c>
    </row>
    <row r="28" spans="1:37" x14ac:dyDescent="0.3">
      <c r="A28" s="333">
        <f t="shared" si="0"/>
        <v>20</v>
      </c>
      <c r="B28" s="334" t="str">
        <f>IF(ISBLANK(IGRF!B30),"",IGRF!B30)</f>
        <v/>
      </c>
      <c r="C28" s="334" t="str">
        <f>IF(ISBLANK(IGRF!C30),"",IGRF!C30)</f>
        <v/>
      </c>
      <c r="D28" s="335" t="str">
        <f>IF($B28="","",SUMPRODUCT(--(Lineups!$G$4:$G$41=$B28),--(Lineups!$B$4:$B$41="")))</f>
        <v/>
      </c>
      <c r="E28" s="337" t="str">
        <f t="shared" si="1"/>
        <v/>
      </c>
      <c r="F28" s="344" t="str">
        <f>IF($B28="","",SUMPRODUCT(--(Lineups!$G$4:$G$41=$B28),--(Lineups!$B$4:$B$41="X")))</f>
        <v/>
      </c>
      <c r="G28" s="344" t="str">
        <f>IF($B28="","",SUMPRODUCT(--(Lineups!K$4:K$41=$B28),--(Lineups!A$4:A$41&lt;&gt;"SP")))</f>
        <v/>
      </c>
      <c r="H28" s="344" t="str">
        <f>IF($B28="","",SUMPRODUCT(--(Lineups!O$4:O$41=$B28),--(Lineups!A$4:A$41&lt;&gt;"SP")))</f>
        <v/>
      </c>
      <c r="I28" s="344" t="str">
        <f>IF($B28="","",SUMPRODUCT(--(Lineups!S$4:S$41=$B28),--(Lineups!A$4:A$41&lt;&gt;"SP")))</f>
        <v/>
      </c>
      <c r="J28" s="335" t="str">
        <f t="shared" si="2"/>
        <v/>
      </c>
      <c r="K28" s="337" t="str">
        <f t="shared" si="3"/>
        <v/>
      </c>
      <c r="L28" s="335" t="str">
        <f t="shared" si="4"/>
        <v/>
      </c>
      <c r="M28" s="337" t="str">
        <f t="shared" si="5"/>
        <v/>
      </c>
      <c r="N28" s="342" t="str">
        <f>IF(B28="","",IF(OR(SK!E229="",SK!E229=0),"",SK!H229))</f>
        <v/>
      </c>
      <c r="O28" s="335" t="str">
        <f>IF($B28="","",SUMPRODUCT(--(Lineups!C$4:C$41=$B28)))</f>
        <v/>
      </c>
      <c r="P28" s="337" t="str">
        <f t="shared" si="6"/>
        <v/>
      </c>
      <c r="Q28" s="335" t="str">
        <f t="shared" si="7"/>
        <v/>
      </c>
      <c r="R28" s="337" t="str">
        <f t="shared" si="8"/>
        <v/>
      </c>
      <c r="T28" s="333">
        <f t="shared" si="9"/>
        <v>20</v>
      </c>
      <c r="U28" s="334" t="str">
        <f>IF(ISBLANK(IGRF!H30),"",IGRF!H30)</f>
        <v/>
      </c>
      <c r="V28" s="334" t="str">
        <f>IF(ISBLANK(IGRF!I30),"",IGRF!I30)</f>
        <v/>
      </c>
      <c r="W28" s="335" t="str">
        <f>IF($U28="","",SUMPRODUCT(--(Lineups!$AG$4:$AG$41=$U28),--(Lineups!$AB$4:$AB$41="")))</f>
        <v/>
      </c>
      <c r="X28" s="337" t="str">
        <f t="shared" si="10"/>
        <v/>
      </c>
      <c r="Y28" s="344" t="str">
        <f>IF($U28="","",SUMPRODUCT(--(Lineups!$AG$4:$AG$41=$U28),--(Lineups!$AB$4:$AB$41="X")))</f>
        <v/>
      </c>
      <c r="Z28" s="344" t="str">
        <f>IF($U28="","",SUMPRODUCT(--(Lineups!AK$4:AK$41=$U28),--(Lineups!AA$4:AA$41&lt;&gt;"SP")))</f>
        <v/>
      </c>
      <c r="AA28" s="344" t="str">
        <f>IF($U28="","",SUMPRODUCT(--(Lineups!AO$4:AO$41=$U28),--(Lineups!AA$4:AA$41&lt;&gt;"SP")))</f>
        <v/>
      </c>
      <c r="AB28" s="344" t="str">
        <f>IF($U28="","",SUMPRODUCT(--(Lineups!AS$4:AS$41=$U28),--(Lineups!AA$4:AA$41&lt;&gt;"SP")))</f>
        <v/>
      </c>
      <c r="AC28" s="335" t="str">
        <f t="shared" si="11"/>
        <v/>
      </c>
      <c r="AD28" s="337" t="str">
        <f t="shared" si="12"/>
        <v/>
      </c>
      <c r="AE28" s="335" t="str">
        <f t="shared" si="13"/>
        <v/>
      </c>
      <c r="AF28" s="337" t="str">
        <f t="shared" si="14"/>
        <v/>
      </c>
      <c r="AG28" s="342" t="str">
        <f>IF(U28="","",IF(OR(SK!U229="",SK!U229=0),"",SK!X229))</f>
        <v/>
      </c>
      <c r="AH28" s="335" t="str">
        <f>IF($U28="","",SUMPRODUCT(--(Lineups!AC$4:AC$41=$U28)))</f>
        <v/>
      </c>
      <c r="AI28" s="337" t="str">
        <f t="shared" si="15"/>
        <v/>
      </c>
      <c r="AJ28" s="335" t="str">
        <f t="shared" si="16"/>
        <v/>
      </c>
      <c r="AK28" s="337" t="str">
        <f t="shared" si="17"/>
        <v/>
      </c>
    </row>
    <row r="30" spans="1:37" x14ac:dyDescent="0.3">
      <c r="A30" s="1363" t="s">
        <v>52</v>
      </c>
      <c r="B30" s="1363"/>
      <c r="C30" s="1363"/>
      <c r="D30" s="236"/>
      <c r="E30" s="236"/>
      <c r="F30" s="236"/>
      <c r="G30" s="236"/>
      <c r="H30" s="236"/>
      <c r="I30" s="236"/>
      <c r="J30" s="236"/>
      <c r="K30" s="236"/>
      <c r="L30" s="236"/>
      <c r="M30" s="236"/>
      <c r="N30" s="236"/>
      <c r="O30" s="236"/>
      <c r="P30" s="236"/>
      <c r="Q30" s="236"/>
      <c r="R30" s="236"/>
      <c r="T30" s="1363" t="s">
        <v>52</v>
      </c>
      <c r="U30" s="1363"/>
      <c r="V30" s="1363"/>
      <c r="W30" s="236"/>
      <c r="X30" s="236"/>
      <c r="Y30" s="236"/>
      <c r="Z30" s="236"/>
      <c r="AA30" s="236"/>
      <c r="AB30" s="236"/>
      <c r="AC30" s="236"/>
      <c r="AD30" s="236"/>
      <c r="AE30" s="236"/>
      <c r="AF30" s="236"/>
      <c r="AG30" s="236"/>
      <c r="AH30" s="236"/>
      <c r="AI30" s="236"/>
      <c r="AJ30" s="236"/>
      <c r="AK30" s="236"/>
    </row>
    <row r="31" spans="1:37" x14ac:dyDescent="0.3">
      <c r="A31" s="338">
        <v>0</v>
      </c>
      <c r="B31" s="338" t="s">
        <v>36</v>
      </c>
      <c r="C31" s="338" t="s">
        <v>37</v>
      </c>
      <c r="D31" s="338" t="s">
        <v>175</v>
      </c>
      <c r="E31" s="234"/>
      <c r="F31" s="343" t="s">
        <v>176</v>
      </c>
      <c r="G31" s="343" t="s">
        <v>176</v>
      </c>
      <c r="H31" s="343" t="s">
        <v>176</v>
      </c>
      <c r="I31" s="343" t="s">
        <v>176</v>
      </c>
      <c r="J31" s="338" t="s">
        <v>46</v>
      </c>
      <c r="K31" s="234"/>
      <c r="L31" s="338" t="s">
        <v>48</v>
      </c>
      <c r="M31" s="234"/>
      <c r="N31" s="340" t="s">
        <v>25</v>
      </c>
      <c r="O31" s="338" t="s">
        <v>177</v>
      </c>
      <c r="P31" s="234"/>
      <c r="Q31" s="338" t="s">
        <v>19</v>
      </c>
      <c r="R31" s="234"/>
      <c r="S31" s="234"/>
      <c r="T31" s="338">
        <v>0</v>
      </c>
      <c r="U31" s="338" t="s">
        <v>36</v>
      </c>
      <c r="V31" s="338" t="s">
        <v>37</v>
      </c>
      <c r="W31" s="338" t="s">
        <v>175</v>
      </c>
      <c r="X31" s="234"/>
      <c r="Y31" s="343" t="s">
        <v>176</v>
      </c>
      <c r="Z31" s="343" t="s">
        <v>176</v>
      </c>
      <c r="AA31" s="343" t="s">
        <v>176</v>
      </c>
      <c r="AB31" s="343" t="s">
        <v>176</v>
      </c>
      <c r="AC31" s="338" t="s">
        <v>46</v>
      </c>
      <c r="AD31" s="234"/>
      <c r="AE31" s="338" t="s">
        <v>48</v>
      </c>
      <c r="AF31" s="234"/>
      <c r="AG31" s="340" t="s">
        <v>25</v>
      </c>
      <c r="AH31" s="338" t="s">
        <v>177</v>
      </c>
      <c r="AI31" s="234"/>
      <c r="AJ31" s="338" t="s">
        <v>19</v>
      </c>
      <c r="AK31" s="234"/>
    </row>
    <row r="32" spans="1:37" x14ac:dyDescent="0.3">
      <c r="A32" s="45">
        <f t="shared" ref="A32:A51" si="18">A31+1</f>
        <v>1</v>
      </c>
      <c r="B32" s="45" t="str">
        <f t="shared" ref="B32:C51" si="19">B9</f>
        <v>12</v>
      </c>
      <c r="C32" s="45" t="str">
        <f t="shared" si="19"/>
        <v>Carmen Getsome</v>
      </c>
      <c r="D32" s="45">
        <f t="shared" ref="D32:D51" ca="1" si="20">IF($B32="","",D55-D78)</f>
        <v>57</v>
      </c>
      <c r="F32" s="344">
        <f t="shared" ref="F32:I51" ca="1" si="21">IF($B32="","",F55-F78)</f>
        <v>0</v>
      </c>
      <c r="G32" s="344">
        <f t="shared" ref="G32:G51" ca="1" si="22">IF($B32="","",G55-G78)</f>
        <v>0</v>
      </c>
      <c r="H32" s="344">
        <f t="shared" ca="1" si="21"/>
        <v>0</v>
      </c>
      <c r="I32" s="344">
        <f t="shared" ca="1" si="21"/>
        <v>0</v>
      </c>
      <c r="J32" s="45">
        <f t="shared" ref="J32:J51" ca="1" si="23">IF(B32="","",SUM(F32:I32))</f>
        <v>0</v>
      </c>
      <c r="L32" s="45">
        <f t="shared" ref="L32:L51" ca="1" si="24">IF(B32="","",SUM(D32,J32))</f>
        <v>57</v>
      </c>
      <c r="O32" s="45">
        <f t="shared" ref="O32:O51" ca="1" si="25">IF($B32="","",O55-O78)</f>
        <v>0</v>
      </c>
      <c r="Q32" s="45">
        <f t="shared" ref="Q32:Q51" ca="1" si="26">IF(B32="","",SUM(L32,O32))</f>
        <v>57</v>
      </c>
      <c r="T32" s="45">
        <f t="shared" ref="T32:T51" si="27">T31+1</f>
        <v>1</v>
      </c>
      <c r="U32" s="45" t="str">
        <f t="shared" ref="U32:V51" si="28">U9</f>
        <v>112</v>
      </c>
      <c r="V32" s="45" t="str">
        <f t="shared" si="28"/>
        <v>Singapore Rogue</v>
      </c>
      <c r="W32" s="45">
        <f t="shared" ref="W32:W51" ca="1" si="29">IF($U32="","",W55-W78)</f>
        <v>0</v>
      </c>
      <c r="Y32" s="344">
        <f t="shared" ref="Y32:AB51" ca="1" si="30">IF($U32="","",Y55-Y78)</f>
        <v>0</v>
      </c>
      <c r="Z32" s="344">
        <f t="shared" ref="Z32:Z51" ca="1" si="31">IF($U32="","",Z55-Z78)</f>
        <v>11</v>
      </c>
      <c r="AA32" s="344">
        <f t="shared" ca="1" si="30"/>
        <v>-21</v>
      </c>
      <c r="AB32" s="344">
        <f t="shared" ca="1" si="30"/>
        <v>10</v>
      </c>
      <c r="AC32" s="45">
        <f t="shared" ref="AC32:AC51" ca="1" si="32">IF(U32="","",SUM(Y32:AB32))</f>
        <v>0</v>
      </c>
      <c r="AE32" s="45">
        <f t="shared" ref="AE32:AE51" ca="1" si="33">IF(U32="","",SUM(W32,AC32))</f>
        <v>0</v>
      </c>
      <c r="AH32" s="45">
        <f t="shared" ref="AH32:AH51" ca="1" si="34">IF($U32="","",AH55-AH78)</f>
        <v>0</v>
      </c>
      <c r="AJ32" s="45">
        <f t="shared" ref="AJ32:AJ51" ca="1" si="35">IF(U32="","",SUM(AE32,AH32))</f>
        <v>0</v>
      </c>
    </row>
    <row r="33" spans="1:36" x14ac:dyDescent="0.3">
      <c r="A33" s="333">
        <f t="shared" si="18"/>
        <v>2</v>
      </c>
      <c r="B33" s="333" t="str">
        <f t="shared" si="19"/>
        <v>123</v>
      </c>
      <c r="C33" s="333" t="str">
        <f t="shared" si="19"/>
        <v>Nelson</v>
      </c>
      <c r="D33" s="333">
        <f t="shared" ca="1" si="20"/>
        <v>-20</v>
      </c>
      <c r="F33" s="344">
        <f t="shared" ca="1" si="21"/>
        <v>0</v>
      </c>
      <c r="G33" s="344">
        <f t="shared" ca="1" si="22"/>
        <v>4</v>
      </c>
      <c r="H33" s="344">
        <f t="shared" ca="1" si="21"/>
        <v>0</v>
      </c>
      <c r="I33" s="344">
        <f t="shared" ca="1" si="21"/>
        <v>0</v>
      </c>
      <c r="J33" s="333">
        <f t="shared" ca="1" si="23"/>
        <v>4</v>
      </c>
      <c r="L33" s="333">
        <f t="shared" ca="1" si="24"/>
        <v>-16</v>
      </c>
      <c r="O33" s="333">
        <f t="shared" ca="1" si="25"/>
        <v>0</v>
      </c>
      <c r="Q33" s="333">
        <f t="shared" ca="1" si="26"/>
        <v>-16</v>
      </c>
      <c r="T33" s="333">
        <f t="shared" si="27"/>
        <v>2</v>
      </c>
      <c r="U33" s="333" t="str">
        <f t="shared" si="28"/>
        <v>1542</v>
      </c>
      <c r="V33" s="333" t="str">
        <f t="shared" si="28"/>
        <v>Mary Queen of Skates</v>
      </c>
      <c r="W33" s="333">
        <f t="shared" ca="1" si="29"/>
        <v>0</v>
      </c>
      <c r="Y33" s="344">
        <f t="shared" ca="1" si="30"/>
        <v>0</v>
      </c>
      <c r="Z33" s="344">
        <f t="shared" ca="1" si="31"/>
        <v>-19</v>
      </c>
      <c r="AA33" s="344">
        <f t="shared" ca="1" si="30"/>
        <v>0</v>
      </c>
      <c r="AB33" s="344">
        <f t="shared" ca="1" si="30"/>
        <v>0</v>
      </c>
      <c r="AC33" s="333">
        <f t="shared" ca="1" si="32"/>
        <v>-19</v>
      </c>
      <c r="AE33" s="333">
        <f t="shared" ca="1" si="33"/>
        <v>-19</v>
      </c>
      <c r="AH33" s="333">
        <f t="shared" ca="1" si="34"/>
        <v>0</v>
      </c>
      <c r="AJ33" s="333">
        <f t="shared" ca="1" si="35"/>
        <v>-19</v>
      </c>
    </row>
    <row r="34" spans="1:36" x14ac:dyDescent="0.3">
      <c r="A34" s="45">
        <f t="shared" si="18"/>
        <v>3</v>
      </c>
      <c r="B34" s="45" t="str">
        <f t="shared" si="19"/>
        <v>14</v>
      </c>
      <c r="C34" s="45" t="str">
        <f t="shared" si="19"/>
        <v>Shorty Ounce</v>
      </c>
      <c r="D34" s="45">
        <f t="shared" ca="1" si="20"/>
        <v>0</v>
      </c>
      <c r="F34" s="344">
        <f t="shared" ca="1" si="21"/>
        <v>0</v>
      </c>
      <c r="G34" s="344">
        <f t="shared" ca="1" si="22"/>
        <v>-12</v>
      </c>
      <c r="H34" s="344">
        <f t="shared" ca="1" si="21"/>
        <v>20</v>
      </c>
      <c r="I34" s="344">
        <f t="shared" ca="1" si="21"/>
        <v>20</v>
      </c>
      <c r="J34" s="45">
        <f t="shared" ca="1" si="23"/>
        <v>28</v>
      </c>
      <c r="L34" s="45">
        <f t="shared" ca="1" si="24"/>
        <v>28</v>
      </c>
      <c r="O34" s="45">
        <f t="shared" ca="1" si="25"/>
        <v>0</v>
      </c>
      <c r="Q34" s="45">
        <f t="shared" ca="1" si="26"/>
        <v>28</v>
      </c>
      <c r="T34" s="45">
        <f t="shared" si="27"/>
        <v>3</v>
      </c>
      <c r="U34" s="45" t="str">
        <f t="shared" si="28"/>
        <v>16</v>
      </c>
      <c r="V34" s="45" t="str">
        <f t="shared" si="28"/>
        <v>Mistilla</v>
      </c>
      <c r="W34" s="45">
        <f t="shared" ca="1" si="29"/>
        <v>-22</v>
      </c>
      <c r="Y34" s="344">
        <f t="shared" ca="1" si="30"/>
        <v>-20</v>
      </c>
      <c r="Z34" s="344">
        <f t="shared" ca="1" si="31"/>
        <v>-21</v>
      </c>
      <c r="AA34" s="344">
        <f t="shared" ca="1" si="30"/>
        <v>0</v>
      </c>
      <c r="AB34" s="344">
        <f t="shared" ca="1" si="30"/>
        <v>0</v>
      </c>
      <c r="AC34" s="45">
        <f t="shared" ca="1" si="32"/>
        <v>-41</v>
      </c>
      <c r="AE34" s="45">
        <f t="shared" ca="1" si="33"/>
        <v>-63</v>
      </c>
      <c r="AH34" s="45">
        <f t="shared" ca="1" si="34"/>
        <v>0</v>
      </c>
      <c r="AJ34" s="45">
        <f t="shared" ca="1" si="35"/>
        <v>-63</v>
      </c>
    </row>
    <row r="35" spans="1:36" x14ac:dyDescent="0.3">
      <c r="A35" s="333">
        <f t="shared" si="18"/>
        <v>4</v>
      </c>
      <c r="B35" s="333" t="str">
        <f t="shared" si="19"/>
        <v>1618</v>
      </c>
      <c r="C35" s="333" t="str">
        <f t="shared" si="19"/>
        <v>Sintripital Force</v>
      </c>
      <c r="D35" s="333">
        <f t="shared" ca="1" si="20"/>
        <v>0</v>
      </c>
      <c r="F35" s="344">
        <f t="shared" ca="1" si="21"/>
        <v>0</v>
      </c>
      <c r="G35" s="344">
        <f t="shared" ca="1" si="22"/>
        <v>0</v>
      </c>
      <c r="H35" s="344">
        <f t="shared" ca="1" si="21"/>
        <v>0</v>
      </c>
      <c r="I35" s="344">
        <f t="shared" ca="1" si="21"/>
        <v>0</v>
      </c>
      <c r="J35" s="333">
        <f t="shared" ca="1" si="23"/>
        <v>0</v>
      </c>
      <c r="L35" s="333">
        <f t="shared" ca="1" si="24"/>
        <v>0</v>
      </c>
      <c r="O35" s="333">
        <f t="shared" ca="1" si="25"/>
        <v>22</v>
      </c>
      <c r="Q35" s="333">
        <f t="shared" ca="1" si="26"/>
        <v>22</v>
      </c>
      <c r="T35" s="333">
        <f t="shared" si="27"/>
        <v>4</v>
      </c>
      <c r="U35" s="333" t="str">
        <f t="shared" si="28"/>
        <v>19</v>
      </c>
      <c r="V35" s="333" t="str">
        <f t="shared" si="28"/>
        <v>Betty Watchett</v>
      </c>
      <c r="W35" s="333">
        <f t="shared" ca="1" si="29"/>
        <v>-20</v>
      </c>
      <c r="Y35" s="344">
        <f t="shared" ca="1" si="30"/>
        <v>0</v>
      </c>
      <c r="Z35" s="344">
        <f t="shared" ca="1" si="31"/>
        <v>0</v>
      </c>
      <c r="AA35" s="344">
        <f t="shared" ca="1" si="30"/>
        <v>4</v>
      </c>
      <c r="AB35" s="344">
        <f t="shared" ca="1" si="30"/>
        <v>0</v>
      </c>
      <c r="AC35" s="333">
        <f t="shared" ca="1" si="32"/>
        <v>4</v>
      </c>
      <c r="AE35" s="333">
        <f t="shared" ca="1" si="33"/>
        <v>-16</v>
      </c>
      <c r="AH35" s="333">
        <f t="shared" ca="1" si="34"/>
        <v>0</v>
      </c>
      <c r="AJ35" s="333">
        <f t="shared" ca="1" si="35"/>
        <v>-16</v>
      </c>
    </row>
    <row r="36" spans="1:36" x14ac:dyDescent="0.3">
      <c r="A36" s="45">
        <f t="shared" si="18"/>
        <v>5</v>
      </c>
      <c r="B36" s="45" t="str">
        <f t="shared" si="19"/>
        <v>22</v>
      </c>
      <c r="C36" s="45" t="str">
        <f t="shared" si="19"/>
        <v>Sami Automatic</v>
      </c>
      <c r="D36" s="45">
        <f t="shared" ca="1" si="20"/>
        <v>0</v>
      </c>
      <c r="F36" s="344">
        <f t="shared" ca="1" si="21"/>
        <v>0</v>
      </c>
      <c r="G36" s="344">
        <f t="shared" ca="1" si="22"/>
        <v>1</v>
      </c>
      <c r="H36" s="344">
        <f t="shared" ca="1" si="21"/>
        <v>2</v>
      </c>
      <c r="I36" s="344">
        <f t="shared" ca="1" si="21"/>
        <v>20</v>
      </c>
      <c r="J36" s="45">
        <f t="shared" ca="1" si="23"/>
        <v>23</v>
      </c>
      <c r="L36" s="45">
        <f t="shared" ca="1" si="24"/>
        <v>23</v>
      </c>
      <c r="O36" s="45">
        <f t="shared" ca="1" si="25"/>
        <v>0</v>
      </c>
      <c r="Q36" s="45">
        <f t="shared" ca="1" si="26"/>
        <v>23</v>
      </c>
      <c r="T36" s="45">
        <f t="shared" si="27"/>
        <v>5</v>
      </c>
      <c r="U36" s="45" t="str">
        <f t="shared" si="28"/>
        <v>2000</v>
      </c>
      <c r="V36" s="45" t="str">
        <f t="shared" si="28"/>
        <v>Lisa Lava</v>
      </c>
      <c r="W36" s="45">
        <f t="shared" ca="1" si="29"/>
        <v>0</v>
      </c>
      <c r="Y36" s="344">
        <f t="shared" ca="1" si="30"/>
        <v>0</v>
      </c>
      <c r="Z36" s="344">
        <f t="shared" ca="1" si="31"/>
        <v>-24</v>
      </c>
      <c r="AA36" s="344">
        <f t="shared" ca="1" si="30"/>
        <v>5</v>
      </c>
      <c r="AB36" s="344">
        <f t="shared" ca="1" si="30"/>
        <v>8</v>
      </c>
      <c r="AC36" s="45">
        <f t="shared" ca="1" si="32"/>
        <v>-11</v>
      </c>
      <c r="AE36" s="45">
        <f t="shared" ca="1" si="33"/>
        <v>-11</v>
      </c>
      <c r="AH36" s="45">
        <f t="shared" ca="1" si="34"/>
        <v>0</v>
      </c>
      <c r="AJ36" s="45">
        <f t="shared" ca="1" si="35"/>
        <v>-11</v>
      </c>
    </row>
    <row r="37" spans="1:36" x14ac:dyDescent="0.3">
      <c r="A37" s="333">
        <f t="shared" si="18"/>
        <v>6</v>
      </c>
      <c r="B37" s="333" t="str">
        <f t="shared" si="19"/>
        <v>23</v>
      </c>
      <c r="C37" s="333" t="str">
        <f t="shared" si="19"/>
        <v>LeBrawn Maimes</v>
      </c>
      <c r="D37" s="333">
        <f t="shared" ca="1" si="20"/>
        <v>0</v>
      </c>
      <c r="F37" s="344">
        <f t="shared" ca="1" si="21"/>
        <v>0</v>
      </c>
      <c r="G37" s="344">
        <f t="shared" ca="1" si="22"/>
        <v>0</v>
      </c>
      <c r="H37" s="344">
        <f t="shared" ca="1" si="21"/>
        <v>0</v>
      </c>
      <c r="I37" s="344">
        <f t="shared" ca="1" si="21"/>
        <v>0</v>
      </c>
      <c r="J37" s="333">
        <f t="shared" ca="1" si="23"/>
        <v>0</v>
      </c>
      <c r="L37" s="333">
        <f t="shared" ca="1" si="24"/>
        <v>0</v>
      </c>
      <c r="O37" s="333">
        <f t="shared" ca="1" si="25"/>
        <v>13</v>
      </c>
      <c r="Q37" s="333">
        <f t="shared" ca="1" si="26"/>
        <v>13</v>
      </c>
      <c r="T37" s="333">
        <f t="shared" si="27"/>
        <v>6</v>
      </c>
      <c r="U37" s="333" t="str">
        <f t="shared" si="28"/>
        <v>201</v>
      </c>
      <c r="V37" s="333" t="str">
        <f t="shared" si="28"/>
        <v>Dutch Destroyer</v>
      </c>
      <c r="W37" s="333">
        <f t="shared" ca="1" si="29"/>
        <v>0</v>
      </c>
      <c r="Y37" s="344">
        <f t="shared" ca="1" si="30"/>
        <v>0</v>
      </c>
      <c r="Z37" s="344">
        <f t="shared" ca="1" si="31"/>
        <v>-2</v>
      </c>
      <c r="AA37" s="344">
        <f t="shared" ca="1" si="30"/>
        <v>-19</v>
      </c>
      <c r="AB37" s="344">
        <f t="shared" ca="1" si="30"/>
        <v>-5</v>
      </c>
      <c r="AC37" s="333">
        <f t="shared" ca="1" si="32"/>
        <v>-26</v>
      </c>
      <c r="AE37" s="333">
        <f t="shared" ca="1" si="33"/>
        <v>-26</v>
      </c>
      <c r="AH37" s="333">
        <f t="shared" ca="1" si="34"/>
        <v>0</v>
      </c>
      <c r="AJ37" s="333">
        <f t="shared" ca="1" si="35"/>
        <v>-26</v>
      </c>
    </row>
    <row r="38" spans="1:36" x14ac:dyDescent="0.3">
      <c r="A38" s="45">
        <f t="shared" si="18"/>
        <v>7</v>
      </c>
      <c r="B38" s="45" t="str">
        <f t="shared" si="19"/>
        <v>321</v>
      </c>
      <c r="C38" s="45" t="str">
        <f t="shared" si="19"/>
        <v>Missile America</v>
      </c>
      <c r="D38" s="45">
        <f t="shared" ca="1" si="20"/>
        <v>0</v>
      </c>
      <c r="F38" s="344">
        <f t="shared" ca="1" si="21"/>
        <v>0</v>
      </c>
      <c r="G38" s="344">
        <f t="shared" ca="1" si="22"/>
        <v>38</v>
      </c>
      <c r="H38" s="344">
        <f t="shared" ca="1" si="21"/>
        <v>41</v>
      </c>
      <c r="I38" s="344">
        <f t="shared" ca="1" si="21"/>
        <v>-3</v>
      </c>
      <c r="J38" s="45">
        <f t="shared" ca="1" si="23"/>
        <v>76</v>
      </c>
      <c r="L38" s="45">
        <f t="shared" ca="1" si="24"/>
        <v>76</v>
      </c>
      <c r="O38" s="45">
        <f t="shared" ca="1" si="25"/>
        <v>0</v>
      </c>
      <c r="Q38" s="45">
        <f t="shared" ca="1" si="26"/>
        <v>76</v>
      </c>
      <c r="T38" s="45">
        <f t="shared" si="27"/>
        <v>7</v>
      </c>
      <c r="U38" s="45" t="str">
        <f t="shared" si="28"/>
        <v>21</v>
      </c>
      <c r="V38" s="45" t="str">
        <f t="shared" si="28"/>
        <v>Jekyll &amp; Heidi</v>
      </c>
      <c r="W38" s="45">
        <f t="shared" ca="1" si="29"/>
        <v>2</v>
      </c>
      <c r="Y38" s="344">
        <f t="shared" ca="1" si="30"/>
        <v>0</v>
      </c>
      <c r="Z38" s="344">
        <f t="shared" ca="1" si="31"/>
        <v>6</v>
      </c>
      <c r="AA38" s="344">
        <f t="shared" ca="1" si="30"/>
        <v>0</v>
      </c>
      <c r="AB38" s="344">
        <f t="shared" ca="1" si="30"/>
        <v>-58</v>
      </c>
      <c r="AC38" s="45">
        <f t="shared" ca="1" si="32"/>
        <v>-52</v>
      </c>
      <c r="AE38" s="45">
        <f t="shared" ca="1" si="33"/>
        <v>-50</v>
      </c>
      <c r="AH38" s="45">
        <f t="shared" ca="1" si="34"/>
        <v>0</v>
      </c>
      <c r="AJ38" s="45">
        <f t="shared" ca="1" si="35"/>
        <v>-50</v>
      </c>
    </row>
    <row r="39" spans="1:36" x14ac:dyDescent="0.3">
      <c r="A39" s="333">
        <f t="shared" si="18"/>
        <v>8</v>
      </c>
      <c r="B39" s="333" t="str">
        <f t="shared" si="19"/>
        <v>4</v>
      </c>
      <c r="C39" s="333" t="str">
        <f t="shared" si="19"/>
        <v>Belle Tolls</v>
      </c>
      <c r="D39" s="333">
        <f t="shared" ca="1" si="20"/>
        <v>0</v>
      </c>
      <c r="F39" s="344">
        <f t="shared" ca="1" si="21"/>
        <v>0</v>
      </c>
      <c r="G39" s="344">
        <f t="shared" ca="1" si="22"/>
        <v>20</v>
      </c>
      <c r="H39" s="344">
        <f t="shared" ca="1" si="21"/>
        <v>-13</v>
      </c>
      <c r="I39" s="344">
        <f t="shared" ca="1" si="21"/>
        <v>-2</v>
      </c>
      <c r="J39" s="333">
        <f t="shared" ca="1" si="23"/>
        <v>5</v>
      </c>
      <c r="L39" s="333">
        <f t="shared" ca="1" si="24"/>
        <v>5</v>
      </c>
      <c r="O39" s="333">
        <f t="shared" ca="1" si="25"/>
        <v>0</v>
      </c>
      <c r="Q39" s="333">
        <f t="shared" ca="1" si="26"/>
        <v>5</v>
      </c>
      <c r="T39" s="333">
        <f t="shared" si="27"/>
        <v>8</v>
      </c>
      <c r="U39" s="333" t="str">
        <f t="shared" si="28"/>
        <v>22</v>
      </c>
      <c r="V39" s="333" t="str">
        <f t="shared" si="28"/>
        <v>Freight Train</v>
      </c>
      <c r="W39" s="333">
        <f t="shared" ca="1" si="29"/>
        <v>0</v>
      </c>
      <c r="Y39" s="344">
        <f t="shared" ca="1" si="30"/>
        <v>0</v>
      </c>
      <c r="Z39" s="344">
        <f t="shared" ca="1" si="31"/>
        <v>0</v>
      </c>
      <c r="AA39" s="344">
        <f t="shared" ca="1" si="30"/>
        <v>0</v>
      </c>
      <c r="AB39" s="344">
        <f t="shared" ca="1" si="30"/>
        <v>0</v>
      </c>
      <c r="AC39" s="333">
        <f t="shared" ca="1" si="32"/>
        <v>0</v>
      </c>
      <c r="AE39" s="333">
        <f t="shared" ca="1" si="33"/>
        <v>0</v>
      </c>
      <c r="AH39" s="333">
        <f t="shared" ca="1" si="34"/>
        <v>-15</v>
      </c>
      <c r="AJ39" s="333">
        <f t="shared" ca="1" si="35"/>
        <v>-15</v>
      </c>
    </row>
    <row r="40" spans="1:36" x14ac:dyDescent="0.3">
      <c r="A40" s="45">
        <f t="shared" si="18"/>
        <v>9</v>
      </c>
      <c r="B40" s="45" t="str">
        <f t="shared" si="19"/>
        <v>505</v>
      </c>
      <c r="C40" s="45" t="str">
        <f t="shared" si="19"/>
        <v>Teddy Rupp</v>
      </c>
      <c r="D40" s="45">
        <f t="shared" ca="1" si="20"/>
        <v>0</v>
      </c>
      <c r="F40" s="344">
        <f t="shared" ca="1" si="21"/>
        <v>0</v>
      </c>
      <c r="G40" s="344">
        <f t="shared" ca="1" si="22"/>
        <v>1</v>
      </c>
      <c r="H40" s="344">
        <f t="shared" ca="1" si="21"/>
        <v>15</v>
      </c>
      <c r="I40" s="344">
        <f t="shared" ca="1" si="21"/>
        <v>8</v>
      </c>
      <c r="J40" s="45">
        <f t="shared" ca="1" si="23"/>
        <v>24</v>
      </c>
      <c r="L40" s="45">
        <f t="shared" ca="1" si="24"/>
        <v>24</v>
      </c>
      <c r="O40" s="45">
        <f t="shared" ca="1" si="25"/>
        <v>0</v>
      </c>
      <c r="Q40" s="45">
        <f t="shared" ca="1" si="26"/>
        <v>24</v>
      </c>
      <c r="T40" s="45">
        <f t="shared" si="27"/>
        <v>9</v>
      </c>
      <c r="U40" s="45" t="str">
        <f t="shared" si="28"/>
        <v>312</v>
      </c>
      <c r="V40" s="45" t="str">
        <f t="shared" si="28"/>
        <v>2x Force</v>
      </c>
      <c r="W40" s="45">
        <f t="shared" ca="1" si="29"/>
        <v>0</v>
      </c>
      <c r="Y40" s="344">
        <f t="shared" ca="1" si="30"/>
        <v>0</v>
      </c>
      <c r="Z40" s="344">
        <f t="shared" ca="1" si="31"/>
        <v>7</v>
      </c>
      <c r="AA40" s="344">
        <f t="shared" ca="1" si="30"/>
        <v>4</v>
      </c>
      <c r="AB40" s="344">
        <f t="shared" ca="1" si="30"/>
        <v>-12</v>
      </c>
      <c r="AC40" s="45">
        <f t="shared" ca="1" si="32"/>
        <v>-1</v>
      </c>
      <c r="AE40" s="45">
        <f t="shared" ca="1" si="33"/>
        <v>-1</v>
      </c>
      <c r="AH40" s="45">
        <f t="shared" ca="1" si="34"/>
        <v>0</v>
      </c>
      <c r="AJ40" s="45">
        <f t="shared" ca="1" si="35"/>
        <v>-1</v>
      </c>
    </row>
    <row r="41" spans="1:36" x14ac:dyDescent="0.3">
      <c r="A41" s="333">
        <f t="shared" si="18"/>
        <v>10</v>
      </c>
      <c r="B41" s="333" t="str">
        <f t="shared" si="19"/>
        <v>53</v>
      </c>
      <c r="C41" s="333" t="str">
        <f t="shared" si="19"/>
        <v>Raven Seaward</v>
      </c>
      <c r="D41" s="333">
        <f t="shared" ca="1" si="20"/>
        <v>0</v>
      </c>
      <c r="F41" s="344">
        <f t="shared" ca="1" si="21"/>
        <v>0</v>
      </c>
      <c r="G41" s="344">
        <f t="shared" ca="1" si="22"/>
        <v>-6</v>
      </c>
      <c r="H41" s="344">
        <f t="shared" ca="1" si="21"/>
        <v>-5</v>
      </c>
      <c r="I41" s="344">
        <f t="shared" ca="1" si="21"/>
        <v>17</v>
      </c>
      <c r="J41" s="333">
        <f t="shared" ca="1" si="23"/>
        <v>6</v>
      </c>
      <c r="L41" s="333">
        <f t="shared" ca="1" si="24"/>
        <v>6</v>
      </c>
      <c r="O41" s="333">
        <f t="shared" ca="1" si="25"/>
        <v>0</v>
      </c>
      <c r="Q41" s="333">
        <f t="shared" ca="1" si="26"/>
        <v>6</v>
      </c>
      <c r="T41" s="333">
        <f t="shared" si="27"/>
        <v>10</v>
      </c>
      <c r="U41" s="333" t="str">
        <f t="shared" si="28"/>
        <v>51</v>
      </c>
      <c r="V41" s="333" t="str">
        <f t="shared" si="28"/>
        <v>Bustin’ Beaver</v>
      </c>
      <c r="W41" s="333">
        <f t="shared" ca="1" si="29"/>
        <v>7</v>
      </c>
      <c r="Y41" s="344">
        <f t="shared" ca="1" si="30"/>
        <v>0</v>
      </c>
      <c r="Z41" s="344">
        <f t="shared" ca="1" si="31"/>
        <v>0</v>
      </c>
      <c r="AA41" s="344">
        <f t="shared" ca="1" si="30"/>
        <v>-1</v>
      </c>
      <c r="AB41" s="344">
        <f t="shared" ca="1" si="30"/>
        <v>3</v>
      </c>
      <c r="AC41" s="333">
        <f t="shared" ca="1" si="32"/>
        <v>2</v>
      </c>
      <c r="AE41" s="333">
        <f t="shared" ca="1" si="33"/>
        <v>9</v>
      </c>
      <c r="AH41" s="333">
        <f t="shared" ca="1" si="34"/>
        <v>0</v>
      </c>
      <c r="AJ41" s="333">
        <f t="shared" ca="1" si="35"/>
        <v>9</v>
      </c>
    </row>
    <row r="42" spans="1:36" x14ac:dyDescent="0.3">
      <c r="A42" s="45">
        <f t="shared" si="18"/>
        <v>11</v>
      </c>
      <c r="B42" s="45" t="str">
        <f t="shared" si="19"/>
        <v>761</v>
      </c>
      <c r="C42" s="45" t="str">
        <f t="shared" si="19"/>
        <v>Rawkhell SqWelch</v>
      </c>
      <c r="D42" s="45">
        <f t="shared" ca="1" si="20"/>
        <v>0</v>
      </c>
      <c r="F42" s="344">
        <f t="shared" ca="1" si="21"/>
        <v>0</v>
      </c>
      <c r="G42" s="344">
        <f t="shared" ca="1" si="22"/>
        <v>0</v>
      </c>
      <c r="H42" s="344">
        <f t="shared" ca="1" si="21"/>
        <v>0</v>
      </c>
      <c r="I42" s="344">
        <f t="shared" ca="1" si="21"/>
        <v>0</v>
      </c>
      <c r="J42" s="45">
        <f t="shared" ca="1" si="23"/>
        <v>0</v>
      </c>
      <c r="L42" s="45">
        <f t="shared" ca="1" si="24"/>
        <v>0</v>
      </c>
      <c r="O42" s="45">
        <f t="shared" ca="1" si="25"/>
        <v>18</v>
      </c>
      <c r="Q42" s="45">
        <f t="shared" ca="1" si="26"/>
        <v>18</v>
      </c>
      <c r="T42" s="45">
        <f t="shared" si="27"/>
        <v>11</v>
      </c>
      <c r="U42" s="45" t="str">
        <f t="shared" si="28"/>
        <v>5309</v>
      </c>
      <c r="V42" s="45" t="str">
        <f t="shared" si="28"/>
        <v>Toxic Assets</v>
      </c>
      <c r="W42" s="45">
        <f t="shared" ca="1" si="29"/>
        <v>0</v>
      </c>
      <c r="Y42" s="344">
        <f t="shared" ca="1" si="30"/>
        <v>0</v>
      </c>
      <c r="Z42" s="344">
        <f t="shared" ca="1" si="31"/>
        <v>4</v>
      </c>
      <c r="AA42" s="344">
        <f t="shared" ca="1" si="30"/>
        <v>-32</v>
      </c>
      <c r="AB42" s="344">
        <f t="shared" ca="1" si="30"/>
        <v>0</v>
      </c>
      <c r="AC42" s="45">
        <f t="shared" ca="1" si="32"/>
        <v>-28</v>
      </c>
      <c r="AE42" s="45">
        <f t="shared" ca="1" si="33"/>
        <v>-28</v>
      </c>
      <c r="AH42" s="45">
        <f t="shared" ca="1" si="34"/>
        <v>0</v>
      </c>
      <c r="AJ42" s="45">
        <f t="shared" ca="1" si="35"/>
        <v>-28</v>
      </c>
    </row>
    <row r="43" spans="1:36" x14ac:dyDescent="0.3">
      <c r="A43" s="333">
        <f t="shared" si="18"/>
        <v>12</v>
      </c>
      <c r="B43" s="333" t="str">
        <f t="shared" si="19"/>
        <v>808</v>
      </c>
      <c r="C43" s="333" t="str">
        <f t="shared" si="19"/>
        <v>Kendle Bjelland</v>
      </c>
      <c r="D43" s="333">
        <f t="shared" ca="1" si="20"/>
        <v>0</v>
      </c>
      <c r="F43" s="344">
        <f t="shared" ca="1" si="21"/>
        <v>0</v>
      </c>
      <c r="G43" s="344">
        <f t="shared" ca="1" si="22"/>
        <v>13</v>
      </c>
      <c r="H43" s="344">
        <f t="shared" ca="1" si="21"/>
        <v>-9</v>
      </c>
      <c r="I43" s="344">
        <f t="shared" ca="1" si="21"/>
        <v>0</v>
      </c>
      <c r="J43" s="333">
        <f t="shared" ca="1" si="23"/>
        <v>4</v>
      </c>
      <c r="L43" s="333">
        <f t="shared" ca="1" si="24"/>
        <v>4</v>
      </c>
      <c r="O43" s="333">
        <f t="shared" ca="1" si="25"/>
        <v>0</v>
      </c>
      <c r="Q43" s="333">
        <f t="shared" ca="1" si="26"/>
        <v>4</v>
      </c>
      <c r="T43" s="333">
        <f t="shared" si="27"/>
        <v>12</v>
      </c>
      <c r="U43" s="333" t="str">
        <f t="shared" si="28"/>
        <v>69</v>
      </c>
      <c r="V43" s="333" t="str">
        <f t="shared" si="28"/>
        <v>Death By Chocolate</v>
      </c>
      <c r="W43" s="333">
        <f t="shared" ca="1" si="29"/>
        <v>0</v>
      </c>
      <c r="Y43" s="344">
        <f t="shared" ca="1" si="30"/>
        <v>0</v>
      </c>
      <c r="Z43" s="344">
        <f t="shared" ca="1" si="31"/>
        <v>0</v>
      </c>
      <c r="AA43" s="344">
        <f t="shared" ca="1" si="30"/>
        <v>0</v>
      </c>
      <c r="AB43" s="344">
        <f t="shared" ca="1" si="30"/>
        <v>0</v>
      </c>
      <c r="AC43" s="333">
        <f t="shared" ca="1" si="32"/>
        <v>0</v>
      </c>
      <c r="AE43" s="333">
        <f t="shared" ca="1" si="33"/>
        <v>0</v>
      </c>
      <c r="AH43" s="333">
        <f t="shared" ca="1" si="34"/>
        <v>-9</v>
      </c>
      <c r="AJ43" s="333">
        <f t="shared" ca="1" si="35"/>
        <v>-9</v>
      </c>
    </row>
    <row r="44" spans="1:36" x14ac:dyDescent="0.3">
      <c r="A44" s="45">
        <f t="shared" si="18"/>
        <v>13</v>
      </c>
      <c r="B44" s="45" t="str">
        <f t="shared" si="19"/>
        <v>9</v>
      </c>
      <c r="C44" s="45" t="str">
        <f t="shared" si="19"/>
        <v>P. Wilhelm</v>
      </c>
      <c r="D44" s="45">
        <f t="shared" ca="1" si="20"/>
        <v>16</v>
      </c>
      <c r="F44" s="344">
        <f t="shared" ca="1" si="21"/>
        <v>0</v>
      </c>
      <c r="G44" s="344">
        <f t="shared" ca="1" si="22"/>
        <v>-6</v>
      </c>
      <c r="H44" s="344">
        <f t="shared" ca="1" si="21"/>
        <v>2</v>
      </c>
      <c r="I44" s="344">
        <f t="shared" ca="1" si="21"/>
        <v>-7</v>
      </c>
      <c r="J44" s="45">
        <f t="shared" ca="1" si="23"/>
        <v>-11</v>
      </c>
      <c r="L44" s="45">
        <f t="shared" ca="1" si="24"/>
        <v>5</v>
      </c>
      <c r="O44" s="45">
        <f t="shared" ca="1" si="25"/>
        <v>0</v>
      </c>
      <c r="Q44" s="45">
        <f t="shared" ca="1" si="26"/>
        <v>5</v>
      </c>
      <c r="T44" s="45">
        <f t="shared" si="27"/>
        <v>13</v>
      </c>
      <c r="U44" s="45" t="str">
        <f t="shared" si="28"/>
        <v>9</v>
      </c>
      <c r="V44" s="45" t="str">
        <f t="shared" si="28"/>
        <v>Big Bad Voodoo Dollie</v>
      </c>
      <c r="W44" s="45">
        <f t="shared" ca="1" si="29"/>
        <v>0</v>
      </c>
      <c r="Y44" s="344">
        <f t="shared" ca="1" si="30"/>
        <v>0</v>
      </c>
      <c r="Z44" s="344">
        <f t="shared" ca="1" si="31"/>
        <v>0</v>
      </c>
      <c r="AA44" s="344">
        <f t="shared" ca="1" si="30"/>
        <v>0</v>
      </c>
      <c r="AB44" s="344">
        <f t="shared" ca="1" si="30"/>
        <v>0</v>
      </c>
      <c r="AC44" s="45">
        <f t="shared" ca="1" si="32"/>
        <v>0</v>
      </c>
      <c r="AE44" s="45">
        <f t="shared" ca="1" si="33"/>
        <v>0</v>
      </c>
      <c r="AH44" s="45">
        <f t="shared" ca="1" si="34"/>
        <v>-9</v>
      </c>
      <c r="AJ44" s="45">
        <f t="shared" ca="1" si="35"/>
        <v>-9</v>
      </c>
    </row>
    <row r="45" spans="1:36" x14ac:dyDescent="0.3">
      <c r="A45" s="333">
        <f t="shared" si="18"/>
        <v>14</v>
      </c>
      <c r="B45" s="333" t="str">
        <f t="shared" si="19"/>
        <v>911</v>
      </c>
      <c r="C45" s="333" t="str">
        <f t="shared" si="19"/>
        <v>Luna Negra</v>
      </c>
      <c r="D45" s="333">
        <f t="shared" ca="1" si="20"/>
        <v>0</v>
      </c>
      <c r="F45" s="344">
        <f t="shared" ca="1" si="21"/>
        <v>0</v>
      </c>
      <c r="G45" s="344">
        <f t="shared" ca="1" si="22"/>
        <v>0</v>
      </c>
      <c r="H45" s="344">
        <f t="shared" ca="1" si="21"/>
        <v>0</v>
      </c>
      <c r="I45" s="344">
        <f t="shared" ca="1" si="21"/>
        <v>0</v>
      </c>
      <c r="J45" s="333">
        <f t="shared" ca="1" si="23"/>
        <v>0</v>
      </c>
      <c r="L45" s="333">
        <f t="shared" ca="1" si="24"/>
        <v>0</v>
      </c>
      <c r="O45" s="333">
        <f t="shared" ca="1" si="25"/>
        <v>0</v>
      </c>
      <c r="Q45" s="333">
        <f t="shared" ca="1" si="26"/>
        <v>0</v>
      </c>
      <c r="T45" s="333">
        <f t="shared" si="27"/>
        <v>14</v>
      </c>
      <c r="U45" s="333" t="str">
        <f t="shared" si="28"/>
        <v>93</v>
      </c>
      <c r="V45" s="333" t="str">
        <f t="shared" si="28"/>
        <v>Erma Gerd</v>
      </c>
      <c r="W45" s="333">
        <f t="shared" ca="1" si="29"/>
        <v>0</v>
      </c>
      <c r="Y45" s="344">
        <f t="shared" ca="1" si="30"/>
        <v>0</v>
      </c>
      <c r="Z45" s="344">
        <f t="shared" ca="1" si="31"/>
        <v>-15</v>
      </c>
      <c r="AA45" s="344">
        <f t="shared" ca="1" si="30"/>
        <v>7</v>
      </c>
      <c r="AB45" s="344">
        <f t="shared" ca="1" si="30"/>
        <v>1</v>
      </c>
      <c r="AC45" s="333">
        <f t="shared" ca="1" si="32"/>
        <v>-7</v>
      </c>
      <c r="AE45" s="333">
        <f t="shared" ca="1" si="33"/>
        <v>-7</v>
      </c>
      <c r="AH45" s="333">
        <f t="shared" ca="1" si="34"/>
        <v>0</v>
      </c>
      <c r="AJ45" s="333">
        <f t="shared" ca="1" si="35"/>
        <v>-7</v>
      </c>
    </row>
    <row r="46" spans="1:36" x14ac:dyDescent="0.3">
      <c r="A46" s="45">
        <f t="shared" si="18"/>
        <v>15</v>
      </c>
      <c r="B46" s="45" t="str">
        <f t="shared" si="19"/>
        <v>0</v>
      </c>
      <c r="C46" s="45" t="str">
        <f t="shared" si="19"/>
        <v>Enurgizer Bunny</v>
      </c>
      <c r="D46" s="45">
        <f t="shared" ca="1" si="20"/>
        <v>0</v>
      </c>
      <c r="F46" s="344">
        <f t="shared" ca="1" si="21"/>
        <v>0</v>
      </c>
      <c r="G46" s="344">
        <f t="shared" ca="1" si="22"/>
        <v>0</v>
      </c>
      <c r="H46" s="344">
        <f t="shared" ca="1" si="21"/>
        <v>0</v>
      </c>
      <c r="I46" s="344">
        <f t="shared" ca="1" si="21"/>
        <v>0</v>
      </c>
      <c r="J46" s="45">
        <f t="shared" ca="1" si="23"/>
        <v>0</v>
      </c>
      <c r="L46" s="45">
        <f t="shared" ca="1" si="24"/>
        <v>0</v>
      </c>
      <c r="O46" s="45">
        <f t="shared" ca="1" si="25"/>
        <v>0</v>
      </c>
      <c r="Q46" s="45">
        <f t="shared" ca="1" si="26"/>
        <v>0</v>
      </c>
      <c r="T46" s="45">
        <f t="shared" si="27"/>
        <v>15</v>
      </c>
      <c r="U46" s="45" t="str">
        <f t="shared" si="28"/>
        <v/>
      </c>
      <c r="V46" s="45" t="str">
        <f t="shared" si="28"/>
        <v/>
      </c>
      <c r="W46" s="45" t="str">
        <f t="shared" si="29"/>
        <v/>
      </c>
      <c r="Y46" s="344" t="str">
        <f t="shared" si="30"/>
        <v/>
      </c>
      <c r="Z46" s="344" t="str">
        <f t="shared" si="31"/>
        <v/>
      </c>
      <c r="AA46" s="344" t="str">
        <f t="shared" si="30"/>
        <v/>
      </c>
      <c r="AB46" s="344" t="str">
        <f t="shared" si="30"/>
        <v/>
      </c>
      <c r="AC46" s="45" t="str">
        <f t="shared" si="32"/>
        <v/>
      </c>
      <c r="AE46" s="45" t="str">
        <f t="shared" si="33"/>
        <v/>
      </c>
      <c r="AH46" s="45" t="str">
        <f t="shared" si="34"/>
        <v/>
      </c>
      <c r="AJ46" s="45" t="str">
        <f t="shared" si="35"/>
        <v/>
      </c>
    </row>
    <row r="47" spans="1:36" x14ac:dyDescent="0.3">
      <c r="A47" s="333">
        <f t="shared" si="18"/>
        <v>16</v>
      </c>
      <c r="B47" s="333" t="str">
        <f t="shared" si="19"/>
        <v>88</v>
      </c>
      <c r="C47" s="333" t="str">
        <f t="shared" si="19"/>
        <v>Ophelia Melons</v>
      </c>
      <c r="D47" s="333">
        <f t="shared" ca="1" si="20"/>
        <v>0</v>
      </c>
      <c r="F47" s="344">
        <f t="shared" ca="1" si="21"/>
        <v>0</v>
      </c>
      <c r="G47" s="344">
        <f t="shared" ca="1" si="22"/>
        <v>0</v>
      </c>
      <c r="H47" s="344">
        <f t="shared" ca="1" si="21"/>
        <v>0</v>
      </c>
      <c r="I47" s="344">
        <f t="shared" ca="1" si="21"/>
        <v>0</v>
      </c>
      <c r="J47" s="333">
        <f t="shared" ca="1" si="23"/>
        <v>0</v>
      </c>
      <c r="L47" s="333">
        <f t="shared" ca="1" si="24"/>
        <v>0</v>
      </c>
      <c r="O47" s="333">
        <f t="shared" ca="1" si="25"/>
        <v>0</v>
      </c>
      <c r="Q47" s="333">
        <f t="shared" ca="1" si="26"/>
        <v>0</v>
      </c>
      <c r="T47" s="333">
        <f t="shared" si="27"/>
        <v>16</v>
      </c>
      <c r="U47" s="333" t="str">
        <f t="shared" si="28"/>
        <v/>
      </c>
      <c r="V47" s="333" t="str">
        <f t="shared" si="28"/>
        <v/>
      </c>
      <c r="W47" s="333" t="str">
        <f t="shared" si="29"/>
        <v/>
      </c>
      <c r="Y47" s="344" t="str">
        <f t="shared" si="30"/>
        <v/>
      </c>
      <c r="Z47" s="344" t="str">
        <f t="shared" si="31"/>
        <v/>
      </c>
      <c r="AA47" s="344" t="str">
        <f t="shared" si="30"/>
        <v/>
      </c>
      <c r="AB47" s="344" t="str">
        <f t="shared" si="30"/>
        <v/>
      </c>
      <c r="AC47" s="333" t="str">
        <f t="shared" si="32"/>
        <v/>
      </c>
      <c r="AE47" s="333" t="str">
        <f t="shared" si="33"/>
        <v/>
      </c>
      <c r="AH47" s="333" t="str">
        <f t="shared" si="34"/>
        <v/>
      </c>
      <c r="AJ47" s="333" t="str">
        <f t="shared" si="35"/>
        <v/>
      </c>
    </row>
    <row r="48" spans="1:36" x14ac:dyDescent="0.3">
      <c r="A48" s="45">
        <f t="shared" si="18"/>
        <v>17</v>
      </c>
      <c r="B48" s="45" t="str">
        <f t="shared" si="19"/>
        <v/>
      </c>
      <c r="C48" s="45" t="str">
        <f t="shared" si="19"/>
        <v/>
      </c>
      <c r="D48" s="45" t="str">
        <f t="shared" si="20"/>
        <v/>
      </c>
      <c r="F48" s="344" t="str">
        <f t="shared" si="21"/>
        <v/>
      </c>
      <c r="G48" s="344" t="str">
        <f t="shared" si="22"/>
        <v/>
      </c>
      <c r="H48" s="344" t="str">
        <f t="shared" si="21"/>
        <v/>
      </c>
      <c r="I48" s="344" t="str">
        <f t="shared" si="21"/>
        <v/>
      </c>
      <c r="J48" s="45" t="str">
        <f t="shared" si="23"/>
        <v/>
      </c>
      <c r="L48" s="45" t="str">
        <f t="shared" si="24"/>
        <v/>
      </c>
      <c r="O48" s="45" t="str">
        <f t="shared" si="25"/>
        <v/>
      </c>
      <c r="Q48" s="45" t="str">
        <f t="shared" si="26"/>
        <v/>
      </c>
      <c r="T48" s="45">
        <f t="shared" si="27"/>
        <v>17</v>
      </c>
      <c r="U48" s="45" t="str">
        <f t="shared" si="28"/>
        <v/>
      </c>
      <c r="V48" s="45" t="str">
        <f t="shared" si="28"/>
        <v/>
      </c>
      <c r="W48" s="45" t="str">
        <f t="shared" si="29"/>
        <v/>
      </c>
      <c r="Y48" s="344" t="str">
        <f t="shared" si="30"/>
        <v/>
      </c>
      <c r="Z48" s="344" t="str">
        <f t="shared" si="31"/>
        <v/>
      </c>
      <c r="AA48" s="344" t="str">
        <f t="shared" si="30"/>
        <v/>
      </c>
      <c r="AB48" s="344" t="str">
        <f t="shared" si="30"/>
        <v/>
      </c>
      <c r="AC48" s="45" t="str">
        <f t="shared" si="32"/>
        <v/>
      </c>
      <c r="AE48" s="45" t="str">
        <f t="shared" si="33"/>
        <v/>
      </c>
      <c r="AH48" s="45" t="str">
        <f t="shared" si="34"/>
        <v/>
      </c>
      <c r="AJ48" s="45" t="str">
        <f t="shared" si="35"/>
        <v/>
      </c>
    </row>
    <row r="49" spans="1:37" x14ac:dyDescent="0.3">
      <c r="A49" s="333">
        <f t="shared" si="18"/>
        <v>18</v>
      </c>
      <c r="B49" s="333" t="str">
        <f t="shared" si="19"/>
        <v/>
      </c>
      <c r="C49" s="333" t="str">
        <f t="shared" si="19"/>
        <v/>
      </c>
      <c r="D49" s="333" t="str">
        <f t="shared" si="20"/>
        <v/>
      </c>
      <c r="F49" s="344" t="str">
        <f t="shared" si="21"/>
        <v/>
      </c>
      <c r="G49" s="344" t="str">
        <f t="shared" si="22"/>
        <v/>
      </c>
      <c r="H49" s="344" t="str">
        <f t="shared" si="21"/>
        <v/>
      </c>
      <c r="I49" s="344" t="str">
        <f t="shared" si="21"/>
        <v/>
      </c>
      <c r="J49" s="333" t="str">
        <f t="shared" si="23"/>
        <v/>
      </c>
      <c r="L49" s="333" t="str">
        <f t="shared" si="24"/>
        <v/>
      </c>
      <c r="O49" s="333" t="str">
        <f t="shared" si="25"/>
        <v/>
      </c>
      <c r="Q49" s="333" t="str">
        <f t="shared" si="26"/>
        <v/>
      </c>
      <c r="T49" s="333">
        <f t="shared" si="27"/>
        <v>18</v>
      </c>
      <c r="U49" s="333" t="str">
        <f t="shared" si="28"/>
        <v/>
      </c>
      <c r="V49" s="333" t="str">
        <f t="shared" si="28"/>
        <v/>
      </c>
      <c r="W49" s="333" t="str">
        <f t="shared" si="29"/>
        <v/>
      </c>
      <c r="Y49" s="344" t="str">
        <f t="shared" si="30"/>
        <v/>
      </c>
      <c r="Z49" s="344" t="str">
        <f t="shared" si="31"/>
        <v/>
      </c>
      <c r="AA49" s="344" t="str">
        <f t="shared" si="30"/>
        <v/>
      </c>
      <c r="AB49" s="344" t="str">
        <f t="shared" si="30"/>
        <v/>
      </c>
      <c r="AC49" s="333" t="str">
        <f t="shared" si="32"/>
        <v/>
      </c>
      <c r="AE49" s="333" t="str">
        <f t="shared" si="33"/>
        <v/>
      </c>
      <c r="AH49" s="333" t="str">
        <f t="shared" si="34"/>
        <v/>
      </c>
      <c r="AJ49" s="333" t="str">
        <f t="shared" si="35"/>
        <v/>
      </c>
    </row>
    <row r="50" spans="1:37" x14ac:dyDescent="0.3">
      <c r="A50" s="45">
        <f t="shared" si="18"/>
        <v>19</v>
      </c>
      <c r="B50" s="45" t="str">
        <f t="shared" si="19"/>
        <v/>
      </c>
      <c r="C50" s="45" t="str">
        <f t="shared" si="19"/>
        <v/>
      </c>
      <c r="D50" s="45" t="str">
        <f t="shared" si="20"/>
        <v/>
      </c>
      <c r="F50" s="344" t="str">
        <f t="shared" si="21"/>
        <v/>
      </c>
      <c r="G50" s="344" t="str">
        <f t="shared" si="22"/>
        <v/>
      </c>
      <c r="H50" s="344" t="str">
        <f t="shared" si="21"/>
        <v/>
      </c>
      <c r="I50" s="344" t="str">
        <f t="shared" si="21"/>
        <v/>
      </c>
      <c r="J50" s="45" t="str">
        <f t="shared" si="23"/>
        <v/>
      </c>
      <c r="L50" s="45" t="str">
        <f t="shared" si="24"/>
        <v/>
      </c>
      <c r="O50" s="45" t="str">
        <f t="shared" si="25"/>
        <v/>
      </c>
      <c r="Q50" s="45" t="str">
        <f t="shared" si="26"/>
        <v/>
      </c>
      <c r="T50" s="45">
        <f t="shared" si="27"/>
        <v>19</v>
      </c>
      <c r="U50" s="45" t="str">
        <f t="shared" si="28"/>
        <v/>
      </c>
      <c r="V50" s="45" t="str">
        <f t="shared" si="28"/>
        <v/>
      </c>
      <c r="W50" s="45" t="str">
        <f t="shared" si="29"/>
        <v/>
      </c>
      <c r="Y50" s="344" t="str">
        <f t="shared" si="30"/>
        <v/>
      </c>
      <c r="Z50" s="344" t="str">
        <f t="shared" si="31"/>
        <v/>
      </c>
      <c r="AA50" s="344" t="str">
        <f t="shared" si="30"/>
        <v/>
      </c>
      <c r="AB50" s="344" t="str">
        <f t="shared" si="30"/>
        <v/>
      </c>
      <c r="AC50" s="45" t="str">
        <f t="shared" si="32"/>
        <v/>
      </c>
      <c r="AE50" s="45" t="str">
        <f t="shared" si="33"/>
        <v/>
      </c>
      <c r="AH50" s="45" t="str">
        <f t="shared" si="34"/>
        <v/>
      </c>
      <c r="AJ50" s="45" t="str">
        <f t="shared" si="35"/>
        <v/>
      </c>
    </row>
    <row r="51" spans="1:37" x14ac:dyDescent="0.3">
      <c r="A51" s="333">
        <f t="shared" si="18"/>
        <v>20</v>
      </c>
      <c r="B51" s="333" t="str">
        <f t="shared" si="19"/>
        <v/>
      </c>
      <c r="C51" s="333" t="str">
        <f t="shared" si="19"/>
        <v/>
      </c>
      <c r="D51" s="333" t="str">
        <f t="shared" si="20"/>
        <v/>
      </c>
      <c r="F51" s="344" t="str">
        <f t="shared" si="21"/>
        <v/>
      </c>
      <c r="G51" s="344" t="str">
        <f t="shared" si="22"/>
        <v/>
      </c>
      <c r="H51" s="344" t="str">
        <f t="shared" si="21"/>
        <v/>
      </c>
      <c r="I51" s="344" t="str">
        <f t="shared" si="21"/>
        <v/>
      </c>
      <c r="J51" s="333" t="str">
        <f t="shared" si="23"/>
        <v/>
      </c>
      <c r="L51" s="333" t="str">
        <f t="shared" si="24"/>
        <v/>
      </c>
      <c r="O51" s="333" t="str">
        <f t="shared" si="25"/>
        <v/>
      </c>
      <c r="Q51" s="333" t="str">
        <f t="shared" si="26"/>
        <v/>
      </c>
      <c r="T51" s="333">
        <f t="shared" si="27"/>
        <v>20</v>
      </c>
      <c r="U51" s="333" t="str">
        <f t="shared" si="28"/>
        <v/>
      </c>
      <c r="V51" s="333" t="str">
        <f t="shared" si="28"/>
        <v/>
      </c>
      <c r="W51" s="333" t="str">
        <f t="shared" si="29"/>
        <v/>
      </c>
      <c r="Y51" s="344" t="str">
        <f t="shared" si="30"/>
        <v/>
      </c>
      <c r="Z51" s="344" t="str">
        <f t="shared" si="31"/>
        <v/>
      </c>
      <c r="AA51" s="344" t="str">
        <f t="shared" si="30"/>
        <v/>
      </c>
      <c r="AB51" s="344" t="str">
        <f t="shared" si="30"/>
        <v/>
      </c>
      <c r="AC51" s="333" t="str">
        <f t="shared" si="32"/>
        <v/>
      </c>
      <c r="AE51" s="333" t="str">
        <f t="shared" si="33"/>
        <v/>
      </c>
      <c r="AH51" s="333" t="str">
        <f t="shared" si="34"/>
        <v/>
      </c>
      <c r="AJ51" s="333" t="str">
        <f t="shared" si="35"/>
        <v/>
      </c>
    </row>
    <row r="53" spans="1:37" x14ac:dyDescent="0.3">
      <c r="A53" s="1363" t="s">
        <v>53</v>
      </c>
      <c r="B53" s="1363"/>
      <c r="C53" s="1363"/>
      <c r="D53" s="236"/>
      <c r="E53" s="236"/>
      <c r="F53" s="236"/>
      <c r="G53" s="236"/>
      <c r="H53" s="236"/>
      <c r="I53" s="236"/>
      <c r="J53" s="236"/>
      <c r="K53" s="236"/>
      <c r="L53" s="236"/>
      <c r="M53" s="236"/>
      <c r="N53" s="236"/>
      <c r="O53" s="236"/>
      <c r="P53" s="236"/>
      <c r="Q53" s="236"/>
      <c r="R53" s="236"/>
      <c r="T53" s="1363" t="s">
        <v>53</v>
      </c>
      <c r="U53" s="1363"/>
      <c r="V53" s="1363"/>
      <c r="W53" s="236"/>
      <c r="X53" s="236"/>
      <c r="Y53" s="236"/>
      <c r="Z53" s="236"/>
      <c r="AA53" s="236"/>
      <c r="AB53" s="236"/>
      <c r="AC53" s="236"/>
      <c r="AD53" s="236"/>
      <c r="AE53" s="236"/>
      <c r="AF53" s="236"/>
      <c r="AG53" s="236"/>
      <c r="AH53" s="236"/>
      <c r="AI53" s="236"/>
      <c r="AJ53" s="236"/>
      <c r="AK53" s="236"/>
    </row>
    <row r="54" spans="1:37" x14ac:dyDescent="0.3">
      <c r="A54" s="338">
        <v>0</v>
      </c>
      <c r="B54" s="338" t="s">
        <v>36</v>
      </c>
      <c r="C54" s="338" t="s">
        <v>37</v>
      </c>
      <c r="D54" s="338" t="s">
        <v>175</v>
      </c>
      <c r="E54" s="234"/>
      <c r="F54" s="343" t="s">
        <v>176</v>
      </c>
      <c r="G54" s="343" t="s">
        <v>176</v>
      </c>
      <c r="H54" s="343" t="s">
        <v>176</v>
      </c>
      <c r="I54" s="343" t="s">
        <v>176</v>
      </c>
      <c r="J54" s="338" t="s">
        <v>46</v>
      </c>
      <c r="K54" s="234"/>
      <c r="L54" s="338" t="s">
        <v>48</v>
      </c>
      <c r="M54" s="234"/>
      <c r="N54" s="340" t="s">
        <v>25</v>
      </c>
      <c r="O54" s="338" t="s">
        <v>177</v>
      </c>
      <c r="P54" s="234"/>
      <c r="Q54" s="338" t="s">
        <v>19</v>
      </c>
      <c r="R54" s="234"/>
      <c r="S54" s="234"/>
      <c r="T54" s="338">
        <v>0</v>
      </c>
      <c r="U54" s="338" t="s">
        <v>36</v>
      </c>
      <c r="V54" s="338" t="s">
        <v>37</v>
      </c>
      <c r="W54" s="338" t="s">
        <v>175</v>
      </c>
      <c r="X54" s="234"/>
      <c r="Y54" s="343" t="s">
        <v>176</v>
      </c>
      <c r="Z54" s="343" t="s">
        <v>176</v>
      </c>
      <c r="AA54" s="343" t="s">
        <v>176</v>
      </c>
      <c r="AB54" s="343" t="s">
        <v>176</v>
      </c>
      <c r="AC54" s="338" t="s">
        <v>46</v>
      </c>
      <c r="AD54" s="234"/>
      <c r="AE54" s="338" t="s">
        <v>48</v>
      </c>
      <c r="AF54" s="234"/>
      <c r="AG54" s="340" t="s">
        <v>25</v>
      </c>
      <c r="AH54" s="338" t="s">
        <v>177</v>
      </c>
      <c r="AI54" s="234"/>
      <c r="AJ54" s="338" t="s">
        <v>19</v>
      </c>
      <c r="AK54" s="234"/>
    </row>
    <row r="55" spans="1:37" x14ac:dyDescent="0.3">
      <c r="A55" s="45">
        <f t="shared" ref="A55:A74" si="36">A54+1</f>
        <v>1</v>
      </c>
      <c r="B55" s="45" t="str">
        <f t="shared" ref="B55:C74" si="37">B9</f>
        <v>12</v>
      </c>
      <c r="C55" s="45" t="str">
        <f t="shared" si="37"/>
        <v>Carmen Getsome</v>
      </c>
      <c r="D55" s="45">
        <f ca="1">IF($B55="","",SUMPRODUCT(--(Lineups!$G$4:$G$41=$B55),--(Lineups!$B$4:$B$41=""),Lineups!$W$4:$W$41))</f>
        <v>70</v>
      </c>
      <c r="F55" s="344">
        <f ca="1">IF($B55="","",SUMPRODUCT(--(Lineups!$G$4:$G$41=$B55),--(Lineups!$B$4:$B$41="X"),Lineups!$W$4:$W$41))</f>
        <v>0</v>
      </c>
      <c r="G55" s="344">
        <f ca="1">IF($B55="","",SUMPRODUCT(--(Lineups!$K$4:$K$41=$B55),Lineups!$W$4:$W$41))</f>
        <v>0</v>
      </c>
      <c r="H55" s="344">
        <f ca="1">IF($B55="","",SUMPRODUCT(--(Lineups!$O$4:$O$41=$B55),Lineups!$W$4:$W$41))</f>
        <v>0</v>
      </c>
      <c r="I55" s="344">
        <f ca="1">IF($B55="","",SUMPRODUCT(--(Lineups!$S$4:$S$41=$B55),Lineups!$W$4:$W$41))</f>
        <v>0</v>
      </c>
      <c r="J55" s="45">
        <f t="shared" ref="J55:J74" ca="1" si="38">IF(B55="","",SUM(F55:I55))</f>
        <v>0</v>
      </c>
      <c r="L55" s="45">
        <f t="shared" ref="L55:L74" ca="1" si="39">IF(B55="","",SUM(D55,J55))</f>
        <v>70</v>
      </c>
      <c r="O55" s="45">
        <f ca="1">IF($B55="","",SUMPRODUCT(--(Lineups!$C$4:$C$41=$B55),Lineups!$W$4:$W$41))</f>
        <v>0</v>
      </c>
      <c r="Q55" s="45">
        <f t="shared" ref="Q55:Q74" ca="1" si="40">IF(B55="","",SUM(L55,O55))</f>
        <v>70</v>
      </c>
      <c r="T55" s="45">
        <f t="shared" ref="T55:T74" si="41">T54+1</f>
        <v>1</v>
      </c>
      <c r="U55" s="45" t="str">
        <f t="shared" ref="U55:V74" si="42">U9</f>
        <v>112</v>
      </c>
      <c r="V55" s="45" t="str">
        <f t="shared" si="42"/>
        <v>Singapore Rogue</v>
      </c>
      <c r="W55" s="45">
        <f ca="1">IF($U55="","",SUMPRODUCT(--(Lineups!$AG$4:$AG$41=$U55),--(Lineups!$AB$4:$AB$41=""),Lineups!$AW$4:$AW$41))</f>
        <v>0</v>
      </c>
      <c r="Y55" s="344">
        <f ca="1">IF($U55="","",SUMPRODUCT(--(Lineups!$AG$4:$AG$41=$U55),--(Lineups!$AB$4:$AB$41="X"),Lineups!$AW$4:$AW$41))</f>
        <v>0</v>
      </c>
      <c r="Z55" s="344">
        <f ca="1">IF($U55="","",SUMPRODUCT(--(Lineups!$AK$4:$AK$41=$U55),Lineups!$AW$4:$AW$41))</f>
        <v>11</v>
      </c>
      <c r="AA55" s="344">
        <f ca="1">IF($U55="","",SUMPRODUCT(--(Lineups!$AO$4:$AO$41=$U55),Lineups!$AW$4:$AW$41))</f>
        <v>0</v>
      </c>
      <c r="AB55" s="344">
        <f ca="1">IF($U55="","",SUMPRODUCT(--(Lineups!$AS$4:$AS$41=$U55),Lineups!$AW$4:$AW$41))</f>
        <v>18</v>
      </c>
      <c r="AC55" s="45">
        <f t="shared" ref="AC55:AC74" ca="1" si="43">IF(U55="","",SUM(Y55:AB55))</f>
        <v>29</v>
      </c>
      <c r="AE55" s="45">
        <f t="shared" ref="AE55:AE74" ca="1" si="44">IF(U55="","",SUM(W55,AC55))</f>
        <v>29</v>
      </c>
      <c r="AH55" s="45">
        <f ca="1">IF($U55="","",SUMPRODUCT(--(Lineups!$AC$4:$AC$41=$U55),Lineups!$AW$4:$AW$41))</f>
        <v>0</v>
      </c>
      <c r="AJ55" s="45">
        <f t="shared" ref="AJ55:AJ74" ca="1" si="45">IF(U55="","",SUM(AE55,AH55))</f>
        <v>29</v>
      </c>
    </row>
    <row r="56" spans="1:37" x14ac:dyDescent="0.3">
      <c r="A56" s="333">
        <f t="shared" si="36"/>
        <v>2</v>
      </c>
      <c r="B56" s="333" t="str">
        <f t="shared" si="37"/>
        <v>123</v>
      </c>
      <c r="C56" s="333" t="str">
        <f t="shared" si="37"/>
        <v>Nelson</v>
      </c>
      <c r="D56" s="333">
        <f ca="1">IF($B56="","",SUMPRODUCT(--(Lineups!$G$4:$G$41=$B56),--(Lineups!$B$4:$B$41=""),Lineups!$W$4:$W$41))</f>
        <v>13</v>
      </c>
      <c r="F56" s="344">
        <f ca="1">IF($B56="","",SUMPRODUCT(--(Lineups!$G$4:$G$41=$B56),--(Lineups!$B$4:$B$41="X"),Lineups!$W$4:$W$41))</f>
        <v>0</v>
      </c>
      <c r="G56" s="344">
        <f ca="1">IF($B56="","",SUMPRODUCT(--(Lineups!$K$4:$K$41=$B56),Lineups!$W$4:$W$41))</f>
        <v>4</v>
      </c>
      <c r="H56" s="344">
        <f ca="1">IF($B56="","",SUMPRODUCT(--(Lineups!$O$4:$O$41=$B56),Lineups!$W$4:$W$41))</f>
        <v>0</v>
      </c>
      <c r="I56" s="344">
        <f ca="1">IF($B56="","",SUMPRODUCT(--(Lineups!$S$4:$S$41=$B56),Lineups!$W$4:$W$41))</f>
        <v>0</v>
      </c>
      <c r="J56" s="333">
        <f t="shared" ca="1" si="38"/>
        <v>4</v>
      </c>
      <c r="L56" s="333">
        <f t="shared" ca="1" si="39"/>
        <v>17</v>
      </c>
      <c r="O56" s="45">
        <f ca="1">IF($B56="","",SUMPRODUCT(--(Lineups!$C$4:$C$41=$B56),Lineups!$W$4:$W$41))</f>
        <v>0</v>
      </c>
      <c r="Q56" s="333">
        <f t="shared" ca="1" si="40"/>
        <v>17</v>
      </c>
      <c r="T56" s="333">
        <f t="shared" si="41"/>
        <v>2</v>
      </c>
      <c r="U56" s="333" t="str">
        <f t="shared" si="42"/>
        <v>1542</v>
      </c>
      <c r="V56" s="333" t="str">
        <f t="shared" si="42"/>
        <v>Mary Queen of Skates</v>
      </c>
      <c r="W56" s="333">
        <f ca="1">IF($U56="","",SUMPRODUCT(--(Lineups!$AG$4:$AG$41=$U56),--(Lineups!$AB$4:$AB$41=""),Lineups!$AW$4:$AW$41))</f>
        <v>0</v>
      </c>
      <c r="Y56" s="344">
        <f ca="1">IF($U56="","",SUMPRODUCT(--(Lineups!$AG$4:$AG$41=$U56),--(Lineups!$AB$4:$AB$41="X"),Lineups!$AW$4:$AW$41))</f>
        <v>0</v>
      </c>
      <c r="Z56" s="344">
        <f ca="1">IF($U56="","",SUMPRODUCT(--(Lineups!$AK$4:$AK$41=$U56),Lineups!$AW$4:$AW$41))</f>
        <v>0</v>
      </c>
      <c r="AA56" s="344">
        <f ca="1">IF($U56="","",SUMPRODUCT(--(Lineups!$AO$4:$AO$41=$U56),Lineups!$AW$4:$AW$41))</f>
        <v>0</v>
      </c>
      <c r="AB56" s="344">
        <f ca="1">IF($U56="","",SUMPRODUCT(--(Lineups!$AS$4:$AS$41=$U56),Lineups!$AW$4:$AW$41))</f>
        <v>0</v>
      </c>
      <c r="AC56" s="333">
        <f t="shared" ca="1" si="43"/>
        <v>0</v>
      </c>
      <c r="AE56" s="333">
        <f t="shared" ca="1" si="44"/>
        <v>0</v>
      </c>
      <c r="AH56" s="333">
        <f ca="1">IF($U56="","",SUMPRODUCT(--(Lineups!$AC$4:$AC$41=$U56),Lineups!$AW$4:$AW$41))</f>
        <v>0</v>
      </c>
      <c r="AJ56" s="333">
        <f t="shared" ca="1" si="45"/>
        <v>0</v>
      </c>
    </row>
    <row r="57" spans="1:37" x14ac:dyDescent="0.3">
      <c r="A57" s="45">
        <f t="shared" si="36"/>
        <v>3</v>
      </c>
      <c r="B57" s="45" t="str">
        <f t="shared" si="37"/>
        <v>14</v>
      </c>
      <c r="C57" s="45" t="str">
        <f t="shared" si="37"/>
        <v>Shorty Ounce</v>
      </c>
      <c r="D57" s="45">
        <f ca="1">IF($B57="","",SUMPRODUCT(--(Lineups!$G$4:$G$41=$B57),--(Lineups!$B$4:$B$41=""),Lineups!$W$4:$W$41))</f>
        <v>0</v>
      </c>
      <c r="F57" s="344">
        <f ca="1">IF($B57="","",SUMPRODUCT(--(Lineups!$G$4:$G$41=$B57),--(Lineups!$B$4:$B$41="X"),Lineups!$W$4:$W$41))</f>
        <v>0</v>
      </c>
      <c r="G57" s="344">
        <f ca="1">IF($B57="","",SUMPRODUCT(--(Lineups!$K$4:$K$41=$B57),Lineups!$W$4:$W$41))</f>
        <v>0</v>
      </c>
      <c r="H57" s="344">
        <f ca="1">IF($B57="","",SUMPRODUCT(--(Lineups!$O$4:$O$41=$B57),Lineups!$W$4:$W$41))</f>
        <v>22</v>
      </c>
      <c r="I57" s="344">
        <f ca="1">IF($B57="","",SUMPRODUCT(--(Lineups!$S$4:$S$41=$B57),Lineups!$W$4:$W$41))</f>
        <v>34</v>
      </c>
      <c r="J57" s="45">
        <f t="shared" ca="1" si="38"/>
        <v>56</v>
      </c>
      <c r="L57" s="45">
        <f t="shared" ca="1" si="39"/>
        <v>56</v>
      </c>
      <c r="O57" s="45">
        <f ca="1">IF($B57="","",SUMPRODUCT(--(Lineups!$C$4:$C$41=$B57),Lineups!$W$4:$W$41))</f>
        <v>0</v>
      </c>
      <c r="Q57" s="45">
        <f t="shared" ca="1" si="40"/>
        <v>56</v>
      </c>
      <c r="T57" s="45">
        <f t="shared" si="41"/>
        <v>3</v>
      </c>
      <c r="U57" s="45" t="str">
        <f t="shared" si="42"/>
        <v>16</v>
      </c>
      <c r="V57" s="45" t="str">
        <f t="shared" si="42"/>
        <v>Mistilla</v>
      </c>
      <c r="W57" s="45">
        <f ca="1">IF($U57="","",SUMPRODUCT(--(Lineups!$AG$4:$AG$41=$U57),--(Lineups!$AB$4:$AB$41=""),Lineups!$AW$4:$AW$41))</f>
        <v>8</v>
      </c>
      <c r="Y57" s="344">
        <f ca="1">IF($U57="","",SUMPRODUCT(--(Lineups!$AG$4:$AG$41=$U57),--(Lineups!$AB$4:$AB$41="X"),Lineups!$AW$4:$AW$41))</f>
        <v>0</v>
      </c>
      <c r="Z57" s="344">
        <f ca="1">IF($U57="","",SUMPRODUCT(--(Lineups!$AK$4:$AK$41=$U57),Lineups!$AW$4:$AW$41))</f>
        <v>3</v>
      </c>
      <c r="AA57" s="344">
        <f ca="1">IF($U57="","",SUMPRODUCT(--(Lineups!$AO$4:$AO$41=$U57),Lineups!$AW$4:$AW$41))</f>
        <v>0</v>
      </c>
      <c r="AB57" s="344">
        <f ca="1">IF($U57="","",SUMPRODUCT(--(Lineups!$AS$4:$AS$41=$U57),Lineups!$AW$4:$AW$41))</f>
        <v>0</v>
      </c>
      <c r="AC57" s="45">
        <f t="shared" ca="1" si="43"/>
        <v>3</v>
      </c>
      <c r="AE57" s="45">
        <f t="shared" ca="1" si="44"/>
        <v>11</v>
      </c>
      <c r="AH57" s="45">
        <f ca="1">IF($U57="","",SUMPRODUCT(--(Lineups!$AC$4:$AC$41=$U57),Lineups!$AW$4:$AW$41))</f>
        <v>0</v>
      </c>
      <c r="AJ57" s="45">
        <f t="shared" ca="1" si="45"/>
        <v>11</v>
      </c>
    </row>
    <row r="58" spans="1:37" x14ac:dyDescent="0.3">
      <c r="A58" s="333">
        <f t="shared" si="36"/>
        <v>4</v>
      </c>
      <c r="B58" s="333" t="str">
        <f t="shared" si="37"/>
        <v>1618</v>
      </c>
      <c r="C58" s="333" t="str">
        <f t="shared" si="37"/>
        <v>Sintripital Force</v>
      </c>
      <c r="D58" s="333">
        <f ca="1">IF($B58="","",SUMPRODUCT(--(Lineups!$G$4:$G$41=$B58),--(Lineups!$B$4:$B$41=""),Lineups!$W$4:$W$41))</f>
        <v>0</v>
      </c>
      <c r="F58" s="344">
        <f ca="1">IF($B58="","",SUMPRODUCT(--(Lineups!$G$4:$G$41=$B58),--(Lineups!$B$4:$B$41="X"),Lineups!$W$4:$W$41))</f>
        <v>0</v>
      </c>
      <c r="G58" s="344">
        <f ca="1">IF($B58="","",SUMPRODUCT(--(Lineups!$K$4:$K$41=$B58),Lineups!$W$4:$W$41))</f>
        <v>0</v>
      </c>
      <c r="H58" s="344">
        <f ca="1">IF($B58="","",SUMPRODUCT(--(Lineups!$O$4:$O$41=$B58),Lineups!$W$4:$W$41))</f>
        <v>0</v>
      </c>
      <c r="I58" s="344">
        <f ca="1">IF($B58="","",SUMPRODUCT(--(Lineups!$S$4:$S$41=$B58),Lineups!$W$4:$W$41))</f>
        <v>0</v>
      </c>
      <c r="J58" s="333">
        <f t="shared" ca="1" si="38"/>
        <v>0</v>
      </c>
      <c r="L58" s="333">
        <f t="shared" ca="1" si="39"/>
        <v>0</v>
      </c>
      <c r="O58" s="45">
        <f ca="1">IF($B58="","",SUMPRODUCT(--(Lineups!$C$4:$C$41=$B58),Lineups!$W$4:$W$41))</f>
        <v>28</v>
      </c>
      <c r="Q58" s="333">
        <f t="shared" ca="1" si="40"/>
        <v>28</v>
      </c>
      <c r="T58" s="333">
        <f t="shared" si="41"/>
        <v>4</v>
      </c>
      <c r="U58" s="333" t="str">
        <f t="shared" si="42"/>
        <v>19</v>
      </c>
      <c r="V58" s="333" t="str">
        <f t="shared" si="42"/>
        <v>Betty Watchett</v>
      </c>
      <c r="W58" s="333">
        <f ca="1">IF($U58="","",SUMPRODUCT(--(Lineups!$AG$4:$AG$41=$U58),--(Lineups!$AB$4:$AB$41=""),Lineups!$AW$4:$AW$41))</f>
        <v>33</v>
      </c>
      <c r="Y58" s="344">
        <f ca="1">IF($U58="","",SUMPRODUCT(--(Lineups!$AG$4:$AG$41=$U58),--(Lineups!$AB$4:$AB$41="X"),Lineups!$AW$4:$AW$41))</f>
        <v>0</v>
      </c>
      <c r="Z58" s="344">
        <f ca="1">IF($U58="","",SUMPRODUCT(--(Lineups!$AK$4:$AK$41=$U58),Lineups!$AW$4:$AW$41))</f>
        <v>0</v>
      </c>
      <c r="AA58" s="344">
        <f ca="1">IF($U58="","",SUMPRODUCT(--(Lineups!$AO$4:$AO$41=$U58),Lineups!$AW$4:$AW$41))</f>
        <v>4</v>
      </c>
      <c r="AB58" s="344">
        <f ca="1">IF($U58="","",SUMPRODUCT(--(Lineups!$AS$4:$AS$41=$U58),Lineups!$AW$4:$AW$41))</f>
        <v>0</v>
      </c>
      <c r="AC58" s="333">
        <f t="shared" ca="1" si="43"/>
        <v>4</v>
      </c>
      <c r="AE58" s="333">
        <f t="shared" ca="1" si="44"/>
        <v>37</v>
      </c>
      <c r="AH58" s="333">
        <f ca="1">IF($U58="","",SUMPRODUCT(--(Lineups!$AC$4:$AC$41=$U58),Lineups!$AW$4:$AW$41))</f>
        <v>0</v>
      </c>
      <c r="AJ58" s="333">
        <f t="shared" ca="1" si="45"/>
        <v>37</v>
      </c>
    </row>
    <row r="59" spans="1:37" x14ac:dyDescent="0.3">
      <c r="A59" s="45">
        <f t="shared" si="36"/>
        <v>5</v>
      </c>
      <c r="B59" s="45" t="str">
        <f t="shared" si="37"/>
        <v>22</v>
      </c>
      <c r="C59" s="45" t="str">
        <f t="shared" si="37"/>
        <v>Sami Automatic</v>
      </c>
      <c r="D59" s="45">
        <f ca="1">IF($B59="","",SUMPRODUCT(--(Lineups!$G$4:$G$41=$B59),--(Lineups!$B$4:$B$41=""),Lineups!$W$4:$W$41))</f>
        <v>0</v>
      </c>
      <c r="F59" s="344">
        <f ca="1">IF($B59="","",SUMPRODUCT(--(Lineups!$G$4:$G$41=$B59),--(Lineups!$B$4:$B$41="X"),Lineups!$W$4:$W$41))</f>
        <v>0</v>
      </c>
      <c r="G59" s="344">
        <f ca="1">IF($B59="","",SUMPRODUCT(--(Lineups!$K$4:$K$41=$B59),Lineups!$W$4:$W$41))</f>
        <v>4</v>
      </c>
      <c r="H59" s="344">
        <f ca="1">IF($B59="","",SUMPRODUCT(--(Lineups!$O$4:$O$41=$B59),Lineups!$W$4:$W$41))</f>
        <v>4</v>
      </c>
      <c r="I59" s="344">
        <f ca="1">IF($B59="","",SUMPRODUCT(--(Lineups!$S$4:$S$41=$B59),Lineups!$W$4:$W$41))</f>
        <v>20</v>
      </c>
      <c r="J59" s="45">
        <f t="shared" ca="1" si="38"/>
        <v>28</v>
      </c>
      <c r="L59" s="45">
        <f t="shared" ca="1" si="39"/>
        <v>28</v>
      </c>
      <c r="O59" s="45">
        <f ca="1">IF($B59="","",SUMPRODUCT(--(Lineups!$C$4:$C$41=$B59),Lineups!$W$4:$W$41))</f>
        <v>0</v>
      </c>
      <c r="Q59" s="45">
        <f t="shared" ca="1" si="40"/>
        <v>28</v>
      </c>
      <c r="T59" s="45">
        <f t="shared" si="41"/>
        <v>5</v>
      </c>
      <c r="U59" s="45" t="str">
        <f t="shared" si="42"/>
        <v>2000</v>
      </c>
      <c r="V59" s="45" t="str">
        <f t="shared" si="42"/>
        <v>Lisa Lava</v>
      </c>
      <c r="W59" s="45">
        <f ca="1">IF($U59="","",SUMPRODUCT(--(Lineups!$AG$4:$AG$41=$U59),--(Lineups!$AB$4:$AB$41=""),Lineups!$AW$4:$AW$41))</f>
        <v>0</v>
      </c>
      <c r="Y59" s="344">
        <f ca="1">IF($U59="","",SUMPRODUCT(--(Lineups!$AG$4:$AG$41=$U59),--(Lineups!$AB$4:$AB$41="X"),Lineups!$AW$4:$AW$41))</f>
        <v>0</v>
      </c>
      <c r="Z59" s="344">
        <f ca="1">IF($U59="","",SUMPRODUCT(--(Lineups!$AK$4:$AK$41=$U59),Lineups!$AW$4:$AW$41))</f>
        <v>0</v>
      </c>
      <c r="AA59" s="344">
        <f ca="1">IF($U59="","",SUMPRODUCT(--(Lineups!$AO$4:$AO$41=$U59),Lineups!$AW$4:$AW$41))</f>
        <v>5</v>
      </c>
      <c r="AB59" s="344">
        <f ca="1">IF($U59="","",SUMPRODUCT(--(Lineups!$AS$4:$AS$41=$U59),Lineups!$AW$4:$AW$41))</f>
        <v>9</v>
      </c>
      <c r="AC59" s="45">
        <f t="shared" ca="1" si="43"/>
        <v>14</v>
      </c>
      <c r="AE59" s="45">
        <f t="shared" ca="1" si="44"/>
        <v>14</v>
      </c>
      <c r="AH59" s="45">
        <f ca="1">IF($U59="","",SUMPRODUCT(--(Lineups!$AC$4:$AC$41=$U59),Lineups!$AW$4:$AW$41))</f>
        <v>0</v>
      </c>
      <c r="AJ59" s="45">
        <f t="shared" ca="1" si="45"/>
        <v>14</v>
      </c>
    </row>
    <row r="60" spans="1:37" x14ac:dyDescent="0.3">
      <c r="A60" s="333">
        <f t="shared" si="36"/>
        <v>6</v>
      </c>
      <c r="B60" s="333" t="str">
        <f t="shared" si="37"/>
        <v>23</v>
      </c>
      <c r="C60" s="333" t="str">
        <f t="shared" si="37"/>
        <v>LeBrawn Maimes</v>
      </c>
      <c r="D60" s="333">
        <f ca="1">IF($B60="","",SUMPRODUCT(--(Lineups!$G$4:$G$41=$B60),--(Lineups!$B$4:$B$41=""),Lineups!$W$4:$W$41))</f>
        <v>0</v>
      </c>
      <c r="F60" s="344">
        <f ca="1">IF($B60="","",SUMPRODUCT(--(Lineups!$G$4:$G$41=$B60),--(Lineups!$B$4:$B$41="X"),Lineups!$W$4:$W$41))</f>
        <v>0</v>
      </c>
      <c r="G60" s="344">
        <f ca="1">IF($B60="","",SUMPRODUCT(--(Lineups!$K$4:$K$41=$B60),Lineups!$W$4:$W$41))</f>
        <v>0</v>
      </c>
      <c r="H60" s="344">
        <f ca="1">IF($B60="","",SUMPRODUCT(--(Lineups!$O$4:$O$41=$B60),Lineups!$W$4:$W$41))</f>
        <v>0</v>
      </c>
      <c r="I60" s="344">
        <f ca="1">IF($B60="","",SUMPRODUCT(--(Lineups!$S$4:$S$41=$B60),Lineups!$W$4:$W$41))</f>
        <v>0</v>
      </c>
      <c r="J60" s="333">
        <f t="shared" ca="1" si="38"/>
        <v>0</v>
      </c>
      <c r="L60" s="333">
        <f t="shared" ca="1" si="39"/>
        <v>0</v>
      </c>
      <c r="O60" s="45">
        <f ca="1">IF($B60="","",SUMPRODUCT(--(Lineups!$C$4:$C$41=$B60),Lineups!$W$4:$W$41))</f>
        <v>26</v>
      </c>
      <c r="Q60" s="333">
        <f t="shared" ca="1" si="40"/>
        <v>26</v>
      </c>
      <c r="T60" s="333">
        <f t="shared" si="41"/>
        <v>6</v>
      </c>
      <c r="U60" s="333" t="str">
        <f t="shared" si="42"/>
        <v>201</v>
      </c>
      <c r="V60" s="333" t="str">
        <f t="shared" si="42"/>
        <v>Dutch Destroyer</v>
      </c>
      <c r="W60" s="333">
        <f ca="1">IF($U60="","",SUMPRODUCT(--(Lineups!$AG$4:$AG$41=$U60),--(Lineups!$AB$4:$AB$41=""),Lineups!$AW$4:$AW$41))</f>
        <v>0</v>
      </c>
      <c r="Y60" s="344">
        <f ca="1">IF($U60="","",SUMPRODUCT(--(Lineups!$AG$4:$AG$41=$U60),--(Lineups!$AB$4:$AB$41="X"),Lineups!$AW$4:$AW$41))</f>
        <v>0</v>
      </c>
      <c r="Z60" s="344">
        <f ca="1">IF($U60="","",SUMPRODUCT(--(Lineups!$AK$4:$AK$41=$U60),Lineups!$AW$4:$AW$41))</f>
        <v>3</v>
      </c>
      <c r="AA60" s="344">
        <f ca="1">IF($U60="","",SUMPRODUCT(--(Lineups!$AO$4:$AO$41=$U60),Lineups!$AW$4:$AW$41))</f>
        <v>0</v>
      </c>
      <c r="AB60" s="344">
        <f ca="1">IF($U60="","",SUMPRODUCT(--(Lineups!$AS$4:$AS$41=$U60),Lineups!$AW$4:$AW$41))</f>
        <v>2</v>
      </c>
      <c r="AC60" s="333">
        <f t="shared" ca="1" si="43"/>
        <v>5</v>
      </c>
      <c r="AE60" s="333">
        <f t="shared" ca="1" si="44"/>
        <v>5</v>
      </c>
      <c r="AH60" s="333">
        <f ca="1">IF($U60="","",SUMPRODUCT(--(Lineups!$AC$4:$AC$41=$U60),Lineups!$AW$4:$AW$41))</f>
        <v>0</v>
      </c>
      <c r="AJ60" s="333">
        <f t="shared" ca="1" si="45"/>
        <v>5</v>
      </c>
    </row>
    <row r="61" spans="1:37" x14ac:dyDescent="0.3">
      <c r="A61" s="45">
        <f t="shared" si="36"/>
        <v>7</v>
      </c>
      <c r="B61" s="45" t="str">
        <f t="shared" si="37"/>
        <v>321</v>
      </c>
      <c r="C61" s="45" t="str">
        <f t="shared" si="37"/>
        <v>Missile America</v>
      </c>
      <c r="D61" s="45">
        <f ca="1">IF($B61="","",SUMPRODUCT(--(Lineups!$G$4:$G$41=$B61),--(Lineups!$B$4:$B$41=""),Lineups!$W$4:$W$41))</f>
        <v>0</v>
      </c>
      <c r="F61" s="344">
        <f ca="1">IF($B61="","",SUMPRODUCT(--(Lineups!$G$4:$G$41=$B61),--(Lineups!$B$4:$B$41="X"),Lineups!$W$4:$W$41))</f>
        <v>0</v>
      </c>
      <c r="G61" s="344">
        <f ca="1">IF($B61="","",SUMPRODUCT(--(Lineups!$K$4:$K$41=$B61),Lineups!$W$4:$W$41))</f>
        <v>43</v>
      </c>
      <c r="H61" s="344">
        <f ca="1">IF($B61="","",SUMPRODUCT(--(Lineups!$O$4:$O$41=$B61),Lineups!$W$4:$W$41))</f>
        <v>41</v>
      </c>
      <c r="I61" s="344">
        <f ca="1">IF($B61="","",SUMPRODUCT(--(Lineups!$S$4:$S$41=$B61),Lineups!$W$4:$W$41))</f>
        <v>0</v>
      </c>
      <c r="J61" s="45">
        <f t="shared" ca="1" si="38"/>
        <v>84</v>
      </c>
      <c r="L61" s="45">
        <f t="shared" ca="1" si="39"/>
        <v>84</v>
      </c>
      <c r="O61" s="45">
        <f ca="1">IF($B61="","",SUMPRODUCT(--(Lineups!$C$4:$C$41=$B61),Lineups!$W$4:$W$41))</f>
        <v>0</v>
      </c>
      <c r="Q61" s="45">
        <f t="shared" ca="1" si="40"/>
        <v>84</v>
      </c>
      <c r="T61" s="45">
        <f t="shared" si="41"/>
        <v>7</v>
      </c>
      <c r="U61" s="45" t="str">
        <f t="shared" si="42"/>
        <v>21</v>
      </c>
      <c r="V61" s="45" t="str">
        <f t="shared" si="42"/>
        <v>Jekyll &amp; Heidi</v>
      </c>
      <c r="W61" s="45">
        <f ca="1">IF($U61="","",SUMPRODUCT(--(Lineups!$AG$4:$AG$41=$U61),--(Lineups!$AB$4:$AB$41=""),Lineups!$AW$4:$AW$41))</f>
        <v>3</v>
      </c>
      <c r="Y61" s="344">
        <f ca="1">IF($U61="","",SUMPRODUCT(--(Lineups!$AG$4:$AG$41=$U61),--(Lineups!$AB$4:$AB$41="X"),Lineups!$AW$4:$AW$41))</f>
        <v>0</v>
      </c>
      <c r="Z61" s="344">
        <f ca="1">IF($U61="","",SUMPRODUCT(--(Lineups!$AK$4:$AK$41=$U61),Lineups!$AW$4:$AW$41))</f>
        <v>6</v>
      </c>
      <c r="AA61" s="344">
        <f ca="1">IF($U61="","",SUMPRODUCT(--(Lineups!$AO$4:$AO$41=$U61),Lineups!$AW$4:$AW$41))</f>
        <v>7</v>
      </c>
      <c r="AB61" s="344">
        <f ca="1">IF($U61="","",SUMPRODUCT(--(Lineups!$AS$4:$AS$41=$U61),Lineups!$AW$4:$AW$41))</f>
        <v>5</v>
      </c>
      <c r="AC61" s="45">
        <f t="shared" ca="1" si="43"/>
        <v>18</v>
      </c>
      <c r="AE61" s="45">
        <f t="shared" ca="1" si="44"/>
        <v>21</v>
      </c>
      <c r="AH61" s="45">
        <f ca="1">IF($U61="","",SUMPRODUCT(--(Lineups!$AC$4:$AC$41=$U61),Lineups!$AW$4:$AW$41))</f>
        <v>0</v>
      </c>
      <c r="AJ61" s="45">
        <f t="shared" ca="1" si="45"/>
        <v>21</v>
      </c>
    </row>
    <row r="62" spans="1:37" x14ac:dyDescent="0.3">
      <c r="A62" s="333">
        <f t="shared" si="36"/>
        <v>8</v>
      </c>
      <c r="B62" s="333" t="str">
        <f t="shared" si="37"/>
        <v>4</v>
      </c>
      <c r="C62" s="333" t="str">
        <f t="shared" si="37"/>
        <v>Belle Tolls</v>
      </c>
      <c r="D62" s="333">
        <f ca="1">IF($B62="","",SUMPRODUCT(--(Lineups!$G$4:$G$41=$B62),--(Lineups!$B$4:$B$41=""),Lineups!$W$4:$W$41))</f>
        <v>0</v>
      </c>
      <c r="F62" s="344">
        <f ca="1">IF($B62="","",SUMPRODUCT(--(Lineups!$G$4:$G$41=$B62),--(Lineups!$B$4:$B$41="X"),Lineups!$W$4:$W$41))</f>
        <v>0</v>
      </c>
      <c r="G62" s="344">
        <f ca="1">IF($B62="","",SUMPRODUCT(--(Lineups!$K$4:$K$41=$B62),Lineups!$W$4:$W$41))</f>
        <v>20</v>
      </c>
      <c r="H62" s="344">
        <f ca="1">IF($B62="","",SUMPRODUCT(--(Lineups!$O$4:$O$41=$B62),Lineups!$W$4:$W$41))</f>
        <v>0</v>
      </c>
      <c r="I62" s="344">
        <f ca="1">IF($B62="","",SUMPRODUCT(--(Lineups!$S$4:$S$41=$B62),Lineups!$W$4:$W$41))</f>
        <v>0</v>
      </c>
      <c r="J62" s="333">
        <f t="shared" ca="1" si="38"/>
        <v>20</v>
      </c>
      <c r="L62" s="333">
        <f t="shared" ca="1" si="39"/>
        <v>20</v>
      </c>
      <c r="O62" s="45">
        <f ca="1">IF($B62="","",SUMPRODUCT(--(Lineups!$C$4:$C$41=$B62),Lineups!$W$4:$W$41))</f>
        <v>0</v>
      </c>
      <c r="Q62" s="333">
        <f t="shared" ca="1" si="40"/>
        <v>20</v>
      </c>
      <c r="T62" s="333">
        <f t="shared" si="41"/>
        <v>8</v>
      </c>
      <c r="U62" s="333" t="str">
        <f t="shared" si="42"/>
        <v>22</v>
      </c>
      <c r="V62" s="333" t="str">
        <f t="shared" si="42"/>
        <v>Freight Train</v>
      </c>
      <c r="W62" s="333">
        <f ca="1">IF($U62="","",SUMPRODUCT(--(Lineups!$AG$4:$AG$41=$U62),--(Lineups!$AB$4:$AB$41=""),Lineups!$AW$4:$AW$41))</f>
        <v>0</v>
      </c>
      <c r="Y62" s="344">
        <f ca="1">IF($U62="","",SUMPRODUCT(--(Lineups!$AG$4:$AG$41=$U62),--(Lineups!$AB$4:$AB$41="X"),Lineups!$AW$4:$AW$41))</f>
        <v>0</v>
      </c>
      <c r="Z62" s="344">
        <f ca="1">IF($U62="","",SUMPRODUCT(--(Lineups!$AK$4:$AK$41=$U62),Lineups!$AW$4:$AW$41))</f>
        <v>0</v>
      </c>
      <c r="AA62" s="344">
        <f ca="1">IF($U62="","",SUMPRODUCT(--(Lineups!$AO$4:$AO$41=$U62),Lineups!$AW$4:$AW$41))</f>
        <v>0</v>
      </c>
      <c r="AB62" s="344">
        <f ca="1">IF($U62="","",SUMPRODUCT(--(Lineups!$AS$4:$AS$41=$U62),Lineups!$AW$4:$AW$41))</f>
        <v>0</v>
      </c>
      <c r="AC62" s="333">
        <f t="shared" ca="1" si="43"/>
        <v>0</v>
      </c>
      <c r="AE62" s="333">
        <f t="shared" ca="1" si="44"/>
        <v>0</v>
      </c>
      <c r="AH62" s="333">
        <f ca="1">IF($U62="","",SUMPRODUCT(--(Lineups!$AC$4:$AC$41=$U62),Lineups!$AW$4:$AW$41))</f>
        <v>14</v>
      </c>
      <c r="AJ62" s="333">
        <f t="shared" ca="1" si="45"/>
        <v>14</v>
      </c>
    </row>
    <row r="63" spans="1:37" x14ac:dyDescent="0.3">
      <c r="A63" s="45">
        <f t="shared" si="36"/>
        <v>9</v>
      </c>
      <c r="B63" s="45" t="str">
        <f t="shared" si="37"/>
        <v>505</v>
      </c>
      <c r="C63" s="45" t="str">
        <f t="shared" si="37"/>
        <v>Teddy Rupp</v>
      </c>
      <c r="D63" s="45">
        <f ca="1">IF($B63="","",SUMPRODUCT(--(Lineups!$G$4:$G$41=$B63),--(Lineups!$B$4:$B$41=""),Lineups!$W$4:$W$41))</f>
        <v>0</v>
      </c>
      <c r="F63" s="344">
        <f ca="1">IF($B63="","",SUMPRODUCT(--(Lineups!$G$4:$G$41=$B63),--(Lineups!$B$4:$B$41="X"),Lineups!$W$4:$W$41))</f>
        <v>0</v>
      </c>
      <c r="G63" s="344">
        <f ca="1">IF($B63="","",SUMPRODUCT(--(Lineups!$K$4:$K$41=$B63),Lineups!$W$4:$W$41))</f>
        <v>4</v>
      </c>
      <c r="H63" s="344">
        <f ca="1">IF($B63="","",SUMPRODUCT(--(Lineups!$O$4:$O$41=$B63),Lineups!$W$4:$W$41))</f>
        <v>20</v>
      </c>
      <c r="I63" s="344">
        <f ca="1">IF($B63="","",SUMPRODUCT(--(Lineups!$S$4:$S$41=$B63),Lineups!$W$4:$W$41))</f>
        <v>23</v>
      </c>
      <c r="J63" s="45">
        <f t="shared" ca="1" si="38"/>
        <v>47</v>
      </c>
      <c r="L63" s="45">
        <f t="shared" ca="1" si="39"/>
        <v>47</v>
      </c>
      <c r="O63" s="45">
        <f ca="1">IF($B63="","",SUMPRODUCT(--(Lineups!$C$4:$C$41=$B63),Lineups!$W$4:$W$41))</f>
        <v>0</v>
      </c>
      <c r="Q63" s="45">
        <f t="shared" ca="1" si="40"/>
        <v>47</v>
      </c>
      <c r="T63" s="45">
        <f t="shared" si="41"/>
        <v>9</v>
      </c>
      <c r="U63" s="45" t="str">
        <f t="shared" si="42"/>
        <v>312</v>
      </c>
      <c r="V63" s="45" t="str">
        <f t="shared" si="42"/>
        <v>2x Force</v>
      </c>
      <c r="W63" s="45">
        <f ca="1">IF($U63="","",SUMPRODUCT(--(Lineups!$AG$4:$AG$41=$U63),--(Lineups!$AB$4:$AB$41=""),Lineups!$AW$4:$AW$41))</f>
        <v>0</v>
      </c>
      <c r="Y63" s="344">
        <f ca="1">IF($U63="","",SUMPRODUCT(--(Lineups!$AG$4:$AG$41=$U63),--(Lineups!$AB$4:$AB$41="X"),Lineups!$AW$4:$AW$41))</f>
        <v>0</v>
      </c>
      <c r="Z63" s="344">
        <f ca="1">IF($U63="","",SUMPRODUCT(--(Lineups!$AK$4:$AK$41=$U63),Lineups!$AW$4:$AW$41))</f>
        <v>7</v>
      </c>
      <c r="AA63" s="344">
        <f ca="1">IF($U63="","",SUMPRODUCT(--(Lineups!$AO$4:$AO$41=$U63),Lineups!$AW$4:$AW$41))</f>
        <v>16</v>
      </c>
      <c r="AB63" s="344">
        <f ca="1">IF($U63="","",SUMPRODUCT(--(Lineups!$AS$4:$AS$41=$U63),Lineups!$AW$4:$AW$41))</f>
        <v>9</v>
      </c>
      <c r="AC63" s="45">
        <f t="shared" ca="1" si="43"/>
        <v>32</v>
      </c>
      <c r="AE63" s="45">
        <f t="shared" ca="1" si="44"/>
        <v>32</v>
      </c>
      <c r="AH63" s="45">
        <f ca="1">IF($U63="","",SUMPRODUCT(--(Lineups!$AC$4:$AC$41=$U63),Lineups!$AW$4:$AW$41))</f>
        <v>0</v>
      </c>
      <c r="AJ63" s="45">
        <f t="shared" ca="1" si="45"/>
        <v>32</v>
      </c>
    </row>
    <row r="64" spans="1:37" x14ac:dyDescent="0.3">
      <c r="A64" s="333">
        <f t="shared" si="36"/>
        <v>10</v>
      </c>
      <c r="B64" s="333" t="str">
        <f t="shared" si="37"/>
        <v>53</v>
      </c>
      <c r="C64" s="333" t="str">
        <f t="shared" si="37"/>
        <v>Raven Seaward</v>
      </c>
      <c r="D64" s="333">
        <f ca="1">IF($B64="","",SUMPRODUCT(--(Lineups!$G$4:$G$41=$B64),--(Lineups!$B$4:$B$41=""),Lineups!$W$4:$W$41))</f>
        <v>0</v>
      </c>
      <c r="F64" s="344">
        <f ca="1">IF($B64="","",SUMPRODUCT(--(Lineups!$G$4:$G$41=$B64),--(Lineups!$B$4:$B$41="X"),Lineups!$W$4:$W$41))</f>
        <v>0</v>
      </c>
      <c r="G64" s="344">
        <f ca="1">IF($B64="","",SUMPRODUCT(--(Lineups!$K$4:$K$41=$B64),Lineups!$W$4:$W$41))</f>
        <v>0</v>
      </c>
      <c r="H64" s="344">
        <f ca="1">IF($B64="","",SUMPRODUCT(--(Lineups!$O$4:$O$41=$B64),Lineups!$W$4:$W$41))</f>
        <v>0</v>
      </c>
      <c r="I64" s="344">
        <f ca="1">IF($B64="","",SUMPRODUCT(--(Lineups!$S$4:$S$41=$B64),Lineups!$W$4:$W$41))</f>
        <v>27</v>
      </c>
      <c r="J64" s="333">
        <f t="shared" ca="1" si="38"/>
        <v>27</v>
      </c>
      <c r="L64" s="333">
        <f t="shared" ca="1" si="39"/>
        <v>27</v>
      </c>
      <c r="O64" s="45">
        <f ca="1">IF($B64="","",SUMPRODUCT(--(Lineups!$C$4:$C$41=$B64),Lineups!$W$4:$W$41))</f>
        <v>0</v>
      </c>
      <c r="Q64" s="333">
        <f t="shared" ca="1" si="40"/>
        <v>27</v>
      </c>
      <c r="T64" s="333">
        <f t="shared" si="41"/>
        <v>10</v>
      </c>
      <c r="U64" s="333" t="str">
        <f t="shared" si="42"/>
        <v>51</v>
      </c>
      <c r="V64" s="333" t="str">
        <f t="shared" si="42"/>
        <v>Bustin’ Beaver</v>
      </c>
      <c r="W64" s="333">
        <f ca="1">IF($U64="","",SUMPRODUCT(--(Lineups!$AG$4:$AG$41=$U64),--(Lineups!$AB$4:$AB$41=""),Lineups!$AW$4:$AW$41))</f>
        <v>7</v>
      </c>
      <c r="Y64" s="344">
        <f ca="1">IF($U64="","",SUMPRODUCT(--(Lineups!$AG$4:$AG$41=$U64),--(Lineups!$AB$4:$AB$41="X"),Lineups!$AW$4:$AW$41))</f>
        <v>0</v>
      </c>
      <c r="Z64" s="344">
        <f ca="1">IF($U64="","",SUMPRODUCT(--(Lineups!$AK$4:$AK$41=$U64),Lineups!$AW$4:$AW$41))</f>
        <v>0</v>
      </c>
      <c r="AA64" s="344">
        <f ca="1">IF($U64="","",SUMPRODUCT(--(Lineups!$AO$4:$AO$41=$U64),Lineups!$AW$4:$AW$41))</f>
        <v>3</v>
      </c>
      <c r="AB64" s="344">
        <f ca="1">IF($U64="","",SUMPRODUCT(--(Lineups!$AS$4:$AS$41=$U64),Lineups!$AW$4:$AW$41))</f>
        <v>3</v>
      </c>
      <c r="AC64" s="333">
        <f t="shared" ca="1" si="43"/>
        <v>6</v>
      </c>
      <c r="AE64" s="333">
        <f t="shared" ca="1" si="44"/>
        <v>13</v>
      </c>
      <c r="AH64" s="333">
        <f ca="1">IF($U64="","",SUMPRODUCT(--(Lineups!$AC$4:$AC$41=$U64),Lineups!$AW$4:$AW$41))</f>
        <v>0</v>
      </c>
      <c r="AJ64" s="333">
        <f t="shared" ca="1" si="45"/>
        <v>13</v>
      </c>
    </row>
    <row r="65" spans="1:37" x14ac:dyDescent="0.3">
      <c r="A65" s="45">
        <f t="shared" si="36"/>
        <v>11</v>
      </c>
      <c r="B65" s="45" t="str">
        <f t="shared" si="37"/>
        <v>761</v>
      </c>
      <c r="C65" s="45" t="str">
        <f t="shared" si="37"/>
        <v>Rawkhell SqWelch</v>
      </c>
      <c r="D65" s="45">
        <f ca="1">IF($B65="","",SUMPRODUCT(--(Lineups!$G$4:$G$41=$B65),--(Lineups!$B$4:$B$41=""),Lineups!$W$4:$W$41))</f>
        <v>0</v>
      </c>
      <c r="F65" s="344">
        <f ca="1">IF($B65="","",SUMPRODUCT(--(Lineups!$G$4:$G$41=$B65),--(Lineups!$B$4:$B$41="X"),Lineups!$W$4:$W$41))</f>
        <v>0</v>
      </c>
      <c r="G65" s="344">
        <f ca="1">IF($B65="","",SUMPRODUCT(--(Lineups!$K$4:$K$41=$B65),Lineups!$W$4:$W$41))</f>
        <v>0</v>
      </c>
      <c r="H65" s="344">
        <f ca="1">IF($B65="","",SUMPRODUCT(--(Lineups!$O$4:$O$41=$B65),Lineups!$W$4:$W$41))</f>
        <v>0</v>
      </c>
      <c r="I65" s="344">
        <f ca="1">IF($B65="","",SUMPRODUCT(--(Lineups!$S$4:$S$41=$B65),Lineups!$W$4:$W$41))</f>
        <v>0</v>
      </c>
      <c r="J65" s="45">
        <f t="shared" ca="1" si="38"/>
        <v>0</v>
      </c>
      <c r="L65" s="45">
        <f t="shared" ca="1" si="39"/>
        <v>0</v>
      </c>
      <c r="O65" s="45">
        <f ca="1">IF($B65="","",SUMPRODUCT(--(Lineups!$C$4:$C$41=$B65),Lineups!$W$4:$W$41))</f>
        <v>29</v>
      </c>
      <c r="Q65" s="45">
        <f t="shared" ca="1" si="40"/>
        <v>29</v>
      </c>
      <c r="T65" s="45">
        <f t="shared" si="41"/>
        <v>11</v>
      </c>
      <c r="U65" s="45" t="str">
        <f t="shared" si="42"/>
        <v>5309</v>
      </c>
      <c r="V65" s="45" t="str">
        <f t="shared" si="42"/>
        <v>Toxic Assets</v>
      </c>
      <c r="W65" s="45">
        <f ca="1">IF($U65="","",SUMPRODUCT(--(Lineups!$AG$4:$AG$41=$U65),--(Lineups!$AB$4:$AB$41=""),Lineups!$AW$4:$AW$41))</f>
        <v>0</v>
      </c>
      <c r="Y65" s="344">
        <f ca="1">IF($U65="","",SUMPRODUCT(--(Lineups!$AG$4:$AG$41=$U65),--(Lineups!$AB$4:$AB$41="X"),Lineups!$AW$4:$AW$41))</f>
        <v>0</v>
      </c>
      <c r="Z65" s="344">
        <f ca="1">IF($U65="","",SUMPRODUCT(--(Lineups!$AK$4:$AK$41=$U65),Lineups!$AW$4:$AW$41))</f>
        <v>7</v>
      </c>
      <c r="AA65" s="344">
        <f ca="1">IF($U65="","",SUMPRODUCT(--(Lineups!$AO$4:$AO$41=$U65),Lineups!$AW$4:$AW$41))</f>
        <v>9</v>
      </c>
      <c r="AB65" s="344">
        <f ca="1">IF($U65="","",SUMPRODUCT(--(Lineups!$AS$4:$AS$41=$U65),Lineups!$AW$4:$AW$41))</f>
        <v>0</v>
      </c>
      <c r="AC65" s="45">
        <f t="shared" ca="1" si="43"/>
        <v>16</v>
      </c>
      <c r="AE65" s="45">
        <f t="shared" ca="1" si="44"/>
        <v>16</v>
      </c>
      <c r="AH65" s="45">
        <f ca="1">IF($U65="","",SUMPRODUCT(--(Lineups!$AC$4:$AC$41=$U65),Lineups!$AW$4:$AW$41))</f>
        <v>0</v>
      </c>
      <c r="AJ65" s="45">
        <f t="shared" ca="1" si="45"/>
        <v>16</v>
      </c>
    </row>
    <row r="66" spans="1:37" x14ac:dyDescent="0.3">
      <c r="A66" s="333">
        <f t="shared" si="36"/>
        <v>12</v>
      </c>
      <c r="B66" s="333" t="str">
        <f t="shared" si="37"/>
        <v>808</v>
      </c>
      <c r="C66" s="333" t="str">
        <f t="shared" si="37"/>
        <v>Kendle Bjelland</v>
      </c>
      <c r="D66" s="333">
        <f ca="1">IF($B66="","",SUMPRODUCT(--(Lineups!$G$4:$G$41=$B66),--(Lineups!$B$4:$B$41=""),Lineups!$W$4:$W$41))</f>
        <v>0</v>
      </c>
      <c r="F66" s="344">
        <f ca="1">IF($B66="","",SUMPRODUCT(--(Lineups!$G$4:$G$41=$B66),--(Lineups!$B$4:$B$41="X"),Lineups!$W$4:$W$41))</f>
        <v>0</v>
      </c>
      <c r="G66" s="344">
        <f ca="1">IF($B66="","",SUMPRODUCT(--(Lineups!$K$4:$K$41=$B66),Lineups!$W$4:$W$41))</f>
        <v>29</v>
      </c>
      <c r="H66" s="344">
        <f ca="1">IF($B66="","",SUMPRODUCT(--(Lineups!$O$4:$O$41=$B66),Lineups!$W$4:$W$41))</f>
        <v>1</v>
      </c>
      <c r="I66" s="344">
        <f ca="1">IF($B66="","",SUMPRODUCT(--(Lineups!$S$4:$S$41=$B66),Lineups!$W$4:$W$41))</f>
        <v>0</v>
      </c>
      <c r="J66" s="333">
        <f t="shared" ca="1" si="38"/>
        <v>30</v>
      </c>
      <c r="L66" s="333">
        <f t="shared" ca="1" si="39"/>
        <v>30</v>
      </c>
      <c r="O66" s="45">
        <f ca="1">IF($B66="","",SUMPRODUCT(--(Lineups!$C$4:$C$41=$B66),Lineups!$W$4:$W$41))</f>
        <v>0</v>
      </c>
      <c r="Q66" s="333">
        <f t="shared" ca="1" si="40"/>
        <v>30</v>
      </c>
      <c r="T66" s="333">
        <f t="shared" si="41"/>
        <v>12</v>
      </c>
      <c r="U66" s="333" t="str">
        <f t="shared" si="42"/>
        <v>69</v>
      </c>
      <c r="V66" s="333" t="str">
        <f t="shared" si="42"/>
        <v>Death By Chocolate</v>
      </c>
      <c r="W66" s="333">
        <f ca="1">IF($U66="","",SUMPRODUCT(--(Lineups!$AG$4:$AG$41=$U66),--(Lineups!$AB$4:$AB$41=""),Lineups!$AW$4:$AW$41))</f>
        <v>0</v>
      </c>
      <c r="Y66" s="344">
        <f ca="1">IF($U66="","",SUMPRODUCT(--(Lineups!$AG$4:$AG$41=$U66),--(Lineups!$AB$4:$AB$41="X"),Lineups!$AW$4:$AW$41))</f>
        <v>0</v>
      </c>
      <c r="Z66" s="344">
        <f ca="1">IF($U66="","",SUMPRODUCT(--(Lineups!$AK$4:$AK$41=$U66),Lineups!$AW$4:$AW$41))</f>
        <v>0</v>
      </c>
      <c r="AA66" s="344">
        <f ca="1">IF($U66="","",SUMPRODUCT(--(Lineups!$AO$4:$AO$41=$U66),Lineups!$AW$4:$AW$41))</f>
        <v>0</v>
      </c>
      <c r="AB66" s="344">
        <f ca="1">IF($U66="","",SUMPRODUCT(--(Lineups!$AS$4:$AS$41=$U66),Lineups!$AW$4:$AW$41))</f>
        <v>0</v>
      </c>
      <c r="AC66" s="333">
        <f t="shared" ca="1" si="43"/>
        <v>0</v>
      </c>
      <c r="AE66" s="333">
        <f t="shared" ca="1" si="44"/>
        <v>0</v>
      </c>
      <c r="AH66" s="333">
        <f ca="1">IF($U66="","",SUMPRODUCT(--(Lineups!$AC$4:$AC$41=$U66),Lineups!$AW$4:$AW$41))</f>
        <v>11</v>
      </c>
      <c r="AJ66" s="333">
        <f t="shared" ca="1" si="45"/>
        <v>11</v>
      </c>
    </row>
    <row r="67" spans="1:37" x14ac:dyDescent="0.3">
      <c r="A67" s="45">
        <f t="shared" si="36"/>
        <v>13</v>
      </c>
      <c r="B67" s="45" t="str">
        <f t="shared" si="37"/>
        <v>9</v>
      </c>
      <c r="C67" s="45" t="str">
        <f t="shared" si="37"/>
        <v>P. Wilhelm</v>
      </c>
      <c r="D67" s="45">
        <f ca="1">IF($B67="","",SUMPRODUCT(--(Lineups!$G$4:$G$41=$B67),--(Lineups!$B$4:$B$41=""),Lineups!$W$4:$W$41))</f>
        <v>21</v>
      </c>
      <c r="F67" s="344">
        <f ca="1">IF($B67="","",SUMPRODUCT(--(Lineups!$G$4:$G$41=$B67),--(Lineups!$B$4:$B$41="X"),Lineups!$W$4:$W$41))</f>
        <v>0</v>
      </c>
      <c r="G67" s="344">
        <f ca="1">IF($B67="","",SUMPRODUCT(--(Lineups!$K$4:$K$41=$B67),Lineups!$W$4:$W$41))</f>
        <v>0</v>
      </c>
      <c r="H67" s="344">
        <f ca="1">IF($B67="","",SUMPRODUCT(--(Lineups!$O$4:$O$41=$B67),Lineups!$W$4:$W$41))</f>
        <v>16</v>
      </c>
      <c r="I67" s="344">
        <f ca="1">IF($B67="","",SUMPRODUCT(--(Lineups!$S$4:$S$41=$B67),Lineups!$W$4:$W$41))</f>
        <v>0</v>
      </c>
      <c r="J67" s="45">
        <f t="shared" ca="1" si="38"/>
        <v>16</v>
      </c>
      <c r="L67" s="45">
        <f t="shared" ca="1" si="39"/>
        <v>37</v>
      </c>
      <c r="O67" s="45">
        <f ca="1">IF($B67="","",SUMPRODUCT(--(Lineups!$C$4:$C$41=$B67),Lineups!$W$4:$W$41))</f>
        <v>0</v>
      </c>
      <c r="Q67" s="45">
        <f t="shared" ca="1" si="40"/>
        <v>37</v>
      </c>
      <c r="T67" s="45">
        <f t="shared" si="41"/>
        <v>13</v>
      </c>
      <c r="U67" s="45" t="str">
        <f t="shared" si="42"/>
        <v>9</v>
      </c>
      <c r="V67" s="45" t="str">
        <f t="shared" si="42"/>
        <v>Big Bad Voodoo Dollie</v>
      </c>
      <c r="W67" s="45">
        <f ca="1">IF($U67="","",SUMPRODUCT(--(Lineups!$AG$4:$AG$41=$U67),--(Lineups!$AB$4:$AB$41=""),Lineups!$AW$4:$AW$41))</f>
        <v>0</v>
      </c>
      <c r="Y67" s="344">
        <f ca="1">IF($U67="","",SUMPRODUCT(--(Lineups!$AG$4:$AG$41=$U67),--(Lineups!$AB$4:$AB$41="X"),Lineups!$AW$4:$AW$41))</f>
        <v>0</v>
      </c>
      <c r="Z67" s="344">
        <f ca="1">IF($U67="","",SUMPRODUCT(--(Lineups!$AK$4:$AK$41=$U67),Lineups!$AW$4:$AW$41))</f>
        <v>0</v>
      </c>
      <c r="AA67" s="344">
        <f ca="1">IF($U67="","",SUMPRODUCT(--(Lineups!$AO$4:$AO$41=$U67),Lineups!$AW$4:$AW$41))</f>
        <v>0</v>
      </c>
      <c r="AB67" s="344">
        <f ca="1">IF($U67="","",SUMPRODUCT(--(Lineups!$AS$4:$AS$41=$U67),Lineups!$AW$4:$AW$41))</f>
        <v>0</v>
      </c>
      <c r="AC67" s="45">
        <f t="shared" ca="1" si="43"/>
        <v>0</v>
      </c>
      <c r="AE67" s="45">
        <f t="shared" ca="1" si="44"/>
        <v>0</v>
      </c>
      <c r="AH67" s="45">
        <f ca="1">IF($U67="","",SUMPRODUCT(--(Lineups!$AC$4:$AC$41=$U67),Lineups!$AW$4:$AW$41))</f>
        <v>26</v>
      </c>
      <c r="AJ67" s="45">
        <f t="shared" ca="1" si="45"/>
        <v>26</v>
      </c>
    </row>
    <row r="68" spans="1:37" x14ac:dyDescent="0.3">
      <c r="A68" s="333">
        <f t="shared" si="36"/>
        <v>14</v>
      </c>
      <c r="B68" s="333" t="str">
        <f t="shared" si="37"/>
        <v>911</v>
      </c>
      <c r="C68" s="333" t="str">
        <f t="shared" si="37"/>
        <v>Luna Negra</v>
      </c>
      <c r="D68" s="333">
        <f ca="1">IF($B68="","",SUMPRODUCT(--(Lineups!$G$4:$G$41=$B68),--(Lineups!$B$4:$B$41=""),Lineups!$W$4:$W$41))</f>
        <v>0</v>
      </c>
      <c r="F68" s="344">
        <f ca="1">IF($B68="","",SUMPRODUCT(--(Lineups!$G$4:$G$41=$B68),--(Lineups!$B$4:$B$41="X"),Lineups!$W$4:$W$41))</f>
        <v>0</v>
      </c>
      <c r="G68" s="344">
        <f ca="1">IF($B68="","",SUMPRODUCT(--(Lineups!$K$4:$K$41=$B68),Lineups!$W$4:$W$41))</f>
        <v>0</v>
      </c>
      <c r="H68" s="344">
        <f ca="1">IF($B68="","",SUMPRODUCT(--(Lineups!$O$4:$O$41=$B68),Lineups!$W$4:$W$41))</f>
        <v>0</v>
      </c>
      <c r="I68" s="344">
        <f ca="1">IF($B68="","",SUMPRODUCT(--(Lineups!$S$4:$S$41=$B68),Lineups!$W$4:$W$41))</f>
        <v>0</v>
      </c>
      <c r="J68" s="333">
        <f t="shared" ca="1" si="38"/>
        <v>0</v>
      </c>
      <c r="L68" s="333">
        <f t="shared" ca="1" si="39"/>
        <v>0</v>
      </c>
      <c r="O68" s="45">
        <f ca="1">IF($B68="","",SUMPRODUCT(--(Lineups!$C$4:$C$41=$B68),Lineups!$W$4:$W$41))</f>
        <v>21</v>
      </c>
      <c r="Q68" s="333">
        <f t="shared" ca="1" si="40"/>
        <v>21</v>
      </c>
      <c r="T68" s="333">
        <f t="shared" si="41"/>
        <v>14</v>
      </c>
      <c r="U68" s="333" t="str">
        <f t="shared" si="42"/>
        <v>93</v>
      </c>
      <c r="V68" s="333" t="str">
        <f t="shared" si="42"/>
        <v>Erma Gerd</v>
      </c>
      <c r="W68" s="333">
        <f ca="1">IF($U68="","",SUMPRODUCT(--(Lineups!$AG$4:$AG$41=$U68),--(Lineups!$AB$4:$AB$41=""),Lineups!$AW$4:$AW$41))</f>
        <v>0</v>
      </c>
      <c r="Y68" s="344">
        <f ca="1">IF($U68="","",SUMPRODUCT(--(Lineups!$AG$4:$AG$41=$U68),--(Lineups!$AB$4:$AB$41="X"),Lineups!$AW$4:$AW$41))</f>
        <v>0</v>
      </c>
      <c r="Z68" s="344">
        <f ca="1">IF($U68="","",SUMPRODUCT(--(Lineups!$AK$4:$AK$41=$U68),Lineups!$AW$4:$AW$41))</f>
        <v>14</v>
      </c>
      <c r="AA68" s="344">
        <f ca="1">IF($U68="","",SUMPRODUCT(--(Lineups!$AO$4:$AO$41=$U68),Lineups!$AW$4:$AW$41))</f>
        <v>7</v>
      </c>
      <c r="AB68" s="344">
        <f ca="1">IF($U68="","",SUMPRODUCT(--(Lineups!$AS$4:$AS$41=$U68),Lineups!$AW$4:$AW$41))</f>
        <v>5</v>
      </c>
      <c r="AC68" s="333">
        <f t="shared" ca="1" si="43"/>
        <v>26</v>
      </c>
      <c r="AE68" s="333">
        <f t="shared" ca="1" si="44"/>
        <v>26</v>
      </c>
      <c r="AH68" s="333">
        <f ca="1">IF($U68="","",SUMPRODUCT(--(Lineups!$AC$4:$AC$41=$U68),Lineups!$AW$4:$AW$41))</f>
        <v>0</v>
      </c>
      <c r="AJ68" s="333">
        <f t="shared" ca="1" si="45"/>
        <v>26</v>
      </c>
    </row>
    <row r="69" spans="1:37" x14ac:dyDescent="0.3">
      <c r="A69" s="45">
        <f t="shared" si="36"/>
        <v>15</v>
      </c>
      <c r="B69" s="45" t="str">
        <f t="shared" si="37"/>
        <v>0</v>
      </c>
      <c r="C69" s="45" t="str">
        <f t="shared" si="37"/>
        <v>Enurgizer Bunny</v>
      </c>
      <c r="D69" s="45">
        <f ca="1">IF($B69="","",SUMPRODUCT(--(Lineups!$G$4:$G$41=$B69),--(Lineups!$B$4:$B$41=""),Lineups!$W$4:$W$41))</f>
        <v>0</v>
      </c>
      <c r="F69" s="344">
        <f ca="1">IF($B69="","",SUMPRODUCT(--(Lineups!$G$4:$G$41=$B69),--(Lineups!$B$4:$B$41="X"),Lineups!$W$4:$W$41))</f>
        <v>0</v>
      </c>
      <c r="G69" s="344">
        <f ca="1">IF($B69="","",SUMPRODUCT(--(Lineups!$K$4:$K$41=$B69),Lineups!$W$4:$W$41))</f>
        <v>0</v>
      </c>
      <c r="H69" s="344">
        <f ca="1">IF($B69="","",SUMPRODUCT(--(Lineups!$O$4:$O$41=$B69),Lineups!$W$4:$W$41))</f>
        <v>0</v>
      </c>
      <c r="I69" s="344">
        <f ca="1">IF($B69="","",SUMPRODUCT(--(Lineups!$S$4:$S$41=$B69),Lineups!$W$4:$W$41))</f>
        <v>0</v>
      </c>
      <c r="J69" s="45">
        <f t="shared" ca="1" si="38"/>
        <v>0</v>
      </c>
      <c r="L69" s="45">
        <f t="shared" ca="1" si="39"/>
        <v>0</v>
      </c>
      <c r="O69" s="45">
        <f ca="1">IF($B69="","",SUMPRODUCT(--(Lineups!$C$4:$C$41=$B69),Lineups!$W$4:$W$41))</f>
        <v>0</v>
      </c>
      <c r="Q69" s="45">
        <f t="shared" ca="1" si="40"/>
        <v>0</v>
      </c>
      <c r="T69" s="45">
        <f t="shared" si="41"/>
        <v>15</v>
      </c>
      <c r="U69" s="45" t="str">
        <f t="shared" si="42"/>
        <v/>
      </c>
      <c r="V69" s="45" t="str">
        <f t="shared" si="42"/>
        <v/>
      </c>
      <c r="W69" s="45" t="str">
        <f>IF($U69="","",SUMPRODUCT(--(Lineups!$AG$4:$AG$41=$U69),--(Lineups!$AB$4:$AB$41=""),Lineups!$AW$4:$AW$41))</f>
        <v/>
      </c>
      <c r="Y69" s="344" t="str">
        <f>IF($U69="","",SUMPRODUCT(--(Lineups!$AG$4:$AG$41=$U69),--(Lineups!$AB$4:$AB$41="X"),Lineups!$AW$4:$AW$41))</f>
        <v/>
      </c>
      <c r="Z69" s="344" t="str">
        <f>IF($U69="","",SUMPRODUCT(--(Lineups!$AK$4:$AK$41=$U69),Lineups!$AW$4:$AW$41))</f>
        <v/>
      </c>
      <c r="AA69" s="344" t="str">
        <f>IF($U69="","",SUMPRODUCT(--(Lineups!$AO$4:$AO$41=$U69),Lineups!$AW$4:$AW$41))</f>
        <v/>
      </c>
      <c r="AB69" s="344" t="str">
        <f>IF($U69="","",SUMPRODUCT(--(Lineups!$AS$4:$AS$41=$U69),Lineups!$AW$4:$AW$41))</f>
        <v/>
      </c>
      <c r="AC69" s="45" t="str">
        <f t="shared" si="43"/>
        <v/>
      </c>
      <c r="AE69" s="45" t="str">
        <f t="shared" si="44"/>
        <v/>
      </c>
      <c r="AH69" s="45" t="str">
        <f>IF($U69="","",SUMPRODUCT(--(Lineups!$AC$4:$AC$41=$U69),Lineups!$AW$4:$AW$41))</f>
        <v/>
      </c>
      <c r="AJ69" s="45" t="str">
        <f t="shared" si="45"/>
        <v/>
      </c>
    </row>
    <row r="70" spans="1:37" x14ac:dyDescent="0.3">
      <c r="A70" s="333">
        <f t="shared" si="36"/>
        <v>16</v>
      </c>
      <c r="B70" s="333" t="str">
        <f t="shared" si="37"/>
        <v>88</v>
      </c>
      <c r="C70" s="333" t="str">
        <f t="shared" si="37"/>
        <v>Ophelia Melons</v>
      </c>
      <c r="D70" s="333">
        <f ca="1">IF($B70="","",SUMPRODUCT(--(Lineups!$G$4:$G$41=$B70),--(Lineups!$B$4:$B$41=""),Lineups!$W$4:$W$41))</f>
        <v>0</v>
      </c>
      <c r="F70" s="344">
        <f ca="1">IF($B70="","",SUMPRODUCT(--(Lineups!$G$4:$G$41=$B70),--(Lineups!$B$4:$B$41="X"),Lineups!$W$4:$W$41))</f>
        <v>0</v>
      </c>
      <c r="G70" s="344">
        <f ca="1">IF($B70="","",SUMPRODUCT(--(Lineups!$K$4:$K$41=$B70),Lineups!$W$4:$W$41))</f>
        <v>0</v>
      </c>
      <c r="H70" s="344">
        <f ca="1">IF($B70="","",SUMPRODUCT(--(Lineups!$O$4:$O$41=$B70),Lineups!$W$4:$W$41))</f>
        <v>0</v>
      </c>
      <c r="I70" s="344">
        <f ca="1">IF($B70="","",SUMPRODUCT(--(Lineups!$S$4:$S$41=$B70),Lineups!$W$4:$W$41))</f>
        <v>0</v>
      </c>
      <c r="J70" s="333">
        <f t="shared" ca="1" si="38"/>
        <v>0</v>
      </c>
      <c r="L70" s="333">
        <f t="shared" ca="1" si="39"/>
        <v>0</v>
      </c>
      <c r="O70" s="45">
        <f ca="1">IF($B70="","",SUMPRODUCT(--(Lineups!$C$4:$C$41=$B70),Lineups!$W$4:$W$41))</f>
        <v>0</v>
      </c>
      <c r="Q70" s="333">
        <f t="shared" ca="1" si="40"/>
        <v>0</v>
      </c>
      <c r="T70" s="333">
        <f t="shared" si="41"/>
        <v>16</v>
      </c>
      <c r="U70" s="333" t="str">
        <f t="shared" si="42"/>
        <v/>
      </c>
      <c r="V70" s="333" t="str">
        <f t="shared" si="42"/>
        <v/>
      </c>
      <c r="W70" s="333" t="str">
        <f>IF($U70="","",SUMPRODUCT(--(Lineups!$AG$4:$AG$41=$U70),--(Lineups!$AB$4:$AB$41=""),Lineups!$AW$4:$AW$41))</f>
        <v/>
      </c>
      <c r="Y70" s="344" t="str">
        <f>IF($U70="","",SUMPRODUCT(--(Lineups!$AG$4:$AG$41=$U70),--(Lineups!$AB$4:$AB$41="X"),Lineups!$AW$4:$AW$41))</f>
        <v/>
      </c>
      <c r="Z70" s="344" t="str">
        <f>IF($U70="","",SUMPRODUCT(--(Lineups!$AK$4:$AK$41=$U70),Lineups!$AW$4:$AW$41))</f>
        <v/>
      </c>
      <c r="AA70" s="344" t="str">
        <f>IF($U70="","",SUMPRODUCT(--(Lineups!$AO$4:$AO$41=$U70),Lineups!$AW$4:$AW$41))</f>
        <v/>
      </c>
      <c r="AB70" s="344" t="str">
        <f>IF($U70="","",SUMPRODUCT(--(Lineups!$AS$4:$AS$41=$U70),Lineups!$AW$4:$AW$41))</f>
        <v/>
      </c>
      <c r="AC70" s="333" t="str">
        <f t="shared" si="43"/>
        <v/>
      </c>
      <c r="AE70" s="333" t="str">
        <f t="shared" si="44"/>
        <v/>
      </c>
      <c r="AH70" s="333" t="str">
        <f>IF($U70="","",SUMPRODUCT(--(Lineups!$AC$4:$AC$41=$U70),Lineups!$AW$4:$AW$41))</f>
        <v/>
      </c>
      <c r="AJ70" s="333" t="str">
        <f t="shared" si="45"/>
        <v/>
      </c>
    </row>
    <row r="71" spans="1:37" x14ac:dyDescent="0.3">
      <c r="A71" s="45">
        <f t="shared" si="36"/>
        <v>17</v>
      </c>
      <c r="B71" s="45" t="str">
        <f t="shared" si="37"/>
        <v/>
      </c>
      <c r="C71" s="45" t="str">
        <f t="shared" si="37"/>
        <v/>
      </c>
      <c r="D71" s="45" t="str">
        <f>IF($B71="","",SUMPRODUCT(--(Lineups!$G$4:$G$41=$B71),--(Lineups!$B$4:$B$41=""),Lineups!$W$4:$W$41))</f>
        <v/>
      </c>
      <c r="F71" s="344" t="str">
        <f>IF($B71="","",SUMPRODUCT(--(Lineups!$G$4:$G$41=$B71),--(Lineups!$B$4:$B$41="X"),Lineups!$W$4:$W$41))</f>
        <v/>
      </c>
      <c r="G71" s="344" t="str">
        <f>IF($B71="","",SUMPRODUCT(--(Lineups!$K$4:$K$41=$B71),Lineups!$W$4:$W$41))</f>
        <v/>
      </c>
      <c r="H71" s="344" t="str">
        <f>IF($B71="","",SUMPRODUCT(--(Lineups!$O$4:$O$41=$B71),Lineups!$W$4:$W$41))</f>
        <v/>
      </c>
      <c r="I71" s="344" t="str">
        <f>IF($B71="","",SUMPRODUCT(--(Lineups!$S$4:$S$41=$B71),Lineups!$W$4:$W$41))</f>
        <v/>
      </c>
      <c r="J71" s="45" t="str">
        <f t="shared" si="38"/>
        <v/>
      </c>
      <c r="L71" s="45" t="str">
        <f t="shared" si="39"/>
        <v/>
      </c>
      <c r="O71" s="45" t="str">
        <f>IF($B71="","",SUMPRODUCT(--(Lineups!$C$4:$C$41=$B71),Lineups!$W$4:$W$41))</f>
        <v/>
      </c>
      <c r="Q71" s="45" t="str">
        <f t="shared" si="40"/>
        <v/>
      </c>
      <c r="T71" s="45">
        <f t="shared" si="41"/>
        <v>17</v>
      </c>
      <c r="U71" s="45" t="str">
        <f t="shared" si="42"/>
        <v/>
      </c>
      <c r="V71" s="45" t="str">
        <f t="shared" si="42"/>
        <v/>
      </c>
      <c r="W71" s="45" t="str">
        <f>IF($U71="","",SUMPRODUCT(--(Lineups!$AG$4:$AG$41=$U71),--(Lineups!$AB$4:$AB$41=""),Lineups!$AW$4:$AW$41))</f>
        <v/>
      </c>
      <c r="Y71" s="344" t="str">
        <f>IF($U71="","",SUMPRODUCT(--(Lineups!$AG$4:$AG$41=$U71),--(Lineups!$AB$4:$AB$41="X"),Lineups!$AW$4:$AW$41))</f>
        <v/>
      </c>
      <c r="Z71" s="344" t="str">
        <f>IF($U71="","",SUMPRODUCT(--(Lineups!$AK$4:$AK$41=$U71),Lineups!$AW$4:$AW$41))</f>
        <v/>
      </c>
      <c r="AA71" s="344" t="str">
        <f>IF($U71="","",SUMPRODUCT(--(Lineups!$AO$4:$AO$41=$U71),Lineups!$AW$4:$AW$41))</f>
        <v/>
      </c>
      <c r="AB71" s="344" t="str">
        <f>IF($U71="","",SUMPRODUCT(--(Lineups!$AS$4:$AS$41=$U71),Lineups!$AW$4:$AW$41))</f>
        <v/>
      </c>
      <c r="AC71" s="45" t="str">
        <f t="shared" si="43"/>
        <v/>
      </c>
      <c r="AE71" s="45" t="str">
        <f t="shared" si="44"/>
        <v/>
      </c>
      <c r="AH71" s="45" t="str">
        <f>IF($U71="","",SUMPRODUCT(--(Lineups!$AC$4:$AC$41=$U71),Lineups!$AW$4:$AW$41))</f>
        <v/>
      </c>
      <c r="AJ71" s="45" t="str">
        <f t="shared" si="45"/>
        <v/>
      </c>
    </row>
    <row r="72" spans="1:37" x14ac:dyDescent="0.3">
      <c r="A72" s="333">
        <f t="shared" si="36"/>
        <v>18</v>
      </c>
      <c r="B72" s="333" t="str">
        <f t="shared" si="37"/>
        <v/>
      </c>
      <c r="C72" s="333" t="str">
        <f t="shared" si="37"/>
        <v/>
      </c>
      <c r="D72" s="333" t="str">
        <f>IF($B72="","",SUMPRODUCT(--(Lineups!$G$4:$G$41=$B72),--(Lineups!$B$4:$B$41=""),Lineups!$W$4:$W$41))</f>
        <v/>
      </c>
      <c r="F72" s="344" t="str">
        <f>IF($B72="","",SUMPRODUCT(--(Lineups!$G$4:$G$41=$B72),--(Lineups!$B$4:$B$41="X"),Lineups!$W$4:$W$41))</f>
        <v/>
      </c>
      <c r="G72" s="344" t="str">
        <f>IF($B72="","",SUMPRODUCT(--(Lineups!$K$4:$K$41=$B72),Lineups!$W$4:$W$41))</f>
        <v/>
      </c>
      <c r="H72" s="344" t="str">
        <f>IF($B72="","",SUMPRODUCT(--(Lineups!$O$4:$O$41=$B72),Lineups!$W$4:$W$41))</f>
        <v/>
      </c>
      <c r="I72" s="344" t="str">
        <f>IF($B72="","",SUMPRODUCT(--(Lineups!$S$4:$S$41=$B72),Lineups!$W$4:$W$41))</f>
        <v/>
      </c>
      <c r="J72" s="333" t="str">
        <f t="shared" si="38"/>
        <v/>
      </c>
      <c r="L72" s="333" t="str">
        <f t="shared" si="39"/>
        <v/>
      </c>
      <c r="O72" s="45" t="str">
        <f>IF($B72="","",SUMPRODUCT(--(Lineups!$C$4:$C$41=$B72),Lineups!$W$4:$W$41))</f>
        <v/>
      </c>
      <c r="Q72" s="333" t="str">
        <f t="shared" si="40"/>
        <v/>
      </c>
      <c r="T72" s="333">
        <f t="shared" si="41"/>
        <v>18</v>
      </c>
      <c r="U72" s="333" t="str">
        <f t="shared" si="42"/>
        <v/>
      </c>
      <c r="V72" s="333" t="str">
        <f t="shared" si="42"/>
        <v/>
      </c>
      <c r="W72" s="333" t="str">
        <f>IF($U72="","",SUMPRODUCT(--(Lineups!$AG$4:$AG$41=$U72),--(Lineups!$AB$4:$AB$41=""),Lineups!$AW$4:$AW$41))</f>
        <v/>
      </c>
      <c r="Y72" s="344" t="str">
        <f>IF($U72="","",SUMPRODUCT(--(Lineups!$AG$4:$AG$41=$U72),--(Lineups!$AB$4:$AB$41="X"),Lineups!$AW$4:$AW$41))</f>
        <v/>
      </c>
      <c r="Z72" s="344" t="str">
        <f>IF($U72="","",SUMPRODUCT(--(Lineups!$AK$4:$AK$41=$U72),Lineups!$AW$4:$AW$41))</f>
        <v/>
      </c>
      <c r="AA72" s="344" t="str">
        <f>IF($U72="","",SUMPRODUCT(--(Lineups!$AO$4:$AO$41=$U72),Lineups!$AW$4:$AW$41))</f>
        <v/>
      </c>
      <c r="AB72" s="344" t="str">
        <f>IF($U72="","",SUMPRODUCT(--(Lineups!$AS$4:$AS$41=$U72),Lineups!$AW$4:$AW$41))</f>
        <v/>
      </c>
      <c r="AC72" s="333" t="str">
        <f t="shared" si="43"/>
        <v/>
      </c>
      <c r="AE72" s="333" t="str">
        <f t="shared" si="44"/>
        <v/>
      </c>
      <c r="AH72" s="333" t="str">
        <f>IF($U72="","",SUMPRODUCT(--(Lineups!$AC$4:$AC$41=$U72),Lineups!$AW$4:$AW$41))</f>
        <v/>
      </c>
      <c r="AJ72" s="333" t="str">
        <f t="shared" si="45"/>
        <v/>
      </c>
    </row>
    <row r="73" spans="1:37" x14ac:dyDescent="0.3">
      <c r="A73" s="45">
        <f t="shared" si="36"/>
        <v>19</v>
      </c>
      <c r="B73" s="45" t="str">
        <f t="shared" si="37"/>
        <v/>
      </c>
      <c r="C73" s="45" t="str">
        <f t="shared" si="37"/>
        <v/>
      </c>
      <c r="D73" s="45" t="str">
        <f>IF($B73="","",SUMPRODUCT(--(Lineups!$G$4:$G$41=$B73),--(Lineups!$B$4:$B$41=""),Lineups!$W$4:$W$41))</f>
        <v/>
      </c>
      <c r="F73" s="344" t="str">
        <f>IF($B73="","",SUMPRODUCT(--(Lineups!$G$4:$G$41=$B73),--(Lineups!$B$4:$B$41="X"),Lineups!$W$4:$W$41))</f>
        <v/>
      </c>
      <c r="G73" s="344" t="str">
        <f>IF($B73="","",SUMPRODUCT(--(Lineups!$K$4:$K$41=$B73),Lineups!$W$4:$W$41))</f>
        <v/>
      </c>
      <c r="H73" s="344" t="str">
        <f>IF($B73="","",SUMPRODUCT(--(Lineups!$O$4:$O$41=$B73),Lineups!$W$4:$W$41))</f>
        <v/>
      </c>
      <c r="I73" s="344" t="str">
        <f>IF($B73="","",SUMPRODUCT(--(Lineups!$S$4:$S$41=$B73),Lineups!$W$4:$W$41))</f>
        <v/>
      </c>
      <c r="J73" s="45" t="str">
        <f t="shared" si="38"/>
        <v/>
      </c>
      <c r="L73" s="45" t="str">
        <f t="shared" si="39"/>
        <v/>
      </c>
      <c r="O73" s="45" t="str">
        <f>IF($B73="","",SUMPRODUCT(--(Lineups!$C$4:$C$41=$B73),Lineups!$W$4:$W$41))</f>
        <v/>
      </c>
      <c r="Q73" s="45" t="str">
        <f t="shared" si="40"/>
        <v/>
      </c>
      <c r="T73" s="45">
        <f t="shared" si="41"/>
        <v>19</v>
      </c>
      <c r="U73" s="45" t="str">
        <f t="shared" si="42"/>
        <v/>
      </c>
      <c r="V73" s="45" t="str">
        <f t="shared" si="42"/>
        <v/>
      </c>
      <c r="W73" s="45" t="str">
        <f>IF($U73="","",SUMPRODUCT(--(Lineups!$AG$4:$AG$41=$U73),--(Lineups!$AB$4:$AB$41=""),Lineups!$AW$4:$AW$41))</f>
        <v/>
      </c>
      <c r="Y73" s="344" t="str">
        <f>IF($U73="","",SUMPRODUCT(--(Lineups!$AG$4:$AG$41=$U73),--(Lineups!$AB$4:$AB$41="X"),Lineups!$AW$4:$AW$41))</f>
        <v/>
      </c>
      <c r="Z73" s="344" t="str">
        <f>IF($U73="","",SUMPRODUCT(--(Lineups!$AK$4:$AK$41=$U73),Lineups!$AW$4:$AW$41))</f>
        <v/>
      </c>
      <c r="AA73" s="344" t="str">
        <f>IF($U73="","",SUMPRODUCT(--(Lineups!$AO$4:$AO$41=$U73),Lineups!$AW$4:$AW$41))</f>
        <v/>
      </c>
      <c r="AB73" s="344" t="str">
        <f>IF($U73="","",SUMPRODUCT(--(Lineups!$AS$4:$AS$41=$U73),Lineups!$AW$4:$AW$41))</f>
        <v/>
      </c>
      <c r="AC73" s="45" t="str">
        <f t="shared" si="43"/>
        <v/>
      </c>
      <c r="AE73" s="45" t="str">
        <f t="shared" si="44"/>
        <v/>
      </c>
      <c r="AH73" s="45" t="str">
        <f>IF($U73="","",SUMPRODUCT(--(Lineups!$AC$4:$AC$41=$U73),Lineups!$AW$4:$AW$41))</f>
        <v/>
      </c>
      <c r="AJ73" s="45" t="str">
        <f t="shared" si="45"/>
        <v/>
      </c>
    </row>
    <row r="74" spans="1:37" x14ac:dyDescent="0.3">
      <c r="A74" s="333">
        <f t="shared" si="36"/>
        <v>20</v>
      </c>
      <c r="B74" s="333" t="str">
        <f t="shared" si="37"/>
        <v/>
      </c>
      <c r="C74" s="333" t="str">
        <f t="shared" si="37"/>
        <v/>
      </c>
      <c r="D74" s="333" t="str">
        <f>IF($B74="","",SUMPRODUCT(--(Lineups!$G$4:$G$41=$B74),--(Lineups!$B$4:$B$41=""),Lineups!$W$4:$W$41))</f>
        <v/>
      </c>
      <c r="F74" s="344" t="str">
        <f>IF($B74="","",SUMPRODUCT(--(Lineups!$G$4:$G$41=$B74),--(Lineups!$B$4:$B$41="X"),Lineups!$W$4:$W$41))</f>
        <v/>
      </c>
      <c r="G74" s="344" t="str">
        <f>IF($B74="","",SUMPRODUCT(--(Lineups!$K$4:$K$41=$B74),Lineups!$W$4:$W$41))</f>
        <v/>
      </c>
      <c r="H74" s="344" t="str">
        <f>IF($B74="","",SUMPRODUCT(--(Lineups!$O$4:$O$41=$B74),Lineups!$W$4:$W$41))</f>
        <v/>
      </c>
      <c r="I74" s="344" t="str">
        <f>IF($B74="","",SUMPRODUCT(--(Lineups!$S$4:$S$41=$B74),Lineups!$W$4:$W$41))</f>
        <v/>
      </c>
      <c r="J74" s="333" t="str">
        <f t="shared" si="38"/>
        <v/>
      </c>
      <c r="L74" s="333" t="str">
        <f t="shared" si="39"/>
        <v/>
      </c>
      <c r="O74" s="45" t="str">
        <f>IF($B74="","",SUMPRODUCT(--(Lineups!$C$4:$C$41=$B74),Lineups!$W$4:$W$41))</f>
        <v/>
      </c>
      <c r="Q74" s="333" t="str">
        <f t="shared" si="40"/>
        <v/>
      </c>
      <c r="T74" s="333">
        <f t="shared" si="41"/>
        <v>20</v>
      </c>
      <c r="U74" s="333" t="str">
        <f t="shared" si="42"/>
        <v/>
      </c>
      <c r="V74" s="333" t="str">
        <f t="shared" si="42"/>
        <v/>
      </c>
      <c r="W74" s="333" t="str">
        <f>IF($U74="","",SUMPRODUCT(--(Lineups!$AG$4:$AG$41=$U74),--(Lineups!$AB$4:$AB$41=""),Lineups!$AW$4:$AW$41))</f>
        <v/>
      </c>
      <c r="Y74" s="344" t="str">
        <f>IF($U74="","",SUMPRODUCT(--(Lineups!$AG$4:$AG$41=$U74),--(Lineups!$AB$4:$AB$41="X"),Lineups!$AW$4:$AW$41))</f>
        <v/>
      </c>
      <c r="Z74" s="344" t="str">
        <f>IF($U74="","",SUMPRODUCT(--(Lineups!$AK$4:$AK$41=$U74),Lineups!$AW$4:$AW$41))</f>
        <v/>
      </c>
      <c r="AA74" s="344" t="str">
        <f>IF($U74="","",SUMPRODUCT(--(Lineups!$AO$4:$AO$41=$U74),Lineups!$AW$4:$AW$41))</f>
        <v/>
      </c>
      <c r="AB74" s="344" t="str">
        <f>IF($U74="","",SUMPRODUCT(--(Lineups!$AS$4:$AS$41=$U74),Lineups!$AW$4:$AW$41))</f>
        <v/>
      </c>
      <c r="AC74" s="333" t="str">
        <f t="shared" si="43"/>
        <v/>
      </c>
      <c r="AE74" s="333" t="str">
        <f t="shared" si="44"/>
        <v/>
      </c>
      <c r="AH74" s="333" t="str">
        <f>IF($U74="","",SUMPRODUCT(--(Lineups!$AC$4:$AC$41=$U74),Lineups!$AW$4:$AW$41))</f>
        <v/>
      </c>
      <c r="AJ74" s="333" t="str">
        <f t="shared" si="45"/>
        <v/>
      </c>
    </row>
    <row r="76" spans="1:37" x14ac:dyDescent="0.3">
      <c r="A76" s="1363" t="s">
        <v>54</v>
      </c>
      <c r="B76" s="1363"/>
      <c r="C76" s="1363"/>
      <c r="D76" s="236"/>
      <c r="E76" s="236"/>
      <c r="F76" s="236"/>
      <c r="G76" s="236"/>
      <c r="H76" s="236"/>
      <c r="I76" s="236"/>
      <c r="J76" s="236"/>
      <c r="K76" s="236"/>
      <c r="L76" s="236"/>
      <c r="M76" s="236"/>
      <c r="N76" s="236"/>
      <c r="O76" s="236"/>
      <c r="P76" s="236"/>
      <c r="Q76" s="236"/>
      <c r="R76" s="236"/>
      <c r="T76" s="1363" t="s">
        <v>54</v>
      </c>
      <c r="U76" s="1363"/>
      <c r="V76" s="1363"/>
      <c r="W76" s="236"/>
      <c r="X76" s="236"/>
      <c r="Y76" s="236"/>
      <c r="Z76" s="236"/>
      <c r="AA76" s="236"/>
      <c r="AB76" s="236"/>
      <c r="AC76" s="236"/>
      <c r="AD76" s="236"/>
      <c r="AE76" s="236"/>
      <c r="AF76" s="236"/>
      <c r="AG76" s="236"/>
      <c r="AH76" s="236"/>
      <c r="AI76" s="236"/>
      <c r="AJ76" s="236"/>
      <c r="AK76" s="236"/>
    </row>
    <row r="77" spans="1:37" x14ac:dyDescent="0.3">
      <c r="A77" s="338">
        <v>0</v>
      </c>
      <c r="B77" s="338" t="s">
        <v>36</v>
      </c>
      <c r="C77" s="338" t="s">
        <v>37</v>
      </c>
      <c r="D77" s="338" t="s">
        <v>175</v>
      </c>
      <c r="E77" s="234"/>
      <c r="F77" s="343" t="s">
        <v>176</v>
      </c>
      <c r="G77" s="343" t="s">
        <v>176</v>
      </c>
      <c r="H77" s="343" t="s">
        <v>176</v>
      </c>
      <c r="I77" s="343" t="s">
        <v>176</v>
      </c>
      <c r="J77" s="338" t="s">
        <v>46</v>
      </c>
      <c r="K77" s="234"/>
      <c r="L77" s="338" t="s">
        <v>48</v>
      </c>
      <c r="M77" s="234"/>
      <c r="N77" s="340" t="s">
        <v>25</v>
      </c>
      <c r="O77" s="338" t="s">
        <v>177</v>
      </c>
      <c r="P77" s="234"/>
      <c r="Q77" s="338" t="s">
        <v>19</v>
      </c>
      <c r="R77" s="234"/>
      <c r="S77" s="234"/>
      <c r="T77" s="338">
        <v>0</v>
      </c>
      <c r="U77" s="338" t="s">
        <v>36</v>
      </c>
      <c r="V77" s="338" t="s">
        <v>37</v>
      </c>
      <c r="W77" s="338" t="s">
        <v>175</v>
      </c>
      <c r="X77" s="234"/>
      <c r="Y77" s="343" t="s">
        <v>176</v>
      </c>
      <c r="Z77" s="343" t="s">
        <v>176</v>
      </c>
      <c r="AA77" s="343" t="s">
        <v>176</v>
      </c>
      <c r="AB77" s="343" t="s">
        <v>176</v>
      </c>
      <c r="AC77" s="338" t="s">
        <v>46</v>
      </c>
      <c r="AD77" s="234"/>
      <c r="AE77" s="338" t="s">
        <v>48</v>
      </c>
      <c r="AF77" s="234"/>
      <c r="AG77" s="340" t="s">
        <v>25</v>
      </c>
      <c r="AH77" s="338" t="s">
        <v>177</v>
      </c>
      <c r="AI77" s="234"/>
      <c r="AJ77" s="338" t="s">
        <v>19</v>
      </c>
      <c r="AK77" s="234"/>
    </row>
    <row r="78" spans="1:37" x14ac:dyDescent="0.3">
      <c r="A78" s="45">
        <f t="shared" ref="A78:A97" si="46">A77+1</f>
        <v>1</v>
      </c>
      <c r="B78" s="45" t="str">
        <f t="shared" ref="B78:C97" si="47">B9</f>
        <v>12</v>
      </c>
      <c r="C78" s="45" t="str">
        <f t="shared" si="47"/>
        <v>Carmen Getsome</v>
      </c>
      <c r="D78" s="45">
        <f ca="1">IF($B78="","",SUMPRODUCT(--(Lineups!$G$4:$G$41=$B78),--(Lineups!$B$4:$B$41=""),Lineups!$AW$4:$AW$41))</f>
        <v>13</v>
      </c>
      <c r="F78" s="344">
        <f ca="1">IF($B78="","",SUMPRODUCT(--(Lineups!$G$4:$G$41=$B78),--(Lineups!$B$4:$B$41="X"),Lineups!$AW$4:$AW$41))</f>
        <v>0</v>
      </c>
      <c r="G78" s="344">
        <f ca="1">IF($B78="","",SUMPRODUCT(--(Lineups!$K$4:$K$41=$B78),Lineups!$AW$4:$AW$41))</f>
        <v>0</v>
      </c>
      <c r="H78" s="344">
        <f ca="1">IF($B78="","",SUMPRODUCT(--(Lineups!$O$4:$O$41=$B78),Lineups!$AW$4:$AW$41))</f>
        <v>0</v>
      </c>
      <c r="I78" s="344">
        <f ca="1">IF($B78="","",SUMPRODUCT(--(Lineups!$S$4:$S$41=$B78),Lineups!$AW$4:$AW$41))</f>
        <v>0</v>
      </c>
      <c r="J78" s="45">
        <f t="shared" ref="J78:J97" ca="1" si="48">IF(B78="","",SUM(F78:I78))</f>
        <v>0</v>
      </c>
      <c r="L78" s="45">
        <f t="shared" ref="L78:L97" ca="1" si="49">IF(B78="","",SUM(D78,J78))</f>
        <v>13</v>
      </c>
      <c r="O78" s="45">
        <f ca="1">IF($B78="","",(SUMPRODUCT(--(SK!$C$3:$C$78=$B78),SK!$E$3:$E$78)-(SUMPRODUCT(--(SK!$C$3:$C$78=$B78),SK!$F$3:$F$78))))</f>
        <v>0</v>
      </c>
      <c r="Q78" s="45">
        <f t="shared" ref="Q78:Q97" ca="1" si="50">IF(B78="","",SUM(L78,O78))</f>
        <v>13</v>
      </c>
      <c r="T78" s="45">
        <f t="shared" ref="T78:T97" si="51">T77+1</f>
        <v>1</v>
      </c>
      <c r="U78" s="45" t="str">
        <f t="shared" ref="U78:V97" si="52">U9</f>
        <v>112</v>
      </c>
      <c r="V78" s="45" t="str">
        <f t="shared" si="52"/>
        <v>Singapore Rogue</v>
      </c>
      <c r="W78" s="45">
        <f ca="1">IF($U78="","",SUMPRODUCT(--(Lineups!$AG$4:$AG$41=$U78),--(Lineups!$AB$4:$AB$41=""),Lineups!$W$4:$W$41))</f>
        <v>0</v>
      </c>
      <c r="Y78" s="344">
        <f ca="1">IF($U78="","",SUMPRODUCT(--(Lineups!$AG$4:$AG$41=$U78),--(Lineups!$AB$4:$AB$41="X"),Lineups!$W$4:$W$41))</f>
        <v>0</v>
      </c>
      <c r="Z78" s="344">
        <f ca="1">IF($U78="","",SUMPRODUCT(--(Lineups!$AK$4:$AK$41=$U78),Lineups!$W$4:$W$41))</f>
        <v>0</v>
      </c>
      <c r="AA78" s="344">
        <f ca="1">IF($U78="","",SUMPRODUCT(--(Lineups!$AO$4:$AO$41=$U78),Lineups!$W$4:$W$41))</f>
        <v>21</v>
      </c>
      <c r="AB78" s="344">
        <f ca="1">IF($U78="","",SUMPRODUCT(--(Lineups!$AS$4:$AS$41=$U78),Lineups!$W$4:$W$41))</f>
        <v>8</v>
      </c>
      <c r="AC78" s="45">
        <f t="shared" ref="AC78:AC97" ca="1" si="53">IF(U78="","",SUM(Y78:AB78))</f>
        <v>29</v>
      </c>
      <c r="AE78" s="45">
        <f t="shared" ref="AE78:AE97" ca="1" si="54">IF(U78="","",SUM(W78,AC78))</f>
        <v>29</v>
      </c>
      <c r="AH78" s="45">
        <f ca="1">IF($U78="","",SUMPRODUCT(--(Lineups!$AC$4:$AC$41=$U78),Lineups!$W$4:$W$41))</f>
        <v>0</v>
      </c>
      <c r="AJ78" s="45">
        <f t="shared" ref="AJ78:AJ97" ca="1" si="55">IF(U78="","",SUM(AE78,AH78))</f>
        <v>29</v>
      </c>
    </row>
    <row r="79" spans="1:37" x14ac:dyDescent="0.3">
      <c r="A79" s="333">
        <f t="shared" si="46"/>
        <v>2</v>
      </c>
      <c r="B79" s="333" t="str">
        <f t="shared" si="47"/>
        <v>123</v>
      </c>
      <c r="C79" s="333" t="str">
        <f t="shared" si="47"/>
        <v>Nelson</v>
      </c>
      <c r="D79" s="333">
        <f ca="1">IF($B79="","",SUMPRODUCT(--(Lineups!$G$4:$G$41=$B79),--(Lineups!$B$4:$B$41=""),Lineups!$AW$4:$AW$41))</f>
        <v>33</v>
      </c>
      <c r="F79" s="344">
        <f ca="1">IF($B79="","",SUMPRODUCT(--(Lineups!$G$4:$G$41=$B79),--(Lineups!$B$4:$B$41="X"),Lineups!$AW$4:$AW$41))</f>
        <v>0</v>
      </c>
      <c r="G79" s="344">
        <f ca="1">IF($B79="","",SUMPRODUCT(--(Lineups!$K$4:$K$41=$B79),Lineups!$AW$4:$AW$41))</f>
        <v>0</v>
      </c>
      <c r="H79" s="344">
        <f ca="1">IF($B79="","",SUMPRODUCT(--(Lineups!$O$4:$O$41=$B79),Lineups!$AW$4:$AW$41))</f>
        <v>0</v>
      </c>
      <c r="I79" s="344">
        <f ca="1">IF($B79="","",SUMPRODUCT(--(Lineups!$S$4:$S$41=$B79),Lineups!$AW$4:$AW$41))</f>
        <v>0</v>
      </c>
      <c r="J79" s="333">
        <f t="shared" ca="1" si="48"/>
        <v>0</v>
      </c>
      <c r="L79" s="333">
        <f t="shared" ca="1" si="49"/>
        <v>33</v>
      </c>
      <c r="O79" s="45">
        <f ca="1">IF($B79="","",(SUMPRODUCT(--(SK!$C$3:$C$78=$B79),SK!$E$3:$E$78)-(SUMPRODUCT(--(SK!$C$3:$C$78=$B79),SK!$F$3:$F$78))))</f>
        <v>0</v>
      </c>
      <c r="Q79" s="333">
        <f t="shared" ca="1" si="50"/>
        <v>33</v>
      </c>
      <c r="T79" s="333">
        <f t="shared" si="51"/>
        <v>2</v>
      </c>
      <c r="U79" s="333" t="str">
        <f t="shared" si="52"/>
        <v>1542</v>
      </c>
      <c r="V79" s="333" t="str">
        <f t="shared" si="52"/>
        <v>Mary Queen of Skates</v>
      </c>
      <c r="W79" s="333">
        <f ca="1">IF($U79="","",SUMPRODUCT(--(Lineups!$AG$4:$AG$41=$U79),--(Lineups!$AB$4:$AB$41=""),Lineups!$W$4:$W$41))</f>
        <v>0</v>
      </c>
      <c r="Y79" s="344">
        <f ca="1">IF($U79="","",SUMPRODUCT(--(Lineups!$AG$4:$AG$41=$U79),--(Lineups!$AB$4:$AB$41="X"),Lineups!$W$4:$W$41))</f>
        <v>0</v>
      </c>
      <c r="Z79" s="344">
        <f ca="1">IF($U79="","",SUMPRODUCT(--(Lineups!$AK$4:$AK$41=$U79),Lineups!$W$4:$W$41))</f>
        <v>19</v>
      </c>
      <c r="AA79" s="344">
        <f ca="1">IF($U79="","",SUMPRODUCT(--(Lineups!$AO$4:$AO$41=$U79),Lineups!$W$4:$W$41))</f>
        <v>0</v>
      </c>
      <c r="AB79" s="344">
        <f ca="1">IF($U79="","",SUMPRODUCT(--(Lineups!$AS$4:$AS$41=$U79),Lineups!$W$4:$W$41))</f>
        <v>0</v>
      </c>
      <c r="AC79" s="333">
        <f t="shared" ca="1" si="53"/>
        <v>19</v>
      </c>
      <c r="AE79" s="333">
        <f t="shared" ca="1" si="54"/>
        <v>19</v>
      </c>
      <c r="AH79" s="333">
        <f ca="1">IF($U79="","",SUMPRODUCT(--(Lineups!$AC$4:$AC$41=$U79),Lineups!$W$4:$W$41))</f>
        <v>0</v>
      </c>
      <c r="AJ79" s="333">
        <f t="shared" ca="1" si="55"/>
        <v>19</v>
      </c>
    </row>
    <row r="80" spans="1:37" x14ac:dyDescent="0.3">
      <c r="A80" s="45">
        <f t="shared" si="46"/>
        <v>3</v>
      </c>
      <c r="B80" s="45" t="str">
        <f t="shared" si="47"/>
        <v>14</v>
      </c>
      <c r="C80" s="45" t="str">
        <f t="shared" si="47"/>
        <v>Shorty Ounce</v>
      </c>
      <c r="D80" s="45">
        <f ca="1">IF($B80="","",SUMPRODUCT(--(Lineups!$G$4:$G$41=$B80),--(Lineups!$B$4:$B$41=""),Lineups!$AW$4:$AW$41))</f>
        <v>0</v>
      </c>
      <c r="F80" s="344">
        <f ca="1">IF($B80="","",SUMPRODUCT(--(Lineups!$G$4:$G$41=$B80),--(Lineups!$B$4:$B$41="X"),Lineups!$AW$4:$AW$41))</f>
        <v>0</v>
      </c>
      <c r="G80" s="344">
        <f ca="1">IF($B80="","",SUMPRODUCT(--(Lineups!$K$4:$K$41=$B80),Lineups!$AW$4:$AW$41))</f>
        <v>12</v>
      </c>
      <c r="H80" s="344">
        <f ca="1">IF($B80="","",SUMPRODUCT(--(Lineups!$O$4:$O$41=$B80),Lineups!$AW$4:$AW$41))</f>
        <v>2</v>
      </c>
      <c r="I80" s="344">
        <f ca="1">IF($B80="","",SUMPRODUCT(--(Lineups!$S$4:$S$41=$B80),Lineups!$AW$4:$AW$41))</f>
        <v>14</v>
      </c>
      <c r="J80" s="45">
        <f t="shared" ca="1" si="48"/>
        <v>28</v>
      </c>
      <c r="L80" s="45">
        <f t="shared" ca="1" si="49"/>
        <v>28</v>
      </c>
      <c r="O80" s="45">
        <f ca="1">IF($B80="","",(SUMPRODUCT(--(SK!$C$3:$C$78=$B80),SK!$E$3:$E$78)-(SUMPRODUCT(--(SK!$C$3:$C$78=$B80),SK!$F$3:$F$78))))</f>
        <v>0</v>
      </c>
      <c r="Q80" s="45">
        <f t="shared" ca="1" si="50"/>
        <v>28</v>
      </c>
      <c r="T80" s="45">
        <f t="shared" si="51"/>
        <v>3</v>
      </c>
      <c r="U80" s="45" t="str">
        <f t="shared" si="52"/>
        <v>16</v>
      </c>
      <c r="V80" s="45" t="str">
        <f t="shared" si="52"/>
        <v>Mistilla</v>
      </c>
      <c r="W80" s="45">
        <f ca="1">IF($U80="","",SUMPRODUCT(--(Lineups!$AG$4:$AG$41=$U80),--(Lineups!$AB$4:$AB$41=""),Lineups!$W$4:$W$41))</f>
        <v>30</v>
      </c>
      <c r="Y80" s="344">
        <f ca="1">IF($U80="","",SUMPRODUCT(--(Lineups!$AG$4:$AG$41=$U80),--(Lineups!$AB$4:$AB$41="X"),Lineups!$W$4:$W$41))</f>
        <v>20</v>
      </c>
      <c r="Z80" s="344">
        <f ca="1">IF($U80="","",SUMPRODUCT(--(Lineups!$AK$4:$AK$41=$U80),Lineups!$W$4:$W$41))</f>
        <v>24</v>
      </c>
      <c r="AA80" s="344">
        <f ca="1">IF($U80="","",SUMPRODUCT(--(Lineups!$AO$4:$AO$41=$U80),Lineups!$W$4:$W$41))</f>
        <v>0</v>
      </c>
      <c r="AB80" s="344">
        <f ca="1">IF($U80="","",SUMPRODUCT(--(Lineups!$AS$4:$AS$41=$U80),Lineups!$W$4:$W$41))</f>
        <v>0</v>
      </c>
      <c r="AC80" s="45">
        <f t="shared" ca="1" si="53"/>
        <v>44</v>
      </c>
      <c r="AE80" s="45">
        <f t="shared" ca="1" si="54"/>
        <v>74</v>
      </c>
      <c r="AH80" s="45">
        <f ca="1">IF($U80="","",SUMPRODUCT(--(Lineups!$AC$4:$AC$41=$U80),Lineups!$W$4:$W$41))</f>
        <v>0</v>
      </c>
      <c r="AJ80" s="45">
        <f t="shared" ca="1" si="55"/>
        <v>74</v>
      </c>
    </row>
    <row r="81" spans="1:36" x14ac:dyDescent="0.3">
      <c r="A81" s="333">
        <f t="shared" si="46"/>
        <v>4</v>
      </c>
      <c r="B81" s="333" t="str">
        <f t="shared" si="47"/>
        <v>1618</v>
      </c>
      <c r="C81" s="333" t="str">
        <f t="shared" si="47"/>
        <v>Sintripital Force</v>
      </c>
      <c r="D81" s="333">
        <f ca="1">IF($B81="","",SUMPRODUCT(--(Lineups!$G$4:$G$41=$B81),--(Lineups!$B$4:$B$41=""),Lineups!$AW$4:$AW$41))</f>
        <v>0</v>
      </c>
      <c r="F81" s="344">
        <f ca="1">IF($B81="","",SUMPRODUCT(--(Lineups!$G$4:$G$41=$B81),--(Lineups!$B$4:$B$41="X"),Lineups!$AW$4:$AW$41))</f>
        <v>0</v>
      </c>
      <c r="G81" s="344">
        <f ca="1">IF($B81="","",SUMPRODUCT(--(Lineups!$K$4:$K$41=$B81),Lineups!$AW$4:$AW$41))</f>
        <v>0</v>
      </c>
      <c r="H81" s="344">
        <f ca="1">IF($B81="","",SUMPRODUCT(--(Lineups!$O$4:$O$41=$B81),Lineups!$AW$4:$AW$41))</f>
        <v>0</v>
      </c>
      <c r="I81" s="344">
        <f ca="1">IF($B81="","",SUMPRODUCT(--(Lineups!$S$4:$S$41=$B81),Lineups!$AW$4:$AW$41))</f>
        <v>0</v>
      </c>
      <c r="J81" s="333">
        <f t="shared" ca="1" si="48"/>
        <v>0</v>
      </c>
      <c r="L81" s="333">
        <f t="shared" ca="1" si="49"/>
        <v>0</v>
      </c>
      <c r="O81" s="45">
        <f ca="1">IF($B81="","",(SUMPRODUCT(--(SK!$C$3:$C$78=$B81),SK!$E$3:$E$78)-(SUMPRODUCT(--(SK!$C$3:$C$78=$B81),SK!$F$3:$F$78))))</f>
        <v>6</v>
      </c>
      <c r="Q81" s="333">
        <f t="shared" ca="1" si="50"/>
        <v>6</v>
      </c>
      <c r="T81" s="333">
        <f t="shared" si="51"/>
        <v>4</v>
      </c>
      <c r="U81" s="333" t="str">
        <f t="shared" si="52"/>
        <v>19</v>
      </c>
      <c r="V81" s="333" t="str">
        <f t="shared" si="52"/>
        <v>Betty Watchett</v>
      </c>
      <c r="W81" s="333">
        <f ca="1">IF($U81="","",SUMPRODUCT(--(Lineups!$AG$4:$AG$41=$U81),--(Lineups!$AB$4:$AB$41=""),Lineups!$W$4:$W$41))</f>
        <v>53</v>
      </c>
      <c r="Y81" s="344">
        <f ca="1">IF($U81="","",SUMPRODUCT(--(Lineups!$AG$4:$AG$41=$U81),--(Lineups!$AB$4:$AB$41="X"),Lineups!$W$4:$W$41))</f>
        <v>0</v>
      </c>
      <c r="Z81" s="344">
        <f ca="1">IF($U81="","",SUMPRODUCT(--(Lineups!$AK$4:$AK$41=$U81),Lineups!$W$4:$W$41))</f>
        <v>0</v>
      </c>
      <c r="AA81" s="344">
        <f ca="1">IF($U81="","",SUMPRODUCT(--(Lineups!$AO$4:$AO$41=$U81),Lineups!$W$4:$W$41))</f>
        <v>0</v>
      </c>
      <c r="AB81" s="344">
        <f ca="1">IF($U81="","",SUMPRODUCT(--(Lineups!$AS$4:$AS$41=$U81),Lineups!$W$4:$W$41))</f>
        <v>0</v>
      </c>
      <c r="AC81" s="333">
        <f t="shared" ca="1" si="53"/>
        <v>0</v>
      </c>
      <c r="AE81" s="333">
        <f t="shared" ca="1" si="54"/>
        <v>53</v>
      </c>
      <c r="AH81" s="333">
        <f ca="1">IF($U81="","",SUMPRODUCT(--(Lineups!$AC$4:$AC$41=$U81),Lineups!$W$4:$W$41))</f>
        <v>0</v>
      </c>
      <c r="AJ81" s="333">
        <f t="shared" ca="1" si="55"/>
        <v>53</v>
      </c>
    </row>
    <row r="82" spans="1:36" x14ac:dyDescent="0.3">
      <c r="A82" s="45">
        <f t="shared" si="46"/>
        <v>5</v>
      </c>
      <c r="B82" s="45" t="str">
        <f t="shared" si="47"/>
        <v>22</v>
      </c>
      <c r="C82" s="45" t="str">
        <f t="shared" si="47"/>
        <v>Sami Automatic</v>
      </c>
      <c r="D82" s="45">
        <f ca="1">IF($B82="","",SUMPRODUCT(--(Lineups!$G$4:$G$41=$B82),--(Lineups!$B$4:$B$41=""),Lineups!$AW$4:$AW$41))</f>
        <v>0</v>
      </c>
      <c r="F82" s="344">
        <f ca="1">IF($B82="","",SUMPRODUCT(--(Lineups!$G$4:$G$41=$B82),--(Lineups!$B$4:$B$41="X"),Lineups!$AW$4:$AW$41))</f>
        <v>0</v>
      </c>
      <c r="G82" s="344">
        <f ca="1">IF($B82="","",SUMPRODUCT(--(Lineups!$K$4:$K$41=$B82),Lineups!$AW$4:$AW$41))</f>
        <v>3</v>
      </c>
      <c r="H82" s="344">
        <f ca="1">IF($B82="","",SUMPRODUCT(--(Lineups!$O$4:$O$41=$B82),Lineups!$AW$4:$AW$41))</f>
        <v>2</v>
      </c>
      <c r="I82" s="344">
        <f ca="1">IF($B82="","",SUMPRODUCT(--(Lineups!$S$4:$S$41=$B82),Lineups!$AW$4:$AW$41))</f>
        <v>0</v>
      </c>
      <c r="J82" s="45">
        <f t="shared" ca="1" si="48"/>
        <v>5</v>
      </c>
      <c r="L82" s="45">
        <f t="shared" ca="1" si="49"/>
        <v>5</v>
      </c>
      <c r="O82" s="45">
        <f ca="1">IF($B82="","",(SUMPRODUCT(--(SK!$C$3:$C$78=$B82),SK!$E$3:$E$78)-(SUMPRODUCT(--(SK!$C$3:$C$78=$B82),SK!$F$3:$F$78))))</f>
        <v>0</v>
      </c>
      <c r="Q82" s="45">
        <f t="shared" ca="1" si="50"/>
        <v>5</v>
      </c>
      <c r="T82" s="45">
        <f t="shared" si="51"/>
        <v>5</v>
      </c>
      <c r="U82" s="45" t="str">
        <f t="shared" si="52"/>
        <v>2000</v>
      </c>
      <c r="V82" s="45" t="str">
        <f t="shared" si="52"/>
        <v>Lisa Lava</v>
      </c>
      <c r="W82" s="45">
        <f ca="1">IF($U82="","",SUMPRODUCT(--(Lineups!$AG$4:$AG$41=$U82),--(Lineups!$AB$4:$AB$41=""),Lineups!$W$4:$W$41))</f>
        <v>0</v>
      </c>
      <c r="Y82" s="344">
        <f ca="1">IF($U82="","",SUMPRODUCT(--(Lineups!$AG$4:$AG$41=$U82),--(Lineups!$AB$4:$AB$41="X"),Lineups!$W$4:$W$41))</f>
        <v>0</v>
      </c>
      <c r="Z82" s="344">
        <f ca="1">IF($U82="","",SUMPRODUCT(--(Lineups!$AK$4:$AK$41=$U82),Lineups!$W$4:$W$41))</f>
        <v>24</v>
      </c>
      <c r="AA82" s="344">
        <f ca="1">IF($U82="","",SUMPRODUCT(--(Lineups!$AO$4:$AO$41=$U82),Lineups!$W$4:$W$41))</f>
        <v>0</v>
      </c>
      <c r="AB82" s="344">
        <f ca="1">IF($U82="","",SUMPRODUCT(--(Lineups!$AS$4:$AS$41=$U82),Lineups!$W$4:$W$41))</f>
        <v>1</v>
      </c>
      <c r="AC82" s="45">
        <f t="shared" ca="1" si="53"/>
        <v>25</v>
      </c>
      <c r="AE82" s="45">
        <f t="shared" ca="1" si="54"/>
        <v>25</v>
      </c>
      <c r="AH82" s="45">
        <f ca="1">IF($U82="","",SUMPRODUCT(--(Lineups!$AC$4:$AC$41=$U82),Lineups!$W$4:$W$41))</f>
        <v>0</v>
      </c>
      <c r="AJ82" s="45">
        <f t="shared" ca="1" si="55"/>
        <v>25</v>
      </c>
    </row>
    <row r="83" spans="1:36" x14ac:dyDescent="0.3">
      <c r="A83" s="333">
        <f t="shared" si="46"/>
        <v>6</v>
      </c>
      <c r="B83" s="333" t="str">
        <f t="shared" si="47"/>
        <v>23</v>
      </c>
      <c r="C83" s="333" t="str">
        <f t="shared" si="47"/>
        <v>LeBrawn Maimes</v>
      </c>
      <c r="D83" s="333">
        <f ca="1">IF($B83="","",SUMPRODUCT(--(Lineups!$G$4:$G$41=$B83),--(Lineups!$B$4:$B$41=""),Lineups!$AW$4:$AW$41))</f>
        <v>0</v>
      </c>
      <c r="F83" s="344">
        <f ca="1">IF($B83="","",SUMPRODUCT(--(Lineups!$G$4:$G$41=$B83),--(Lineups!$B$4:$B$41="X"),Lineups!$AW$4:$AW$41))</f>
        <v>0</v>
      </c>
      <c r="G83" s="344">
        <f ca="1">IF($B83="","",SUMPRODUCT(--(Lineups!$K$4:$K$41=$B83),Lineups!$AW$4:$AW$41))</f>
        <v>0</v>
      </c>
      <c r="H83" s="344">
        <f ca="1">IF($B83="","",SUMPRODUCT(--(Lineups!$O$4:$O$41=$B83),Lineups!$AW$4:$AW$41))</f>
        <v>0</v>
      </c>
      <c r="I83" s="344">
        <f ca="1">IF($B83="","",SUMPRODUCT(--(Lineups!$S$4:$S$41=$B83),Lineups!$AW$4:$AW$41))</f>
        <v>0</v>
      </c>
      <c r="J83" s="333">
        <f t="shared" ca="1" si="48"/>
        <v>0</v>
      </c>
      <c r="L83" s="333">
        <f t="shared" ca="1" si="49"/>
        <v>0</v>
      </c>
      <c r="O83" s="45">
        <f ca="1">IF($B83="","",(SUMPRODUCT(--(SK!$C$3:$C$78=$B83),SK!$E$3:$E$78)-(SUMPRODUCT(--(SK!$C$3:$C$78=$B83),SK!$F$3:$F$78))))</f>
        <v>13</v>
      </c>
      <c r="Q83" s="333">
        <f t="shared" ca="1" si="50"/>
        <v>13</v>
      </c>
      <c r="T83" s="333">
        <f t="shared" si="51"/>
        <v>6</v>
      </c>
      <c r="U83" s="333" t="str">
        <f t="shared" si="52"/>
        <v>201</v>
      </c>
      <c r="V83" s="333" t="str">
        <f t="shared" si="52"/>
        <v>Dutch Destroyer</v>
      </c>
      <c r="W83" s="333">
        <f ca="1">IF($U83="","",SUMPRODUCT(--(Lineups!$AG$4:$AG$41=$U83),--(Lineups!$AB$4:$AB$41=""),Lineups!$W$4:$W$41))</f>
        <v>0</v>
      </c>
      <c r="Y83" s="344">
        <f ca="1">IF($U83="","",SUMPRODUCT(--(Lineups!$AG$4:$AG$41=$U83),--(Lineups!$AB$4:$AB$41="X"),Lineups!$W$4:$W$41))</f>
        <v>0</v>
      </c>
      <c r="Z83" s="344">
        <f ca="1">IF($U83="","",SUMPRODUCT(--(Lineups!$AK$4:$AK$41=$U83),Lineups!$W$4:$W$41))</f>
        <v>5</v>
      </c>
      <c r="AA83" s="344">
        <f ca="1">IF($U83="","",SUMPRODUCT(--(Lineups!$AO$4:$AO$41=$U83),Lineups!$W$4:$W$41))</f>
        <v>19</v>
      </c>
      <c r="AB83" s="344">
        <f ca="1">IF($U83="","",SUMPRODUCT(--(Lineups!$AS$4:$AS$41=$U83),Lineups!$W$4:$W$41))</f>
        <v>7</v>
      </c>
      <c r="AC83" s="333">
        <f t="shared" ca="1" si="53"/>
        <v>31</v>
      </c>
      <c r="AE83" s="333">
        <f t="shared" ca="1" si="54"/>
        <v>31</v>
      </c>
      <c r="AH83" s="333">
        <f ca="1">IF($U83="","",SUMPRODUCT(--(Lineups!$AC$4:$AC$41=$U83),Lineups!$W$4:$W$41))</f>
        <v>0</v>
      </c>
      <c r="AJ83" s="333">
        <f t="shared" ca="1" si="55"/>
        <v>31</v>
      </c>
    </row>
    <row r="84" spans="1:36" x14ac:dyDescent="0.3">
      <c r="A84" s="45">
        <f t="shared" si="46"/>
        <v>7</v>
      </c>
      <c r="B84" s="45" t="str">
        <f t="shared" si="47"/>
        <v>321</v>
      </c>
      <c r="C84" s="45" t="str">
        <f t="shared" si="47"/>
        <v>Missile America</v>
      </c>
      <c r="D84" s="45">
        <f ca="1">IF($B84="","",SUMPRODUCT(--(Lineups!$G$4:$G$41=$B84),--(Lineups!$B$4:$B$41=""),Lineups!$AW$4:$AW$41))</f>
        <v>0</v>
      </c>
      <c r="F84" s="344">
        <f ca="1">IF($B84="","",SUMPRODUCT(--(Lineups!$G$4:$G$41=$B84),--(Lineups!$B$4:$B$41="X"),Lineups!$AW$4:$AW$41))</f>
        <v>0</v>
      </c>
      <c r="G84" s="344">
        <f ca="1">IF($B84="","",SUMPRODUCT(--(Lineups!$K$4:$K$41=$B84),Lineups!$AW$4:$AW$41))</f>
        <v>5</v>
      </c>
      <c r="H84" s="344">
        <f ca="1">IF($B84="","",SUMPRODUCT(--(Lineups!$O$4:$O$41=$B84),Lineups!$AW$4:$AW$41))</f>
        <v>0</v>
      </c>
      <c r="I84" s="344">
        <f ca="1">IF($B84="","",SUMPRODUCT(--(Lineups!$S$4:$S$41=$B84),Lineups!$AW$4:$AW$41))</f>
        <v>3</v>
      </c>
      <c r="J84" s="45">
        <f t="shared" ca="1" si="48"/>
        <v>8</v>
      </c>
      <c r="L84" s="45">
        <f t="shared" ca="1" si="49"/>
        <v>8</v>
      </c>
      <c r="O84" s="45">
        <f ca="1">IF($B84="","",(SUMPRODUCT(--(SK!$C$3:$C$78=$B84),SK!$E$3:$E$78)-(SUMPRODUCT(--(SK!$C$3:$C$78=$B84),SK!$F$3:$F$78))))</f>
        <v>0</v>
      </c>
      <c r="Q84" s="45">
        <f t="shared" ca="1" si="50"/>
        <v>8</v>
      </c>
      <c r="T84" s="45">
        <f t="shared" si="51"/>
        <v>7</v>
      </c>
      <c r="U84" s="45" t="str">
        <f t="shared" si="52"/>
        <v>21</v>
      </c>
      <c r="V84" s="45" t="str">
        <f t="shared" si="52"/>
        <v>Jekyll &amp; Heidi</v>
      </c>
      <c r="W84" s="45">
        <f ca="1">IF($U84="","",SUMPRODUCT(--(Lineups!$AG$4:$AG$41=$U84),--(Lineups!$AB$4:$AB$41=""),Lineups!$W$4:$W$41))</f>
        <v>1</v>
      </c>
      <c r="Y84" s="344">
        <f ca="1">IF($U84="","",SUMPRODUCT(--(Lineups!$AG$4:$AG$41=$U84),--(Lineups!$AB$4:$AB$41="X"),Lineups!$W$4:$W$41))</f>
        <v>0</v>
      </c>
      <c r="Z84" s="344">
        <f ca="1">IF($U84="","",SUMPRODUCT(--(Lineups!$AK$4:$AK$41=$U84),Lineups!$W$4:$W$41))</f>
        <v>0</v>
      </c>
      <c r="AA84" s="344">
        <f ca="1">IF($U84="","",SUMPRODUCT(--(Lineups!$AO$4:$AO$41=$U84),Lineups!$W$4:$W$41))</f>
        <v>7</v>
      </c>
      <c r="AB84" s="344">
        <f ca="1">IF($U84="","",SUMPRODUCT(--(Lineups!$AS$4:$AS$41=$U84),Lineups!$W$4:$W$41))</f>
        <v>63</v>
      </c>
      <c r="AC84" s="45">
        <f t="shared" ca="1" si="53"/>
        <v>70</v>
      </c>
      <c r="AE84" s="45">
        <f t="shared" ca="1" si="54"/>
        <v>71</v>
      </c>
      <c r="AH84" s="45">
        <f ca="1">IF($U84="","",SUMPRODUCT(--(Lineups!$AC$4:$AC$41=$U84),Lineups!$W$4:$W$41))</f>
        <v>0</v>
      </c>
      <c r="AJ84" s="45">
        <f t="shared" ca="1" si="55"/>
        <v>71</v>
      </c>
    </row>
    <row r="85" spans="1:36" x14ac:dyDescent="0.3">
      <c r="A85" s="333">
        <f t="shared" si="46"/>
        <v>8</v>
      </c>
      <c r="B85" s="333" t="str">
        <f t="shared" si="47"/>
        <v>4</v>
      </c>
      <c r="C85" s="333" t="str">
        <f t="shared" si="47"/>
        <v>Belle Tolls</v>
      </c>
      <c r="D85" s="333">
        <f ca="1">IF($B85="","",SUMPRODUCT(--(Lineups!$G$4:$G$41=$B85),--(Lineups!$B$4:$B$41=""),Lineups!$AW$4:$AW$41))</f>
        <v>0</v>
      </c>
      <c r="F85" s="344">
        <f ca="1">IF($B85="","",SUMPRODUCT(--(Lineups!$G$4:$G$41=$B85),--(Lineups!$B$4:$B$41="X"),Lineups!$AW$4:$AW$41))</f>
        <v>0</v>
      </c>
      <c r="G85" s="344">
        <f ca="1">IF($B85="","",SUMPRODUCT(--(Lineups!$K$4:$K$41=$B85),Lineups!$AW$4:$AW$41))</f>
        <v>0</v>
      </c>
      <c r="H85" s="344">
        <f ca="1">IF($B85="","",SUMPRODUCT(--(Lineups!$O$4:$O$41=$B85),Lineups!$AW$4:$AW$41))</f>
        <v>13</v>
      </c>
      <c r="I85" s="344">
        <f ca="1">IF($B85="","",SUMPRODUCT(--(Lineups!$S$4:$S$41=$B85),Lineups!$AW$4:$AW$41))</f>
        <v>2</v>
      </c>
      <c r="J85" s="333">
        <f t="shared" ca="1" si="48"/>
        <v>15</v>
      </c>
      <c r="L85" s="333">
        <f t="shared" ca="1" si="49"/>
        <v>15</v>
      </c>
      <c r="O85" s="45">
        <f ca="1">IF($B85="","",(SUMPRODUCT(--(SK!$C$3:$C$78=$B85),SK!$E$3:$E$78)-(SUMPRODUCT(--(SK!$C$3:$C$78=$B85),SK!$F$3:$F$78))))</f>
        <v>0</v>
      </c>
      <c r="Q85" s="333">
        <f t="shared" ca="1" si="50"/>
        <v>15</v>
      </c>
      <c r="T85" s="333">
        <f t="shared" si="51"/>
        <v>8</v>
      </c>
      <c r="U85" s="333" t="str">
        <f t="shared" si="52"/>
        <v>22</v>
      </c>
      <c r="V85" s="333" t="str">
        <f t="shared" si="52"/>
        <v>Freight Train</v>
      </c>
      <c r="W85" s="333">
        <f ca="1">IF($U85="","",SUMPRODUCT(--(Lineups!$AG$4:$AG$41=$U85),--(Lineups!$AB$4:$AB$41=""),Lineups!$W$4:$W$41))</f>
        <v>0</v>
      </c>
      <c r="Y85" s="344">
        <f ca="1">IF($U85="","",SUMPRODUCT(--(Lineups!$AG$4:$AG$41=$U85),--(Lineups!$AB$4:$AB$41="X"),Lineups!$W$4:$W$41))</f>
        <v>0</v>
      </c>
      <c r="Z85" s="344">
        <f ca="1">IF($U85="","",SUMPRODUCT(--(Lineups!$AK$4:$AK$41=$U85),Lineups!$W$4:$W$41))</f>
        <v>0</v>
      </c>
      <c r="AA85" s="344">
        <f ca="1">IF($U85="","",SUMPRODUCT(--(Lineups!$AO$4:$AO$41=$U85),Lineups!$W$4:$W$41))</f>
        <v>0</v>
      </c>
      <c r="AB85" s="344">
        <f ca="1">IF($U85="","",SUMPRODUCT(--(Lineups!$AS$4:$AS$41=$U85),Lineups!$W$4:$W$41))</f>
        <v>0</v>
      </c>
      <c r="AC85" s="333">
        <f t="shared" ca="1" si="53"/>
        <v>0</v>
      </c>
      <c r="AE85" s="333">
        <f t="shared" ca="1" si="54"/>
        <v>0</v>
      </c>
      <c r="AH85" s="333">
        <f ca="1">IF($U85="","",SUMPRODUCT(--(Lineups!$AC$4:$AC$41=$U85),Lineups!$W$4:$W$41))</f>
        <v>29</v>
      </c>
      <c r="AJ85" s="333">
        <f t="shared" ca="1" si="55"/>
        <v>29</v>
      </c>
    </row>
    <row r="86" spans="1:36" x14ac:dyDescent="0.3">
      <c r="A86" s="45">
        <f t="shared" si="46"/>
        <v>9</v>
      </c>
      <c r="B86" s="45" t="str">
        <f t="shared" si="47"/>
        <v>505</v>
      </c>
      <c r="C86" s="45" t="str">
        <f t="shared" si="47"/>
        <v>Teddy Rupp</v>
      </c>
      <c r="D86" s="45">
        <f ca="1">IF($B86="","",SUMPRODUCT(--(Lineups!$G$4:$G$41=$B86),--(Lineups!$B$4:$B$41=""),Lineups!$AW$4:$AW$41))</f>
        <v>0</v>
      </c>
      <c r="F86" s="344">
        <f ca="1">IF($B86="","",SUMPRODUCT(--(Lineups!$G$4:$G$41=$B86),--(Lineups!$B$4:$B$41="X"),Lineups!$AW$4:$AW$41))</f>
        <v>0</v>
      </c>
      <c r="G86" s="344">
        <f ca="1">IF($B86="","",SUMPRODUCT(--(Lineups!$K$4:$K$41=$B86),Lineups!$AW$4:$AW$41))</f>
        <v>3</v>
      </c>
      <c r="H86" s="344">
        <f ca="1">IF($B86="","",SUMPRODUCT(--(Lineups!$O$4:$O$41=$B86),Lineups!$AW$4:$AW$41))</f>
        <v>5</v>
      </c>
      <c r="I86" s="344">
        <f ca="1">IF($B86="","",SUMPRODUCT(--(Lineups!$S$4:$S$41=$B86),Lineups!$AW$4:$AW$41))</f>
        <v>15</v>
      </c>
      <c r="J86" s="45">
        <f t="shared" ca="1" si="48"/>
        <v>23</v>
      </c>
      <c r="L86" s="45">
        <f t="shared" ca="1" si="49"/>
        <v>23</v>
      </c>
      <c r="O86" s="45">
        <f ca="1">IF($B86="","",(SUMPRODUCT(--(SK!$C$3:$C$78=$B86),SK!$E$3:$E$78)-(SUMPRODUCT(--(SK!$C$3:$C$78=$B86),SK!$F$3:$F$78))))</f>
        <v>0</v>
      </c>
      <c r="Q86" s="45">
        <f t="shared" ca="1" si="50"/>
        <v>23</v>
      </c>
      <c r="T86" s="45">
        <f t="shared" si="51"/>
        <v>9</v>
      </c>
      <c r="U86" s="45" t="str">
        <f t="shared" si="52"/>
        <v>312</v>
      </c>
      <c r="V86" s="45" t="str">
        <f t="shared" si="52"/>
        <v>2x Force</v>
      </c>
      <c r="W86" s="45">
        <f ca="1">IF($U86="","",SUMPRODUCT(--(Lineups!$AG$4:$AG$41=$U86),--(Lineups!$AB$4:$AB$41=""),Lineups!$W$4:$W$41))</f>
        <v>0</v>
      </c>
      <c r="Y86" s="344">
        <f ca="1">IF($U86="","",SUMPRODUCT(--(Lineups!$AG$4:$AG$41=$U86),--(Lineups!$AB$4:$AB$41="X"),Lineups!$W$4:$W$41))</f>
        <v>0</v>
      </c>
      <c r="Z86" s="344">
        <f ca="1">IF($U86="","",SUMPRODUCT(--(Lineups!$AK$4:$AK$41=$U86),Lineups!$W$4:$W$41))</f>
        <v>0</v>
      </c>
      <c r="AA86" s="344">
        <f ca="1">IF($U86="","",SUMPRODUCT(--(Lineups!$AO$4:$AO$41=$U86),Lineups!$W$4:$W$41))</f>
        <v>12</v>
      </c>
      <c r="AB86" s="344">
        <f ca="1">IF($U86="","",SUMPRODUCT(--(Lineups!$AS$4:$AS$41=$U86),Lineups!$W$4:$W$41))</f>
        <v>21</v>
      </c>
      <c r="AC86" s="45">
        <f t="shared" ca="1" si="53"/>
        <v>33</v>
      </c>
      <c r="AE86" s="45">
        <f t="shared" ca="1" si="54"/>
        <v>33</v>
      </c>
      <c r="AH86" s="45">
        <f ca="1">IF($U86="","",SUMPRODUCT(--(Lineups!$AC$4:$AC$41=$U86),Lineups!$W$4:$W$41))</f>
        <v>0</v>
      </c>
      <c r="AJ86" s="45">
        <f t="shared" ca="1" si="55"/>
        <v>33</v>
      </c>
    </row>
    <row r="87" spans="1:36" x14ac:dyDescent="0.3">
      <c r="A87" s="333">
        <f t="shared" si="46"/>
        <v>10</v>
      </c>
      <c r="B87" s="333" t="str">
        <f t="shared" si="47"/>
        <v>53</v>
      </c>
      <c r="C87" s="333" t="str">
        <f t="shared" si="47"/>
        <v>Raven Seaward</v>
      </c>
      <c r="D87" s="333">
        <f ca="1">IF($B87="","",SUMPRODUCT(--(Lineups!$G$4:$G$41=$B87),--(Lineups!$B$4:$B$41=""),Lineups!$AW$4:$AW$41))</f>
        <v>0</v>
      </c>
      <c r="F87" s="344">
        <f ca="1">IF($B87="","",SUMPRODUCT(--(Lineups!$G$4:$G$41=$B87),--(Lineups!$B$4:$B$41="X"),Lineups!$AW$4:$AW$41))</f>
        <v>0</v>
      </c>
      <c r="G87" s="344">
        <f ca="1">IF($B87="","",SUMPRODUCT(--(Lineups!$K$4:$K$41=$B87),Lineups!$AW$4:$AW$41))</f>
        <v>6</v>
      </c>
      <c r="H87" s="344">
        <f ca="1">IF($B87="","",SUMPRODUCT(--(Lineups!$O$4:$O$41=$B87),Lineups!$AW$4:$AW$41))</f>
        <v>5</v>
      </c>
      <c r="I87" s="344">
        <f ca="1">IF($B87="","",SUMPRODUCT(--(Lineups!$S$4:$S$41=$B87),Lineups!$AW$4:$AW$41))</f>
        <v>10</v>
      </c>
      <c r="J87" s="333">
        <f t="shared" ca="1" si="48"/>
        <v>21</v>
      </c>
      <c r="L87" s="333">
        <f t="shared" ca="1" si="49"/>
        <v>21</v>
      </c>
      <c r="O87" s="45">
        <f ca="1">IF($B87="","",(SUMPRODUCT(--(SK!$C$3:$C$78=$B87),SK!$E$3:$E$78)-(SUMPRODUCT(--(SK!$C$3:$C$78=$B87),SK!$F$3:$F$78))))</f>
        <v>0</v>
      </c>
      <c r="Q87" s="333">
        <f t="shared" ca="1" si="50"/>
        <v>21</v>
      </c>
      <c r="T87" s="333">
        <f t="shared" si="51"/>
        <v>10</v>
      </c>
      <c r="U87" s="333" t="str">
        <f t="shared" si="52"/>
        <v>51</v>
      </c>
      <c r="V87" s="333" t="str">
        <f t="shared" si="52"/>
        <v>Bustin’ Beaver</v>
      </c>
      <c r="W87" s="333">
        <f ca="1">IF($U87="","",SUMPRODUCT(--(Lineups!$AG$4:$AG$41=$U87),--(Lineups!$AB$4:$AB$41=""),Lineups!$W$4:$W$41))</f>
        <v>0</v>
      </c>
      <c r="Y87" s="344">
        <f ca="1">IF($U87="","",SUMPRODUCT(--(Lineups!$AG$4:$AG$41=$U87),--(Lineups!$AB$4:$AB$41="X"),Lineups!$W$4:$W$41))</f>
        <v>0</v>
      </c>
      <c r="Z87" s="344">
        <f ca="1">IF($U87="","",SUMPRODUCT(--(Lineups!$AK$4:$AK$41=$U87),Lineups!$W$4:$W$41))</f>
        <v>0</v>
      </c>
      <c r="AA87" s="344">
        <f ca="1">IF($U87="","",SUMPRODUCT(--(Lineups!$AO$4:$AO$41=$U87),Lineups!$W$4:$W$41))</f>
        <v>4</v>
      </c>
      <c r="AB87" s="344">
        <f ca="1">IF($U87="","",SUMPRODUCT(--(Lineups!$AS$4:$AS$41=$U87),Lineups!$W$4:$W$41))</f>
        <v>0</v>
      </c>
      <c r="AC87" s="333">
        <f t="shared" ca="1" si="53"/>
        <v>4</v>
      </c>
      <c r="AE87" s="333">
        <f t="shared" ca="1" si="54"/>
        <v>4</v>
      </c>
      <c r="AH87" s="333">
        <f ca="1">IF($U87="","",SUMPRODUCT(--(Lineups!$AC$4:$AC$41=$U87),Lineups!$W$4:$W$41))</f>
        <v>0</v>
      </c>
      <c r="AJ87" s="333">
        <f t="shared" ca="1" si="55"/>
        <v>4</v>
      </c>
    </row>
    <row r="88" spans="1:36" x14ac:dyDescent="0.3">
      <c r="A88" s="45">
        <f t="shared" si="46"/>
        <v>11</v>
      </c>
      <c r="B88" s="45" t="str">
        <f t="shared" si="47"/>
        <v>761</v>
      </c>
      <c r="C88" s="45" t="str">
        <f t="shared" si="47"/>
        <v>Rawkhell SqWelch</v>
      </c>
      <c r="D88" s="45">
        <f ca="1">IF($B88="","",SUMPRODUCT(--(Lineups!$G$4:$G$41=$B88),--(Lineups!$B$4:$B$41=""),Lineups!$AW$4:$AW$41))</f>
        <v>0</v>
      </c>
      <c r="F88" s="344">
        <f ca="1">IF($B88="","",SUMPRODUCT(--(Lineups!$G$4:$G$41=$B88),--(Lineups!$B$4:$B$41="X"),Lineups!$AW$4:$AW$41))</f>
        <v>0</v>
      </c>
      <c r="G88" s="344">
        <f ca="1">IF($B88="","",SUMPRODUCT(--(Lineups!$K$4:$K$41=$B88),Lineups!$AW$4:$AW$41))</f>
        <v>0</v>
      </c>
      <c r="H88" s="344">
        <f ca="1">IF($B88="","",SUMPRODUCT(--(Lineups!$O$4:$O$41=$B88),Lineups!$AW$4:$AW$41))</f>
        <v>0</v>
      </c>
      <c r="I88" s="344">
        <f ca="1">IF($B88="","",SUMPRODUCT(--(Lineups!$S$4:$S$41=$B88),Lineups!$AW$4:$AW$41))</f>
        <v>0</v>
      </c>
      <c r="J88" s="45">
        <f t="shared" ca="1" si="48"/>
        <v>0</v>
      </c>
      <c r="L88" s="45">
        <f t="shared" ca="1" si="49"/>
        <v>0</v>
      </c>
      <c r="O88" s="45">
        <f ca="1">IF($B88="","",(SUMPRODUCT(--(SK!$C$3:$C$78=$B88),SK!$E$3:$E$78)-(SUMPRODUCT(--(SK!$C$3:$C$78=$B88),SK!$F$3:$F$78))))</f>
        <v>11</v>
      </c>
      <c r="Q88" s="45">
        <f t="shared" ca="1" si="50"/>
        <v>11</v>
      </c>
      <c r="T88" s="45">
        <f t="shared" si="51"/>
        <v>11</v>
      </c>
      <c r="U88" s="45" t="str">
        <f t="shared" si="52"/>
        <v>5309</v>
      </c>
      <c r="V88" s="45" t="str">
        <f t="shared" si="52"/>
        <v>Toxic Assets</v>
      </c>
      <c r="W88" s="45">
        <f ca="1">IF($U88="","",SUMPRODUCT(--(Lineups!$AG$4:$AG$41=$U88),--(Lineups!$AB$4:$AB$41=""),Lineups!$W$4:$W$41))</f>
        <v>0</v>
      </c>
      <c r="Y88" s="344">
        <f ca="1">IF($U88="","",SUMPRODUCT(--(Lineups!$AG$4:$AG$41=$U88),--(Lineups!$AB$4:$AB$41="X"),Lineups!$W$4:$W$41))</f>
        <v>0</v>
      </c>
      <c r="Z88" s="344">
        <f ca="1">IF($U88="","",SUMPRODUCT(--(Lineups!$AK$4:$AK$41=$U88),Lineups!$W$4:$W$41))</f>
        <v>3</v>
      </c>
      <c r="AA88" s="344">
        <f ca="1">IF($U88="","",SUMPRODUCT(--(Lineups!$AO$4:$AO$41=$U88),Lineups!$W$4:$W$41))</f>
        <v>41</v>
      </c>
      <c r="AB88" s="344">
        <f ca="1">IF($U88="","",SUMPRODUCT(--(Lineups!$AS$4:$AS$41=$U88),Lineups!$W$4:$W$41))</f>
        <v>0</v>
      </c>
      <c r="AC88" s="45">
        <f t="shared" ca="1" si="53"/>
        <v>44</v>
      </c>
      <c r="AE88" s="45">
        <f t="shared" ca="1" si="54"/>
        <v>44</v>
      </c>
      <c r="AH88" s="45">
        <f ca="1">IF($U88="","",SUMPRODUCT(--(Lineups!$AC$4:$AC$41=$U88),Lineups!$W$4:$W$41))</f>
        <v>0</v>
      </c>
      <c r="AJ88" s="45">
        <f t="shared" ca="1" si="55"/>
        <v>44</v>
      </c>
    </row>
    <row r="89" spans="1:36" x14ac:dyDescent="0.3">
      <c r="A89" s="333">
        <f t="shared" si="46"/>
        <v>12</v>
      </c>
      <c r="B89" s="333" t="str">
        <f t="shared" si="47"/>
        <v>808</v>
      </c>
      <c r="C89" s="333" t="str">
        <f t="shared" si="47"/>
        <v>Kendle Bjelland</v>
      </c>
      <c r="D89" s="333">
        <f ca="1">IF($B89="","",SUMPRODUCT(--(Lineups!$G$4:$G$41=$B89),--(Lineups!$B$4:$B$41=""),Lineups!$AW$4:$AW$41))</f>
        <v>0</v>
      </c>
      <c r="F89" s="344">
        <f ca="1">IF($B89="","",SUMPRODUCT(--(Lineups!$G$4:$G$41=$B89),--(Lineups!$B$4:$B$41="X"),Lineups!$AW$4:$AW$41))</f>
        <v>0</v>
      </c>
      <c r="G89" s="344">
        <f ca="1">IF($B89="","",SUMPRODUCT(--(Lineups!$K$4:$K$41=$B89),Lineups!$AW$4:$AW$41))</f>
        <v>16</v>
      </c>
      <c r="H89" s="344">
        <f ca="1">IF($B89="","",SUMPRODUCT(--(Lineups!$O$4:$O$41=$B89),Lineups!$AW$4:$AW$41))</f>
        <v>10</v>
      </c>
      <c r="I89" s="344">
        <f ca="1">IF($B89="","",SUMPRODUCT(--(Lineups!$S$4:$S$41=$B89),Lineups!$AW$4:$AW$41))</f>
        <v>0</v>
      </c>
      <c r="J89" s="333">
        <f t="shared" ca="1" si="48"/>
        <v>26</v>
      </c>
      <c r="L89" s="333">
        <f t="shared" ca="1" si="49"/>
        <v>26</v>
      </c>
      <c r="O89" s="45">
        <f ca="1">IF($B89="","",(SUMPRODUCT(--(SK!$C$3:$C$78=$B89),SK!$E$3:$E$78)-(SUMPRODUCT(--(SK!$C$3:$C$78=$B89),SK!$F$3:$F$78))))</f>
        <v>0</v>
      </c>
      <c r="Q89" s="333">
        <f t="shared" ca="1" si="50"/>
        <v>26</v>
      </c>
      <c r="T89" s="333">
        <f t="shared" si="51"/>
        <v>12</v>
      </c>
      <c r="U89" s="333" t="str">
        <f t="shared" si="52"/>
        <v>69</v>
      </c>
      <c r="V89" s="333" t="str">
        <f t="shared" si="52"/>
        <v>Death By Chocolate</v>
      </c>
      <c r="W89" s="333">
        <f ca="1">IF($U89="","",SUMPRODUCT(--(Lineups!$AG$4:$AG$41=$U89),--(Lineups!$AB$4:$AB$41=""),Lineups!$W$4:$W$41))</f>
        <v>0</v>
      </c>
      <c r="Y89" s="344">
        <f ca="1">IF($U89="","",SUMPRODUCT(--(Lineups!$AG$4:$AG$41=$U89),--(Lineups!$AB$4:$AB$41="X"),Lineups!$W$4:$W$41))</f>
        <v>0</v>
      </c>
      <c r="Z89" s="344">
        <f ca="1">IF($U89="","",SUMPRODUCT(--(Lineups!$AK$4:$AK$41=$U89),Lineups!$W$4:$W$41))</f>
        <v>0</v>
      </c>
      <c r="AA89" s="344">
        <f ca="1">IF($U89="","",SUMPRODUCT(--(Lineups!$AO$4:$AO$41=$U89),Lineups!$W$4:$W$41))</f>
        <v>0</v>
      </c>
      <c r="AB89" s="344">
        <f ca="1">IF($U89="","",SUMPRODUCT(--(Lineups!$AS$4:$AS$41=$U89),Lineups!$W$4:$W$41))</f>
        <v>0</v>
      </c>
      <c r="AC89" s="333">
        <f t="shared" ca="1" si="53"/>
        <v>0</v>
      </c>
      <c r="AE89" s="333">
        <f t="shared" ca="1" si="54"/>
        <v>0</v>
      </c>
      <c r="AH89" s="333">
        <f ca="1">IF($U89="","",SUMPRODUCT(--(Lineups!$AC$4:$AC$41=$U89),Lineups!$W$4:$W$41))</f>
        <v>20</v>
      </c>
      <c r="AJ89" s="333">
        <f t="shared" ca="1" si="55"/>
        <v>20</v>
      </c>
    </row>
    <row r="90" spans="1:36" x14ac:dyDescent="0.3">
      <c r="A90" s="45">
        <f t="shared" si="46"/>
        <v>13</v>
      </c>
      <c r="B90" s="45" t="str">
        <f t="shared" si="47"/>
        <v>9</v>
      </c>
      <c r="C90" s="45" t="str">
        <f t="shared" si="47"/>
        <v>P. Wilhelm</v>
      </c>
      <c r="D90" s="45">
        <f ca="1">IF($B90="","",SUMPRODUCT(--(Lineups!$G$4:$G$41=$B90),--(Lineups!$B$4:$B$41=""),Lineups!$AW$4:$AW$41))</f>
        <v>5</v>
      </c>
      <c r="F90" s="344">
        <f ca="1">IF($B90="","",SUMPRODUCT(--(Lineups!$G$4:$G$41=$B90),--(Lineups!$B$4:$B$41="X"),Lineups!$AW$4:$AW$41))</f>
        <v>0</v>
      </c>
      <c r="G90" s="344">
        <f ca="1">IF($B90="","",SUMPRODUCT(--(Lineups!$K$4:$K$41=$B90),Lineups!$AW$4:$AW$41))</f>
        <v>6</v>
      </c>
      <c r="H90" s="344">
        <f ca="1">IF($B90="","",SUMPRODUCT(--(Lineups!$O$4:$O$41=$B90),Lineups!$AW$4:$AW$41))</f>
        <v>14</v>
      </c>
      <c r="I90" s="344">
        <f ca="1">IF($B90="","",SUMPRODUCT(--(Lineups!$S$4:$S$41=$B90),Lineups!$AW$4:$AW$41))</f>
        <v>7</v>
      </c>
      <c r="J90" s="45">
        <f t="shared" ca="1" si="48"/>
        <v>27</v>
      </c>
      <c r="L90" s="45">
        <f t="shared" ca="1" si="49"/>
        <v>32</v>
      </c>
      <c r="O90" s="45">
        <f ca="1">IF($B90="","",(SUMPRODUCT(--(SK!$C$3:$C$78=$B90),SK!$E$3:$E$78)-(SUMPRODUCT(--(SK!$C$3:$C$78=$B90),SK!$F$3:$F$78))))</f>
        <v>0</v>
      </c>
      <c r="Q90" s="45">
        <f t="shared" ca="1" si="50"/>
        <v>32</v>
      </c>
      <c r="T90" s="45">
        <f t="shared" si="51"/>
        <v>13</v>
      </c>
      <c r="U90" s="45" t="str">
        <f t="shared" si="52"/>
        <v>9</v>
      </c>
      <c r="V90" s="45" t="str">
        <f t="shared" si="52"/>
        <v>Big Bad Voodoo Dollie</v>
      </c>
      <c r="W90" s="45">
        <f ca="1">IF($U90="","",SUMPRODUCT(--(Lineups!$AG$4:$AG$41=$U90),--(Lineups!$AB$4:$AB$41=""),Lineups!$W$4:$W$41))</f>
        <v>0</v>
      </c>
      <c r="Y90" s="344">
        <f ca="1">IF($U90="","",SUMPRODUCT(--(Lineups!$AG$4:$AG$41=$U90),--(Lineups!$AB$4:$AB$41="X"),Lineups!$W$4:$W$41))</f>
        <v>0</v>
      </c>
      <c r="Z90" s="344">
        <f ca="1">IF($U90="","",SUMPRODUCT(--(Lineups!$AK$4:$AK$41=$U90),Lineups!$W$4:$W$41))</f>
        <v>0</v>
      </c>
      <c r="AA90" s="344">
        <f ca="1">IF($U90="","",SUMPRODUCT(--(Lineups!$AO$4:$AO$41=$U90),Lineups!$W$4:$W$41))</f>
        <v>0</v>
      </c>
      <c r="AB90" s="344">
        <f ca="1">IF($U90="","",SUMPRODUCT(--(Lineups!$AS$4:$AS$41=$U90),Lineups!$W$4:$W$41))</f>
        <v>0</v>
      </c>
      <c r="AC90" s="45">
        <f t="shared" ca="1" si="53"/>
        <v>0</v>
      </c>
      <c r="AE90" s="45">
        <f t="shared" ca="1" si="54"/>
        <v>0</v>
      </c>
      <c r="AH90" s="45">
        <f ca="1">IF($U90="","",SUMPRODUCT(--(Lineups!$AC$4:$AC$41=$U90),Lineups!$W$4:$W$41))</f>
        <v>35</v>
      </c>
      <c r="AJ90" s="45">
        <f t="shared" ca="1" si="55"/>
        <v>35</v>
      </c>
    </row>
    <row r="91" spans="1:36" x14ac:dyDescent="0.3">
      <c r="A91" s="333">
        <f t="shared" si="46"/>
        <v>14</v>
      </c>
      <c r="B91" s="333" t="str">
        <f t="shared" si="47"/>
        <v>911</v>
      </c>
      <c r="C91" s="333" t="str">
        <f t="shared" si="47"/>
        <v>Luna Negra</v>
      </c>
      <c r="D91" s="333">
        <f ca="1">IF($B91="","",SUMPRODUCT(--(Lineups!$G$4:$G$41=$B91),--(Lineups!$B$4:$B$41=""),Lineups!$AW$4:$AW$41))</f>
        <v>0</v>
      </c>
      <c r="F91" s="344">
        <f ca="1">IF($B91="","",SUMPRODUCT(--(Lineups!$G$4:$G$41=$B91),--(Lineups!$B$4:$B$41="X"),Lineups!$AW$4:$AW$41))</f>
        <v>0</v>
      </c>
      <c r="G91" s="344">
        <f ca="1">IF($B91="","",SUMPRODUCT(--(Lineups!$K$4:$K$41=$B91),Lineups!$AW$4:$AW$41))</f>
        <v>0</v>
      </c>
      <c r="H91" s="344">
        <f ca="1">IF($B91="","",SUMPRODUCT(--(Lineups!$O$4:$O$41=$B91),Lineups!$AW$4:$AW$41))</f>
        <v>0</v>
      </c>
      <c r="I91" s="344">
        <f ca="1">IF($B91="","",SUMPRODUCT(--(Lineups!$S$4:$S$41=$B91),Lineups!$AW$4:$AW$41))</f>
        <v>0</v>
      </c>
      <c r="J91" s="333">
        <f t="shared" ca="1" si="48"/>
        <v>0</v>
      </c>
      <c r="L91" s="333">
        <f t="shared" ca="1" si="49"/>
        <v>0</v>
      </c>
      <c r="O91" s="45">
        <f ca="1">IF($B91="","",(SUMPRODUCT(--(SK!$C$3:$C$78=$B91),SK!$E$3:$E$78)-(SUMPRODUCT(--(SK!$C$3:$C$78=$B91),SK!$F$3:$F$78))))</f>
        <v>21</v>
      </c>
      <c r="Q91" s="333">
        <f t="shared" ca="1" si="50"/>
        <v>21</v>
      </c>
      <c r="T91" s="333">
        <f t="shared" si="51"/>
        <v>14</v>
      </c>
      <c r="U91" s="333" t="str">
        <f t="shared" si="52"/>
        <v>93</v>
      </c>
      <c r="V91" s="333" t="str">
        <f t="shared" si="52"/>
        <v>Erma Gerd</v>
      </c>
      <c r="W91" s="333">
        <f ca="1">IF($U91="","",SUMPRODUCT(--(Lineups!$AG$4:$AG$41=$U91),--(Lineups!$AB$4:$AB$41=""),Lineups!$W$4:$W$41))</f>
        <v>0</v>
      </c>
      <c r="Y91" s="344">
        <f ca="1">IF($U91="","",SUMPRODUCT(--(Lineups!$AG$4:$AG$41=$U91),--(Lineups!$AB$4:$AB$41="X"),Lineups!$W$4:$W$41))</f>
        <v>0</v>
      </c>
      <c r="Z91" s="344">
        <f ca="1">IF($U91="","",SUMPRODUCT(--(Lineups!$AK$4:$AK$41=$U91),Lineups!$W$4:$W$41))</f>
        <v>29</v>
      </c>
      <c r="AA91" s="344">
        <f ca="1">IF($U91="","",SUMPRODUCT(--(Lineups!$AO$4:$AO$41=$U91),Lineups!$W$4:$W$41))</f>
        <v>0</v>
      </c>
      <c r="AB91" s="344">
        <f ca="1">IF($U91="","",SUMPRODUCT(--(Lineups!$AS$4:$AS$41=$U91),Lineups!$W$4:$W$41))</f>
        <v>4</v>
      </c>
      <c r="AC91" s="333">
        <f t="shared" ca="1" si="53"/>
        <v>33</v>
      </c>
      <c r="AE91" s="333">
        <f t="shared" ca="1" si="54"/>
        <v>33</v>
      </c>
      <c r="AH91" s="333">
        <f ca="1">IF($U91="","",SUMPRODUCT(--(Lineups!$AC$4:$AC$41=$U91),Lineups!$W$4:$W$41))</f>
        <v>0</v>
      </c>
      <c r="AJ91" s="333">
        <f t="shared" ca="1" si="55"/>
        <v>33</v>
      </c>
    </row>
    <row r="92" spans="1:36" x14ac:dyDescent="0.3">
      <c r="A92" s="45">
        <f t="shared" si="46"/>
        <v>15</v>
      </c>
      <c r="B92" s="45" t="str">
        <f t="shared" si="47"/>
        <v>0</v>
      </c>
      <c r="C92" s="45" t="str">
        <f t="shared" si="47"/>
        <v>Enurgizer Bunny</v>
      </c>
      <c r="D92" s="45">
        <f ca="1">IF($B92="","",SUMPRODUCT(--(Lineups!$G$4:$G$41=$B92),--(Lineups!$B$4:$B$41=""),Lineups!$AW$4:$AW$41))</f>
        <v>0</v>
      </c>
      <c r="F92" s="344">
        <f ca="1">IF($B92="","",SUMPRODUCT(--(Lineups!$G$4:$G$41=$B92),--(Lineups!$B$4:$B$41="X"),Lineups!$AW$4:$AW$41))</f>
        <v>0</v>
      </c>
      <c r="G92" s="344">
        <f ca="1">IF($B92="","",SUMPRODUCT(--(Lineups!$K$4:$K$41=$B92),Lineups!$AW$4:$AW$41))</f>
        <v>0</v>
      </c>
      <c r="H92" s="344">
        <f ca="1">IF($B92="","",SUMPRODUCT(--(Lineups!$O$4:$O$41=$B92),Lineups!$AW$4:$AW$41))</f>
        <v>0</v>
      </c>
      <c r="I92" s="344">
        <f ca="1">IF($B92="","",SUMPRODUCT(--(Lineups!$S$4:$S$41=$B92),Lineups!$AW$4:$AW$41))</f>
        <v>0</v>
      </c>
      <c r="J92" s="45">
        <f t="shared" ca="1" si="48"/>
        <v>0</v>
      </c>
      <c r="L92" s="45">
        <f t="shared" ca="1" si="49"/>
        <v>0</v>
      </c>
      <c r="O92" s="45">
        <f ca="1">IF($B92="","",(SUMPRODUCT(--(SK!$C$3:$C$78=$B92),SK!$E$3:$E$78)-(SUMPRODUCT(--(SK!$C$3:$C$78=$B92),SK!$F$3:$F$78))))</f>
        <v>0</v>
      </c>
      <c r="Q92" s="45">
        <f t="shared" ca="1" si="50"/>
        <v>0</v>
      </c>
      <c r="T92" s="45">
        <f t="shared" si="51"/>
        <v>15</v>
      </c>
      <c r="U92" s="45" t="str">
        <f t="shared" si="52"/>
        <v/>
      </c>
      <c r="V92" s="45" t="str">
        <f t="shared" si="52"/>
        <v/>
      </c>
      <c r="W92" s="45" t="str">
        <f>IF($U92="","",SUMPRODUCT(--(Lineups!$AG$4:$AG$41=$U92),--(Lineups!$AB$4:$AB$41=""),Lineups!$W$4:$W$41))</f>
        <v/>
      </c>
      <c r="Y92" s="344" t="str">
        <f>IF($U92="","",SUMPRODUCT(--(Lineups!$AG$4:$AG$41=$U92),--(Lineups!$AB$4:$AB$41="X"),Lineups!$W$4:$W$41))</f>
        <v/>
      </c>
      <c r="Z92" s="344" t="str">
        <f>IF($U92="","",SUMPRODUCT(--(Lineups!$AK$4:$AK$41=$U92),Lineups!$W$4:$W$41))</f>
        <v/>
      </c>
      <c r="AA92" s="344" t="str">
        <f>IF($U92="","",SUMPRODUCT(--(Lineups!$AO$4:$AO$41=$U92),Lineups!$W$4:$W$41))</f>
        <v/>
      </c>
      <c r="AB92" s="344" t="str">
        <f>IF($U92="","",SUMPRODUCT(--(Lineups!$AS$4:$AS$41=$U92),Lineups!$W$4:$W$41))</f>
        <v/>
      </c>
      <c r="AC92" s="45" t="str">
        <f t="shared" si="53"/>
        <v/>
      </c>
      <c r="AE92" s="45" t="str">
        <f t="shared" si="54"/>
        <v/>
      </c>
      <c r="AH92" s="45" t="str">
        <f>IF($U92="","",SUMPRODUCT(--(Lineups!$AC$4:$AC$41=$U92),Lineups!$W$4:$W$41))</f>
        <v/>
      </c>
      <c r="AJ92" s="45" t="str">
        <f t="shared" si="55"/>
        <v/>
      </c>
    </row>
    <row r="93" spans="1:36" x14ac:dyDescent="0.3">
      <c r="A93" s="333">
        <f t="shared" si="46"/>
        <v>16</v>
      </c>
      <c r="B93" s="333" t="str">
        <f t="shared" si="47"/>
        <v>88</v>
      </c>
      <c r="C93" s="333" t="str">
        <f t="shared" si="47"/>
        <v>Ophelia Melons</v>
      </c>
      <c r="D93" s="333">
        <f ca="1">IF($B93="","",SUMPRODUCT(--(Lineups!$G$4:$G$41=$B93),--(Lineups!$B$4:$B$41=""),Lineups!$AW$4:$AW$41))</f>
        <v>0</v>
      </c>
      <c r="F93" s="344">
        <f ca="1">IF($B93="","",SUMPRODUCT(--(Lineups!$G$4:$G$41=$B93),--(Lineups!$B$4:$B$41="X"),Lineups!$AW$4:$AW$41))</f>
        <v>0</v>
      </c>
      <c r="G93" s="344">
        <f ca="1">IF($B93="","",SUMPRODUCT(--(Lineups!$K$4:$K$41=$B93),Lineups!$AW$4:$AW$41))</f>
        <v>0</v>
      </c>
      <c r="H93" s="344">
        <f ca="1">IF($B93="","",SUMPRODUCT(--(Lineups!$O$4:$O$41=$B93),Lineups!$AW$4:$AW$41))</f>
        <v>0</v>
      </c>
      <c r="I93" s="344">
        <f ca="1">IF($B93="","",SUMPRODUCT(--(Lineups!$S$4:$S$41=$B93),Lineups!$AW$4:$AW$41))</f>
        <v>0</v>
      </c>
      <c r="J93" s="333">
        <f t="shared" ca="1" si="48"/>
        <v>0</v>
      </c>
      <c r="L93" s="333">
        <f t="shared" ca="1" si="49"/>
        <v>0</v>
      </c>
      <c r="O93" s="45">
        <f ca="1">IF($B93="","",(SUMPRODUCT(--(SK!$C$3:$C$78=$B93),SK!$E$3:$E$78)-(SUMPRODUCT(--(SK!$C$3:$C$78=$B93),SK!$F$3:$F$78))))</f>
        <v>0</v>
      </c>
      <c r="Q93" s="333">
        <f t="shared" ca="1" si="50"/>
        <v>0</v>
      </c>
      <c r="T93" s="333">
        <f t="shared" si="51"/>
        <v>16</v>
      </c>
      <c r="U93" s="333" t="str">
        <f t="shared" si="52"/>
        <v/>
      </c>
      <c r="V93" s="333" t="str">
        <f t="shared" si="52"/>
        <v/>
      </c>
      <c r="W93" s="333" t="str">
        <f>IF($U93="","",SUMPRODUCT(--(Lineups!$AG$4:$AG$41=$U93),--(Lineups!$AB$4:$AB$41=""),Lineups!$W$4:$W$41))</f>
        <v/>
      </c>
      <c r="Y93" s="344" t="str">
        <f>IF($U93="","",SUMPRODUCT(--(Lineups!$AG$4:$AG$41=$U93),--(Lineups!$AB$4:$AB$41="X"),Lineups!$W$4:$W$41))</f>
        <v/>
      </c>
      <c r="Z93" s="344" t="str">
        <f>IF($U93="","",SUMPRODUCT(--(Lineups!$AK$4:$AK$41=$U93),Lineups!$W$4:$W$41))</f>
        <v/>
      </c>
      <c r="AA93" s="344" t="str">
        <f>IF($U93="","",SUMPRODUCT(--(Lineups!$AO$4:$AO$41=$U93),Lineups!$W$4:$W$41))</f>
        <v/>
      </c>
      <c r="AB93" s="344" t="str">
        <f>IF($U93="","",SUMPRODUCT(--(Lineups!$AS$4:$AS$41=$U93),Lineups!$W$4:$W$41))</f>
        <v/>
      </c>
      <c r="AC93" s="333" t="str">
        <f t="shared" si="53"/>
        <v/>
      </c>
      <c r="AE93" s="333" t="str">
        <f t="shared" si="54"/>
        <v/>
      </c>
      <c r="AH93" s="333" t="str">
        <f>IF($U93="","",SUMPRODUCT(--(Lineups!$AC$4:$AC$41=$U93),Lineups!$W$4:$W$41))</f>
        <v/>
      </c>
      <c r="AJ93" s="333" t="str">
        <f t="shared" si="55"/>
        <v/>
      </c>
    </row>
    <row r="94" spans="1:36" x14ac:dyDescent="0.3">
      <c r="A94" s="45">
        <f t="shared" si="46"/>
        <v>17</v>
      </c>
      <c r="B94" s="45" t="str">
        <f t="shared" si="47"/>
        <v/>
      </c>
      <c r="C94" s="45" t="str">
        <f t="shared" si="47"/>
        <v/>
      </c>
      <c r="D94" s="45" t="str">
        <f>IF($B94="","",SUMPRODUCT(--(Lineups!$G$4:$G$41=$B94),--(Lineups!$B$4:$B$41=""),Lineups!$AW$4:$AW$41))</f>
        <v/>
      </c>
      <c r="F94" s="344" t="str">
        <f>IF($B94="","",SUMPRODUCT(--(Lineups!$G$4:$G$41=$B94),--(Lineups!$B$4:$B$41="X"),Lineups!$AW$4:$AW$41))</f>
        <v/>
      </c>
      <c r="G94" s="344" t="str">
        <f>IF($B94="","",SUMPRODUCT(--(Lineups!$K$4:$K$41=$B94),Lineups!$AW$4:$AW$41))</f>
        <v/>
      </c>
      <c r="H94" s="344" t="str">
        <f>IF($B94="","",SUMPRODUCT(--(Lineups!$O$4:$O$41=$B94),Lineups!$AW$4:$AW$41))</f>
        <v/>
      </c>
      <c r="I94" s="344" t="str">
        <f>IF($B94="","",SUMPRODUCT(--(Lineups!$S$4:$S$41=$B94),Lineups!$AW$4:$AW$41))</f>
        <v/>
      </c>
      <c r="J94" s="45" t="str">
        <f t="shared" si="48"/>
        <v/>
      </c>
      <c r="L94" s="45" t="str">
        <f t="shared" si="49"/>
        <v/>
      </c>
      <c r="O94" s="45" t="str">
        <f>IF($B94="","",(SUMPRODUCT(--(SK!$C$3:$C$78=$B94),SK!$E$3:$E$78)-(SUMPRODUCT(--(SK!$C$3:$C$78=$B94),SK!$F$3:$F$78))))</f>
        <v/>
      </c>
      <c r="Q94" s="45" t="str">
        <f t="shared" si="50"/>
        <v/>
      </c>
      <c r="T94" s="45">
        <f t="shared" si="51"/>
        <v>17</v>
      </c>
      <c r="U94" s="45" t="str">
        <f t="shared" si="52"/>
        <v/>
      </c>
      <c r="V94" s="45" t="str">
        <f t="shared" si="52"/>
        <v/>
      </c>
      <c r="W94" s="45" t="str">
        <f>IF($U94="","",SUMPRODUCT(--(Lineups!$AG$4:$AG$41=$U94),--(Lineups!$AB$4:$AB$41=""),Lineups!$W$4:$W$41))</f>
        <v/>
      </c>
      <c r="Y94" s="344" t="str">
        <f>IF($U94="","",SUMPRODUCT(--(Lineups!$AG$4:$AG$41=$U94),--(Lineups!$AB$4:$AB$41="X"),Lineups!$W$4:$W$41))</f>
        <v/>
      </c>
      <c r="Z94" s="344" t="str">
        <f>IF($U94="","",SUMPRODUCT(--(Lineups!$AK$4:$AK$41=$U94),Lineups!$W$4:$W$41))</f>
        <v/>
      </c>
      <c r="AA94" s="344" t="str">
        <f>IF($U94="","",SUMPRODUCT(--(Lineups!$AO$4:$AO$41=$U94),Lineups!$W$4:$W$41))</f>
        <v/>
      </c>
      <c r="AB94" s="344" t="str">
        <f>IF($U94="","",SUMPRODUCT(--(Lineups!$AS$4:$AS$41=$U94),Lineups!$W$4:$W$41))</f>
        <v/>
      </c>
      <c r="AC94" s="45" t="str">
        <f t="shared" si="53"/>
        <v/>
      </c>
      <c r="AE94" s="45" t="str">
        <f t="shared" si="54"/>
        <v/>
      </c>
      <c r="AH94" s="45" t="str">
        <f>IF($U94="","",SUMPRODUCT(--(Lineups!$AC$4:$AC$41=$U94),Lineups!$W$4:$W$41))</f>
        <v/>
      </c>
      <c r="AJ94" s="45" t="str">
        <f t="shared" si="55"/>
        <v/>
      </c>
    </row>
    <row r="95" spans="1:36" x14ac:dyDescent="0.3">
      <c r="A95" s="333">
        <f t="shared" si="46"/>
        <v>18</v>
      </c>
      <c r="B95" s="333" t="str">
        <f t="shared" si="47"/>
        <v/>
      </c>
      <c r="C95" s="333" t="str">
        <f t="shared" si="47"/>
        <v/>
      </c>
      <c r="D95" s="333" t="str">
        <f>IF($B95="","",SUMPRODUCT(--(Lineups!$G$4:$G$41=$B95),--(Lineups!$B$4:$B$41=""),Lineups!$AW$4:$AW$41))</f>
        <v/>
      </c>
      <c r="F95" s="344" t="str">
        <f>IF($B95="","",SUMPRODUCT(--(Lineups!$G$4:$G$41=$B95),--(Lineups!$B$4:$B$41="X"),Lineups!$AW$4:$AW$41))</f>
        <v/>
      </c>
      <c r="G95" s="344" t="str">
        <f>IF($B95="","",SUMPRODUCT(--(Lineups!$K$4:$K$41=$B95),Lineups!$AW$4:$AW$41))</f>
        <v/>
      </c>
      <c r="H95" s="344" t="str">
        <f>IF($B95="","",SUMPRODUCT(--(Lineups!$O$4:$O$41=$B95),Lineups!$AW$4:$AW$41))</f>
        <v/>
      </c>
      <c r="I95" s="344" t="str">
        <f>IF($B95="","",SUMPRODUCT(--(Lineups!$S$4:$S$41=$B95),Lineups!$AW$4:$AW$41))</f>
        <v/>
      </c>
      <c r="J95" s="333" t="str">
        <f t="shared" si="48"/>
        <v/>
      </c>
      <c r="L95" s="333" t="str">
        <f t="shared" si="49"/>
        <v/>
      </c>
      <c r="O95" s="45" t="str">
        <f>IF($B95="","",(SUMPRODUCT(--(SK!$C$3:$C$78=$B95),SK!$E$3:$E$78)-(SUMPRODUCT(--(SK!$C$3:$C$78=$B95),SK!$F$3:$F$78))))</f>
        <v/>
      </c>
      <c r="Q95" s="333" t="str">
        <f t="shared" si="50"/>
        <v/>
      </c>
      <c r="T95" s="333">
        <f t="shared" si="51"/>
        <v>18</v>
      </c>
      <c r="U95" s="333" t="str">
        <f t="shared" si="52"/>
        <v/>
      </c>
      <c r="V95" s="333" t="str">
        <f t="shared" si="52"/>
        <v/>
      </c>
      <c r="W95" s="333" t="str">
        <f>IF($U95="","",SUMPRODUCT(--(Lineups!$AG$4:$AG$41=$U95),--(Lineups!$AB$4:$AB$41=""),Lineups!$W$4:$W$41))</f>
        <v/>
      </c>
      <c r="Y95" s="344" t="str">
        <f>IF($U95="","",SUMPRODUCT(--(Lineups!$AG$4:$AG$41=$U95),--(Lineups!$AB$4:$AB$41="X"),Lineups!$W$4:$W$41))</f>
        <v/>
      </c>
      <c r="Z95" s="344" t="str">
        <f>IF($U95="","",SUMPRODUCT(--(Lineups!$AK$4:$AK$41=$U95),Lineups!$W$4:$W$41))</f>
        <v/>
      </c>
      <c r="AA95" s="344" t="str">
        <f>IF($U95="","",SUMPRODUCT(--(Lineups!$AO$4:$AO$41=$U95),Lineups!$W$4:$W$41))</f>
        <v/>
      </c>
      <c r="AB95" s="344" t="str">
        <f>IF($U95="","",SUMPRODUCT(--(Lineups!$AS$4:$AS$41=$U95),Lineups!$W$4:$W$41))</f>
        <v/>
      </c>
      <c r="AC95" s="333" t="str">
        <f t="shared" si="53"/>
        <v/>
      </c>
      <c r="AE95" s="333" t="str">
        <f t="shared" si="54"/>
        <v/>
      </c>
      <c r="AH95" s="333" t="str">
        <f>IF($U95="","",SUMPRODUCT(--(Lineups!$AC$4:$AC$41=$U95),Lineups!$W$4:$W$41))</f>
        <v/>
      </c>
      <c r="AJ95" s="333" t="str">
        <f t="shared" si="55"/>
        <v/>
      </c>
    </row>
    <row r="96" spans="1:36" x14ac:dyDescent="0.3">
      <c r="A96" s="45">
        <f t="shared" si="46"/>
        <v>19</v>
      </c>
      <c r="B96" s="45" t="str">
        <f t="shared" si="47"/>
        <v/>
      </c>
      <c r="C96" s="45" t="str">
        <f t="shared" si="47"/>
        <v/>
      </c>
      <c r="D96" s="45" t="str">
        <f>IF($B96="","",SUMPRODUCT(--(Lineups!$G$4:$G$41=$B96),--(Lineups!$B$4:$B$41=""),Lineups!$AW$4:$AW$41))</f>
        <v/>
      </c>
      <c r="F96" s="344" t="str">
        <f>IF($B96="","",SUMPRODUCT(--(Lineups!$G$4:$G$41=$B96),--(Lineups!$B$4:$B$41="X"),Lineups!$AW$4:$AW$41))</f>
        <v/>
      </c>
      <c r="G96" s="344" t="str">
        <f>IF($B96="","",SUMPRODUCT(--(Lineups!$K$4:$K$41=$B96),Lineups!$AW$4:$AW$41))</f>
        <v/>
      </c>
      <c r="H96" s="344" t="str">
        <f>IF($B96="","",SUMPRODUCT(--(Lineups!$O$4:$O$41=$B96),Lineups!$AW$4:$AW$41))</f>
        <v/>
      </c>
      <c r="I96" s="344" t="str">
        <f>IF($B96="","",SUMPRODUCT(--(Lineups!$S$4:$S$41=$B96),Lineups!$AW$4:$AW$41))</f>
        <v/>
      </c>
      <c r="J96" s="45" t="str">
        <f t="shared" si="48"/>
        <v/>
      </c>
      <c r="L96" s="45" t="str">
        <f t="shared" si="49"/>
        <v/>
      </c>
      <c r="O96" s="45" t="str">
        <f>IF($B96="","",(SUMPRODUCT(--(SK!$C$3:$C$78=$B96),SK!$E$3:$E$78)-(SUMPRODUCT(--(SK!$C$3:$C$78=$B96),SK!$F$3:$F$78))))</f>
        <v/>
      </c>
      <c r="Q96" s="45" t="str">
        <f t="shared" si="50"/>
        <v/>
      </c>
      <c r="T96" s="45">
        <f t="shared" si="51"/>
        <v>19</v>
      </c>
      <c r="U96" s="45" t="str">
        <f t="shared" si="52"/>
        <v/>
      </c>
      <c r="V96" s="45" t="str">
        <f t="shared" si="52"/>
        <v/>
      </c>
      <c r="W96" s="45" t="str">
        <f>IF($U96="","",SUMPRODUCT(--(Lineups!$AG$4:$AG$41=$U96),--(Lineups!$AB$4:$AB$41=""),Lineups!$W$4:$W$41))</f>
        <v/>
      </c>
      <c r="Y96" s="344" t="str">
        <f>IF($U96="","",SUMPRODUCT(--(Lineups!$AG$4:$AG$41=$U96),--(Lineups!$AB$4:$AB$41="X"),Lineups!$W$4:$W$41))</f>
        <v/>
      </c>
      <c r="Z96" s="344" t="str">
        <f>IF($U96="","",SUMPRODUCT(--(Lineups!$AK$4:$AK$41=$U96),Lineups!$W$4:$W$41))</f>
        <v/>
      </c>
      <c r="AA96" s="344" t="str">
        <f>IF($U96="","",SUMPRODUCT(--(Lineups!$AO$4:$AO$41=$U96),Lineups!$W$4:$W$41))</f>
        <v/>
      </c>
      <c r="AB96" s="344" t="str">
        <f>IF($U96="","",SUMPRODUCT(--(Lineups!$AS$4:$AS$41=$U96),Lineups!$W$4:$W$41))</f>
        <v/>
      </c>
      <c r="AC96" s="45" t="str">
        <f t="shared" si="53"/>
        <v/>
      </c>
      <c r="AE96" s="45" t="str">
        <f t="shared" si="54"/>
        <v/>
      </c>
      <c r="AH96" s="45" t="str">
        <f>IF($U96="","",SUMPRODUCT(--(Lineups!$AC$4:$AC$41=$U96),Lineups!$W$4:$W$41))</f>
        <v/>
      </c>
      <c r="AJ96" s="45" t="str">
        <f t="shared" si="55"/>
        <v/>
      </c>
    </row>
    <row r="97" spans="1:37" x14ac:dyDescent="0.3">
      <c r="A97" s="333">
        <f t="shared" si="46"/>
        <v>20</v>
      </c>
      <c r="B97" s="333" t="str">
        <f t="shared" si="47"/>
        <v/>
      </c>
      <c r="C97" s="333" t="str">
        <f t="shared" si="47"/>
        <v/>
      </c>
      <c r="D97" s="333" t="str">
        <f>IF($B97="","",SUMPRODUCT(--(Lineups!$G$4:$G$41=$B97),--(Lineups!$B$4:$B$41=""),Lineups!$AW$4:$AW$41))</f>
        <v/>
      </c>
      <c r="F97" s="344" t="str">
        <f>IF($B97="","",SUMPRODUCT(--(Lineups!$G$4:$G$41=$B97),--(Lineups!$B$4:$B$41="X"),Lineups!$AW$4:$AW$41))</f>
        <v/>
      </c>
      <c r="G97" s="344" t="str">
        <f>IF($B97="","",SUMPRODUCT(--(Lineups!$K$4:$K$41=$B97),Lineups!$AW$4:$AW$41))</f>
        <v/>
      </c>
      <c r="H97" s="344" t="str">
        <f>IF($B97="","",SUMPRODUCT(--(Lineups!$O$4:$O$41=$B97),Lineups!$AW$4:$AW$41))</f>
        <v/>
      </c>
      <c r="I97" s="344" t="str">
        <f>IF($B97="","",SUMPRODUCT(--(Lineups!$S$4:$S$41=$B97),Lineups!$AW$4:$AW$41))</f>
        <v/>
      </c>
      <c r="J97" s="333" t="str">
        <f t="shared" si="48"/>
        <v/>
      </c>
      <c r="L97" s="333" t="str">
        <f t="shared" si="49"/>
        <v/>
      </c>
      <c r="O97" s="45" t="str">
        <f>IF($B97="","",(SUMPRODUCT(--(SK!$C$3:$C$78=$B97),SK!$E$3:$E$78)-(SUMPRODUCT(--(SK!$C$3:$C$78=$B97),SK!$F$3:$F$78))))</f>
        <v/>
      </c>
      <c r="Q97" s="333" t="str">
        <f t="shared" si="50"/>
        <v/>
      </c>
      <c r="T97" s="333">
        <f t="shared" si="51"/>
        <v>20</v>
      </c>
      <c r="U97" s="333" t="str">
        <f t="shared" si="52"/>
        <v/>
      </c>
      <c r="V97" s="333" t="str">
        <f t="shared" si="52"/>
        <v/>
      </c>
      <c r="W97" s="333" t="str">
        <f>IF($U97="","",SUMPRODUCT(--(Lineups!$AG$4:$AG$41=$U97),--(Lineups!$AB$4:$AB$41=""),Lineups!$W$4:$W$41))</f>
        <v/>
      </c>
      <c r="Y97" s="344" t="str">
        <f>IF($U97="","",SUMPRODUCT(--(Lineups!$AG$4:$AG$41=$U97),--(Lineups!$AB$4:$AB$41="X"),Lineups!$W$4:$W$41))</f>
        <v/>
      </c>
      <c r="Z97" s="344" t="str">
        <f>IF($U97="","",SUMPRODUCT(--(Lineups!$AK$4:$AK$41=$U97),Lineups!$W$4:$W$41))</f>
        <v/>
      </c>
      <c r="AA97" s="344" t="str">
        <f>IF($U97="","",SUMPRODUCT(--(Lineups!$AO$4:$AO$41=$U97),Lineups!$W$4:$W$41))</f>
        <v/>
      </c>
      <c r="AB97" s="344" t="str">
        <f>IF($U97="","",SUMPRODUCT(--(Lineups!$AS$4:$AS$41=$U97),Lineups!$W$4:$W$41))</f>
        <v/>
      </c>
      <c r="AC97" s="333" t="str">
        <f t="shared" si="53"/>
        <v/>
      </c>
      <c r="AE97" s="333" t="str">
        <f t="shared" si="54"/>
        <v/>
      </c>
      <c r="AH97" s="333" t="str">
        <f>IF($U97="","",SUMPRODUCT(--(Lineups!$AC$4:$AC$41=$U97),Lineups!$W$4:$W$41))</f>
        <v/>
      </c>
      <c r="AJ97" s="333" t="str">
        <f t="shared" si="55"/>
        <v/>
      </c>
    </row>
    <row r="101" spans="1:37" x14ac:dyDescent="0.3">
      <c r="C101" s="235" t="s">
        <v>242</v>
      </c>
      <c r="V101" s="235" t="s">
        <v>242</v>
      </c>
    </row>
    <row r="102" spans="1:37" x14ac:dyDescent="0.3">
      <c r="C102" s="3" t="s">
        <v>39</v>
      </c>
      <c r="D102" s="3">
        <f>MAX(Score!A89,Score!T89)</f>
        <v>24</v>
      </c>
      <c r="V102" s="3" t="s">
        <v>39</v>
      </c>
      <c r="W102" s="3">
        <f>D102</f>
        <v>24</v>
      </c>
    </row>
    <row r="103" spans="1:37" x14ac:dyDescent="0.3">
      <c r="C103" s="3" t="s">
        <v>40</v>
      </c>
      <c r="D103" s="3">
        <f ca="1">SK!H164</f>
        <v>15</v>
      </c>
      <c r="V103" s="3" t="s">
        <v>41</v>
      </c>
      <c r="W103" s="3">
        <f ca="1">SK!X164</f>
        <v>9</v>
      </c>
    </row>
    <row r="104" spans="1:37" x14ac:dyDescent="0.3">
      <c r="C104" s="3" t="s">
        <v>42</v>
      </c>
      <c r="D104" s="3">
        <f>COUNTIF(Q108:Q123,"&gt;0")</f>
        <v>14</v>
      </c>
      <c r="V104" s="3" t="s">
        <v>43</v>
      </c>
      <c r="W104" s="3">
        <f>COUNTIF(AJ108:AJ123,"&gt;0")</f>
        <v>14</v>
      </c>
    </row>
    <row r="106" spans="1:37" x14ac:dyDescent="0.3">
      <c r="A106" s="1363" t="s">
        <v>44</v>
      </c>
      <c r="B106" s="1363"/>
      <c r="C106" s="1363"/>
      <c r="D106" s="236"/>
      <c r="E106" s="236"/>
      <c r="F106" s="236"/>
      <c r="G106" s="236"/>
      <c r="H106" s="236"/>
      <c r="I106" s="236"/>
      <c r="J106" s="236"/>
      <c r="K106" s="236"/>
      <c r="L106" s="236"/>
      <c r="M106" s="236"/>
      <c r="N106" s="236"/>
      <c r="O106" s="236"/>
      <c r="P106" s="236"/>
      <c r="Q106" s="236"/>
      <c r="R106" s="236"/>
      <c r="T106" s="1363" t="s">
        <v>44</v>
      </c>
      <c r="U106" s="1363"/>
      <c r="V106" s="1363"/>
      <c r="W106" s="236"/>
      <c r="X106" s="236"/>
      <c r="Y106" s="236"/>
      <c r="Z106" s="236"/>
      <c r="AA106" s="236"/>
      <c r="AB106" s="236"/>
      <c r="AC106" s="236"/>
      <c r="AD106" s="236"/>
      <c r="AE106" s="236"/>
      <c r="AF106" s="236"/>
      <c r="AG106" s="236"/>
      <c r="AH106" s="236"/>
      <c r="AI106" s="236"/>
      <c r="AJ106" s="236"/>
      <c r="AK106" s="236"/>
    </row>
    <row r="107" spans="1:37" s="45" customFormat="1" x14ac:dyDescent="0.3">
      <c r="A107" s="338">
        <v>0</v>
      </c>
      <c r="B107" s="338" t="s">
        <v>36</v>
      </c>
      <c r="C107" s="338" t="s">
        <v>37</v>
      </c>
      <c r="D107" s="338" t="s">
        <v>175</v>
      </c>
      <c r="E107" s="339" t="s">
        <v>45</v>
      </c>
      <c r="F107" s="343" t="s">
        <v>176</v>
      </c>
      <c r="G107" s="343" t="s">
        <v>176</v>
      </c>
      <c r="H107" s="343" t="s">
        <v>176</v>
      </c>
      <c r="I107" s="343" t="s">
        <v>176</v>
      </c>
      <c r="J107" s="338" t="s">
        <v>46</v>
      </c>
      <c r="K107" s="339" t="s">
        <v>47</v>
      </c>
      <c r="L107" s="338" t="s">
        <v>48</v>
      </c>
      <c r="M107" s="339" t="s">
        <v>49</v>
      </c>
      <c r="N107" s="340" t="s">
        <v>25</v>
      </c>
      <c r="O107" s="338" t="s">
        <v>177</v>
      </c>
      <c r="P107" s="339" t="s">
        <v>50</v>
      </c>
      <c r="Q107" s="338" t="s">
        <v>19</v>
      </c>
      <c r="R107" s="339" t="s">
        <v>51</v>
      </c>
      <c r="S107" s="234"/>
      <c r="T107" s="338">
        <v>0</v>
      </c>
      <c r="U107" s="338" t="s">
        <v>36</v>
      </c>
      <c r="V107" s="338" t="s">
        <v>37</v>
      </c>
      <c r="W107" s="338" t="s">
        <v>175</v>
      </c>
      <c r="X107" s="339" t="s">
        <v>45</v>
      </c>
      <c r="Y107" s="343" t="s">
        <v>176</v>
      </c>
      <c r="Z107" s="343" t="s">
        <v>176</v>
      </c>
      <c r="AA107" s="343" t="s">
        <v>176</v>
      </c>
      <c r="AB107" s="343" t="s">
        <v>176</v>
      </c>
      <c r="AC107" s="338" t="s">
        <v>46</v>
      </c>
      <c r="AD107" s="339" t="s">
        <v>47</v>
      </c>
      <c r="AE107" s="338" t="s">
        <v>48</v>
      </c>
      <c r="AF107" s="339" t="s">
        <v>49</v>
      </c>
      <c r="AG107" s="340" t="s">
        <v>25</v>
      </c>
      <c r="AH107" s="338" t="s">
        <v>177</v>
      </c>
      <c r="AI107" s="339" t="s">
        <v>50</v>
      </c>
      <c r="AJ107" s="338" t="s">
        <v>19</v>
      </c>
      <c r="AK107" s="339" t="s">
        <v>51</v>
      </c>
    </row>
    <row r="108" spans="1:37" x14ac:dyDescent="0.3">
      <c r="A108" s="45">
        <f t="shared" ref="A108:A127" si="56">A107+1</f>
        <v>1</v>
      </c>
      <c r="B108" s="213" t="str">
        <f t="shared" ref="B108:C127" si="57">B9</f>
        <v>12</v>
      </c>
      <c r="C108" s="213" t="str">
        <f t="shared" si="57"/>
        <v>Carmen Getsome</v>
      </c>
      <c r="D108" s="3">
        <f>IF($B108="","",SUMPRODUCT(--(Lineups!G$50:G$87=$B108),--(Lineups!B$50:B$87="")))</f>
        <v>10</v>
      </c>
      <c r="E108" s="336">
        <f t="shared" ref="E108:E127" si="58">IF($B108="","",IF($D$102=0,"",D108/$D$102))</f>
        <v>0.41666666666666669</v>
      </c>
      <c r="F108" s="344">
        <f>IF($B108="","",SUMPRODUCT(--(Lineups!G$50:G$87=$B108),--(Lineups!B$50:B$87="X")))</f>
        <v>0</v>
      </c>
      <c r="G108" s="344">
        <f>IF($B108="","",SUMPRODUCT(--(Lineups!K$50:K$87=$B108),--(Lineups!A$50:A$87&lt;&gt;"SP")))</f>
        <v>0</v>
      </c>
      <c r="H108" s="344">
        <f>IF($B108="","",SUMPRODUCT(--(Lineups!O$50:O$87=$B108),--(Lineups!A$50:A$87&lt;&gt;"SP")))</f>
        <v>1</v>
      </c>
      <c r="I108" s="344">
        <f>IF($B108="","",SUMPRODUCT(--(Lineups!S$50:S$87=$B108),--(Lineups!A$50:A$87&lt;&gt;"SP")))</f>
        <v>1</v>
      </c>
      <c r="J108" s="3">
        <f t="shared" ref="J108:J127" si="59">IF(B108="","",SUM(F108:I108))</f>
        <v>2</v>
      </c>
      <c r="K108" s="336">
        <f t="shared" ref="K108:K127" si="60">IF($B108="","",IF($D$102=0,"",J108/$D$102))</f>
        <v>8.3333333333333329E-2</v>
      </c>
      <c r="L108" s="3">
        <f t="shared" ref="L108:L127" si="61">IF(B108="","",SUM(D108,J108))</f>
        <v>12</v>
      </c>
      <c r="M108" s="336">
        <f t="shared" ref="M108:M127" si="62">IF($B108="","",IF($D$102=0,"",L108/$D$102))</f>
        <v>0.5</v>
      </c>
      <c r="N108" s="341">
        <f ca="1">IF(B108="","",IF(OR(SK!E173="",SK!E173=0),"",SK!H173))</f>
        <v>0</v>
      </c>
      <c r="O108" s="3">
        <f>IF($B108="","",SUMPRODUCT(--(Lineups!C$50:C$87=$B108)))</f>
        <v>1</v>
      </c>
      <c r="P108" s="336">
        <f t="shared" ref="P108:P127" si="63">IF($B108="","",IF($D$102=0,"",O108/$D$102))</f>
        <v>4.1666666666666664E-2</v>
      </c>
      <c r="Q108" s="3">
        <f t="shared" ref="Q108:Q127" si="64">IF(B108="","",SUM(L108,O108))</f>
        <v>13</v>
      </c>
      <c r="R108" s="336">
        <f t="shared" ref="R108:R127" si="65">IF($B108="","",IF($D$102=0,"",Q108/$D$102))</f>
        <v>0.54166666666666663</v>
      </c>
      <c r="T108" s="45">
        <f t="shared" ref="T108:T127" si="66">T107+1</f>
        <v>1</v>
      </c>
      <c r="U108" s="213" t="str">
        <f t="shared" ref="U108:V127" si="67">U9</f>
        <v>112</v>
      </c>
      <c r="V108" s="213" t="str">
        <f t="shared" si="67"/>
        <v>Singapore Rogue</v>
      </c>
      <c r="W108" s="3">
        <f>IF($U108="","",SUMPRODUCT(--(Lineups!AG$50:AG$87=$U108),--(Lineups!AB$50:AB$87="")))</f>
        <v>2</v>
      </c>
      <c r="X108" s="336">
        <f t="shared" ref="X108:X127" si="68">IF($U108="","",IF($W$102=0,"",W108/$W$102))</f>
        <v>8.3333333333333329E-2</v>
      </c>
      <c r="Y108" s="344">
        <f>IF($U108="","",SUMPRODUCT(--(Lineups!AG$50:AG$87=$U108),--(Lineups!AB$50:AB$87="X")))</f>
        <v>0</v>
      </c>
      <c r="Z108" s="344">
        <f>IF($U108="","",SUMPRODUCT(--(Lineups!AK$50:AK$87=$U108),--(Lineups!AA$50:AA$87&lt;&gt;"SP")))</f>
        <v>2</v>
      </c>
      <c r="AA108" s="344">
        <f>IF($U108="","",SUMPRODUCT(--(Lineups!AO$50:AO$87=$U108),--(Lineups!AA$50:AA$87&lt;&gt;"SP")))</f>
        <v>10</v>
      </c>
      <c r="AB108" s="344">
        <f>IF($U108="","",SUMPRODUCT(--(Lineups!AS$50:AS$87=$U108),--(Lineups!AA$50:AA$87&lt;&gt;"SP")))</f>
        <v>0</v>
      </c>
      <c r="AC108" s="3">
        <f t="shared" ref="AC108:AC127" si="69">IF(U108="","",SUM(Y108:AB108))</f>
        <v>12</v>
      </c>
      <c r="AD108" s="336">
        <f t="shared" ref="AD108:AD127" si="70">IF($U108="","",IF($W$102=0,"",AC108/$W$102))</f>
        <v>0.5</v>
      </c>
      <c r="AE108" s="3">
        <f t="shared" ref="AE108:AE127" si="71">IF(U108="","",SUM(W108,AC108))</f>
        <v>14</v>
      </c>
      <c r="AF108" s="336">
        <f t="shared" ref="AF108:AF127" si="72">IF($U108="","",IF($W$102=0,"",AE108/$W$102))</f>
        <v>0.58333333333333337</v>
      </c>
      <c r="AG108" s="341" t="str">
        <f ca="1">IF(U108="","",IF(OR(SK!U173="",SK!U173=0),"",SK!X173))</f>
        <v/>
      </c>
      <c r="AH108" s="3">
        <f>IF($U108="","",SUMPRODUCT(--(Lineups!AC$50:AC$87=$U108)))</f>
        <v>0</v>
      </c>
      <c r="AI108" s="336">
        <f t="shared" ref="AI108:AI127" si="73">IF($U108="","",IF($W$102=0,"",AH108/$W$102))</f>
        <v>0</v>
      </c>
      <c r="AJ108" s="3">
        <f t="shared" ref="AJ108:AJ127" si="74">IF(U108="","",SUM(AE108,AH108))</f>
        <v>14</v>
      </c>
      <c r="AK108" s="336">
        <f t="shared" ref="AK108:AK127" si="75">IF($U108="","",IF($W$102=0,"",AJ108/$W$102))</f>
        <v>0.58333333333333337</v>
      </c>
    </row>
    <row r="109" spans="1:37" x14ac:dyDescent="0.3">
      <c r="A109" s="333">
        <f t="shared" si="56"/>
        <v>2</v>
      </c>
      <c r="B109" s="334" t="str">
        <f t="shared" si="57"/>
        <v>123</v>
      </c>
      <c r="C109" s="334" t="str">
        <f t="shared" si="57"/>
        <v>Nelson</v>
      </c>
      <c r="D109" s="335">
        <f>IF($B109="","",SUMPRODUCT(--(Lineups!G$50:G$87=$B109),--(Lineups!B$50:B$87="")))</f>
        <v>7</v>
      </c>
      <c r="E109" s="337">
        <f t="shared" si="58"/>
        <v>0.29166666666666669</v>
      </c>
      <c r="F109" s="344">
        <f>IF($B109="","",SUMPRODUCT(--(Lineups!G$50:G$87=$B109),--(Lineups!B$50:B$87="X")))</f>
        <v>0</v>
      </c>
      <c r="G109" s="344">
        <f>IF($B109="","",SUMPRODUCT(--(Lineups!K$50:K$87=$B109),--(Lineups!A$50:A$87&lt;&gt;"SP")))</f>
        <v>0</v>
      </c>
      <c r="H109" s="344">
        <f>IF($B109="","",SUMPRODUCT(--(Lineups!O$50:O$87=$B109),--(Lineups!A$50:A$87&lt;&gt;"SP")))</f>
        <v>1</v>
      </c>
      <c r="I109" s="344">
        <f>IF($B109="","",SUMPRODUCT(--(Lineups!S$50:S$87=$B109),--(Lineups!A$50:A$87&lt;&gt;"SP")))</f>
        <v>1</v>
      </c>
      <c r="J109" s="335">
        <f t="shared" si="59"/>
        <v>2</v>
      </c>
      <c r="K109" s="337">
        <f t="shared" si="60"/>
        <v>8.3333333333333329E-2</v>
      </c>
      <c r="L109" s="335">
        <f t="shared" si="61"/>
        <v>9</v>
      </c>
      <c r="M109" s="337">
        <f t="shared" si="62"/>
        <v>0.375</v>
      </c>
      <c r="N109" s="342" t="str">
        <f ca="1">IF(B109="","",IF(OR(SK!E176="",SK!E176=0),"",SK!H176))</f>
        <v/>
      </c>
      <c r="O109" s="335">
        <f>IF($B109="","",SUMPRODUCT(--(Lineups!C$50:C$87=$B109)))</f>
        <v>0</v>
      </c>
      <c r="P109" s="337">
        <f t="shared" si="63"/>
        <v>0</v>
      </c>
      <c r="Q109" s="335">
        <f t="shared" si="64"/>
        <v>9</v>
      </c>
      <c r="R109" s="337">
        <f t="shared" si="65"/>
        <v>0.375</v>
      </c>
      <c r="T109" s="333">
        <f t="shared" si="66"/>
        <v>2</v>
      </c>
      <c r="U109" s="334" t="str">
        <f t="shared" si="67"/>
        <v>1542</v>
      </c>
      <c r="V109" s="334" t="str">
        <f t="shared" si="67"/>
        <v>Mary Queen of Skates</v>
      </c>
      <c r="W109" s="335">
        <f>IF($U109="","",SUMPRODUCT(--(Lineups!AG$50:AG$87=$U109),--(Lineups!AB$50:AB$87="")))</f>
        <v>0</v>
      </c>
      <c r="X109" s="337">
        <f t="shared" si="68"/>
        <v>0</v>
      </c>
      <c r="Y109" s="344">
        <f>IF($U109="","",SUMPRODUCT(--(Lineups!AG$50:AG$87=$U109),--(Lineups!AB$50:AB$87="X")))</f>
        <v>0</v>
      </c>
      <c r="Z109" s="344">
        <f>IF($U109="","",SUMPRODUCT(--(Lineups!AK$50:AK$87=$U109),--(Lineups!AA$50:AA$87&lt;&gt;"SP")))</f>
        <v>1</v>
      </c>
      <c r="AA109" s="344">
        <f>IF($U109="","",SUMPRODUCT(--(Lineups!AO$50:AO$87=$U109),--(Lineups!AA$50:AA$87&lt;&gt;"SP")))</f>
        <v>1</v>
      </c>
      <c r="AB109" s="344">
        <f>IF($U109="","",SUMPRODUCT(--(Lineups!AS$50:AS$87=$U109),--(Lineups!AA$50:AA$87&lt;&gt;"SP")))</f>
        <v>2</v>
      </c>
      <c r="AC109" s="335">
        <f t="shared" si="69"/>
        <v>4</v>
      </c>
      <c r="AD109" s="337">
        <f t="shared" si="70"/>
        <v>0.16666666666666666</v>
      </c>
      <c r="AE109" s="335">
        <f t="shared" si="71"/>
        <v>4</v>
      </c>
      <c r="AF109" s="337">
        <f t="shared" si="72"/>
        <v>0.16666666666666666</v>
      </c>
      <c r="AG109" s="342" t="str">
        <f ca="1">IF(U109="","",IF(OR(SK!U176="",SK!U176=0),"",SK!X176))</f>
        <v/>
      </c>
      <c r="AH109" s="335">
        <f>IF($U109="","",SUMPRODUCT(--(Lineups!AC$50:AC$87=$U109)))</f>
        <v>0</v>
      </c>
      <c r="AI109" s="337">
        <f t="shared" si="73"/>
        <v>0</v>
      </c>
      <c r="AJ109" s="335">
        <f t="shared" si="74"/>
        <v>4</v>
      </c>
      <c r="AK109" s="337">
        <f t="shared" si="75"/>
        <v>0.16666666666666666</v>
      </c>
    </row>
    <row r="110" spans="1:37" x14ac:dyDescent="0.3">
      <c r="A110" s="45">
        <f t="shared" si="56"/>
        <v>3</v>
      </c>
      <c r="B110" s="213" t="str">
        <f t="shared" si="57"/>
        <v>14</v>
      </c>
      <c r="C110" s="213" t="str">
        <f t="shared" si="57"/>
        <v>Shorty Ounce</v>
      </c>
      <c r="D110" s="3">
        <f>IF($B110="","",SUMPRODUCT(--(Lineups!G$50:G$87=$B110),--(Lineups!B$50:B$87="")))</f>
        <v>0</v>
      </c>
      <c r="E110" s="336">
        <f t="shared" si="58"/>
        <v>0</v>
      </c>
      <c r="F110" s="344">
        <f>IF($B110="","",SUMPRODUCT(--(Lineups!G$50:G$87=$B110),--(Lineups!B$50:B$87="X")))</f>
        <v>0</v>
      </c>
      <c r="G110" s="344">
        <f>IF($B110="","",SUMPRODUCT(--(Lineups!K$50:K$87=$B110),--(Lineups!A$50:A$87&lt;&gt;"SP")))</f>
        <v>3</v>
      </c>
      <c r="H110" s="344">
        <f>IF($B110="","",SUMPRODUCT(--(Lineups!O$50:O$87=$B110),--(Lineups!A$50:A$87&lt;&gt;"SP")))</f>
        <v>4</v>
      </c>
      <c r="I110" s="344">
        <f>IF($B110="","",SUMPRODUCT(--(Lineups!S$50:S$87=$B110),--(Lineups!A$50:A$87&lt;&gt;"SP")))</f>
        <v>4</v>
      </c>
      <c r="J110" s="3">
        <f t="shared" si="59"/>
        <v>11</v>
      </c>
      <c r="K110" s="336">
        <f t="shared" si="60"/>
        <v>0.45833333333333331</v>
      </c>
      <c r="L110" s="3">
        <f t="shared" si="61"/>
        <v>11</v>
      </c>
      <c r="M110" s="336">
        <f t="shared" si="62"/>
        <v>0.45833333333333331</v>
      </c>
      <c r="N110" s="341" t="str">
        <f ca="1">IF(B110="","",IF(OR(SK!E179="",SK!E179=0),"",SK!H179))</f>
        <v/>
      </c>
      <c r="O110" s="3">
        <f>IF($B110="","",SUMPRODUCT(--(Lineups!C$50:C$87=$B110)))</f>
        <v>0</v>
      </c>
      <c r="P110" s="336">
        <f t="shared" si="63"/>
        <v>0</v>
      </c>
      <c r="Q110" s="3">
        <f t="shared" si="64"/>
        <v>11</v>
      </c>
      <c r="R110" s="336">
        <f t="shared" si="65"/>
        <v>0.45833333333333331</v>
      </c>
      <c r="T110" s="45">
        <f t="shared" si="66"/>
        <v>3</v>
      </c>
      <c r="U110" s="213" t="str">
        <f t="shared" si="67"/>
        <v>16</v>
      </c>
      <c r="V110" s="213" t="str">
        <f t="shared" si="67"/>
        <v>Mistilla</v>
      </c>
      <c r="W110" s="3">
        <f>IF($U110="","",SUMPRODUCT(--(Lineups!AG$50:AG$87=$U110),--(Lineups!AB$50:AB$87="")))</f>
        <v>10</v>
      </c>
      <c r="X110" s="336">
        <f t="shared" si="68"/>
        <v>0.41666666666666669</v>
      </c>
      <c r="Y110" s="344">
        <f>IF($U110="","",SUMPRODUCT(--(Lineups!AG$50:AG$87=$U110),--(Lineups!AB$50:AB$87="X")))</f>
        <v>0</v>
      </c>
      <c r="Z110" s="344">
        <f>IF($U110="","",SUMPRODUCT(--(Lineups!AK$50:AK$87=$U110),--(Lineups!AA$50:AA$87&lt;&gt;"SP")))</f>
        <v>1</v>
      </c>
      <c r="AA110" s="344">
        <f>IF($U110="","",SUMPRODUCT(--(Lineups!AO$50:AO$87=$U110),--(Lineups!AA$50:AA$87&lt;&gt;"SP")))</f>
        <v>0</v>
      </c>
      <c r="AB110" s="344">
        <f>IF($U110="","",SUMPRODUCT(--(Lineups!AS$50:AS$87=$U110),--(Lineups!AA$50:AA$87&lt;&gt;"SP")))</f>
        <v>0</v>
      </c>
      <c r="AC110" s="3">
        <f t="shared" si="69"/>
        <v>1</v>
      </c>
      <c r="AD110" s="336">
        <f t="shared" si="70"/>
        <v>4.1666666666666664E-2</v>
      </c>
      <c r="AE110" s="3">
        <f t="shared" si="71"/>
        <v>11</v>
      </c>
      <c r="AF110" s="336">
        <f t="shared" si="72"/>
        <v>0.45833333333333331</v>
      </c>
      <c r="AG110" s="341" t="str">
        <f ca="1">IF(U110="","",IF(OR(SK!U179="",SK!U179=0),"",SK!X179))</f>
        <v/>
      </c>
      <c r="AH110" s="3">
        <f>IF($U110="","",SUMPRODUCT(--(Lineups!AC$50:AC$87=$U110)))</f>
        <v>0</v>
      </c>
      <c r="AI110" s="336">
        <f t="shared" si="73"/>
        <v>0</v>
      </c>
      <c r="AJ110" s="3">
        <f t="shared" si="74"/>
        <v>11</v>
      </c>
      <c r="AK110" s="336">
        <f t="shared" si="75"/>
        <v>0.45833333333333331</v>
      </c>
    </row>
    <row r="111" spans="1:37" x14ac:dyDescent="0.3">
      <c r="A111" s="333">
        <f t="shared" si="56"/>
        <v>4</v>
      </c>
      <c r="B111" s="334" t="str">
        <f t="shared" si="57"/>
        <v>1618</v>
      </c>
      <c r="C111" s="334" t="str">
        <f t="shared" si="57"/>
        <v>Sintripital Force</v>
      </c>
      <c r="D111" s="335">
        <f>IF($B111="","",SUMPRODUCT(--(Lineups!G$50:G$87=$B111),--(Lineups!B$50:B$87="")))</f>
        <v>0</v>
      </c>
      <c r="E111" s="337">
        <f t="shared" si="58"/>
        <v>0</v>
      </c>
      <c r="F111" s="344">
        <f>IF($B111="","",SUMPRODUCT(--(Lineups!G$50:G$87=$B111),--(Lineups!B$50:B$87="X")))</f>
        <v>0</v>
      </c>
      <c r="G111" s="344">
        <f>IF($B111="","",SUMPRODUCT(--(Lineups!K$50:K$87=$B111),--(Lineups!A$50:A$87&lt;&gt;"SP")))</f>
        <v>0</v>
      </c>
      <c r="H111" s="344">
        <f>IF($B111="","",SUMPRODUCT(--(Lineups!O$50:O$87=$B111),--(Lineups!A$50:A$87&lt;&gt;"SP")))</f>
        <v>0</v>
      </c>
      <c r="I111" s="344">
        <f>IF($B111="","",SUMPRODUCT(--(Lineups!S$50:S$87=$B111),--(Lineups!A$50:A$87&lt;&gt;"SP")))</f>
        <v>0</v>
      </c>
      <c r="J111" s="335">
        <f t="shared" si="59"/>
        <v>0</v>
      </c>
      <c r="K111" s="337">
        <f t="shared" si="60"/>
        <v>0</v>
      </c>
      <c r="L111" s="335">
        <f t="shared" si="61"/>
        <v>0</v>
      </c>
      <c r="M111" s="337">
        <f t="shared" si="62"/>
        <v>0</v>
      </c>
      <c r="N111" s="342">
        <f ca="1">IF(B111="","",IF(OR(SK!E182="",SK!E182=0),"",SK!H182))</f>
        <v>2</v>
      </c>
      <c r="O111" s="335">
        <f>IF($B111="","",SUMPRODUCT(--(Lineups!C$50:C$87=$B111)))</f>
        <v>5</v>
      </c>
      <c r="P111" s="337">
        <f t="shared" si="63"/>
        <v>0.20833333333333334</v>
      </c>
      <c r="Q111" s="335">
        <f t="shared" si="64"/>
        <v>5</v>
      </c>
      <c r="R111" s="337">
        <f t="shared" si="65"/>
        <v>0.20833333333333334</v>
      </c>
      <c r="T111" s="333">
        <f t="shared" si="66"/>
        <v>4</v>
      </c>
      <c r="U111" s="334" t="str">
        <f t="shared" si="67"/>
        <v>19</v>
      </c>
      <c r="V111" s="334" t="str">
        <f t="shared" si="67"/>
        <v>Betty Watchett</v>
      </c>
      <c r="W111" s="335">
        <f>IF($U111="","",SUMPRODUCT(--(Lineups!AG$50:AG$87=$U111),--(Lineups!AB$50:AB$87="")))</f>
        <v>10</v>
      </c>
      <c r="X111" s="337">
        <f t="shared" si="68"/>
        <v>0.41666666666666669</v>
      </c>
      <c r="Y111" s="344">
        <f>IF($U111="","",SUMPRODUCT(--(Lineups!AG$50:AG$87=$U111),--(Lineups!AB$50:AB$87="X")))</f>
        <v>0</v>
      </c>
      <c r="Z111" s="344">
        <f>IF($U111="","",SUMPRODUCT(--(Lineups!AK$50:AK$87=$U111),--(Lineups!AA$50:AA$87&lt;&gt;"SP")))</f>
        <v>0</v>
      </c>
      <c r="AA111" s="344">
        <f>IF($U111="","",SUMPRODUCT(--(Lineups!AO$50:AO$87=$U111),--(Lineups!AA$50:AA$87&lt;&gt;"SP")))</f>
        <v>0</v>
      </c>
      <c r="AB111" s="344">
        <f>IF($U111="","",SUMPRODUCT(--(Lineups!AS$50:AS$87=$U111),--(Lineups!AA$50:AA$87&lt;&gt;"SP")))</f>
        <v>0</v>
      </c>
      <c r="AC111" s="335">
        <f t="shared" si="69"/>
        <v>0</v>
      </c>
      <c r="AD111" s="337">
        <f t="shared" si="70"/>
        <v>0</v>
      </c>
      <c r="AE111" s="335">
        <f t="shared" si="71"/>
        <v>10</v>
      </c>
      <c r="AF111" s="337">
        <f t="shared" si="72"/>
        <v>0.41666666666666669</v>
      </c>
      <c r="AG111" s="342" t="str">
        <f ca="1">IF(U111="","",IF(OR(SK!U182="",SK!U182=0),"",SK!X182))</f>
        <v/>
      </c>
      <c r="AH111" s="335">
        <f>IF($U111="","",SUMPRODUCT(--(Lineups!AC$50:AC$87=$U111)))</f>
        <v>0</v>
      </c>
      <c r="AI111" s="337">
        <f t="shared" si="73"/>
        <v>0</v>
      </c>
      <c r="AJ111" s="335">
        <f t="shared" si="74"/>
        <v>10</v>
      </c>
      <c r="AK111" s="337">
        <f t="shared" si="75"/>
        <v>0.41666666666666669</v>
      </c>
    </row>
    <row r="112" spans="1:37" x14ac:dyDescent="0.3">
      <c r="A112" s="45">
        <f t="shared" si="56"/>
        <v>5</v>
      </c>
      <c r="B112" s="213" t="str">
        <f t="shared" si="57"/>
        <v>22</v>
      </c>
      <c r="C112" s="213" t="str">
        <f t="shared" si="57"/>
        <v>Sami Automatic</v>
      </c>
      <c r="D112" s="3">
        <f>IF($B112="","",SUMPRODUCT(--(Lineups!G$50:G$87=$B112),--(Lineups!B$50:B$87="")))</f>
        <v>0</v>
      </c>
      <c r="E112" s="336">
        <f t="shared" si="58"/>
        <v>0</v>
      </c>
      <c r="F112" s="344">
        <f>IF($B112="","",SUMPRODUCT(--(Lineups!G$50:G$87=$B112),--(Lineups!B$50:B$87="X")))</f>
        <v>0</v>
      </c>
      <c r="G112" s="344">
        <f>IF($B112="","",SUMPRODUCT(--(Lineups!K$50:K$87=$B112),--(Lineups!A$50:A$87&lt;&gt;"SP")))</f>
        <v>1</v>
      </c>
      <c r="H112" s="344">
        <f>IF($B112="","",SUMPRODUCT(--(Lineups!O$50:O$87=$B112),--(Lineups!A$50:A$87&lt;&gt;"SP")))</f>
        <v>2</v>
      </c>
      <c r="I112" s="344">
        <f>IF($B112="","",SUMPRODUCT(--(Lineups!S$50:S$87=$B112),--(Lineups!A$50:A$87&lt;&gt;"SP")))</f>
        <v>5</v>
      </c>
      <c r="J112" s="3">
        <f t="shared" si="59"/>
        <v>8</v>
      </c>
      <c r="K112" s="336">
        <f t="shared" si="60"/>
        <v>0.33333333333333331</v>
      </c>
      <c r="L112" s="3">
        <f t="shared" si="61"/>
        <v>8</v>
      </c>
      <c r="M112" s="336">
        <f t="shared" si="62"/>
        <v>0.33333333333333331</v>
      </c>
      <c r="N112" s="341" t="str">
        <f ca="1">IF(B112="","",IF(OR(SK!E185="",SK!E185=0),"",SK!H185))</f>
        <v/>
      </c>
      <c r="O112" s="3">
        <f>IF($B112="","",SUMPRODUCT(--(Lineups!C$50:C$87=$B112)))</f>
        <v>0</v>
      </c>
      <c r="P112" s="336">
        <f t="shared" si="63"/>
        <v>0</v>
      </c>
      <c r="Q112" s="3">
        <f t="shared" si="64"/>
        <v>8</v>
      </c>
      <c r="R112" s="336">
        <f t="shared" si="65"/>
        <v>0.33333333333333331</v>
      </c>
      <c r="T112" s="45">
        <f t="shared" si="66"/>
        <v>5</v>
      </c>
      <c r="U112" s="213" t="str">
        <f t="shared" si="67"/>
        <v>2000</v>
      </c>
      <c r="V112" s="213" t="str">
        <f t="shared" si="67"/>
        <v>Lisa Lava</v>
      </c>
      <c r="W112" s="3">
        <f>IF($U112="","",SUMPRODUCT(--(Lineups!AG$50:AG$87=$U112),--(Lineups!AB$50:AB$87="")))</f>
        <v>0</v>
      </c>
      <c r="X112" s="336">
        <f t="shared" si="68"/>
        <v>0</v>
      </c>
      <c r="Y112" s="344">
        <f>IF($U112="","",SUMPRODUCT(--(Lineups!AG$50:AG$87=$U112),--(Lineups!AB$50:AB$87="X")))</f>
        <v>1</v>
      </c>
      <c r="Z112" s="344">
        <f>IF($U112="","",SUMPRODUCT(--(Lineups!AK$50:AK$87=$U112),--(Lineups!AA$50:AA$87&lt;&gt;"SP")))</f>
        <v>0</v>
      </c>
      <c r="AA112" s="344">
        <f>IF($U112="","",SUMPRODUCT(--(Lineups!AO$50:AO$87=$U112),--(Lineups!AA$50:AA$87&lt;&gt;"SP")))</f>
        <v>1</v>
      </c>
      <c r="AB112" s="344">
        <f>IF($U112="","",SUMPRODUCT(--(Lineups!AS$50:AS$87=$U112),--(Lineups!AA$50:AA$87&lt;&gt;"SP")))</f>
        <v>7</v>
      </c>
      <c r="AC112" s="3">
        <f t="shared" si="69"/>
        <v>9</v>
      </c>
      <c r="AD112" s="336">
        <f t="shared" si="70"/>
        <v>0.375</v>
      </c>
      <c r="AE112" s="3">
        <f t="shared" si="71"/>
        <v>9</v>
      </c>
      <c r="AF112" s="336">
        <f t="shared" si="72"/>
        <v>0.375</v>
      </c>
      <c r="AG112" s="341" t="str">
        <f ca="1">IF(U112="","",IF(OR(SK!U185="",SK!U185=0),"",SK!X185))</f>
        <v/>
      </c>
      <c r="AH112" s="3">
        <f>IF($U112="","",SUMPRODUCT(--(Lineups!AC$50:AC$87=$U112)))</f>
        <v>0</v>
      </c>
      <c r="AI112" s="336">
        <f t="shared" si="73"/>
        <v>0</v>
      </c>
      <c r="AJ112" s="3">
        <f t="shared" si="74"/>
        <v>9</v>
      </c>
      <c r="AK112" s="336">
        <f t="shared" si="75"/>
        <v>0.375</v>
      </c>
    </row>
    <row r="113" spans="1:37" x14ac:dyDescent="0.3">
      <c r="A113" s="333">
        <f t="shared" si="56"/>
        <v>6</v>
      </c>
      <c r="B113" s="334" t="str">
        <f t="shared" si="57"/>
        <v>23</v>
      </c>
      <c r="C113" s="334" t="str">
        <f t="shared" si="57"/>
        <v>LeBrawn Maimes</v>
      </c>
      <c r="D113" s="335">
        <f>IF($B113="","",SUMPRODUCT(--(Lineups!G$50:G$87=$B113),--(Lineups!B$50:B$87="")))</f>
        <v>0</v>
      </c>
      <c r="E113" s="337">
        <f t="shared" si="58"/>
        <v>0</v>
      </c>
      <c r="F113" s="344">
        <f>IF($B113="","",SUMPRODUCT(--(Lineups!G$50:G$87=$B113),--(Lineups!B$50:B$87="X")))</f>
        <v>0</v>
      </c>
      <c r="G113" s="344">
        <f>IF($B113="","",SUMPRODUCT(--(Lineups!K$50:K$87=$B113),--(Lineups!A$50:A$87&lt;&gt;"SP")))</f>
        <v>0</v>
      </c>
      <c r="H113" s="344">
        <f>IF($B113="","",SUMPRODUCT(--(Lineups!O$50:O$87=$B113),--(Lineups!A$50:A$87&lt;&gt;"SP")))</f>
        <v>0</v>
      </c>
      <c r="I113" s="344">
        <f>IF($B113="","",SUMPRODUCT(--(Lineups!S$50:S$87=$B113),--(Lineups!A$50:A$87&lt;&gt;"SP")))</f>
        <v>0</v>
      </c>
      <c r="J113" s="335">
        <f t="shared" si="59"/>
        <v>0</v>
      </c>
      <c r="K113" s="337">
        <f t="shared" si="60"/>
        <v>0</v>
      </c>
      <c r="L113" s="335">
        <f t="shared" si="61"/>
        <v>0</v>
      </c>
      <c r="M113" s="337">
        <f t="shared" si="62"/>
        <v>0</v>
      </c>
      <c r="N113" s="342">
        <f ca="1">IF(B113="","",IF(OR(SK!E188="",SK!E188=0),"",SK!H188))</f>
        <v>3</v>
      </c>
      <c r="O113" s="335">
        <f>IF($B113="","",SUMPRODUCT(--(Lineups!C$50:C$87=$B113)))</f>
        <v>6</v>
      </c>
      <c r="P113" s="337">
        <f t="shared" si="63"/>
        <v>0.25</v>
      </c>
      <c r="Q113" s="335">
        <f t="shared" si="64"/>
        <v>6</v>
      </c>
      <c r="R113" s="337">
        <f t="shared" si="65"/>
        <v>0.25</v>
      </c>
      <c r="T113" s="333">
        <f t="shared" si="66"/>
        <v>6</v>
      </c>
      <c r="U113" s="334" t="str">
        <f t="shared" si="67"/>
        <v>201</v>
      </c>
      <c r="V113" s="334" t="str">
        <f t="shared" si="67"/>
        <v>Dutch Destroyer</v>
      </c>
      <c r="W113" s="335">
        <f>IF($U113="","",SUMPRODUCT(--(Lineups!AG$50:AG$87=$U113),--(Lineups!AB$50:AB$87="")))</f>
        <v>0</v>
      </c>
      <c r="X113" s="337">
        <f t="shared" si="68"/>
        <v>0</v>
      </c>
      <c r="Y113" s="344">
        <f>IF($U113="","",SUMPRODUCT(--(Lineups!AG$50:AG$87=$U113),--(Lineups!AB$50:AB$87="X")))</f>
        <v>0</v>
      </c>
      <c r="Z113" s="344">
        <f>IF($U113="","",SUMPRODUCT(--(Lineups!AK$50:AK$87=$U113),--(Lineups!AA$50:AA$87&lt;&gt;"SP")))</f>
        <v>2</v>
      </c>
      <c r="AA113" s="344">
        <f>IF($U113="","",SUMPRODUCT(--(Lineups!AO$50:AO$87=$U113),--(Lineups!AA$50:AA$87&lt;&gt;"SP")))</f>
        <v>1</v>
      </c>
      <c r="AB113" s="344">
        <f>IF($U113="","",SUMPRODUCT(--(Lineups!AS$50:AS$87=$U113),--(Lineups!AA$50:AA$87&lt;&gt;"SP")))</f>
        <v>0</v>
      </c>
      <c r="AC113" s="335">
        <f t="shared" si="69"/>
        <v>3</v>
      </c>
      <c r="AD113" s="337">
        <f t="shared" si="70"/>
        <v>0.125</v>
      </c>
      <c r="AE113" s="335">
        <f t="shared" si="71"/>
        <v>3</v>
      </c>
      <c r="AF113" s="337">
        <f t="shared" si="72"/>
        <v>0.125</v>
      </c>
      <c r="AG113" s="342" t="str">
        <f ca="1">IF(U113="","",IF(OR(SK!U188="",SK!U188=0),"",SK!X188))</f>
        <v/>
      </c>
      <c r="AH113" s="335">
        <f>IF($U113="","",SUMPRODUCT(--(Lineups!AC$50:AC$87=$U113)))</f>
        <v>0</v>
      </c>
      <c r="AI113" s="337">
        <f t="shared" si="73"/>
        <v>0</v>
      </c>
      <c r="AJ113" s="335">
        <f t="shared" si="74"/>
        <v>3</v>
      </c>
      <c r="AK113" s="337">
        <f t="shared" si="75"/>
        <v>0.125</v>
      </c>
    </row>
    <row r="114" spans="1:37" x14ac:dyDescent="0.3">
      <c r="A114" s="45">
        <f t="shared" si="56"/>
        <v>7</v>
      </c>
      <c r="B114" s="213" t="str">
        <f t="shared" si="57"/>
        <v>321</v>
      </c>
      <c r="C114" s="213" t="str">
        <f t="shared" si="57"/>
        <v>Missile America</v>
      </c>
      <c r="D114" s="3">
        <f>IF($B114="","",SUMPRODUCT(--(Lineups!G$50:G$87=$B114),--(Lineups!B$50:B$87="")))</f>
        <v>0</v>
      </c>
      <c r="E114" s="336">
        <f t="shared" si="58"/>
        <v>0</v>
      </c>
      <c r="F114" s="344">
        <f>IF($B114="","",SUMPRODUCT(--(Lineups!G$50:G$87=$B114),--(Lineups!B$50:B$87="X")))</f>
        <v>0</v>
      </c>
      <c r="G114" s="344">
        <f>IF($B114="","",SUMPRODUCT(--(Lineups!K$50:K$87=$B114),--(Lineups!A$50:A$87&lt;&gt;"SP")))</f>
        <v>5</v>
      </c>
      <c r="H114" s="344">
        <f>IF($B114="","",SUMPRODUCT(--(Lineups!O$50:O$87=$B114),--(Lineups!A$50:A$87&lt;&gt;"SP")))</f>
        <v>2</v>
      </c>
      <c r="I114" s="344">
        <f>IF($B114="","",SUMPRODUCT(--(Lineups!S$50:S$87=$B114),--(Lineups!A$50:A$87&lt;&gt;"SP")))</f>
        <v>4</v>
      </c>
      <c r="J114" s="3">
        <f t="shared" si="59"/>
        <v>11</v>
      </c>
      <c r="K114" s="336">
        <f t="shared" si="60"/>
        <v>0.45833333333333331</v>
      </c>
      <c r="L114" s="3">
        <f t="shared" si="61"/>
        <v>11</v>
      </c>
      <c r="M114" s="336">
        <f t="shared" si="62"/>
        <v>0.45833333333333331</v>
      </c>
      <c r="N114" s="341" t="str">
        <f ca="1">IF(B114="","",IF(OR(SK!E191="",SK!E191=0),"",SK!H191))</f>
        <v/>
      </c>
      <c r="O114" s="3">
        <f>IF($B114="","",SUMPRODUCT(--(Lineups!C$50:C$87=$B114)))</f>
        <v>0</v>
      </c>
      <c r="P114" s="336">
        <f t="shared" si="63"/>
        <v>0</v>
      </c>
      <c r="Q114" s="3">
        <f t="shared" si="64"/>
        <v>11</v>
      </c>
      <c r="R114" s="336">
        <f t="shared" si="65"/>
        <v>0.45833333333333331</v>
      </c>
      <c r="T114" s="45">
        <f t="shared" si="66"/>
        <v>7</v>
      </c>
      <c r="U114" s="213" t="str">
        <f t="shared" si="67"/>
        <v>21</v>
      </c>
      <c r="V114" s="213" t="str">
        <f t="shared" si="67"/>
        <v>Jekyll &amp; Heidi</v>
      </c>
      <c r="W114" s="3">
        <f>IF($U114="","",SUMPRODUCT(--(Lineups!AG$50:AG$87=$U114),--(Lineups!AB$50:AB$87="")))</f>
        <v>0</v>
      </c>
      <c r="X114" s="336">
        <f t="shared" si="68"/>
        <v>0</v>
      </c>
      <c r="Y114" s="344">
        <f>IF($U114="","",SUMPRODUCT(--(Lineups!AG$50:AG$87=$U114),--(Lineups!AB$50:AB$87="X")))</f>
        <v>0</v>
      </c>
      <c r="Z114" s="344">
        <f>IF($U114="","",SUMPRODUCT(--(Lineups!AK$50:AK$87=$U114),--(Lineups!AA$50:AA$87&lt;&gt;"SP")))</f>
        <v>2</v>
      </c>
      <c r="AA114" s="344">
        <f>IF($U114="","",SUMPRODUCT(--(Lineups!AO$50:AO$87=$U114),--(Lineups!AA$50:AA$87&lt;&gt;"SP")))</f>
        <v>7</v>
      </c>
      <c r="AB114" s="344">
        <f>IF($U114="","",SUMPRODUCT(--(Lineups!AS$50:AS$87=$U114),--(Lineups!AA$50:AA$87&lt;&gt;"SP")))</f>
        <v>3</v>
      </c>
      <c r="AC114" s="3">
        <f t="shared" si="69"/>
        <v>12</v>
      </c>
      <c r="AD114" s="336">
        <f t="shared" si="70"/>
        <v>0.5</v>
      </c>
      <c r="AE114" s="3">
        <f t="shared" si="71"/>
        <v>12</v>
      </c>
      <c r="AF114" s="336">
        <f t="shared" si="72"/>
        <v>0.5</v>
      </c>
      <c r="AG114" s="341" t="str">
        <f ca="1">IF(U114="","",IF(OR(SK!U191="",SK!U191=0),"",SK!X191))</f>
        <v/>
      </c>
      <c r="AH114" s="3">
        <f>IF($U114="","",SUMPRODUCT(--(Lineups!AC$50:AC$87=$U114)))</f>
        <v>0</v>
      </c>
      <c r="AI114" s="336">
        <f t="shared" si="73"/>
        <v>0</v>
      </c>
      <c r="AJ114" s="3">
        <f t="shared" si="74"/>
        <v>12</v>
      </c>
      <c r="AK114" s="336">
        <f t="shared" si="75"/>
        <v>0.5</v>
      </c>
    </row>
    <row r="115" spans="1:37" x14ac:dyDescent="0.3">
      <c r="A115" s="333">
        <f t="shared" si="56"/>
        <v>8</v>
      </c>
      <c r="B115" s="334" t="str">
        <f t="shared" si="57"/>
        <v>4</v>
      </c>
      <c r="C115" s="334" t="str">
        <f t="shared" si="57"/>
        <v>Belle Tolls</v>
      </c>
      <c r="D115" s="335">
        <f>IF($B115="","",SUMPRODUCT(--(Lineups!G$50:G$87=$B115),--(Lineups!B$50:B$87="")))</f>
        <v>0</v>
      </c>
      <c r="E115" s="337">
        <f t="shared" si="58"/>
        <v>0</v>
      </c>
      <c r="F115" s="344">
        <f>IF($B115="","",SUMPRODUCT(--(Lineups!G$50:G$87=$B115),--(Lineups!B$50:B$87="X")))</f>
        <v>0</v>
      </c>
      <c r="G115" s="344">
        <f>IF($B115="","",SUMPRODUCT(--(Lineups!K$50:K$87=$B115),--(Lineups!A$50:A$87&lt;&gt;"SP")))</f>
        <v>2</v>
      </c>
      <c r="H115" s="344">
        <f>IF($B115="","",SUMPRODUCT(--(Lineups!O$50:O$87=$B115),--(Lineups!A$50:A$87&lt;&gt;"SP")))</f>
        <v>4</v>
      </c>
      <c r="I115" s="344">
        <f>IF($B115="","",SUMPRODUCT(--(Lineups!S$50:S$87=$B115),--(Lineups!A$50:A$87&lt;&gt;"SP")))</f>
        <v>2</v>
      </c>
      <c r="J115" s="335">
        <f t="shared" si="59"/>
        <v>8</v>
      </c>
      <c r="K115" s="337">
        <f t="shared" si="60"/>
        <v>0.33333333333333331</v>
      </c>
      <c r="L115" s="335">
        <f t="shared" si="61"/>
        <v>8</v>
      </c>
      <c r="M115" s="337">
        <f t="shared" si="62"/>
        <v>0.33333333333333331</v>
      </c>
      <c r="N115" s="342" t="str">
        <f ca="1">IF(B115="","",IF(OR(SK!E194="",SK!E194=0),"",SK!H194))</f>
        <v/>
      </c>
      <c r="O115" s="335">
        <f>IF($B115="","",SUMPRODUCT(--(Lineups!C$50:C$87=$B115)))</f>
        <v>0</v>
      </c>
      <c r="P115" s="337">
        <f t="shared" si="63"/>
        <v>0</v>
      </c>
      <c r="Q115" s="335">
        <f t="shared" si="64"/>
        <v>8</v>
      </c>
      <c r="R115" s="337">
        <f t="shared" si="65"/>
        <v>0.33333333333333331</v>
      </c>
      <c r="T115" s="333">
        <f t="shared" si="66"/>
        <v>8</v>
      </c>
      <c r="U115" s="334" t="str">
        <f t="shared" si="67"/>
        <v>22</v>
      </c>
      <c r="V115" s="334" t="str">
        <f t="shared" si="67"/>
        <v>Freight Train</v>
      </c>
      <c r="W115" s="335">
        <f>IF($U115="","",SUMPRODUCT(--(Lineups!AG$50:AG$87=$U115),--(Lineups!AB$50:AB$87="")))</f>
        <v>0</v>
      </c>
      <c r="X115" s="337">
        <f t="shared" si="68"/>
        <v>0</v>
      </c>
      <c r="Y115" s="344">
        <f>IF($U115="","",SUMPRODUCT(--(Lineups!AG$50:AG$87=$U115),--(Lineups!AB$50:AB$87="X")))</f>
        <v>0</v>
      </c>
      <c r="Z115" s="344">
        <f>IF($U115="","",SUMPRODUCT(--(Lineups!AK$50:AK$87=$U115),--(Lineups!AA$50:AA$87&lt;&gt;"SP")))</f>
        <v>0</v>
      </c>
      <c r="AA115" s="344">
        <f>IF($U115="","",SUMPRODUCT(--(Lineups!AO$50:AO$87=$U115),--(Lineups!AA$50:AA$87&lt;&gt;"SP")))</f>
        <v>0</v>
      </c>
      <c r="AB115" s="344">
        <f>IF($U115="","",SUMPRODUCT(--(Lineups!AS$50:AS$87=$U115),--(Lineups!AA$50:AA$87&lt;&gt;"SP")))</f>
        <v>0</v>
      </c>
      <c r="AC115" s="335">
        <f t="shared" si="69"/>
        <v>0</v>
      </c>
      <c r="AD115" s="337">
        <f t="shared" si="70"/>
        <v>0</v>
      </c>
      <c r="AE115" s="335">
        <f t="shared" si="71"/>
        <v>0</v>
      </c>
      <c r="AF115" s="337">
        <f t="shared" si="72"/>
        <v>0</v>
      </c>
      <c r="AG115" s="342">
        <f ca="1">IF(U115="","",IF(OR(SK!U194="",SK!U194=0),"",SK!X194))</f>
        <v>5</v>
      </c>
      <c r="AH115" s="335">
        <f>IF($U115="","",SUMPRODUCT(--(Lineups!AC$50:AC$87=$U115)))</f>
        <v>12</v>
      </c>
      <c r="AI115" s="337">
        <f t="shared" si="73"/>
        <v>0.5</v>
      </c>
      <c r="AJ115" s="335">
        <f t="shared" si="74"/>
        <v>12</v>
      </c>
      <c r="AK115" s="337">
        <f t="shared" si="75"/>
        <v>0.5</v>
      </c>
    </row>
    <row r="116" spans="1:37" x14ac:dyDescent="0.3">
      <c r="A116" s="45">
        <f t="shared" si="56"/>
        <v>9</v>
      </c>
      <c r="B116" s="213" t="str">
        <f t="shared" si="57"/>
        <v>505</v>
      </c>
      <c r="C116" s="213" t="str">
        <f t="shared" si="57"/>
        <v>Teddy Rupp</v>
      </c>
      <c r="D116" s="3">
        <f>IF($B116="","",SUMPRODUCT(--(Lineups!G$50:G$87=$B116),--(Lineups!B$50:B$87="")))</f>
        <v>0</v>
      </c>
      <c r="E116" s="336">
        <f t="shared" si="58"/>
        <v>0</v>
      </c>
      <c r="F116" s="344">
        <f>IF($B116="","",SUMPRODUCT(--(Lineups!G$50:G$87=$B116),--(Lineups!B$50:B$87="X")))</f>
        <v>0</v>
      </c>
      <c r="G116" s="344">
        <f>IF($B116="","",SUMPRODUCT(--(Lineups!K$50:K$87=$B116),--(Lineups!A$50:A$87&lt;&gt;"SP")))</f>
        <v>4</v>
      </c>
      <c r="H116" s="344">
        <f>IF($B116="","",SUMPRODUCT(--(Lineups!O$50:O$87=$B116),--(Lineups!A$50:A$87&lt;&gt;"SP")))</f>
        <v>3</v>
      </c>
      <c r="I116" s="344">
        <f>IF($B116="","",SUMPRODUCT(--(Lineups!S$50:S$87=$B116),--(Lineups!A$50:A$87&lt;&gt;"SP")))</f>
        <v>2</v>
      </c>
      <c r="J116" s="3">
        <f t="shared" si="59"/>
        <v>9</v>
      </c>
      <c r="K116" s="336">
        <f t="shared" si="60"/>
        <v>0.375</v>
      </c>
      <c r="L116" s="3">
        <f t="shared" si="61"/>
        <v>9</v>
      </c>
      <c r="M116" s="336">
        <f t="shared" si="62"/>
        <v>0.375</v>
      </c>
      <c r="N116" s="341" t="str">
        <f ca="1">IF(B116="","",IF(OR(SK!E197="",SK!E197=0),"",SK!H197))</f>
        <v/>
      </c>
      <c r="O116" s="3">
        <f>IF($B116="","",SUMPRODUCT(--(Lineups!C$50:C$87=$B116)))</f>
        <v>0</v>
      </c>
      <c r="P116" s="336">
        <f t="shared" si="63"/>
        <v>0</v>
      </c>
      <c r="Q116" s="3">
        <f t="shared" si="64"/>
        <v>9</v>
      </c>
      <c r="R116" s="336">
        <f t="shared" si="65"/>
        <v>0.375</v>
      </c>
      <c r="T116" s="45">
        <f t="shared" si="66"/>
        <v>9</v>
      </c>
      <c r="U116" s="213" t="str">
        <f t="shared" si="67"/>
        <v>312</v>
      </c>
      <c r="V116" s="213" t="str">
        <f t="shared" si="67"/>
        <v>2x Force</v>
      </c>
      <c r="W116" s="3">
        <f>IF($U116="","",SUMPRODUCT(--(Lineups!AG$50:AG$87=$U116),--(Lineups!AB$50:AB$87="")))</f>
        <v>0</v>
      </c>
      <c r="X116" s="336">
        <f t="shared" si="68"/>
        <v>0</v>
      </c>
      <c r="Y116" s="344">
        <f>IF($U116="","",SUMPRODUCT(--(Lineups!AG$50:AG$87=$U116),--(Lineups!AB$50:AB$87="X")))</f>
        <v>0</v>
      </c>
      <c r="Z116" s="344">
        <f>IF($U116="","",SUMPRODUCT(--(Lineups!AK$50:AK$87=$U116),--(Lineups!AA$50:AA$87&lt;&gt;"SP")))</f>
        <v>1</v>
      </c>
      <c r="AA116" s="344">
        <f>IF($U116="","",SUMPRODUCT(--(Lineups!AO$50:AO$87=$U116),--(Lineups!AA$50:AA$87&lt;&gt;"SP")))</f>
        <v>1</v>
      </c>
      <c r="AB116" s="344">
        <f>IF($U116="","",SUMPRODUCT(--(Lineups!AS$50:AS$87=$U116),--(Lineups!AA$50:AA$87&lt;&gt;"SP")))</f>
        <v>10</v>
      </c>
      <c r="AC116" s="3">
        <f t="shared" si="69"/>
        <v>12</v>
      </c>
      <c r="AD116" s="336">
        <f t="shared" si="70"/>
        <v>0.5</v>
      </c>
      <c r="AE116" s="3">
        <f t="shared" si="71"/>
        <v>12</v>
      </c>
      <c r="AF116" s="336">
        <f t="shared" si="72"/>
        <v>0.5</v>
      </c>
      <c r="AG116" s="341" t="str">
        <f ca="1">IF(U116="","",IF(OR(SK!U197="",SK!U197=0),"",SK!X197))</f>
        <v/>
      </c>
      <c r="AH116" s="3">
        <f>IF($U116="","",SUMPRODUCT(--(Lineups!AC$50:AC$87=$U116)))</f>
        <v>0</v>
      </c>
      <c r="AI116" s="336">
        <f t="shared" si="73"/>
        <v>0</v>
      </c>
      <c r="AJ116" s="3">
        <f t="shared" si="74"/>
        <v>12</v>
      </c>
      <c r="AK116" s="336">
        <f t="shared" si="75"/>
        <v>0.5</v>
      </c>
    </row>
    <row r="117" spans="1:37" x14ac:dyDescent="0.3">
      <c r="A117" s="333">
        <f t="shared" si="56"/>
        <v>10</v>
      </c>
      <c r="B117" s="334" t="str">
        <f t="shared" si="57"/>
        <v>53</v>
      </c>
      <c r="C117" s="334" t="str">
        <f t="shared" si="57"/>
        <v>Raven Seaward</v>
      </c>
      <c r="D117" s="335">
        <f>IF($B117="","",SUMPRODUCT(--(Lineups!G$50:G$87=$B117),--(Lineups!B$50:B$87="")))</f>
        <v>1</v>
      </c>
      <c r="E117" s="337">
        <f t="shared" si="58"/>
        <v>4.1666666666666664E-2</v>
      </c>
      <c r="F117" s="344">
        <f>IF($B117="","",SUMPRODUCT(--(Lineups!G$50:G$87=$B117),--(Lineups!B$50:B$87="X")))</f>
        <v>0</v>
      </c>
      <c r="G117" s="344">
        <f>IF($B117="","",SUMPRODUCT(--(Lineups!K$50:K$87=$B117),--(Lineups!A$50:A$87&lt;&gt;"SP")))</f>
        <v>4</v>
      </c>
      <c r="H117" s="344">
        <f>IF($B117="","",SUMPRODUCT(--(Lineups!O$50:O$87=$B117),--(Lineups!A$50:A$87&lt;&gt;"SP")))</f>
        <v>3</v>
      </c>
      <c r="I117" s="344">
        <f>IF($B117="","",SUMPRODUCT(--(Lineups!S$50:S$87=$B117),--(Lineups!A$50:A$87&lt;&gt;"SP")))</f>
        <v>3</v>
      </c>
      <c r="J117" s="335">
        <f t="shared" si="59"/>
        <v>10</v>
      </c>
      <c r="K117" s="337">
        <f t="shared" si="60"/>
        <v>0.41666666666666669</v>
      </c>
      <c r="L117" s="335">
        <f t="shared" si="61"/>
        <v>11</v>
      </c>
      <c r="M117" s="337">
        <f t="shared" si="62"/>
        <v>0.45833333333333331</v>
      </c>
      <c r="N117" s="342" t="str">
        <f ca="1">IF(B117="","",IF(OR(SK!E200="",SK!E200=0),"",SK!H200))</f>
        <v/>
      </c>
      <c r="O117" s="335">
        <f>IF($B117="","",SUMPRODUCT(--(Lineups!C$50:C$87=$B117)))</f>
        <v>0</v>
      </c>
      <c r="P117" s="337">
        <f t="shared" si="63"/>
        <v>0</v>
      </c>
      <c r="Q117" s="335">
        <f t="shared" si="64"/>
        <v>11</v>
      </c>
      <c r="R117" s="337">
        <f t="shared" si="65"/>
        <v>0.45833333333333331</v>
      </c>
      <c r="T117" s="333">
        <f t="shared" si="66"/>
        <v>10</v>
      </c>
      <c r="U117" s="334" t="str">
        <f t="shared" si="67"/>
        <v>51</v>
      </c>
      <c r="V117" s="334" t="str">
        <f t="shared" si="67"/>
        <v>Bustin’ Beaver</v>
      </c>
      <c r="W117" s="335">
        <f>IF($U117="","",SUMPRODUCT(--(Lineups!AG$50:AG$87=$U117),--(Lineups!AB$50:AB$87="")))</f>
        <v>1</v>
      </c>
      <c r="X117" s="337">
        <f t="shared" si="68"/>
        <v>4.1666666666666664E-2</v>
      </c>
      <c r="Y117" s="344">
        <f>IF($U117="","",SUMPRODUCT(--(Lineups!AG$50:AG$87=$U117),--(Lineups!AB$50:AB$87="X")))</f>
        <v>0</v>
      </c>
      <c r="Z117" s="344">
        <f>IF($U117="","",SUMPRODUCT(--(Lineups!AK$50:AK$87=$U117),--(Lineups!AA$50:AA$87&lt;&gt;"SP")))</f>
        <v>0</v>
      </c>
      <c r="AA117" s="344">
        <f>IF($U117="","",SUMPRODUCT(--(Lineups!AO$50:AO$87=$U117),--(Lineups!AA$50:AA$87&lt;&gt;"SP")))</f>
        <v>0</v>
      </c>
      <c r="AB117" s="344">
        <f>IF($U117="","",SUMPRODUCT(--(Lineups!AS$50:AS$87=$U117),--(Lineups!AA$50:AA$87&lt;&gt;"SP")))</f>
        <v>0</v>
      </c>
      <c r="AC117" s="335">
        <f t="shared" si="69"/>
        <v>0</v>
      </c>
      <c r="AD117" s="337">
        <f t="shared" si="70"/>
        <v>0</v>
      </c>
      <c r="AE117" s="335">
        <f t="shared" si="71"/>
        <v>1</v>
      </c>
      <c r="AF117" s="337">
        <f t="shared" si="72"/>
        <v>4.1666666666666664E-2</v>
      </c>
      <c r="AG117" s="342">
        <f ca="1">IF(U117="","",IF(OR(SK!U200="",SK!U200=0),"",SK!X200))</f>
        <v>1</v>
      </c>
      <c r="AH117" s="335">
        <f>IF($U117="","",SUMPRODUCT(--(Lineups!AC$50:AC$87=$U117)))</f>
        <v>2</v>
      </c>
      <c r="AI117" s="337">
        <f t="shared" si="73"/>
        <v>8.3333333333333329E-2</v>
      </c>
      <c r="AJ117" s="335">
        <f t="shared" si="74"/>
        <v>3</v>
      </c>
      <c r="AK117" s="337">
        <f t="shared" si="75"/>
        <v>0.125</v>
      </c>
    </row>
    <row r="118" spans="1:37" x14ac:dyDescent="0.3">
      <c r="A118" s="45">
        <f t="shared" si="56"/>
        <v>11</v>
      </c>
      <c r="B118" s="213" t="str">
        <f t="shared" si="57"/>
        <v>761</v>
      </c>
      <c r="C118" s="213" t="str">
        <f t="shared" si="57"/>
        <v>Rawkhell SqWelch</v>
      </c>
      <c r="D118" s="3">
        <f>IF($B118="","",SUMPRODUCT(--(Lineups!G$50:G$87=$B118),--(Lineups!B$50:B$87="")))</f>
        <v>0</v>
      </c>
      <c r="E118" s="336">
        <f t="shared" si="58"/>
        <v>0</v>
      </c>
      <c r="F118" s="344">
        <f>IF($B118="","",SUMPRODUCT(--(Lineups!G$50:G$87=$B118),--(Lineups!B$50:B$87="X")))</f>
        <v>1</v>
      </c>
      <c r="G118" s="344">
        <f>IF($B118="","",SUMPRODUCT(--(Lineups!K$50:K$87=$B118),--(Lineups!A$50:A$87&lt;&gt;"SP")))</f>
        <v>0</v>
      </c>
      <c r="H118" s="344">
        <f>IF($B118="","",SUMPRODUCT(--(Lineups!O$50:O$87=$B118),--(Lineups!A$50:A$87&lt;&gt;"SP")))</f>
        <v>0</v>
      </c>
      <c r="I118" s="344">
        <f>IF($B118="","",SUMPRODUCT(--(Lineups!S$50:S$87=$B118),--(Lineups!A$50:A$87&lt;&gt;"SP")))</f>
        <v>0</v>
      </c>
      <c r="J118" s="3">
        <f t="shared" si="59"/>
        <v>1</v>
      </c>
      <c r="K118" s="336">
        <f t="shared" si="60"/>
        <v>4.1666666666666664E-2</v>
      </c>
      <c r="L118" s="3">
        <f t="shared" si="61"/>
        <v>1</v>
      </c>
      <c r="M118" s="336">
        <f t="shared" si="62"/>
        <v>4.1666666666666664E-2</v>
      </c>
      <c r="N118" s="341">
        <f ca="1">IF(B118="","",IF(OR(SK!E203="",SK!E203=0),"",SK!H203))</f>
        <v>4</v>
      </c>
      <c r="O118" s="3">
        <f>IF($B118="","",SUMPRODUCT(--(Lineups!C$50:C$87=$B118)))</f>
        <v>6</v>
      </c>
      <c r="P118" s="336">
        <f t="shared" si="63"/>
        <v>0.25</v>
      </c>
      <c r="Q118" s="3">
        <f t="shared" si="64"/>
        <v>7</v>
      </c>
      <c r="R118" s="336">
        <f t="shared" si="65"/>
        <v>0.29166666666666669</v>
      </c>
      <c r="T118" s="45">
        <f t="shared" si="66"/>
        <v>11</v>
      </c>
      <c r="U118" s="213" t="str">
        <f t="shared" si="67"/>
        <v>5309</v>
      </c>
      <c r="V118" s="213" t="str">
        <f t="shared" si="67"/>
        <v>Toxic Assets</v>
      </c>
      <c r="W118" s="3">
        <f>IF($U118="","",SUMPRODUCT(--(Lineups!AG$50:AG$87=$U118),--(Lineups!AB$50:AB$87="")))</f>
        <v>0</v>
      </c>
      <c r="X118" s="336">
        <f t="shared" si="68"/>
        <v>0</v>
      </c>
      <c r="Y118" s="344">
        <f>IF($U118="","",SUMPRODUCT(--(Lineups!AG$50:AG$87=$U118),--(Lineups!AB$50:AB$87="X")))</f>
        <v>0</v>
      </c>
      <c r="Z118" s="344">
        <f>IF($U118="","",SUMPRODUCT(--(Lineups!AK$50:AK$87=$U118),--(Lineups!AA$50:AA$87&lt;&gt;"SP")))</f>
        <v>6</v>
      </c>
      <c r="AA118" s="344">
        <f>IF($U118="","",SUMPRODUCT(--(Lineups!AO$50:AO$87=$U118),--(Lineups!AA$50:AA$87&lt;&gt;"SP")))</f>
        <v>1</v>
      </c>
      <c r="AB118" s="344">
        <f>IF($U118="","",SUMPRODUCT(--(Lineups!AS$50:AS$87=$U118),--(Lineups!AA$50:AA$87&lt;&gt;"SP")))</f>
        <v>1</v>
      </c>
      <c r="AC118" s="3">
        <f t="shared" si="69"/>
        <v>8</v>
      </c>
      <c r="AD118" s="336">
        <f t="shared" si="70"/>
        <v>0.33333333333333331</v>
      </c>
      <c r="AE118" s="3">
        <f t="shared" si="71"/>
        <v>8</v>
      </c>
      <c r="AF118" s="336">
        <f t="shared" si="72"/>
        <v>0.33333333333333331</v>
      </c>
      <c r="AG118" s="341" t="str">
        <f ca="1">IF(U118="","",IF(OR(SK!U203="",SK!U203=0),"",SK!X203))</f>
        <v/>
      </c>
      <c r="AH118" s="3">
        <f>IF($U118="","",SUMPRODUCT(--(Lineups!AC$50:AC$87=$U118)))</f>
        <v>0</v>
      </c>
      <c r="AI118" s="336">
        <f t="shared" si="73"/>
        <v>0</v>
      </c>
      <c r="AJ118" s="3">
        <f t="shared" si="74"/>
        <v>8</v>
      </c>
      <c r="AK118" s="336">
        <f t="shared" si="75"/>
        <v>0.33333333333333331</v>
      </c>
    </row>
    <row r="119" spans="1:37" x14ac:dyDescent="0.3">
      <c r="A119" s="333">
        <f t="shared" si="56"/>
        <v>12</v>
      </c>
      <c r="B119" s="334" t="str">
        <f t="shared" si="57"/>
        <v>808</v>
      </c>
      <c r="C119" s="334" t="str">
        <f t="shared" si="57"/>
        <v>Kendle Bjelland</v>
      </c>
      <c r="D119" s="335">
        <f>IF($B119="","",SUMPRODUCT(--(Lineups!G$50:G$87=$B119),--(Lineups!B$50:B$87="")))</f>
        <v>0</v>
      </c>
      <c r="E119" s="337">
        <f t="shared" si="58"/>
        <v>0</v>
      </c>
      <c r="F119" s="344">
        <f>IF($B119="","",SUMPRODUCT(--(Lineups!G$50:G$87=$B119),--(Lineups!B$50:B$87="X")))</f>
        <v>0</v>
      </c>
      <c r="G119" s="344">
        <f>IF($B119="","",SUMPRODUCT(--(Lineups!K$50:K$87=$B119),--(Lineups!A$50:A$87&lt;&gt;"SP")))</f>
        <v>1</v>
      </c>
      <c r="H119" s="344">
        <f>IF($B119="","",SUMPRODUCT(--(Lineups!O$50:O$87=$B119),--(Lineups!A$50:A$87&lt;&gt;"SP")))</f>
        <v>4</v>
      </c>
      <c r="I119" s="344">
        <f>IF($B119="","",SUMPRODUCT(--(Lineups!S$50:S$87=$B119),--(Lineups!A$50:A$87&lt;&gt;"SP")))</f>
        <v>1</v>
      </c>
      <c r="J119" s="335">
        <f t="shared" si="59"/>
        <v>6</v>
      </c>
      <c r="K119" s="337">
        <f t="shared" si="60"/>
        <v>0.25</v>
      </c>
      <c r="L119" s="335">
        <f t="shared" si="61"/>
        <v>6</v>
      </c>
      <c r="M119" s="337">
        <f t="shared" si="62"/>
        <v>0.25</v>
      </c>
      <c r="N119" s="342" t="str">
        <f ca="1">IF(B119="","",IF(OR(SK!E206="",SK!E206=0),"",SK!H206))</f>
        <v/>
      </c>
      <c r="O119" s="335">
        <f>IF($B119="","",SUMPRODUCT(--(Lineups!C$50:C$87=$B119)))</f>
        <v>0</v>
      </c>
      <c r="P119" s="337">
        <f t="shared" si="63"/>
        <v>0</v>
      </c>
      <c r="Q119" s="335">
        <f t="shared" si="64"/>
        <v>6</v>
      </c>
      <c r="R119" s="337">
        <f t="shared" si="65"/>
        <v>0.25</v>
      </c>
      <c r="T119" s="333">
        <f t="shared" si="66"/>
        <v>12</v>
      </c>
      <c r="U119" s="334" t="str">
        <f t="shared" si="67"/>
        <v>69</v>
      </c>
      <c r="V119" s="334" t="str">
        <f t="shared" si="67"/>
        <v>Death By Chocolate</v>
      </c>
      <c r="W119" s="335">
        <f>IF($U119="","",SUMPRODUCT(--(Lineups!AG$50:AG$87=$U119),--(Lineups!AB$50:AB$87="")))</f>
        <v>0</v>
      </c>
      <c r="X119" s="337">
        <f t="shared" si="68"/>
        <v>0</v>
      </c>
      <c r="Y119" s="344">
        <f>IF($U119="","",SUMPRODUCT(--(Lineups!AG$50:AG$87=$U119),--(Lineups!AB$50:AB$87="X")))</f>
        <v>0</v>
      </c>
      <c r="Z119" s="344">
        <f>IF($U119="","",SUMPRODUCT(--(Lineups!AK$50:AK$87=$U119),--(Lineups!AA$50:AA$87&lt;&gt;"SP")))</f>
        <v>0</v>
      </c>
      <c r="AA119" s="344">
        <f>IF($U119="","",SUMPRODUCT(--(Lineups!AO$50:AO$87=$U119),--(Lineups!AA$50:AA$87&lt;&gt;"SP")))</f>
        <v>0</v>
      </c>
      <c r="AB119" s="344">
        <f>IF($U119="","",SUMPRODUCT(--(Lineups!AS$50:AS$87=$U119),--(Lineups!AA$50:AA$87&lt;&gt;"SP")))</f>
        <v>0</v>
      </c>
      <c r="AC119" s="335">
        <f t="shared" si="69"/>
        <v>0</v>
      </c>
      <c r="AD119" s="337">
        <f t="shared" si="70"/>
        <v>0</v>
      </c>
      <c r="AE119" s="335">
        <f t="shared" si="71"/>
        <v>0</v>
      </c>
      <c r="AF119" s="337">
        <f t="shared" si="72"/>
        <v>0</v>
      </c>
      <c r="AG119" s="342">
        <f ca="1">IF(U119="","",IF(OR(SK!U206="",SK!U206=0),"",SK!X206))</f>
        <v>3</v>
      </c>
      <c r="AH119" s="335">
        <f>IF($U119="","",SUMPRODUCT(--(Lineups!AC$50:AC$87=$U119)))</f>
        <v>9</v>
      </c>
      <c r="AI119" s="337">
        <f t="shared" si="73"/>
        <v>0.375</v>
      </c>
      <c r="AJ119" s="335">
        <f t="shared" si="74"/>
        <v>9</v>
      </c>
      <c r="AK119" s="337">
        <f t="shared" si="75"/>
        <v>0.375</v>
      </c>
    </row>
    <row r="120" spans="1:37" x14ac:dyDescent="0.3">
      <c r="A120" s="45">
        <f t="shared" si="56"/>
        <v>13</v>
      </c>
      <c r="B120" s="213" t="str">
        <f t="shared" si="57"/>
        <v>9</v>
      </c>
      <c r="C120" s="213" t="str">
        <f t="shared" si="57"/>
        <v>P. Wilhelm</v>
      </c>
      <c r="D120" s="3">
        <f>IF($B120="","",SUMPRODUCT(--(Lineups!G$50:G$87=$B120),--(Lineups!B$50:B$87="")))</f>
        <v>6</v>
      </c>
      <c r="E120" s="336">
        <f t="shared" si="58"/>
        <v>0.25</v>
      </c>
      <c r="F120" s="344">
        <f>IF($B120="","",SUMPRODUCT(--(Lineups!G$50:G$87=$B120),--(Lineups!B$50:B$87="X")))</f>
        <v>0</v>
      </c>
      <c r="G120" s="344">
        <f>IF($B120="","",SUMPRODUCT(--(Lineups!K$50:K$87=$B120),--(Lineups!A$50:A$87&lt;&gt;"SP")))</f>
        <v>4</v>
      </c>
      <c r="H120" s="344">
        <f>IF($B120="","",SUMPRODUCT(--(Lineups!O$50:O$87=$B120),--(Lineups!A$50:A$87&lt;&gt;"SP")))</f>
        <v>0</v>
      </c>
      <c r="I120" s="344">
        <f>IF($B120="","",SUMPRODUCT(--(Lineups!S$50:S$87=$B120),--(Lineups!A$50:A$87&lt;&gt;"SP")))</f>
        <v>1</v>
      </c>
      <c r="J120" s="3">
        <f t="shared" si="59"/>
        <v>5</v>
      </c>
      <c r="K120" s="336">
        <f t="shared" si="60"/>
        <v>0.20833333333333334</v>
      </c>
      <c r="L120" s="3">
        <f t="shared" si="61"/>
        <v>11</v>
      </c>
      <c r="M120" s="336">
        <f t="shared" si="62"/>
        <v>0.45833333333333331</v>
      </c>
      <c r="N120" s="341" t="str">
        <f ca="1">IF(B120="","",IF(OR(SK!E209="",SK!E209=0),"",SK!H209))</f>
        <v/>
      </c>
      <c r="O120" s="3">
        <f>IF($B120="","",SUMPRODUCT(--(Lineups!C$50:C$87=$B120)))</f>
        <v>0</v>
      </c>
      <c r="P120" s="336">
        <f t="shared" si="63"/>
        <v>0</v>
      </c>
      <c r="Q120" s="3">
        <f t="shared" si="64"/>
        <v>11</v>
      </c>
      <c r="R120" s="336">
        <f t="shared" si="65"/>
        <v>0.45833333333333331</v>
      </c>
      <c r="T120" s="45">
        <f t="shared" si="66"/>
        <v>13</v>
      </c>
      <c r="U120" s="213" t="str">
        <f t="shared" si="67"/>
        <v>9</v>
      </c>
      <c r="V120" s="213" t="str">
        <f t="shared" si="67"/>
        <v>Big Bad Voodoo Dollie</v>
      </c>
      <c r="W120" s="3">
        <f>IF($U120="","",SUMPRODUCT(--(Lineups!AG$50:AG$87=$U120),--(Lineups!AB$50:AB$87="")))</f>
        <v>0</v>
      </c>
      <c r="X120" s="336">
        <f t="shared" si="68"/>
        <v>0</v>
      </c>
      <c r="Y120" s="344">
        <f>IF($U120="","",SUMPRODUCT(--(Lineups!AG$50:AG$87=$U120),--(Lineups!AB$50:AB$87="X")))</f>
        <v>0</v>
      </c>
      <c r="Z120" s="344">
        <f>IF($U120="","",SUMPRODUCT(--(Lineups!AK$50:AK$87=$U120),--(Lineups!AA$50:AA$87&lt;&gt;"SP")))</f>
        <v>0</v>
      </c>
      <c r="AA120" s="344">
        <f>IF($U120="","",SUMPRODUCT(--(Lineups!AO$50:AO$87=$U120),--(Lineups!AA$50:AA$87&lt;&gt;"SP")))</f>
        <v>0</v>
      </c>
      <c r="AB120" s="344">
        <f>IF($U120="","",SUMPRODUCT(--(Lineups!AS$50:AS$87=$U120),--(Lineups!AA$50:AA$87&lt;&gt;"SP")))</f>
        <v>0</v>
      </c>
      <c r="AC120" s="3">
        <f t="shared" si="69"/>
        <v>0</v>
      </c>
      <c r="AD120" s="336">
        <f t="shared" si="70"/>
        <v>0</v>
      </c>
      <c r="AE120" s="3">
        <f t="shared" si="71"/>
        <v>0</v>
      </c>
      <c r="AF120" s="336">
        <f t="shared" si="72"/>
        <v>0</v>
      </c>
      <c r="AG120" s="341">
        <f ca="1">IF(U120="","",IF(OR(SK!U209="",SK!U209=0),"",SK!X209))</f>
        <v>0</v>
      </c>
      <c r="AH120" s="3">
        <f>IF($U120="","",SUMPRODUCT(--(Lineups!AC$50:AC$87=$U120)))</f>
        <v>1</v>
      </c>
      <c r="AI120" s="336">
        <f t="shared" si="73"/>
        <v>4.1666666666666664E-2</v>
      </c>
      <c r="AJ120" s="3">
        <f t="shared" si="74"/>
        <v>1</v>
      </c>
      <c r="AK120" s="336">
        <f t="shared" si="75"/>
        <v>4.1666666666666664E-2</v>
      </c>
    </row>
    <row r="121" spans="1:37" x14ac:dyDescent="0.3">
      <c r="A121" s="333">
        <f t="shared" si="56"/>
        <v>14</v>
      </c>
      <c r="B121" s="334" t="str">
        <f t="shared" si="57"/>
        <v>911</v>
      </c>
      <c r="C121" s="334" t="str">
        <f t="shared" si="57"/>
        <v>Luna Negra</v>
      </c>
      <c r="D121" s="335">
        <f>IF($B121="","",SUMPRODUCT(--(Lineups!G$50:G$87=$B121),--(Lineups!B$50:B$87="")))</f>
        <v>0</v>
      </c>
      <c r="E121" s="337">
        <f t="shared" si="58"/>
        <v>0</v>
      </c>
      <c r="F121" s="344">
        <f>IF($B121="","",SUMPRODUCT(--(Lineups!G$50:G$87=$B121),--(Lineups!B$50:B$87="X")))</f>
        <v>0</v>
      </c>
      <c r="G121" s="344">
        <f>IF($B121="","",SUMPRODUCT(--(Lineups!K$50:K$87=$B121),--(Lineups!A$50:A$87&lt;&gt;"SP")))</f>
        <v>0</v>
      </c>
      <c r="H121" s="344">
        <f>IF($B121="","",SUMPRODUCT(--(Lineups!O$50:O$87=$B121),--(Lineups!A$50:A$87&lt;&gt;"SP")))</f>
        <v>0</v>
      </c>
      <c r="I121" s="344">
        <f>IF($B121="","",SUMPRODUCT(--(Lineups!S$50:S$87=$B121),--(Lineups!A$50:A$87&lt;&gt;"SP")))</f>
        <v>0</v>
      </c>
      <c r="J121" s="335">
        <f t="shared" si="59"/>
        <v>0</v>
      </c>
      <c r="K121" s="337">
        <f t="shared" si="60"/>
        <v>0</v>
      </c>
      <c r="L121" s="335">
        <f t="shared" si="61"/>
        <v>0</v>
      </c>
      <c r="M121" s="337">
        <f t="shared" si="62"/>
        <v>0</v>
      </c>
      <c r="N121" s="342">
        <f ca="1">IF(B121="","",IF(OR(SK!E212="",SK!E212=0),"",SK!H212))</f>
        <v>6</v>
      </c>
      <c r="O121" s="335">
        <f>IF($B121="","",SUMPRODUCT(--(Lineups!C$50:C$87=$B121)))</f>
        <v>7</v>
      </c>
      <c r="P121" s="337">
        <f t="shared" si="63"/>
        <v>0.29166666666666669</v>
      </c>
      <c r="Q121" s="335">
        <f t="shared" si="64"/>
        <v>7</v>
      </c>
      <c r="R121" s="337">
        <f t="shared" si="65"/>
        <v>0.29166666666666669</v>
      </c>
      <c r="T121" s="333">
        <f t="shared" si="66"/>
        <v>14</v>
      </c>
      <c r="U121" s="334" t="str">
        <f t="shared" si="67"/>
        <v>93</v>
      </c>
      <c r="V121" s="334" t="str">
        <f t="shared" si="67"/>
        <v>Erma Gerd</v>
      </c>
      <c r="W121" s="335">
        <f>IF($U121="","",SUMPRODUCT(--(Lineups!AG$50:AG$87=$U121),--(Lineups!AB$50:AB$87="")))</f>
        <v>0</v>
      </c>
      <c r="X121" s="337">
        <f t="shared" si="68"/>
        <v>0</v>
      </c>
      <c r="Y121" s="344">
        <f>IF($U121="","",SUMPRODUCT(--(Lineups!AG$50:AG$87=$U121),--(Lineups!AB$50:AB$87="X")))</f>
        <v>0</v>
      </c>
      <c r="Z121" s="344">
        <f>IF($U121="","",SUMPRODUCT(--(Lineups!AK$50:AK$87=$U121),--(Lineups!AA$50:AA$87&lt;&gt;"SP")))</f>
        <v>9</v>
      </c>
      <c r="AA121" s="344">
        <f>IF($U121="","",SUMPRODUCT(--(Lineups!AO$50:AO$87=$U121),--(Lineups!AA$50:AA$87&lt;&gt;"SP")))</f>
        <v>2</v>
      </c>
      <c r="AB121" s="344">
        <f>IF($U121="","",SUMPRODUCT(--(Lineups!AS$50:AS$87=$U121),--(Lineups!AA$50:AA$87&lt;&gt;"SP")))</f>
        <v>1</v>
      </c>
      <c r="AC121" s="335">
        <f t="shared" si="69"/>
        <v>12</v>
      </c>
      <c r="AD121" s="337">
        <f t="shared" si="70"/>
        <v>0.5</v>
      </c>
      <c r="AE121" s="335">
        <f t="shared" si="71"/>
        <v>12</v>
      </c>
      <c r="AF121" s="337">
        <f t="shared" si="72"/>
        <v>0.5</v>
      </c>
      <c r="AG121" s="342" t="str">
        <f ca="1">IF(U121="","",IF(OR(SK!U212="",SK!U212=0),"",SK!X212))</f>
        <v/>
      </c>
      <c r="AH121" s="335">
        <f>IF($U121="","",SUMPRODUCT(--(Lineups!AC$50:AC$87=$U121)))</f>
        <v>0</v>
      </c>
      <c r="AI121" s="337">
        <f t="shared" si="73"/>
        <v>0</v>
      </c>
      <c r="AJ121" s="335">
        <f t="shared" si="74"/>
        <v>12</v>
      </c>
      <c r="AK121" s="337">
        <f t="shared" si="75"/>
        <v>0.5</v>
      </c>
    </row>
    <row r="122" spans="1:37" x14ac:dyDescent="0.3">
      <c r="A122" s="45">
        <f t="shared" si="56"/>
        <v>15</v>
      </c>
      <c r="B122" s="213" t="str">
        <f t="shared" si="57"/>
        <v>0</v>
      </c>
      <c r="C122" s="213" t="str">
        <f t="shared" si="57"/>
        <v>Enurgizer Bunny</v>
      </c>
      <c r="D122" s="3">
        <f>IF($B122="","",SUMPRODUCT(--(Lineups!G$50:G$87=$B122),--(Lineups!B$50:B$87="")))</f>
        <v>0</v>
      </c>
      <c r="E122" s="336">
        <f t="shared" si="58"/>
        <v>0</v>
      </c>
      <c r="F122" s="344">
        <f>IF($B122="","",SUMPRODUCT(--(Lineups!G$50:G$87=$B122),--(Lineups!B$50:B$87="X")))</f>
        <v>0</v>
      </c>
      <c r="G122" s="344">
        <f>IF($B122="","",SUMPRODUCT(--(Lineups!K$50:K$87=$B122),--(Lineups!A$50:A$87&lt;&gt;"SP")))</f>
        <v>0</v>
      </c>
      <c r="H122" s="344">
        <f>IF($B122="","",SUMPRODUCT(--(Lineups!O$50:O$87=$B122),--(Lineups!A$50:A$87&lt;&gt;"SP")))</f>
        <v>0</v>
      </c>
      <c r="I122" s="344">
        <f>IF($B122="","",SUMPRODUCT(--(Lineups!S$50:S$87=$B122),--(Lineups!A$50:A$87&lt;&gt;"SP")))</f>
        <v>0</v>
      </c>
      <c r="J122" s="3">
        <f t="shared" si="59"/>
        <v>0</v>
      </c>
      <c r="K122" s="336">
        <f t="shared" si="60"/>
        <v>0</v>
      </c>
      <c r="L122" s="3">
        <f t="shared" si="61"/>
        <v>0</v>
      </c>
      <c r="M122" s="336">
        <f t="shared" si="62"/>
        <v>0</v>
      </c>
      <c r="N122" s="341" t="str">
        <f ca="1">IF(B122="","",IF(OR(SK!E215="",SK!E215=0),"",SK!H215))</f>
        <v/>
      </c>
      <c r="O122" s="3">
        <f>IF($B122="","",SUMPRODUCT(--(Lineups!C$50:C$87=$B122)))</f>
        <v>0</v>
      </c>
      <c r="P122" s="336">
        <f t="shared" si="63"/>
        <v>0</v>
      </c>
      <c r="Q122" s="3">
        <f t="shared" si="64"/>
        <v>0</v>
      </c>
      <c r="R122" s="336">
        <f t="shared" si="65"/>
        <v>0</v>
      </c>
      <c r="T122" s="45">
        <f t="shared" si="66"/>
        <v>15</v>
      </c>
      <c r="U122" s="213" t="str">
        <f t="shared" si="67"/>
        <v/>
      </c>
      <c r="V122" s="213" t="str">
        <f t="shared" si="67"/>
        <v/>
      </c>
      <c r="W122" s="3" t="str">
        <f>IF($U122="","",SUMPRODUCT(--(Lineups!AG$50:AG$87=$U122),--(Lineups!AB$50:AB$87="")))</f>
        <v/>
      </c>
      <c r="X122" s="336" t="str">
        <f t="shared" si="68"/>
        <v/>
      </c>
      <c r="Y122" s="344" t="str">
        <f>IF($U122="","",SUMPRODUCT(--(Lineups!AG$50:AG$87=$U122),--(Lineups!AB$50:AB$87="X")))</f>
        <v/>
      </c>
      <c r="Z122" s="344" t="str">
        <f>IF($U122="","",SUMPRODUCT(--(Lineups!AK$50:AK$87=$U122),--(Lineups!AA$50:AA$87&lt;&gt;"SP")))</f>
        <v/>
      </c>
      <c r="AA122" s="344" t="str">
        <f>IF($U122="","",SUMPRODUCT(--(Lineups!AO$50:AO$87=$U122),--(Lineups!AA$50:AA$87&lt;&gt;"SP")))</f>
        <v/>
      </c>
      <c r="AB122" s="344" t="str">
        <f>IF($U122="","",SUMPRODUCT(--(Lineups!AS$50:AS$87=$U122),--(Lineups!AA$50:AA$87&lt;&gt;"SP")))</f>
        <v/>
      </c>
      <c r="AC122" s="3" t="str">
        <f t="shared" si="69"/>
        <v/>
      </c>
      <c r="AD122" s="336" t="str">
        <f t="shared" si="70"/>
        <v/>
      </c>
      <c r="AE122" s="3" t="str">
        <f t="shared" si="71"/>
        <v/>
      </c>
      <c r="AF122" s="336" t="str">
        <f t="shared" si="72"/>
        <v/>
      </c>
      <c r="AG122" s="341" t="str">
        <f>IF(U122="","",IF(OR(SK!U215="",SK!U215=0),"",SK!X215))</f>
        <v/>
      </c>
      <c r="AH122" s="3" t="str">
        <f>IF($U122="","",SUMPRODUCT(--(Lineups!AC$50:AC$87=$U122)))</f>
        <v/>
      </c>
      <c r="AI122" s="336" t="str">
        <f t="shared" si="73"/>
        <v/>
      </c>
      <c r="AJ122" s="3" t="str">
        <f t="shared" si="74"/>
        <v/>
      </c>
      <c r="AK122" s="336" t="str">
        <f t="shared" si="75"/>
        <v/>
      </c>
    </row>
    <row r="123" spans="1:37" x14ac:dyDescent="0.3">
      <c r="A123" s="333">
        <f t="shared" si="56"/>
        <v>16</v>
      </c>
      <c r="B123" s="334" t="str">
        <f t="shared" si="57"/>
        <v>88</v>
      </c>
      <c r="C123" s="334" t="str">
        <f t="shared" si="57"/>
        <v>Ophelia Melons</v>
      </c>
      <c r="D123" s="335">
        <f>IF($B123="","",SUMPRODUCT(--(Lineups!G$50:G$87=$B123),--(Lineups!B$50:B$87="")))</f>
        <v>0</v>
      </c>
      <c r="E123" s="337">
        <f t="shared" si="58"/>
        <v>0</v>
      </c>
      <c r="F123" s="344">
        <f>IF($B123="","",SUMPRODUCT(--(Lineups!G$50:G$87=$B123),--(Lineups!B$50:B$87="X")))</f>
        <v>0</v>
      </c>
      <c r="G123" s="344">
        <f>IF($B123="","",SUMPRODUCT(--(Lineups!K$50:K$87=$B123),--(Lineups!A$50:A$87&lt;&gt;"SP")))</f>
        <v>0</v>
      </c>
      <c r="H123" s="344">
        <f>IF($B123="","",SUMPRODUCT(--(Lineups!O$50:O$87=$B123),--(Lineups!A$50:A$87&lt;&gt;"SP")))</f>
        <v>0</v>
      </c>
      <c r="I123" s="344">
        <f>IF($B123="","",SUMPRODUCT(--(Lineups!S$50:S$87=$B123),--(Lineups!A$50:A$87&lt;&gt;"SP")))</f>
        <v>0</v>
      </c>
      <c r="J123" s="335">
        <f t="shared" si="59"/>
        <v>0</v>
      </c>
      <c r="K123" s="337">
        <f t="shared" si="60"/>
        <v>0</v>
      </c>
      <c r="L123" s="335">
        <f t="shared" si="61"/>
        <v>0</v>
      </c>
      <c r="M123" s="337">
        <f t="shared" si="62"/>
        <v>0</v>
      </c>
      <c r="N123" s="342" t="str">
        <f ca="1">IF(B123="","",IF(OR(SK!E218="",SK!E218=0),"",SK!H218))</f>
        <v/>
      </c>
      <c r="O123" s="335">
        <f>IF($B123="","",SUMPRODUCT(--(Lineups!C$50:C$87=$B123)))</f>
        <v>0</v>
      </c>
      <c r="P123" s="337">
        <f t="shared" si="63"/>
        <v>0</v>
      </c>
      <c r="Q123" s="335">
        <f t="shared" si="64"/>
        <v>0</v>
      </c>
      <c r="R123" s="337">
        <f t="shared" si="65"/>
        <v>0</v>
      </c>
      <c r="T123" s="333">
        <f t="shared" si="66"/>
        <v>16</v>
      </c>
      <c r="U123" s="334" t="str">
        <f t="shared" si="67"/>
        <v/>
      </c>
      <c r="V123" s="334" t="str">
        <f t="shared" si="67"/>
        <v/>
      </c>
      <c r="W123" s="335" t="str">
        <f>IF($U123="","",SUMPRODUCT(--(Lineups!AG$50:AG$87=$U123),--(Lineups!AB$50:AB$87="")))</f>
        <v/>
      </c>
      <c r="X123" s="337" t="str">
        <f t="shared" si="68"/>
        <v/>
      </c>
      <c r="Y123" s="344" t="str">
        <f>IF($U123="","",SUMPRODUCT(--(Lineups!AG$50:AG$87=$U123),--(Lineups!AB$50:AB$87="X")))</f>
        <v/>
      </c>
      <c r="Z123" s="344" t="str">
        <f>IF($U123="","",SUMPRODUCT(--(Lineups!AK$50:AK$87=$U123),--(Lineups!AA$50:AA$87&lt;&gt;"SP")))</f>
        <v/>
      </c>
      <c r="AA123" s="344" t="str">
        <f>IF($U123="","",SUMPRODUCT(--(Lineups!AO$50:AO$87=$U123),--(Lineups!AA$50:AA$87&lt;&gt;"SP")))</f>
        <v/>
      </c>
      <c r="AB123" s="344" t="str">
        <f>IF($U123="","",SUMPRODUCT(--(Lineups!AS$50:AS$87=$U123),--(Lineups!AA$50:AA$87&lt;&gt;"SP")))</f>
        <v/>
      </c>
      <c r="AC123" s="335" t="str">
        <f t="shared" si="69"/>
        <v/>
      </c>
      <c r="AD123" s="337" t="str">
        <f t="shared" si="70"/>
        <v/>
      </c>
      <c r="AE123" s="335" t="str">
        <f t="shared" si="71"/>
        <v/>
      </c>
      <c r="AF123" s="337" t="str">
        <f t="shared" si="72"/>
        <v/>
      </c>
      <c r="AG123" s="342" t="str">
        <f>IF(U123="","",IF(OR(SK!U230="",SK!U230=0),"",SK!X230))</f>
        <v/>
      </c>
      <c r="AH123" s="335" t="str">
        <f>IF($U123="","",SUMPRODUCT(--(Lineups!AC$50:AC$87=$U123)))</f>
        <v/>
      </c>
      <c r="AI123" s="337" t="str">
        <f t="shared" si="73"/>
        <v/>
      </c>
      <c r="AJ123" s="335" t="str">
        <f t="shared" si="74"/>
        <v/>
      </c>
      <c r="AK123" s="337" t="str">
        <f t="shared" si="75"/>
        <v/>
      </c>
    </row>
    <row r="124" spans="1:37" x14ac:dyDescent="0.3">
      <c r="A124" s="45">
        <f t="shared" si="56"/>
        <v>17</v>
      </c>
      <c r="B124" s="213" t="str">
        <f t="shared" si="57"/>
        <v/>
      </c>
      <c r="C124" s="213" t="str">
        <f t="shared" si="57"/>
        <v/>
      </c>
      <c r="D124" s="3" t="str">
        <f>IF($B124="","",SUMPRODUCT(--(Lineups!G$50:G$87=$B124),--(Lineups!B$50:B$87="")))</f>
        <v/>
      </c>
      <c r="E124" s="336" t="str">
        <f t="shared" si="58"/>
        <v/>
      </c>
      <c r="F124" s="344" t="str">
        <f>IF($B124="","",SUMPRODUCT(--(Lineups!G$50:G$87=$B124),--(Lineups!B$50:B$87="X")))</f>
        <v/>
      </c>
      <c r="G124" s="344" t="str">
        <f>IF($B124="","",SUMPRODUCT(--(Lineups!K$50:K$87=$B124),--(Lineups!A$50:A$87&lt;&gt;"SP")))</f>
        <v/>
      </c>
      <c r="H124" s="344" t="str">
        <f>IF($B124="","",SUMPRODUCT(--(Lineups!O$50:O$87=$B124),--(Lineups!A$50:A$87&lt;&gt;"SP")))</f>
        <v/>
      </c>
      <c r="I124" s="344" t="str">
        <f>IF($B124="","",SUMPRODUCT(--(Lineups!S$50:S$87=$B124),--(Lineups!A$50:A$87&lt;&gt;"SP")))</f>
        <v/>
      </c>
      <c r="J124" s="3" t="str">
        <f t="shared" si="59"/>
        <v/>
      </c>
      <c r="K124" s="336" t="str">
        <f t="shared" si="60"/>
        <v/>
      </c>
      <c r="L124" s="3" t="str">
        <f t="shared" si="61"/>
        <v/>
      </c>
      <c r="M124" s="336" t="str">
        <f t="shared" si="62"/>
        <v/>
      </c>
      <c r="N124" s="341" t="str">
        <f>IF(B124="","",IF(OR(SK!E221="",SK!E221=0),"",SK!H221))</f>
        <v/>
      </c>
      <c r="O124" s="3" t="str">
        <f>IF($B124="","",SUMPRODUCT(--(Lineups!C$50:C$87=$B124)))</f>
        <v/>
      </c>
      <c r="P124" s="336" t="str">
        <f t="shared" si="63"/>
        <v/>
      </c>
      <c r="Q124" s="3" t="str">
        <f t="shared" si="64"/>
        <v/>
      </c>
      <c r="R124" s="336" t="str">
        <f t="shared" si="65"/>
        <v/>
      </c>
      <c r="T124" s="45">
        <f t="shared" si="66"/>
        <v>17</v>
      </c>
      <c r="U124" s="213" t="str">
        <f t="shared" si="67"/>
        <v/>
      </c>
      <c r="V124" s="213" t="str">
        <f t="shared" si="67"/>
        <v/>
      </c>
      <c r="W124" s="3" t="str">
        <f>IF($U124="","",SUMPRODUCT(--(Lineups!AG$50:AG$87=$U124),--(Lineups!AB$50:AB$87="")))</f>
        <v/>
      </c>
      <c r="X124" s="336" t="str">
        <f t="shared" si="68"/>
        <v/>
      </c>
      <c r="Y124" s="344" t="str">
        <f>IF($U124="","",SUMPRODUCT(--(Lineups!AG$50:AG$87=$U124),--(Lineups!AB$50:AB$87="X")))</f>
        <v/>
      </c>
      <c r="Z124" s="344" t="str">
        <f>IF($U124="","",SUMPRODUCT(--(Lineups!AK$50:AK$87=$U124),--(Lineups!AA$50:AA$87&lt;&gt;"SP")))</f>
        <v/>
      </c>
      <c r="AA124" s="344" t="str">
        <f>IF($U124="","",SUMPRODUCT(--(Lineups!AO$50:AO$87=$U124),--(Lineups!AA$50:AA$87&lt;&gt;"SP")))</f>
        <v/>
      </c>
      <c r="AB124" s="344" t="str">
        <f>IF($U124="","",SUMPRODUCT(--(Lineups!AS$50:AS$87=$U124),--(Lineups!AA$50:AA$87&lt;&gt;"SP")))</f>
        <v/>
      </c>
      <c r="AC124" s="3" t="str">
        <f t="shared" si="69"/>
        <v/>
      </c>
      <c r="AD124" s="336" t="str">
        <f t="shared" si="70"/>
        <v/>
      </c>
      <c r="AE124" s="3" t="str">
        <f t="shared" si="71"/>
        <v/>
      </c>
      <c r="AF124" s="336" t="str">
        <f t="shared" si="72"/>
        <v/>
      </c>
      <c r="AG124" s="341" t="str">
        <f>IF(U124="","",IF(OR(SK!U233="",SK!U233=0),"",SK!X233))</f>
        <v/>
      </c>
      <c r="AH124" s="3" t="str">
        <f>IF($U124="","",SUMPRODUCT(--(Lineups!AC$50:AC$87=$U124)))</f>
        <v/>
      </c>
      <c r="AI124" s="336" t="str">
        <f t="shared" si="73"/>
        <v/>
      </c>
      <c r="AJ124" s="3" t="str">
        <f t="shared" si="74"/>
        <v/>
      </c>
      <c r="AK124" s="336" t="str">
        <f t="shared" si="75"/>
        <v/>
      </c>
    </row>
    <row r="125" spans="1:37" x14ac:dyDescent="0.3">
      <c r="A125" s="333">
        <f t="shared" si="56"/>
        <v>18</v>
      </c>
      <c r="B125" s="334" t="str">
        <f t="shared" si="57"/>
        <v/>
      </c>
      <c r="C125" s="334" t="str">
        <f t="shared" si="57"/>
        <v/>
      </c>
      <c r="D125" s="335" t="str">
        <f>IF($B125="","",SUMPRODUCT(--(Lineups!G$50:G$87=$B125),--(Lineups!B$50:B$87="")))</f>
        <v/>
      </c>
      <c r="E125" s="337" t="str">
        <f t="shared" si="58"/>
        <v/>
      </c>
      <c r="F125" s="344" t="str">
        <f>IF($B125="","",SUMPRODUCT(--(Lineups!G$50:G$87=$B125),--(Lineups!B$50:B$87="X")))</f>
        <v/>
      </c>
      <c r="G125" s="344" t="str">
        <f>IF($B125="","",SUMPRODUCT(--(Lineups!K$50:K$87=$B125),--(Lineups!A$50:A$87&lt;&gt;"SP")))</f>
        <v/>
      </c>
      <c r="H125" s="344" t="str">
        <f>IF($B125="","",SUMPRODUCT(--(Lineups!O$50:O$87=$B125),--(Lineups!A$50:A$87&lt;&gt;"SP")))</f>
        <v/>
      </c>
      <c r="I125" s="344" t="str">
        <f>IF($B125="","",SUMPRODUCT(--(Lineups!S$50:S$87=$B125),--(Lineups!A$50:A$87&lt;&gt;"SP")))</f>
        <v/>
      </c>
      <c r="J125" s="335" t="str">
        <f t="shared" si="59"/>
        <v/>
      </c>
      <c r="K125" s="337" t="str">
        <f t="shared" si="60"/>
        <v/>
      </c>
      <c r="L125" s="335" t="str">
        <f t="shared" si="61"/>
        <v/>
      </c>
      <c r="M125" s="337" t="str">
        <f t="shared" si="62"/>
        <v/>
      </c>
      <c r="N125" s="342" t="str">
        <f>IF(B125="","",IF(OR(SK!E224="",SK!E224=0),"",SK!H224))</f>
        <v/>
      </c>
      <c r="O125" s="335" t="str">
        <f>IF($B125="","",SUMPRODUCT(--(Lineups!C$50:C$87=$B125)))</f>
        <v/>
      </c>
      <c r="P125" s="337" t="str">
        <f t="shared" si="63"/>
        <v/>
      </c>
      <c r="Q125" s="335" t="str">
        <f t="shared" si="64"/>
        <v/>
      </c>
      <c r="R125" s="337" t="str">
        <f t="shared" si="65"/>
        <v/>
      </c>
      <c r="T125" s="333">
        <f t="shared" si="66"/>
        <v>18</v>
      </c>
      <c r="U125" s="334" t="str">
        <f t="shared" si="67"/>
        <v/>
      </c>
      <c r="V125" s="334" t="str">
        <f t="shared" si="67"/>
        <v/>
      </c>
      <c r="W125" s="335" t="str">
        <f>IF($U125="","",SUMPRODUCT(--(Lineups!AG$50:AG$87=$U125),--(Lineups!AB$50:AB$87="")))</f>
        <v/>
      </c>
      <c r="X125" s="337" t="str">
        <f t="shared" si="68"/>
        <v/>
      </c>
      <c r="Y125" s="344" t="str">
        <f>IF($U125="","",SUMPRODUCT(--(Lineups!AG$50:AG$87=$U125),--(Lineups!AB$50:AB$87="X")))</f>
        <v/>
      </c>
      <c r="Z125" s="344" t="str">
        <f>IF($U125="","",SUMPRODUCT(--(Lineups!AK$50:AK$87=$U125),--(Lineups!AA$50:AA$87&lt;&gt;"SP")))</f>
        <v/>
      </c>
      <c r="AA125" s="344" t="str">
        <f>IF($U125="","",SUMPRODUCT(--(Lineups!AO$50:AO$87=$U125),--(Lineups!AA$50:AA$87&lt;&gt;"SP")))</f>
        <v/>
      </c>
      <c r="AB125" s="344" t="str">
        <f>IF($U125="","",SUMPRODUCT(--(Lineups!AS$50:AS$87=$U125),--(Lineups!AA$50:AA$87&lt;&gt;"SP")))</f>
        <v/>
      </c>
      <c r="AC125" s="335" t="str">
        <f t="shared" si="69"/>
        <v/>
      </c>
      <c r="AD125" s="337" t="str">
        <f t="shared" si="70"/>
        <v/>
      </c>
      <c r="AE125" s="335" t="str">
        <f t="shared" si="71"/>
        <v/>
      </c>
      <c r="AF125" s="337" t="str">
        <f t="shared" si="72"/>
        <v/>
      </c>
      <c r="AG125" s="342" t="str">
        <f>IF(U125="","",IF(OR(SK!U236="",SK!U236=0),"",SK!X236))</f>
        <v/>
      </c>
      <c r="AH125" s="335" t="str">
        <f>IF($U125="","",SUMPRODUCT(--(Lineups!AC$50:AC$87=$U125)))</f>
        <v/>
      </c>
      <c r="AI125" s="337" t="str">
        <f t="shared" si="73"/>
        <v/>
      </c>
      <c r="AJ125" s="335" t="str">
        <f t="shared" si="74"/>
        <v/>
      </c>
      <c r="AK125" s="337" t="str">
        <f t="shared" si="75"/>
        <v/>
      </c>
    </row>
    <row r="126" spans="1:37" x14ac:dyDescent="0.3">
      <c r="A126" s="45">
        <f t="shared" si="56"/>
        <v>19</v>
      </c>
      <c r="B126" s="213" t="str">
        <f t="shared" si="57"/>
        <v/>
      </c>
      <c r="C126" s="213" t="str">
        <f t="shared" si="57"/>
        <v/>
      </c>
      <c r="D126" s="3" t="str">
        <f>IF($B126="","",SUMPRODUCT(--(Lineups!G$50:G$87=$B126),--(Lineups!B$50:B$87="")))</f>
        <v/>
      </c>
      <c r="E126" s="336" t="str">
        <f t="shared" si="58"/>
        <v/>
      </c>
      <c r="F126" s="344" t="str">
        <f>IF($B126="","",SUMPRODUCT(--(Lineups!G$50:G$87=$B126),--(Lineups!B$50:B$87="X")))</f>
        <v/>
      </c>
      <c r="G126" s="344" t="str">
        <f>IF($B126="","",SUMPRODUCT(--(Lineups!K$50:K$87=$B126),--(Lineups!A$50:A$87&lt;&gt;"SP")))</f>
        <v/>
      </c>
      <c r="H126" s="344" t="str">
        <f>IF($B126="","",SUMPRODUCT(--(Lineups!O$50:O$87=$B126),--(Lineups!A$50:A$87&lt;&gt;"SP")))</f>
        <v/>
      </c>
      <c r="I126" s="344" t="str">
        <f>IF($B126="","",SUMPRODUCT(--(Lineups!S$50:S$87=$B126),--(Lineups!A$50:A$87&lt;&gt;"SP")))</f>
        <v/>
      </c>
      <c r="J126" s="3" t="str">
        <f t="shared" si="59"/>
        <v/>
      </c>
      <c r="K126" s="336" t="str">
        <f t="shared" si="60"/>
        <v/>
      </c>
      <c r="L126" s="3" t="str">
        <f t="shared" si="61"/>
        <v/>
      </c>
      <c r="M126" s="336" t="str">
        <f t="shared" si="62"/>
        <v/>
      </c>
      <c r="N126" s="341" t="str">
        <f>IF(B126="","",IF(OR(SK!E227="",SK!E227=0),"",SK!H227))</f>
        <v/>
      </c>
      <c r="O126" s="3" t="str">
        <f>IF($B126="","",SUMPRODUCT(--(Lineups!C$50:C$87=$B126)))</f>
        <v/>
      </c>
      <c r="P126" s="336" t="str">
        <f t="shared" si="63"/>
        <v/>
      </c>
      <c r="Q126" s="3" t="str">
        <f t="shared" si="64"/>
        <v/>
      </c>
      <c r="R126" s="336" t="str">
        <f t="shared" si="65"/>
        <v/>
      </c>
      <c r="T126" s="45">
        <f t="shared" si="66"/>
        <v>19</v>
      </c>
      <c r="U126" s="213" t="str">
        <f t="shared" si="67"/>
        <v/>
      </c>
      <c r="V126" s="213" t="str">
        <f t="shared" si="67"/>
        <v/>
      </c>
      <c r="W126" s="3" t="str">
        <f>IF($U126="","",SUMPRODUCT(--(Lineups!AG$50:AG$87=$U126),--(Lineups!AB$50:AB$87="")))</f>
        <v/>
      </c>
      <c r="X126" s="336" t="str">
        <f t="shared" si="68"/>
        <v/>
      </c>
      <c r="Y126" s="344" t="str">
        <f>IF($U126="","",SUMPRODUCT(--(Lineups!AG$50:AG$87=$U126),--(Lineups!AB$50:AB$87="X")))</f>
        <v/>
      </c>
      <c r="Z126" s="344" t="str">
        <f>IF($U126="","",SUMPRODUCT(--(Lineups!AK$50:AK$87=$U126),--(Lineups!AA$50:AA$87&lt;&gt;"SP")))</f>
        <v/>
      </c>
      <c r="AA126" s="344" t="str">
        <f>IF($U126="","",SUMPRODUCT(--(Lineups!AO$50:AO$87=$U126),--(Lineups!AA$50:AA$87&lt;&gt;"SP")))</f>
        <v/>
      </c>
      <c r="AB126" s="344" t="str">
        <f>IF($U126="","",SUMPRODUCT(--(Lineups!AS$50:AS$87=$U126),--(Lineups!AA$50:AA$87&lt;&gt;"SP")))</f>
        <v/>
      </c>
      <c r="AC126" s="3" t="str">
        <f t="shared" si="69"/>
        <v/>
      </c>
      <c r="AD126" s="336" t="str">
        <f t="shared" si="70"/>
        <v/>
      </c>
      <c r="AE126" s="3" t="str">
        <f t="shared" si="71"/>
        <v/>
      </c>
      <c r="AF126" s="336" t="str">
        <f t="shared" si="72"/>
        <v/>
      </c>
      <c r="AG126" s="341" t="str">
        <f>IF(U126="","",IF(OR(SK!U239="",SK!U239=0),"",SK!X239))</f>
        <v/>
      </c>
      <c r="AH126" s="3" t="str">
        <f>IF($U126="","",SUMPRODUCT(--(Lineups!AC$50:AC$87=$U126)))</f>
        <v/>
      </c>
      <c r="AI126" s="336" t="str">
        <f t="shared" si="73"/>
        <v/>
      </c>
      <c r="AJ126" s="3" t="str">
        <f t="shared" si="74"/>
        <v/>
      </c>
      <c r="AK126" s="336" t="str">
        <f t="shared" si="75"/>
        <v/>
      </c>
    </row>
    <row r="127" spans="1:37" x14ac:dyDescent="0.3">
      <c r="A127" s="333">
        <f t="shared" si="56"/>
        <v>20</v>
      </c>
      <c r="B127" s="334" t="str">
        <f t="shared" si="57"/>
        <v/>
      </c>
      <c r="C127" s="334" t="str">
        <f t="shared" si="57"/>
        <v/>
      </c>
      <c r="D127" s="335" t="str">
        <f>IF($B127="","",SUMPRODUCT(--(Lineups!G$50:G$87=$B127),--(Lineups!B$50:B$87="")))</f>
        <v/>
      </c>
      <c r="E127" s="337" t="str">
        <f t="shared" si="58"/>
        <v/>
      </c>
      <c r="F127" s="344" t="str">
        <f>IF($B127="","",SUMPRODUCT(--(Lineups!G$50:G$87=$B127),--(Lineups!B$50:B$87="X")))</f>
        <v/>
      </c>
      <c r="G127" s="344" t="str">
        <f>IF($B127="","",SUMPRODUCT(--(Lineups!K$50:K$87=$B127),--(Lineups!A$50:A$87&lt;&gt;"SP")))</f>
        <v/>
      </c>
      <c r="H127" s="344" t="str">
        <f>IF($B127="","",SUMPRODUCT(--(Lineups!O$50:O$87=$B127),--(Lineups!A$50:A$87&lt;&gt;"SP")))</f>
        <v/>
      </c>
      <c r="I127" s="344" t="str">
        <f>IF($B127="","",SUMPRODUCT(--(Lineups!S$50:S$87=$B127),--(Lineups!A$50:A$87&lt;&gt;"SP")))</f>
        <v/>
      </c>
      <c r="J127" s="335" t="str">
        <f t="shared" si="59"/>
        <v/>
      </c>
      <c r="K127" s="337" t="str">
        <f t="shared" si="60"/>
        <v/>
      </c>
      <c r="L127" s="335" t="str">
        <f t="shared" si="61"/>
        <v/>
      </c>
      <c r="M127" s="337" t="str">
        <f t="shared" si="62"/>
        <v/>
      </c>
      <c r="N127" s="342" t="str">
        <f>IF(B127="","",IF(OR(SK!E230="",SK!E230=0),"",SK!H230))</f>
        <v/>
      </c>
      <c r="O127" s="335" t="str">
        <f>IF($B127="","",SUMPRODUCT(--(Lineups!C$50:C$87=$B127)))</f>
        <v/>
      </c>
      <c r="P127" s="337" t="str">
        <f t="shared" si="63"/>
        <v/>
      </c>
      <c r="Q127" s="335" t="str">
        <f t="shared" si="64"/>
        <v/>
      </c>
      <c r="R127" s="337" t="str">
        <f t="shared" si="65"/>
        <v/>
      </c>
      <c r="T127" s="333">
        <f t="shared" si="66"/>
        <v>20</v>
      </c>
      <c r="U127" s="334" t="str">
        <f t="shared" si="67"/>
        <v/>
      </c>
      <c r="V127" s="334" t="str">
        <f t="shared" si="67"/>
        <v/>
      </c>
      <c r="W127" s="335" t="str">
        <f>IF($U127="","",SUMPRODUCT(--(Lineups!AG$50:AG$87=$U127),--(Lineups!AB$50:AB$87="")))</f>
        <v/>
      </c>
      <c r="X127" s="337" t="str">
        <f t="shared" si="68"/>
        <v/>
      </c>
      <c r="Y127" s="344" t="str">
        <f>IF($U127="","",SUMPRODUCT(--(Lineups!AG$50:AG$87=$U127),--(Lineups!AB$50:AB$87="X")))</f>
        <v/>
      </c>
      <c r="Z127" s="344" t="str">
        <f>IF($U127="","",SUMPRODUCT(--(Lineups!AK$50:AK$87=$U127),--(Lineups!AA$50:AA$87&lt;&gt;"SP")))</f>
        <v/>
      </c>
      <c r="AA127" s="344" t="str">
        <f>IF($U127="","",SUMPRODUCT(--(Lineups!AO$50:AO$87=$U127),--(Lineups!AA$50:AA$87&lt;&gt;"SP")))</f>
        <v/>
      </c>
      <c r="AB127" s="344" t="str">
        <f>IF($U127="","",SUMPRODUCT(--(Lineups!AS$50:AS$87=$U127),--(Lineups!AA$50:AA$87&lt;&gt;"SP")))</f>
        <v/>
      </c>
      <c r="AC127" s="335" t="str">
        <f t="shared" si="69"/>
        <v/>
      </c>
      <c r="AD127" s="337" t="str">
        <f t="shared" si="70"/>
        <v/>
      </c>
      <c r="AE127" s="335" t="str">
        <f t="shared" si="71"/>
        <v/>
      </c>
      <c r="AF127" s="337" t="str">
        <f t="shared" si="72"/>
        <v/>
      </c>
      <c r="AG127" s="342" t="str">
        <f>IF(U127="","",IF(OR(SK!U242="",SK!U242=0),"",SK!X242))</f>
        <v/>
      </c>
      <c r="AH127" s="335" t="str">
        <f>IF($U127="","",SUMPRODUCT(--(Lineups!AC$50:AC$87=$U127)))</f>
        <v/>
      </c>
      <c r="AI127" s="337" t="str">
        <f t="shared" si="73"/>
        <v/>
      </c>
      <c r="AJ127" s="335" t="str">
        <f t="shared" si="74"/>
        <v/>
      </c>
      <c r="AK127" s="337" t="str">
        <f t="shared" si="75"/>
        <v/>
      </c>
    </row>
    <row r="129" spans="1:37" x14ac:dyDescent="0.3">
      <c r="A129" s="1363" t="s">
        <v>52</v>
      </c>
      <c r="B129" s="1363"/>
      <c r="C129" s="1363"/>
      <c r="D129" s="236"/>
      <c r="E129" s="236"/>
      <c r="F129" s="236"/>
      <c r="G129" s="236"/>
      <c r="H129" s="236"/>
      <c r="I129" s="236"/>
      <c r="J129" s="236"/>
      <c r="K129" s="236"/>
      <c r="L129" s="236"/>
      <c r="M129" s="236"/>
      <c r="N129" s="236"/>
      <c r="O129" s="236"/>
      <c r="P129" s="236"/>
      <c r="Q129" s="236"/>
      <c r="R129" s="236"/>
      <c r="T129" s="1363" t="s">
        <v>52</v>
      </c>
      <c r="U129" s="1363"/>
      <c r="V129" s="1363"/>
      <c r="W129" s="236"/>
      <c r="X129" s="236"/>
      <c r="Y129" s="236"/>
      <c r="Z129" s="236"/>
      <c r="AA129" s="236"/>
      <c r="AB129" s="236"/>
      <c r="AC129" s="236"/>
      <c r="AD129" s="236"/>
      <c r="AE129" s="236"/>
      <c r="AF129" s="236"/>
      <c r="AG129" s="236"/>
      <c r="AH129" s="236"/>
      <c r="AI129" s="236"/>
      <c r="AJ129" s="236"/>
      <c r="AK129" s="236"/>
    </row>
    <row r="130" spans="1:37" x14ac:dyDescent="0.3">
      <c r="A130" s="338">
        <v>0</v>
      </c>
      <c r="B130" s="338" t="s">
        <v>36</v>
      </c>
      <c r="C130" s="338" t="s">
        <v>37</v>
      </c>
      <c r="D130" s="338" t="s">
        <v>175</v>
      </c>
      <c r="E130" s="234"/>
      <c r="F130" s="343" t="s">
        <v>176</v>
      </c>
      <c r="G130" s="343" t="s">
        <v>176</v>
      </c>
      <c r="H130" s="343" t="s">
        <v>176</v>
      </c>
      <c r="I130" s="343" t="s">
        <v>176</v>
      </c>
      <c r="J130" s="338" t="s">
        <v>46</v>
      </c>
      <c r="K130" s="234"/>
      <c r="L130" s="338" t="s">
        <v>48</v>
      </c>
      <c r="M130" s="234"/>
      <c r="N130" s="340" t="s">
        <v>25</v>
      </c>
      <c r="O130" s="338" t="s">
        <v>177</v>
      </c>
      <c r="P130" s="234"/>
      <c r="Q130" s="338" t="s">
        <v>19</v>
      </c>
      <c r="R130" s="234"/>
      <c r="T130" s="338">
        <v>0</v>
      </c>
      <c r="U130" s="338" t="s">
        <v>36</v>
      </c>
      <c r="V130" s="338" t="s">
        <v>37</v>
      </c>
      <c r="W130" s="338" t="s">
        <v>175</v>
      </c>
      <c r="X130" s="234"/>
      <c r="Y130" s="343" t="s">
        <v>176</v>
      </c>
      <c r="Z130" s="343" t="s">
        <v>176</v>
      </c>
      <c r="AA130" s="343" t="s">
        <v>176</v>
      </c>
      <c r="AB130" s="343" t="s">
        <v>176</v>
      </c>
      <c r="AC130" s="338" t="s">
        <v>46</v>
      </c>
      <c r="AD130" s="234"/>
      <c r="AE130" s="338" t="s">
        <v>48</v>
      </c>
      <c r="AF130" s="234"/>
      <c r="AG130" s="340" t="s">
        <v>25</v>
      </c>
      <c r="AH130" s="338" t="s">
        <v>177</v>
      </c>
      <c r="AI130" s="234"/>
      <c r="AJ130" s="338" t="s">
        <v>19</v>
      </c>
      <c r="AK130" s="234"/>
    </row>
    <row r="131" spans="1:37" x14ac:dyDescent="0.3">
      <c r="A131" s="45">
        <f t="shared" ref="A131:A150" si="76">A130+1</f>
        <v>1</v>
      </c>
      <c r="B131" s="45" t="str">
        <f t="shared" ref="B131:C150" si="77">B108</f>
        <v>12</v>
      </c>
      <c r="C131" s="45" t="str">
        <f t="shared" si="77"/>
        <v>Carmen Getsome</v>
      </c>
      <c r="D131" s="45">
        <f t="shared" ref="D131:D150" ca="1" si="78">IF($B131="","",D154-D177)</f>
        <v>13</v>
      </c>
      <c r="F131" s="344">
        <f t="shared" ref="F131:I150" ca="1" si="79">IF($B131="","",F154-F177)</f>
        <v>0</v>
      </c>
      <c r="G131" s="344">
        <f t="shared" ref="G131:G150" ca="1" si="80">IF($B131="","",G154-G177)</f>
        <v>0</v>
      </c>
      <c r="H131" s="344">
        <f t="shared" ca="1" si="79"/>
        <v>25</v>
      </c>
      <c r="I131" s="344">
        <f t="shared" ca="1" si="79"/>
        <v>28</v>
      </c>
      <c r="J131" s="45">
        <f t="shared" ref="J131:J150" ca="1" si="81">IF(B131="","",SUM(F131:I131))</f>
        <v>53</v>
      </c>
      <c r="L131" s="45">
        <f t="shared" ref="L131:L150" ca="1" si="82">IF(B131="","",SUM(D131,J131))</f>
        <v>66</v>
      </c>
      <c r="O131" s="45">
        <f t="shared" ref="O131:O150" ca="1" si="83">IF($B131="","",O154-O177)</f>
        <v>11</v>
      </c>
      <c r="Q131" s="45">
        <f t="shared" ref="Q131:Q150" ca="1" si="84">IF(B131="","",SUM(L131,O131))</f>
        <v>77</v>
      </c>
      <c r="T131" s="45">
        <f t="shared" ref="T131:T150" si="85">T130+1</f>
        <v>1</v>
      </c>
      <c r="U131" s="45" t="str">
        <f t="shared" ref="U131:V150" si="86">U108</f>
        <v>112</v>
      </c>
      <c r="V131" s="45" t="str">
        <f t="shared" si="86"/>
        <v>Singapore Rogue</v>
      </c>
      <c r="W131" s="45">
        <f t="shared" ref="W131:W150" ca="1" si="87">IF($U131="","",W154-W177)</f>
        <v>10</v>
      </c>
      <c r="Y131" s="344">
        <f t="shared" ref="Y131:Y150" ca="1" si="88">IF($U131="",0,Y154-Y177)</f>
        <v>0</v>
      </c>
      <c r="Z131" s="344">
        <f t="shared" ref="Z131:AB150" ca="1" si="89">IF($U131="","",Z154-Z177)</f>
        <v>-8</v>
      </c>
      <c r="AA131" s="344">
        <f t="shared" ca="1" si="89"/>
        <v>-30</v>
      </c>
      <c r="AB131" s="344">
        <f t="shared" ca="1" si="89"/>
        <v>0</v>
      </c>
      <c r="AC131" s="45">
        <f ca="1">IF(U131="","",SUM(Y131:AB131))</f>
        <v>-38</v>
      </c>
      <c r="AE131" s="45">
        <f t="shared" ref="AE131:AE150" ca="1" si="90">IF(U131="","",SUM(W131,AC131))</f>
        <v>-28</v>
      </c>
      <c r="AH131" s="45">
        <f t="shared" ref="AH131:AH150" ca="1" si="91">IF($B131="","",AH154-AH177)</f>
        <v>0</v>
      </c>
      <c r="AJ131" s="45">
        <f t="shared" ref="AJ131:AJ150" ca="1" si="92">IF(U131="","",SUM(AE131,AH131))</f>
        <v>-28</v>
      </c>
    </row>
    <row r="132" spans="1:37" x14ac:dyDescent="0.3">
      <c r="A132" s="333">
        <f t="shared" si="76"/>
        <v>2</v>
      </c>
      <c r="B132" s="333" t="str">
        <f t="shared" si="77"/>
        <v>123</v>
      </c>
      <c r="C132" s="333" t="str">
        <f t="shared" si="77"/>
        <v>Nelson</v>
      </c>
      <c r="D132" s="333">
        <f t="shared" ca="1" si="78"/>
        <v>38</v>
      </c>
      <c r="F132" s="344">
        <f t="shared" ca="1" si="79"/>
        <v>0</v>
      </c>
      <c r="G132" s="344">
        <f t="shared" ca="1" si="80"/>
        <v>0</v>
      </c>
      <c r="H132" s="344">
        <f t="shared" ca="1" si="79"/>
        <v>-5</v>
      </c>
      <c r="I132" s="344">
        <f t="shared" ca="1" si="79"/>
        <v>1</v>
      </c>
      <c r="J132" s="333">
        <f t="shared" ca="1" si="81"/>
        <v>-4</v>
      </c>
      <c r="L132" s="333">
        <f t="shared" ca="1" si="82"/>
        <v>34</v>
      </c>
      <c r="O132" s="333">
        <f t="shared" ca="1" si="83"/>
        <v>0</v>
      </c>
      <c r="Q132" s="333">
        <f t="shared" ca="1" si="84"/>
        <v>34</v>
      </c>
      <c r="T132" s="333">
        <f t="shared" si="85"/>
        <v>2</v>
      </c>
      <c r="U132" s="333" t="str">
        <f t="shared" si="86"/>
        <v>1542</v>
      </c>
      <c r="V132" s="333" t="str">
        <f t="shared" si="86"/>
        <v>Mary Queen of Skates</v>
      </c>
      <c r="W132" s="333">
        <f t="shared" ca="1" si="87"/>
        <v>0</v>
      </c>
      <c r="Y132" s="344">
        <f t="shared" ca="1" si="88"/>
        <v>0</v>
      </c>
      <c r="Z132" s="344">
        <f t="shared" ca="1" si="89"/>
        <v>0</v>
      </c>
      <c r="AA132" s="344">
        <f t="shared" ca="1" si="89"/>
        <v>-4</v>
      </c>
      <c r="AB132" s="344">
        <f t="shared" ca="1" si="89"/>
        <v>-29</v>
      </c>
      <c r="AC132" s="333">
        <f t="shared" ref="AC132:AC150" ca="1" si="93">IF(U132="","",SUM(Y132:AB132))</f>
        <v>-33</v>
      </c>
      <c r="AE132" s="333">
        <f t="shared" ca="1" si="90"/>
        <v>-33</v>
      </c>
      <c r="AH132" s="333">
        <f t="shared" ca="1" si="91"/>
        <v>0</v>
      </c>
      <c r="AJ132" s="333">
        <f t="shared" ca="1" si="92"/>
        <v>-33</v>
      </c>
    </row>
    <row r="133" spans="1:37" x14ac:dyDescent="0.3">
      <c r="A133" s="45">
        <f t="shared" si="76"/>
        <v>3</v>
      </c>
      <c r="B133" s="45" t="str">
        <f t="shared" si="77"/>
        <v>14</v>
      </c>
      <c r="C133" s="45" t="str">
        <f t="shared" si="77"/>
        <v>Shorty Ounce</v>
      </c>
      <c r="D133" s="45">
        <f t="shared" ca="1" si="78"/>
        <v>0</v>
      </c>
      <c r="F133" s="344">
        <f t="shared" ca="1" si="79"/>
        <v>0</v>
      </c>
      <c r="G133" s="344">
        <f t="shared" ca="1" si="80"/>
        <v>-1</v>
      </c>
      <c r="H133" s="344">
        <f t="shared" ca="1" si="79"/>
        <v>-9</v>
      </c>
      <c r="I133" s="344">
        <f t="shared" ca="1" si="79"/>
        <v>10</v>
      </c>
      <c r="J133" s="45">
        <f t="shared" ca="1" si="81"/>
        <v>0</v>
      </c>
      <c r="L133" s="45">
        <f t="shared" ca="1" si="82"/>
        <v>0</v>
      </c>
      <c r="O133" s="45">
        <f t="shared" ca="1" si="83"/>
        <v>0</v>
      </c>
      <c r="Q133" s="45">
        <f t="shared" ca="1" si="84"/>
        <v>0</v>
      </c>
      <c r="T133" s="45">
        <f t="shared" si="85"/>
        <v>3</v>
      </c>
      <c r="U133" s="45" t="str">
        <f t="shared" si="86"/>
        <v>16</v>
      </c>
      <c r="V133" s="45" t="str">
        <f t="shared" si="86"/>
        <v>Mistilla</v>
      </c>
      <c r="W133" s="45">
        <f t="shared" ca="1" si="87"/>
        <v>-37</v>
      </c>
      <c r="Y133" s="344">
        <f t="shared" ca="1" si="88"/>
        <v>0</v>
      </c>
      <c r="Z133" s="344">
        <f t="shared" ca="1" si="89"/>
        <v>0</v>
      </c>
      <c r="AA133" s="344">
        <f t="shared" ca="1" si="89"/>
        <v>0</v>
      </c>
      <c r="AB133" s="344">
        <f t="shared" ca="1" si="89"/>
        <v>0</v>
      </c>
      <c r="AC133" s="45">
        <f t="shared" ca="1" si="93"/>
        <v>0</v>
      </c>
      <c r="AE133" s="45">
        <f t="shared" ca="1" si="90"/>
        <v>-37</v>
      </c>
      <c r="AH133" s="45">
        <f t="shared" ca="1" si="91"/>
        <v>0</v>
      </c>
      <c r="AJ133" s="45">
        <f t="shared" ca="1" si="92"/>
        <v>-37</v>
      </c>
    </row>
    <row r="134" spans="1:37" x14ac:dyDescent="0.3">
      <c r="A134" s="333">
        <f t="shared" si="76"/>
        <v>4</v>
      </c>
      <c r="B134" s="333" t="str">
        <f t="shared" si="77"/>
        <v>1618</v>
      </c>
      <c r="C134" s="333" t="str">
        <f t="shared" si="77"/>
        <v>Sintripital Force</v>
      </c>
      <c r="D134" s="333">
        <f t="shared" ca="1" si="78"/>
        <v>0</v>
      </c>
      <c r="F134" s="344">
        <f t="shared" ca="1" si="79"/>
        <v>0</v>
      </c>
      <c r="G134" s="344">
        <f t="shared" ca="1" si="80"/>
        <v>0</v>
      </c>
      <c r="H134" s="344">
        <f t="shared" ca="1" si="79"/>
        <v>0</v>
      </c>
      <c r="I134" s="344">
        <f t="shared" ca="1" si="79"/>
        <v>0</v>
      </c>
      <c r="J134" s="333">
        <f t="shared" ca="1" si="81"/>
        <v>0</v>
      </c>
      <c r="L134" s="333">
        <f t="shared" ca="1" si="82"/>
        <v>0</v>
      </c>
      <c r="O134" s="333">
        <f t="shared" ca="1" si="83"/>
        <v>33</v>
      </c>
      <c r="Q134" s="333">
        <f t="shared" ca="1" si="84"/>
        <v>33</v>
      </c>
      <c r="T134" s="333">
        <f t="shared" si="85"/>
        <v>4</v>
      </c>
      <c r="U134" s="333" t="str">
        <f t="shared" si="86"/>
        <v>19</v>
      </c>
      <c r="V134" s="333" t="str">
        <f t="shared" si="86"/>
        <v>Betty Watchett</v>
      </c>
      <c r="W134" s="333">
        <f t="shared" ca="1" si="87"/>
        <v>-55</v>
      </c>
      <c r="Y134" s="344">
        <f t="shared" ca="1" si="88"/>
        <v>0</v>
      </c>
      <c r="Z134" s="344">
        <f t="shared" ca="1" si="89"/>
        <v>0</v>
      </c>
      <c r="AA134" s="344">
        <f t="shared" ca="1" si="89"/>
        <v>0</v>
      </c>
      <c r="AB134" s="344">
        <f t="shared" ca="1" si="89"/>
        <v>0</v>
      </c>
      <c r="AC134" s="333">
        <f t="shared" ca="1" si="93"/>
        <v>0</v>
      </c>
      <c r="AE134" s="333">
        <f t="shared" ca="1" si="90"/>
        <v>-55</v>
      </c>
      <c r="AH134" s="333">
        <f t="shared" ca="1" si="91"/>
        <v>0</v>
      </c>
      <c r="AJ134" s="333">
        <f t="shared" ca="1" si="92"/>
        <v>-55</v>
      </c>
    </row>
    <row r="135" spans="1:37" x14ac:dyDescent="0.3">
      <c r="A135" s="45">
        <f t="shared" si="76"/>
        <v>5</v>
      </c>
      <c r="B135" s="45" t="str">
        <f t="shared" si="77"/>
        <v>22</v>
      </c>
      <c r="C135" s="45" t="str">
        <f t="shared" si="77"/>
        <v>Sami Automatic</v>
      </c>
      <c r="D135" s="45">
        <f t="shared" ca="1" si="78"/>
        <v>0</v>
      </c>
      <c r="F135" s="344">
        <f t="shared" ca="1" si="79"/>
        <v>0</v>
      </c>
      <c r="G135" s="344">
        <f t="shared" ca="1" si="80"/>
        <v>4</v>
      </c>
      <c r="H135" s="344">
        <f t="shared" ca="1" si="79"/>
        <v>12</v>
      </c>
      <c r="I135" s="344">
        <f t="shared" ca="1" si="79"/>
        <v>31</v>
      </c>
      <c r="J135" s="45">
        <f t="shared" ca="1" si="81"/>
        <v>47</v>
      </c>
      <c r="L135" s="45">
        <f t="shared" ca="1" si="82"/>
        <v>47</v>
      </c>
      <c r="O135" s="45">
        <f t="shared" ca="1" si="83"/>
        <v>0</v>
      </c>
      <c r="Q135" s="45">
        <f t="shared" ca="1" si="84"/>
        <v>47</v>
      </c>
      <c r="T135" s="45">
        <f t="shared" si="85"/>
        <v>5</v>
      </c>
      <c r="U135" s="45" t="str">
        <f t="shared" si="86"/>
        <v>2000</v>
      </c>
      <c r="V135" s="45" t="str">
        <f t="shared" si="86"/>
        <v>Lisa Lava</v>
      </c>
      <c r="W135" s="45">
        <f t="shared" ca="1" si="87"/>
        <v>0</v>
      </c>
      <c r="Y135" s="344">
        <f t="shared" ca="1" si="88"/>
        <v>-9</v>
      </c>
      <c r="Z135" s="344">
        <f t="shared" ca="1" si="89"/>
        <v>0</v>
      </c>
      <c r="AA135" s="344">
        <f t="shared" ca="1" si="89"/>
        <v>-4</v>
      </c>
      <c r="AB135" s="344">
        <f t="shared" ca="1" si="89"/>
        <v>-43</v>
      </c>
      <c r="AC135" s="45">
        <f t="shared" ca="1" si="93"/>
        <v>-56</v>
      </c>
      <c r="AE135" s="45">
        <f t="shared" ca="1" si="90"/>
        <v>-56</v>
      </c>
      <c r="AH135" s="45">
        <f t="shared" ca="1" si="91"/>
        <v>0</v>
      </c>
      <c r="AJ135" s="45">
        <f t="shared" ca="1" si="92"/>
        <v>-56</v>
      </c>
    </row>
    <row r="136" spans="1:37" x14ac:dyDescent="0.3">
      <c r="A136" s="333">
        <f t="shared" si="76"/>
        <v>6</v>
      </c>
      <c r="B136" s="333" t="str">
        <f t="shared" si="77"/>
        <v>23</v>
      </c>
      <c r="C136" s="333" t="str">
        <f t="shared" si="77"/>
        <v>LeBrawn Maimes</v>
      </c>
      <c r="D136" s="333">
        <f t="shared" ca="1" si="78"/>
        <v>0</v>
      </c>
      <c r="F136" s="344">
        <f t="shared" ca="1" si="79"/>
        <v>0</v>
      </c>
      <c r="G136" s="344">
        <f t="shared" ca="1" si="80"/>
        <v>0</v>
      </c>
      <c r="H136" s="344">
        <f t="shared" ca="1" si="79"/>
        <v>0</v>
      </c>
      <c r="I136" s="344">
        <f t="shared" ca="1" si="79"/>
        <v>0</v>
      </c>
      <c r="J136" s="333">
        <f t="shared" ca="1" si="81"/>
        <v>0</v>
      </c>
      <c r="L136" s="333">
        <f t="shared" ca="1" si="82"/>
        <v>0</v>
      </c>
      <c r="O136" s="333">
        <f t="shared" ca="1" si="83"/>
        <v>-3</v>
      </c>
      <c r="Q136" s="333">
        <f t="shared" ca="1" si="84"/>
        <v>-3</v>
      </c>
      <c r="T136" s="333">
        <f t="shared" si="85"/>
        <v>6</v>
      </c>
      <c r="U136" s="333" t="str">
        <f t="shared" si="86"/>
        <v>201</v>
      </c>
      <c r="V136" s="333" t="str">
        <f t="shared" si="86"/>
        <v>Dutch Destroyer</v>
      </c>
      <c r="W136" s="333">
        <f t="shared" ca="1" si="87"/>
        <v>0</v>
      </c>
      <c r="Y136" s="344">
        <f t="shared" ca="1" si="88"/>
        <v>0</v>
      </c>
      <c r="Z136" s="344">
        <f t="shared" ca="1" si="89"/>
        <v>-29</v>
      </c>
      <c r="AA136" s="344">
        <f t="shared" ca="1" si="89"/>
        <v>-4</v>
      </c>
      <c r="AB136" s="344">
        <f t="shared" ca="1" si="89"/>
        <v>0</v>
      </c>
      <c r="AC136" s="333">
        <f t="shared" ca="1" si="93"/>
        <v>-33</v>
      </c>
      <c r="AE136" s="333">
        <f t="shared" ca="1" si="90"/>
        <v>-33</v>
      </c>
      <c r="AH136" s="333">
        <f t="shared" ca="1" si="91"/>
        <v>0</v>
      </c>
      <c r="AJ136" s="333">
        <f t="shared" ca="1" si="92"/>
        <v>-33</v>
      </c>
    </row>
    <row r="137" spans="1:37" x14ac:dyDescent="0.3">
      <c r="A137" s="45">
        <f t="shared" si="76"/>
        <v>7</v>
      </c>
      <c r="B137" s="45" t="str">
        <f t="shared" si="77"/>
        <v>321</v>
      </c>
      <c r="C137" s="45" t="str">
        <f t="shared" si="77"/>
        <v>Missile America</v>
      </c>
      <c r="D137" s="45">
        <f t="shared" ca="1" si="78"/>
        <v>0</v>
      </c>
      <c r="F137" s="344">
        <f t="shared" ca="1" si="79"/>
        <v>0</v>
      </c>
      <c r="G137" s="344">
        <f t="shared" ca="1" si="80"/>
        <v>35</v>
      </c>
      <c r="H137" s="344">
        <f t="shared" ca="1" si="79"/>
        <v>8</v>
      </c>
      <c r="I137" s="344">
        <f t="shared" ca="1" si="79"/>
        <v>34</v>
      </c>
      <c r="J137" s="45">
        <f t="shared" ca="1" si="81"/>
        <v>77</v>
      </c>
      <c r="L137" s="45">
        <f t="shared" ca="1" si="82"/>
        <v>77</v>
      </c>
      <c r="O137" s="45">
        <f t="shared" ca="1" si="83"/>
        <v>0</v>
      </c>
      <c r="Q137" s="45">
        <f t="shared" ca="1" si="84"/>
        <v>77</v>
      </c>
      <c r="T137" s="45">
        <f t="shared" si="85"/>
        <v>7</v>
      </c>
      <c r="U137" s="45" t="str">
        <f t="shared" si="86"/>
        <v>21</v>
      </c>
      <c r="V137" s="45" t="str">
        <f t="shared" si="86"/>
        <v>Jekyll &amp; Heidi</v>
      </c>
      <c r="W137" s="45">
        <f t="shared" ca="1" si="87"/>
        <v>0</v>
      </c>
      <c r="Y137" s="344">
        <f t="shared" ca="1" si="88"/>
        <v>0</v>
      </c>
      <c r="Z137" s="344">
        <f t="shared" ca="1" si="89"/>
        <v>6</v>
      </c>
      <c r="AA137" s="344">
        <f t="shared" ca="1" si="89"/>
        <v>-58</v>
      </c>
      <c r="AB137" s="344">
        <f t="shared" ca="1" si="89"/>
        <v>-13</v>
      </c>
      <c r="AC137" s="45">
        <f t="shared" ca="1" si="93"/>
        <v>-65</v>
      </c>
      <c r="AE137" s="45">
        <f t="shared" ca="1" si="90"/>
        <v>-65</v>
      </c>
      <c r="AH137" s="45">
        <f t="shared" ca="1" si="91"/>
        <v>0</v>
      </c>
      <c r="AJ137" s="45">
        <f t="shared" ca="1" si="92"/>
        <v>-65</v>
      </c>
    </row>
    <row r="138" spans="1:37" x14ac:dyDescent="0.3">
      <c r="A138" s="333">
        <f t="shared" si="76"/>
        <v>8</v>
      </c>
      <c r="B138" s="333" t="str">
        <f t="shared" si="77"/>
        <v>4</v>
      </c>
      <c r="C138" s="333" t="str">
        <f t="shared" si="77"/>
        <v>Belle Tolls</v>
      </c>
      <c r="D138" s="333">
        <f t="shared" ca="1" si="78"/>
        <v>0</v>
      </c>
      <c r="F138" s="344">
        <f t="shared" ca="1" si="79"/>
        <v>0</v>
      </c>
      <c r="G138" s="344">
        <f t="shared" ca="1" si="80"/>
        <v>10</v>
      </c>
      <c r="H138" s="344">
        <f t="shared" ca="1" si="79"/>
        <v>59</v>
      </c>
      <c r="I138" s="344">
        <f t="shared" ca="1" si="79"/>
        <v>-1</v>
      </c>
      <c r="J138" s="333">
        <f t="shared" ca="1" si="81"/>
        <v>68</v>
      </c>
      <c r="L138" s="333">
        <f t="shared" ca="1" si="82"/>
        <v>68</v>
      </c>
      <c r="O138" s="333">
        <f t="shared" ca="1" si="83"/>
        <v>0</v>
      </c>
      <c r="Q138" s="333">
        <f t="shared" ca="1" si="84"/>
        <v>68</v>
      </c>
      <c r="T138" s="333">
        <f t="shared" si="85"/>
        <v>8</v>
      </c>
      <c r="U138" s="333" t="str">
        <f t="shared" si="86"/>
        <v>22</v>
      </c>
      <c r="V138" s="333" t="str">
        <f t="shared" si="86"/>
        <v>Freight Train</v>
      </c>
      <c r="W138" s="333">
        <f t="shared" ca="1" si="87"/>
        <v>0</v>
      </c>
      <c r="Y138" s="344">
        <f t="shared" ca="1" si="88"/>
        <v>0</v>
      </c>
      <c r="Z138" s="344">
        <f t="shared" ca="1" si="89"/>
        <v>0</v>
      </c>
      <c r="AA138" s="344">
        <f t="shared" ca="1" si="89"/>
        <v>0</v>
      </c>
      <c r="AB138" s="344">
        <f t="shared" ca="1" si="89"/>
        <v>0</v>
      </c>
      <c r="AC138" s="333">
        <f t="shared" ca="1" si="93"/>
        <v>0</v>
      </c>
      <c r="AE138" s="333">
        <f t="shared" ca="1" si="90"/>
        <v>0</v>
      </c>
      <c r="AH138" s="333">
        <f t="shared" ca="1" si="91"/>
        <v>-9</v>
      </c>
      <c r="AJ138" s="333">
        <f t="shared" ca="1" si="92"/>
        <v>-9</v>
      </c>
    </row>
    <row r="139" spans="1:37" x14ac:dyDescent="0.3">
      <c r="A139" s="45">
        <f t="shared" si="76"/>
        <v>9</v>
      </c>
      <c r="B139" s="45" t="str">
        <f t="shared" si="77"/>
        <v>505</v>
      </c>
      <c r="C139" s="45" t="str">
        <f t="shared" si="77"/>
        <v>Teddy Rupp</v>
      </c>
      <c r="D139" s="45">
        <f t="shared" ca="1" si="78"/>
        <v>0</v>
      </c>
      <c r="F139" s="344">
        <f t="shared" ca="1" si="79"/>
        <v>0</v>
      </c>
      <c r="G139" s="344">
        <f t="shared" ca="1" si="80"/>
        <v>32</v>
      </c>
      <c r="H139" s="344">
        <f t="shared" ca="1" si="79"/>
        <v>10</v>
      </c>
      <c r="I139" s="344">
        <f t="shared" ca="1" si="79"/>
        <v>-7</v>
      </c>
      <c r="J139" s="45">
        <f t="shared" ca="1" si="81"/>
        <v>35</v>
      </c>
      <c r="L139" s="45">
        <f t="shared" ca="1" si="82"/>
        <v>35</v>
      </c>
      <c r="O139" s="45">
        <f t="shared" ca="1" si="83"/>
        <v>0</v>
      </c>
      <c r="Q139" s="45">
        <f t="shared" ca="1" si="84"/>
        <v>35</v>
      </c>
      <c r="T139" s="45">
        <f t="shared" si="85"/>
        <v>9</v>
      </c>
      <c r="U139" s="45" t="str">
        <f t="shared" si="86"/>
        <v>312</v>
      </c>
      <c r="V139" s="45" t="str">
        <f t="shared" si="86"/>
        <v>2x Force</v>
      </c>
      <c r="W139" s="45">
        <f t="shared" ca="1" si="87"/>
        <v>0</v>
      </c>
      <c r="Y139" s="344">
        <f t="shared" ca="1" si="88"/>
        <v>0</v>
      </c>
      <c r="Z139" s="344">
        <f t="shared" ca="1" si="89"/>
        <v>-25</v>
      </c>
      <c r="AA139" s="344">
        <f t="shared" ca="1" si="89"/>
        <v>10</v>
      </c>
      <c r="AB139" s="344">
        <f t="shared" ca="1" si="89"/>
        <v>-19</v>
      </c>
      <c r="AC139" s="45">
        <f t="shared" ca="1" si="93"/>
        <v>-34</v>
      </c>
      <c r="AE139" s="45">
        <f t="shared" ca="1" si="90"/>
        <v>-34</v>
      </c>
      <c r="AH139" s="45">
        <f t="shared" ca="1" si="91"/>
        <v>0</v>
      </c>
      <c r="AJ139" s="45">
        <f t="shared" ca="1" si="92"/>
        <v>-34</v>
      </c>
    </row>
    <row r="140" spans="1:37" x14ac:dyDescent="0.3">
      <c r="A140" s="333">
        <f t="shared" si="76"/>
        <v>10</v>
      </c>
      <c r="B140" s="333" t="str">
        <f t="shared" si="77"/>
        <v>53</v>
      </c>
      <c r="C140" s="333" t="str">
        <f t="shared" si="77"/>
        <v>Raven Seaward</v>
      </c>
      <c r="D140" s="333">
        <f t="shared" ca="1" si="78"/>
        <v>9</v>
      </c>
      <c r="F140" s="344">
        <f t="shared" ca="1" si="79"/>
        <v>0</v>
      </c>
      <c r="G140" s="344">
        <f t="shared" ca="1" si="80"/>
        <v>30</v>
      </c>
      <c r="H140" s="344">
        <f t="shared" ca="1" si="79"/>
        <v>1</v>
      </c>
      <c r="I140" s="344">
        <f t="shared" ca="1" si="79"/>
        <v>35</v>
      </c>
      <c r="J140" s="333">
        <f t="shared" ca="1" si="81"/>
        <v>66</v>
      </c>
      <c r="L140" s="333">
        <f t="shared" ca="1" si="82"/>
        <v>75</v>
      </c>
      <c r="O140" s="333">
        <f t="shared" ca="1" si="83"/>
        <v>0</v>
      </c>
      <c r="Q140" s="333">
        <f t="shared" ca="1" si="84"/>
        <v>75</v>
      </c>
      <c r="T140" s="333">
        <f t="shared" si="85"/>
        <v>10</v>
      </c>
      <c r="U140" s="333" t="str">
        <f t="shared" si="86"/>
        <v>51</v>
      </c>
      <c r="V140" s="333" t="str">
        <f t="shared" si="86"/>
        <v>Bustin’ Beaver</v>
      </c>
      <c r="W140" s="333">
        <f t="shared" ca="1" si="87"/>
        <v>-28</v>
      </c>
      <c r="Y140" s="344">
        <f t="shared" ca="1" si="88"/>
        <v>0</v>
      </c>
      <c r="Z140" s="344">
        <f t="shared" ca="1" si="89"/>
        <v>0</v>
      </c>
      <c r="AA140" s="344">
        <f t="shared" ca="1" si="89"/>
        <v>0</v>
      </c>
      <c r="AB140" s="344">
        <f t="shared" ca="1" si="89"/>
        <v>0</v>
      </c>
      <c r="AC140" s="333">
        <f t="shared" ca="1" si="93"/>
        <v>0</v>
      </c>
      <c r="AE140" s="333">
        <f t="shared" ca="1" si="90"/>
        <v>-28</v>
      </c>
      <c r="AH140" s="333">
        <f t="shared" ca="1" si="91"/>
        <v>-31</v>
      </c>
      <c r="AJ140" s="333">
        <f t="shared" ca="1" si="92"/>
        <v>-59</v>
      </c>
    </row>
    <row r="141" spans="1:37" x14ac:dyDescent="0.3">
      <c r="A141" s="45">
        <f t="shared" si="76"/>
        <v>11</v>
      </c>
      <c r="B141" s="45" t="str">
        <f t="shared" si="77"/>
        <v>761</v>
      </c>
      <c r="C141" s="45" t="str">
        <f t="shared" si="77"/>
        <v>Rawkhell SqWelch</v>
      </c>
      <c r="D141" s="45">
        <f t="shared" ca="1" si="78"/>
        <v>0</v>
      </c>
      <c r="F141" s="344">
        <f t="shared" ca="1" si="79"/>
        <v>11</v>
      </c>
      <c r="G141" s="344">
        <f t="shared" ca="1" si="80"/>
        <v>0</v>
      </c>
      <c r="H141" s="344">
        <f t="shared" ca="1" si="79"/>
        <v>0</v>
      </c>
      <c r="I141" s="344">
        <f t="shared" ca="1" si="79"/>
        <v>0</v>
      </c>
      <c r="J141" s="45">
        <f t="shared" ca="1" si="81"/>
        <v>11</v>
      </c>
      <c r="L141" s="45">
        <f t="shared" ca="1" si="82"/>
        <v>11</v>
      </c>
      <c r="O141" s="45">
        <f t="shared" ca="1" si="83"/>
        <v>38</v>
      </c>
      <c r="Q141" s="45">
        <f t="shared" ca="1" si="84"/>
        <v>49</v>
      </c>
      <c r="T141" s="45">
        <f t="shared" si="85"/>
        <v>11</v>
      </c>
      <c r="U141" s="45" t="str">
        <f t="shared" si="86"/>
        <v>5309</v>
      </c>
      <c r="V141" s="45" t="str">
        <f t="shared" si="86"/>
        <v>Toxic Assets</v>
      </c>
      <c r="W141" s="45">
        <f t="shared" ca="1" si="87"/>
        <v>0</v>
      </c>
      <c r="Y141" s="344">
        <f t="shared" ca="1" si="88"/>
        <v>0</v>
      </c>
      <c r="Z141" s="344">
        <f t="shared" ca="1" si="89"/>
        <v>-39</v>
      </c>
      <c r="AA141" s="344">
        <f t="shared" ca="1" si="89"/>
        <v>0</v>
      </c>
      <c r="AB141" s="344">
        <f t="shared" ca="1" si="89"/>
        <v>-25</v>
      </c>
      <c r="AC141" s="45">
        <f t="shared" ca="1" si="93"/>
        <v>-64</v>
      </c>
      <c r="AE141" s="45">
        <f t="shared" ca="1" si="90"/>
        <v>-64</v>
      </c>
      <c r="AH141" s="45">
        <f t="shared" ca="1" si="91"/>
        <v>0</v>
      </c>
      <c r="AJ141" s="45">
        <f t="shared" ca="1" si="92"/>
        <v>-64</v>
      </c>
    </row>
    <row r="142" spans="1:37" x14ac:dyDescent="0.3">
      <c r="A142" s="333">
        <f t="shared" si="76"/>
        <v>12</v>
      </c>
      <c r="B142" s="333" t="str">
        <f t="shared" si="77"/>
        <v>808</v>
      </c>
      <c r="C142" s="333" t="str">
        <f t="shared" si="77"/>
        <v>Kendle Bjelland</v>
      </c>
      <c r="D142" s="333">
        <f t="shared" ca="1" si="78"/>
        <v>0</v>
      </c>
      <c r="F142" s="344">
        <f t="shared" ca="1" si="79"/>
        <v>0</v>
      </c>
      <c r="G142" s="344">
        <f t="shared" ca="1" si="80"/>
        <v>-10</v>
      </c>
      <c r="H142" s="344">
        <f t="shared" ca="1" si="79"/>
        <v>29</v>
      </c>
      <c r="I142" s="344">
        <f t="shared" ca="1" si="79"/>
        <v>4</v>
      </c>
      <c r="J142" s="333">
        <f t="shared" ca="1" si="81"/>
        <v>23</v>
      </c>
      <c r="L142" s="333">
        <f t="shared" ca="1" si="82"/>
        <v>23</v>
      </c>
      <c r="O142" s="333">
        <f t="shared" ca="1" si="83"/>
        <v>0</v>
      </c>
      <c r="Q142" s="333">
        <f t="shared" ca="1" si="84"/>
        <v>23</v>
      </c>
      <c r="T142" s="333">
        <f t="shared" si="85"/>
        <v>12</v>
      </c>
      <c r="U142" s="333" t="str">
        <f t="shared" si="86"/>
        <v>69</v>
      </c>
      <c r="V142" s="333" t="str">
        <f t="shared" si="86"/>
        <v>Death By Chocolate</v>
      </c>
      <c r="W142" s="333">
        <f t="shared" ca="1" si="87"/>
        <v>0</v>
      </c>
      <c r="Y142" s="344">
        <f t="shared" ca="1" si="88"/>
        <v>0</v>
      </c>
      <c r="Z142" s="344">
        <f t="shared" ca="1" si="89"/>
        <v>0</v>
      </c>
      <c r="AA142" s="344">
        <f t="shared" ca="1" si="89"/>
        <v>0</v>
      </c>
      <c r="AB142" s="344">
        <f t="shared" ca="1" si="89"/>
        <v>0</v>
      </c>
      <c r="AC142" s="333">
        <f t="shared" ca="1" si="93"/>
        <v>0</v>
      </c>
      <c r="AE142" s="333">
        <f t="shared" ca="1" si="90"/>
        <v>0</v>
      </c>
      <c r="AH142" s="333">
        <f t="shared" ca="1" si="91"/>
        <v>-75</v>
      </c>
      <c r="AJ142" s="333">
        <f t="shared" ca="1" si="92"/>
        <v>-75</v>
      </c>
    </row>
    <row r="143" spans="1:37" x14ac:dyDescent="0.3">
      <c r="A143" s="45">
        <f t="shared" si="76"/>
        <v>13</v>
      </c>
      <c r="B143" s="45" t="str">
        <f t="shared" si="77"/>
        <v>9</v>
      </c>
      <c r="C143" s="45" t="str">
        <f t="shared" si="77"/>
        <v>P. Wilhelm</v>
      </c>
      <c r="D143" s="45">
        <f t="shared" ca="1" si="78"/>
        <v>59</v>
      </c>
      <c r="F143" s="344">
        <f t="shared" ca="1" si="79"/>
        <v>0</v>
      </c>
      <c r="G143" s="344">
        <f t="shared" ca="1" si="80"/>
        <v>30</v>
      </c>
      <c r="H143" s="344">
        <f t="shared" ca="1" si="79"/>
        <v>0</v>
      </c>
      <c r="I143" s="344">
        <f t="shared" ca="1" si="79"/>
        <v>-5</v>
      </c>
      <c r="J143" s="45">
        <f t="shared" ca="1" si="81"/>
        <v>25</v>
      </c>
      <c r="L143" s="45">
        <f t="shared" ca="1" si="82"/>
        <v>84</v>
      </c>
      <c r="O143" s="45">
        <f t="shared" ca="1" si="83"/>
        <v>0</v>
      </c>
      <c r="Q143" s="45">
        <f t="shared" ca="1" si="84"/>
        <v>84</v>
      </c>
      <c r="T143" s="45">
        <f t="shared" si="85"/>
        <v>13</v>
      </c>
      <c r="U143" s="45" t="str">
        <f t="shared" si="86"/>
        <v>9</v>
      </c>
      <c r="V143" s="45" t="str">
        <f t="shared" si="86"/>
        <v>Big Bad Voodoo Dollie</v>
      </c>
      <c r="W143" s="45">
        <f t="shared" ca="1" si="87"/>
        <v>0</v>
      </c>
      <c r="Y143" s="344">
        <f t="shared" ca="1" si="88"/>
        <v>0</v>
      </c>
      <c r="Z143" s="344">
        <f t="shared" ca="1" si="89"/>
        <v>0</v>
      </c>
      <c r="AA143" s="344">
        <f t="shared" ca="1" si="89"/>
        <v>0</v>
      </c>
      <c r="AB143" s="344">
        <f t="shared" ca="1" si="89"/>
        <v>0</v>
      </c>
      <c r="AC143" s="45">
        <f t="shared" ca="1" si="93"/>
        <v>0</v>
      </c>
      <c r="AE143" s="45">
        <f t="shared" ca="1" si="90"/>
        <v>0</v>
      </c>
      <c r="AH143" s="45">
        <f t="shared" ca="1" si="91"/>
        <v>-4</v>
      </c>
      <c r="AJ143" s="45">
        <f t="shared" ca="1" si="92"/>
        <v>-4</v>
      </c>
    </row>
    <row r="144" spans="1:37" x14ac:dyDescent="0.3">
      <c r="A144" s="333">
        <f t="shared" si="76"/>
        <v>14</v>
      </c>
      <c r="B144" s="333" t="str">
        <f t="shared" si="77"/>
        <v>911</v>
      </c>
      <c r="C144" s="333" t="str">
        <f t="shared" si="77"/>
        <v>Luna Negra</v>
      </c>
      <c r="D144" s="333">
        <f t="shared" ca="1" si="78"/>
        <v>0</v>
      </c>
      <c r="F144" s="344">
        <f t="shared" ca="1" si="79"/>
        <v>0</v>
      </c>
      <c r="G144" s="344">
        <f t="shared" ca="1" si="80"/>
        <v>0</v>
      </c>
      <c r="H144" s="344">
        <f t="shared" ca="1" si="79"/>
        <v>0</v>
      </c>
      <c r="I144" s="344">
        <f t="shared" ca="1" si="79"/>
        <v>0</v>
      </c>
      <c r="J144" s="333">
        <f t="shared" ca="1" si="81"/>
        <v>0</v>
      </c>
      <c r="L144" s="333">
        <f t="shared" ca="1" si="82"/>
        <v>0</v>
      </c>
      <c r="O144" s="333">
        <f t="shared" ca="1" si="83"/>
        <v>51</v>
      </c>
      <c r="Q144" s="333">
        <f t="shared" ca="1" si="84"/>
        <v>51</v>
      </c>
      <c r="T144" s="333">
        <f t="shared" si="85"/>
        <v>14</v>
      </c>
      <c r="U144" s="333" t="str">
        <f t="shared" si="86"/>
        <v>93</v>
      </c>
      <c r="V144" s="333" t="str">
        <f t="shared" si="86"/>
        <v>Erma Gerd</v>
      </c>
      <c r="W144" s="333">
        <f t="shared" ca="1" si="87"/>
        <v>0</v>
      </c>
      <c r="Y144" s="344">
        <f t="shared" ca="1" si="88"/>
        <v>0</v>
      </c>
      <c r="Z144" s="344">
        <f t="shared" ca="1" si="89"/>
        <v>-24</v>
      </c>
      <c r="AA144" s="344">
        <f t="shared" ca="1" si="89"/>
        <v>-29</v>
      </c>
      <c r="AB144" s="344">
        <f t="shared" ca="1" si="89"/>
        <v>10</v>
      </c>
      <c r="AC144" s="333">
        <f t="shared" ca="1" si="93"/>
        <v>-43</v>
      </c>
      <c r="AE144" s="333">
        <f t="shared" ca="1" si="90"/>
        <v>-43</v>
      </c>
      <c r="AH144" s="333">
        <f t="shared" ca="1" si="91"/>
        <v>0</v>
      </c>
      <c r="AJ144" s="333">
        <f t="shared" ca="1" si="92"/>
        <v>-43</v>
      </c>
    </row>
    <row r="145" spans="1:37" x14ac:dyDescent="0.3">
      <c r="A145" s="45">
        <f t="shared" si="76"/>
        <v>15</v>
      </c>
      <c r="B145" s="45" t="str">
        <f t="shared" si="77"/>
        <v>0</v>
      </c>
      <c r="C145" s="45" t="str">
        <f t="shared" si="77"/>
        <v>Enurgizer Bunny</v>
      </c>
      <c r="D145" s="45">
        <f t="shared" ca="1" si="78"/>
        <v>0</v>
      </c>
      <c r="F145" s="344">
        <f t="shared" ca="1" si="79"/>
        <v>0</v>
      </c>
      <c r="G145" s="344">
        <f t="shared" ca="1" si="80"/>
        <v>0</v>
      </c>
      <c r="H145" s="344">
        <f t="shared" ca="1" si="79"/>
        <v>0</v>
      </c>
      <c r="I145" s="344">
        <f t="shared" ca="1" si="79"/>
        <v>0</v>
      </c>
      <c r="J145" s="45">
        <f t="shared" ca="1" si="81"/>
        <v>0</v>
      </c>
      <c r="L145" s="45">
        <f t="shared" ca="1" si="82"/>
        <v>0</v>
      </c>
      <c r="O145" s="45">
        <f t="shared" ca="1" si="83"/>
        <v>0</v>
      </c>
      <c r="Q145" s="45">
        <f t="shared" ca="1" si="84"/>
        <v>0</v>
      </c>
      <c r="T145" s="45">
        <f t="shared" si="85"/>
        <v>15</v>
      </c>
      <c r="U145" s="45" t="str">
        <f t="shared" si="86"/>
        <v/>
      </c>
      <c r="V145" s="45" t="str">
        <f t="shared" si="86"/>
        <v/>
      </c>
      <c r="W145" s="45" t="str">
        <f t="shared" si="87"/>
        <v/>
      </c>
      <c r="Y145" s="344">
        <f t="shared" si="88"/>
        <v>0</v>
      </c>
      <c r="Z145" s="344" t="str">
        <f t="shared" si="89"/>
        <v/>
      </c>
      <c r="AA145" s="344" t="str">
        <f t="shared" si="89"/>
        <v/>
      </c>
      <c r="AB145" s="344" t="str">
        <f t="shared" si="89"/>
        <v/>
      </c>
      <c r="AC145" s="45" t="str">
        <f t="shared" si="93"/>
        <v/>
      </c>
      <c r="AE145" s="45" t="str">
        <f t="shared" si="90"/>
        <v/>
      </c>
      <c r="AH145" s="45" t="e">
        <f t="shared" si="91"/>
        <v>#VALUE!</v>
      </c>
      <c r="AJ145" s="45" t="str">
        <f t="shared" si="92"/>
        <v/>
      </c>
    </row>
    <row r="146" spans="1:37" x14ac:dyDescent="0.3">
      <c r="A146" s="333">
        <f t="shared" si="76"/>
        <v>16</v>
      </c>
      <c r="B146" s="333" t="str">
        <f t="shared" si="77"/>
        <v>88</v>
      </c>
      <c r="C146" s="333" t="str">
        <f t="shared" si="77"/>
        <v>Ophelia Melons</v>
      </c>
      <c r="D146" s="333">
        <f t="shared" ca="1" si="78"/>
        <v>0</v>
      </c>
      <c r="F146" s="344">
        <f t="shared" ca="1" si="79"/>
        <v>0</v>
      </c>
      <c r="G146" s="344">
        <f t="shared" ca="1" si="80"/>
        <v>0</v>
      </c>
      <c r="H146" s="344">
        <f t="shared" ca="1" si="79"/>
        <v>0</v>
      </c>
      <c r="I146" s="344">
        <f t="shared" ca="1" si="79"/>
        <v>0</v>
      </c>
      <c r="J146" s="333">
        <f t="shared" ca="1" si="81"/>
        <v>0</v>
      </c>
      <c r="L146" s="333">
        <f t="shared" ca="1" si="82"/>
        <v>0</v>
      </c>
      <c r="O146" s="333">
        <f t="shared" ca="1" si="83"/>
        <v>0</v>
      </c>
      <c r="Q146" s="333">
        <f t="shared" ca="1" si="84"/>
        <v>0</v>
      </c>
      <c r="T146" s="333">
        <f t="shared" si="85"/>
        <v>16</v>
      </c>
      <c r="U146" s="333" t="str">
        <f t="shared" si="86"/>
        <v/>
      </c>
      <c r="V146" s="333" t="str">
        <f t="shared" si="86"/>
        <v/>
      </c>
      <c r="W146" s="333" t="str">
        <f t="shared" si="87"/>
        <v/>
      </c>
      <c r="Y146" s="344">
        <f t="shared" si="88"/>
        <v>0</v>
      </c>
      <c r="Z146" s="344" t="str">
        <f t="shared" si="89"/>
        <v/>
      </c>
      <c r="AA146" s="344" t="str">
        <f t="shared" si="89"/>
        <v/>
      </c>
      <c r="AB146" s="344" t="str">
        <f t="shared" si="89"/>
        <v/>
      </c>
      <c r="AC146" s="333" t="str">
        <f t="shared" si="93"/>
        <v/>
      </c>
      <c r="AE146" s="333" t="str">
        <f t="shared" si="90"/>
        <v/>
      </c>
      <c r="AH146" s="333" t="e">
        <f t="shared" si="91"/>
        <v>#VALUE!</v>
      </c>
      <c r="AJ146" s="333" t="str">
        <f t="shared" si="92"/>
        <v/>
      </c>
    </row>
    <row r="147" spans="1:37" x14ac:dyDescent="0.3">
      <c r="A147" s="45">
        <f t="shared" si="76"/>
        <v>17</v>
      </c>
      <c r="B147" s="45" t="str">
        <f t="shared" si="77"/>
        <v/>
      </c>
      <c r="C147" s="45" t="str">
        <f t="shared" si="77"/>
        <v/>
      </c>
      <c r="D147" s="45" t="str">
        <f t="shared" si="78"/>
        <v/>
      </c>
      <c r="F147" s="344" t="str">
        <f t="shared" si="79"/>
        <v/>
      </c>
      <c r="G147" s="344" t="str">
        <f t="shared" si="80"/>
        <v/>
      </c>
      <c r="H147" s="344" t="str">
        <f t="shared" si="79"/>
        <v/>
      </c>
      <c r="I147" s="344" t="str">
        <f t="shared" si="79"/>
        <v/>
      </c>
      <c r="J147" s="45" t="str">
        <f t="shared" si="81"/>
        <v/>
      </c>
      <c r="L147" s="45" t="str">
        <f t="shared" si="82"/>
        <v/>
      </c>
      <c r="O147" s="45" t="str">
        <f t="shared" si="83"/>
        <v/>
      </c>
      <c r="Q147" s="45" t="str">
        <f t="shared" si="84"/>
        <v/>
      </c>
      <c r="T147" s="45">
        <f t="shared" si="85"/>
        <v>17</v>
      </c>
      <c r="U147" s="45" t="str">
        <f t="shared" si="86"/>
        <v/>
      </c>
      <c r="V147" s="45" t="str">
        <f t="shared" si="86"/>
        <v/>
      </c>
      <c r="W147" s="45" t="str">
        <f t="shared" si="87"/>
        <v/>
      </c>
      <c r="Y147" s="344">
        <f t="shared" si="88"/>
        <v>0</v>
      </c>
      <c r="Z147" s="344" t="str">
        <f t="shared" si="89"/>
        <v/>
      </c>
      <c r="AA147" s="344" t="str">
        <f t="shared" si="89"/>
        <v/>
      </c>
      <c r="AB147" s="344" t="str">
        <f t="shared" si="89"/>
        <v/>
      </c>
      <c r="AC147" s="45" t="str">
        <f t="shared" si="93"/>
        <v/>
      </c>
      <c r="AE147" s="45" t="str">
        <f t="shared" si="90"/>
        <v/>
      </c>
      <c r="AH147" s="45" t="str">
        <f t="shared" si="91"/>
        <v/>
      </c>
      <c r="AJ147" s="45" t="str">
        <f t="shared" si="92"/>
        <v/>
      </c>
    </row>
    <row r="148" spans="1:37" x14ac:dyDescent="0.3">
      <c r="A148" s="333">
        <f t="shared" si="76"/>
        <v>18</v>
      </c>
      <c r="B148" s="333" t="str">
        <f t="shared" si="77"/>
        <v/>
      </c>
      <c r="C148" s="333" t="str">
        <f t="shared" si="77"/>
        <v/>
      </c>
      <c r="D148" s="333" t="str">
        <f t="shared" si="78"/>
        <v/>
      </c>
      <c r="F148" s="344" t="str">
        <f t="shared" si="79"/>
        <v/>
      </c>
      <c r="G148" s="344" t="str">
        <f t="shared" si="80"/>
        <v/>
      </c>
      <c r="H148" s="344" t="str">
        <f t="shared" si="79"/>
        <v/>
      </c>
      <c r="I148" s="344" t="str">
        <f t="shared" si="79"/>
        <v/>
      </c>
      <c r="J148" s="333" t="str">
        <f t="shared" si="81"/>
        <v/>
      </c>
      <c r="L148" s="333" t="str">
        <f t="shared" si="82"/>
        <v/>
      </c>
      <c r="O148" s="333" t="str">
        <f t="shared" si="83"/>
        <v/>
      </c>
      <c r="Q148" s="333" t="str">
        <f t="shared" si="84"/>
        <v/>
      </c>
      <c r="T148" s="333">
        <f t="shared" si="85"/>
        <v>18</v>
      </c>
      <c r="U148" s="333" t="str">
        <f t="shared" si="86"/>
        <v/>
      </c>
      <c r="V148" s="333" t="str">
        <f t="shared" si="86"/>
        <v/>
      </c>
      <c r="W148" s="333" t="str">
        <f t="shared" si="87"/>
        <v/>
      </c>
      <c r="Y148" s="344">
        <f t="shared" si="88"/>
        <v>0</v>
      </c>
      <c r="Z148" s="344" t="str">
        <f t="shared" si="89"/>
        <v/>
      </c>
      <c r="AA148" s="344" t="str">
        <f t="shared" si="89"/>
        <v/>
      </c>
      <c r="AB148" s="344" t="str">
        <f t="shared" si="89"/>
        <v/>
      </c>
      <c r="AC148" s="333" t="str">
        <f t="shared" si="93"/>
        <v/>
      </c>
      <c r="AE148" s="333" t="str">
        <f t="shared" si="90"/>
        <v/>
      </c>
      <c r="AH148" s="333" t="str">
        <f t="shared" si="91"/>
        <v/>
      </c>
      <c r="AJ148" s="333" t="str">
        <f t="shared" si="92"/>
        <v/>
      </c>
    </row>
    <row r="149" spans="1:37" x14ac:dyDescent="0.3">
      <c r="A149" s="45">
        <f t="shared" si="76"/>
        <v>19</v>
      </c>
      <c r="B149" s="45" t="str">
        <f t="shared" si="77"/>
        <v/>
      </c>
      <c r="C149" s="45" t="str">
        <f t="shared" si="77"/>
        <v/>
      </c>
      <c r="D149" s="45" t="str">
        <f t="shared" si="78"/>
        <v/>
      </c>
      <c r="F149" s="344" t="str">
        <f t="shared" si="79"/>
        <v/>
      </c>
      <c r="G149" s="344" t="str">
        <f t="shared" si="80"/>
        <v/>
      </c>
      <c r="H149" s="344" t="str">
        <f t="shared" si="79"/>
        <v/>
      </c>
      <c r="I149" s="344" t="str">
        <f t="shared" si="79"/>
        <v/>
      </c>
      <c r="J149" s="45" t="str">
        <f t="shared" si="81"/>
        <v/>
      </c>
      <c r="L149" s="45" t="str">
        <f t="shared" si="82"/>
        <v/>
      </c>
      <c r="O149" s="45" t="str">
        <f t="shared" si="83"/>
        <v/>
      </c>
      <c r="Q149" s="45" t="str">
        <f t="shared" si="84"/>
        <v/>
      </c>
      <c r="T149" s="45">
        <f t="shared" si="85"/>
        <v>19</v>
      </c>
      <c r="U149" s="45" t="str">
        <f t="shared" si="86"/>
        <v/>
      </c>
      <c r="V149" s="45" t="str">
        <f t="shared" si="86"/>
        <v/>
      </c>
      <c r="W149" s="45" t="str">
        <f t="shared" si="87"/>
        <v/>
      </c>
      <c r="Y149" s="344">
        <f t="shared" si="88"/>
        <v>0</v>
      </c>
      <c r="Z149" s="344" t="str">
        <f t="shared" si="89"/>
        <v/>
      </c>
      <c r="AA149" s="344" t="str">
        <f t="shared" si="89"/>
        <v/>
      </c>
      <c r="AB149" s="344" t="str">
        <f t="shared" si="89"/>
        <v/>
      </c>
      <c r="AC149" s="45" t="str">
        <f t="shared" si="93"/>
        <v/>
      </c>
      <c r="AE149" s="45" t="str">
        <f t="shared" si="90"/>
        <v/>
      </c>
      <c r="AH149" s="45" t="str">
        <f t="shared" si="91"/>
        <v/>
      </c>
      <c r="AJ149" s="45" t="str">
        <f t="shared" si="92"/>
        <v/>
      </c>
    </row>
    <row r="150" spans="1:37" x14ac:dyDescent="0.3">
      <c r="A150" s="333">
        <f t="shared" si="76"/>
        <v>20</v>
      </c>
      <c r="B150" s="333" t="str">
        <f t="shared" si="77"/>
        <v/>
      </c>
      <c r="C150" s="333" t="str">
        <f t="shared" si="77"/>
        <v/>
      </c>
      <c r="D150" s="333" t="str">
        <f t="shared" si="78"/>
        <v/>
      </c>
      <c r="F150" s="344" t="str">
        <f t="shared" si="79"/>
        <v/>
      </c>
      <c r="G150" s="344" t="str">
        <f t="shared" si="80"/>
        <v/>
      </c>
      <c r="H150" s="344" t="str">
        <f t="shared" si="79"/>
        <v/>
      </c>
      <c r="I150" s="344" t="str">
        <f t="shared" si="79"/>
        <v/>
      </c>
      <c r="J150" s="333" t="str">
        <f t="shared" si="81"/>
        <v/>
      </c>
      <c r="L150" s="333" t="str">
        <f t="shared" si="82"/>
        <v/>
      </c>
      <c r="O150" s="333" t="str">
        <f t="shared" si="83"/>
        <v/>
      </c>
      <c r="Q150" s="333" t="str">
        <f t="shared" si="84"/>
        <v/>
      </c>
      <c r="T150" s="333">
        <f t="shared" si="85"/>
        <v>20</v>
      </c>
      <c r="U150" s="333" t="str">
        <f t="shared" si="86"/>
        <v/>
      </c>
      <c r="V150" s="333" t="str">
        <f t="shared" si="86"/>
        <v/>
      </c>
      <c r="W150" s="333" t="str">
        <f t="shared" si="87"/>
        <v/>
      </c>
      <c r="Y150" s="344">
        <f t="shared" si="88"/>
        <v>0</v>
      </c>
      <c r="Z150" s="344" t="str">
        <f t="shared" si="89"/>
        <v/>
      </c>
      <c r="AA150" s="344" t="str">
        <f t="shared" si="89"/>
        <v/>
      </c>
      <c r="AB150" s="344" t="str">
        <f t="shared" si="89"/>
        <v/>
      </c>
      <c r="AC150" s="333" t="str">
        <f t="shared" si="93"/>
        <v/>
      </c>
      <c r="AE150" s="333" t="str">
        <f t="shared" si="90"/>
        <v/>
      </c>
      <c r="AH150" s="333" t="str">
        <f t="shared" si="91"/>
        <v/>
      </c>
      <c r="AJ150" s="333" t="str">
        <f t="shared" si="92"/>
        <v/>
      </c>
    </row>
    <row r="152" spans="1:37" x14ac:dyDescent="0.3">
      <c r="A152" s="1363" t="s">
        <v>53</v>
      </c>
      <c r="B152" s="1363"/>
      <c r="C152" s="1363"/>
      <c r="D152" s="236"/>
      <c r="E152" s="236"/>
      <c r="F152" s="236"/>
      <c r="G152" s="236"/>
      <c r="H152" s="236"/>
      <c r="I152" s="236"/>
      <c r="J152" s="236"/>
      <c r="K152" s="236"/>
      <c r="L152" s="236"/>
      <c r="M152" s="236"/>
      <c r="N152" s="236"/>
      <c r="O152" s="236"/>
      <c r="P152" s="236"/>
      <c r="Q152" s="236"/>
      <c r="R152" s="236"/>
      <c r="T152" s="1363" t="s">
        <v>53</v>
      </c>
      <c r="U152" s="1363"/>
      <c r="V152" s="1363"/>
      <c r="W152" s="236"/>
      <c r="X152" s="236"/>
      <c r="Y152" s="236"/>
      <c r="Z152" s="236"/>
      <c r="AA152" s="236"/>
      <c r="AB152" s="236"/>
      <c r="AC152" s="236"/>
      <c r="AD152" s="236"/>
      <c r="AE152" s="236"/>
      <c r="AF152" s="236"/>
      <c r="AG152" s="236"/>
      <c r="AH152" s="236"/>
      <c r="AI152" s="236"/>
      <c r="AJ152" s="236"/>
      <c r="AK152" s="236"/>
    </row>
    <row r="153" spans="1:37" x14ac:dyDescent="0.3">
      <c r="A153" s="338">
        <v>0</v>
      </c>
      <c r="B153" s="338" t="s">
        <v>36</v>
      </c>
      <c r="C153" s="338" t="s">
        <v>37</v>
      </c>
      <c r="D153" s="338" t="s">
        <v>175</v>
      </c>
      <c r="E153" s="234"/>
      <c r="F153" s="343" t="s">
        <v>176</v>
      </c>
      <c r="G153" s="343" t="s">
        <v>176</v>
      </c>
      <c r="H153" s="343" t="s">
        <v>176</v>
      </c>
      <c r="I153" s="343" t="s">
        <v>176</v>
      </c>
      <c r="J153" s="338" t="s">
        <v>46</v>
      </c>
      <c r="K153" s="234"/>
      <c r="L153" s="338" t="s">
        <v>48</v>
      </c>
      <c r="M153" s="234"/>
      <c r="N153" s="340" t="s">
        <v>25</v>
      </c>
      <c r="O153" s="338" t="s">
        <v>177</v>
      </c>
      <c r="P153" s="234"/>
      <c r="Q153" s="338" t="s">
        <v>19</v>
      </c>
      <c r="R153" s="234"/>
      <c r="T153" s="338">
        <v>0</v>
      </c>
      <c r="U153" s="338" t="s">
        <v>36</v>
      </c>
      <c r="V153" s="338" t="s">
        <v>37</v>
      </c>
      <c r="W153" s="338" t="s">
        <v>175</v>
      </c>
      <c r="X153" s="234"/>
      <c r="Y153" s="343" t="s">
        <v>176</v>
      </c>
      <c r="Z153" s="343" t="s">
        <v>176</v>
      </c>
      <c r="AA153" s="343" t="s">
        <v>176</v>
      </c>
      <c r="AB153" s="343" t="s">
        <v>176</v>
      </c>
      <c r="AC153" s="338" t="s">
        <v>46</v>
      </c>
      <c r="AD153" s="234"/>
      <c r="AE153" s="338" t="s">
        <v>48</v>
      </c>
      <c r="AF153" s="234"/>
      <c r="AG153" s="340" t="s">
        <v>25</v>
      </c>
      <c r="AH153" s="338" t="s">
        <v>177</v>
      </c>
      <c r="AI153" s="234"/>
      <c r="AJ153" s="338" t="s">
        <v>19</v>
      </c>
      <c r="AK153" s="234"/>
    </row>
    <row r="154" spans="1:37" x14ac:dyDescent="0.3">
      <c r="A154" s="45">
        <f t="shared" ref="A154:A173" si="94">A153+1</f>
        <v>1</v>
      </c>
      <c r="B154" s="45" t="str">
        <f t="shared" ref="B154:C173" si="95">B108</f>
        <v>12</v>
      </c>
      <c r="C154" s="45" t="str">
        <f t="shared" si="95"/>
        <v>Carmen Getsome</v>
      </c>
      <c r="D154" s="45">
        <f ca="1">IF($B154="","",SUMPRODUCT(--(Lineups!G$50:G$87=$B154),--(Lineups!B$50:B$87=""),Lineups!$W$50:$W$87))</f>
        <v>22</v>
      </c>
      <c r="F154" s="344">
        <f ca="1">IF($B154="","",SUMPRODUCT(--(Lineups!G$50:G$87=$B154),--(Lineups!B$50:B$87="X"),Lineups!$W$50:$W$87))</f>
        <v>0</v>
      </c>
      <c r="G154" s="344">
        <f ca="1">IF($B154="","",SUMPRODUCT(--(Lineups!$K$50:$K$87=$B154),Lineups!$W$50:$W$87))</f>
        <v>0</v>
      </c>
      <c r="H154" s="344">
        <f ca="1">IF($B154="","",SUMPRODUCT(--(Lineups!$O$50:$O$87=$B154),Lineups!$W$50:$W$87))</f>
        <v>25</v>
      </c>
      <c r="I154" s="344">
        <f ca="1">IF($B154="","",SUMPRODUCT(--(Lineups!$S$50:$S$87=$B154),Lineups!$W$50:$W$87))</f>
        <v>28</v>
      </c>
      <c r="J154" s="45">
        <f t="shared" ref="J154:J173" ca="1" si="96">IF(B154="","",SUM(F154:I154))</f>
        <v>53</v>
      </c>
      <c r="L154" s="45">
        <f t="shared" ref="L154:L173" ca="1" si="97">IF(B154="","",SUM(D154,J154))</f>
        <v>75</v>
      </c>
      <c r="O154" s="45">
        <f ca="1">IF($B154="","",SUMPRODUCT(--(Lineups!$C$50:$C$87=$B154),Lineups!$W$50:$W$87))</f>
        <v>11</v>
      </c>
      <c r="Q154" s="45">
        <f t="shared" ref="Q154:Q173" ca="1" si="98">IF(B154="","",SUM(L154,O154))</f>
        <v>86</v>
      </c>
      <c r="T154" s="45">
        <f t="shared" ref="T154:T173" si="99">T153+1</f>
        <v>1</v>
      </c>
      <c r="U154" s="45" t="str">
        <f t="shared" ref="U154:V173" si="100">U108</f>
        <v>112</v>
      </c>
      <c r="V154" s="45" t="str">
        <f t="shared" si="100"/>
        <v>Singapore Rogue</v>
      </c>
      <c r="W154" s="45">
        <f ca="1">IF($U154="","",SUMPRODUCT(--(Lineups!$AG$50:$AG$87=$U154),--(Lineups!$AB$50:$AB$87=""),Lineups!$AW$50:$AW$87))</f>
        <v>10</v>
      </c>
      <c r="Y154" s="344">
        <f ca="1">IF($U154="","",SUMPRODUCT(--(Lineups!$AG$50:$AG$87=$U154),--(Lineups!$AB$50:$AB$87="X"),Lineups!$AW$50:$AW$87))</f>
        <v>0</v>
      </c>
      <c r="Z154" s="344">
        <f ca="1">IF($U154="","",SUMPRODUCT(--(Lineups!$AK$50:$AK$87=$U154),Lineups!$AW$50:$AW$87))</f>
        <v>0</v>
      </c>
      <c r="AA154" s="344">
        <f ca="1">IF($U154="","",SUMPRODUCT(--(Lineups!$AO$50:$AO$87=$U154),Lineups!$AW$50:$AW$87))</f>
        <v>8</v>
      </c>
      <c r="AB154" s="344">
        <f ca="1">IF($U154="","",SUMPRODUCT(--(Lineups!$AS$50:$AS$87=$U154),Lineups!$AW$50:$AW$87))</f>
        <v>0</v>
      </c>
      <c r="AC154" s="45">
        <f t="shared" ref="AC154:AC173" ca="1" si="101">IF(U154="",0,SUM(Y154:AB154))</f>
        <v>8</v>
      </c>
      <c r="AE154" s="45">
        <f t="shared" ref="AE154:AE173" ca="1" si="102">IF(U154="","",SUM(W154,AC154))</f>
        <v>18</v>
      </c>
      <c r="AH154" s="45">
        <f ca="1">IF($U154="","",SUMPRODUCT(--(Lineups!$AC$50:$AC$87=$U154),Lineups!$AW$50:$AW$87))</f>
        <v>0</v>
      </c>
      <c r="AJ154" s="45">
        <f t="shared" ref="AJ154:AJ173" ca="1" si="103">IF(U154="","",SUM(AE154,AH154))</f>
        <v>18</v>
      </c>
    </row>
    <row r="155" spans="1:37" x14ac:dyDescent="0.3">
      <c r="A155" s="333">
        <f t="shared" si="94"/>
        <v>2</v>
      </c>
      <c r="B155" s="333" t="str">
        <f t="shared" si="95"/>
        <v>123</v>
      </c>
      <c r="C155" s="333" t="str">
        <f t="shared" si="95"/>
        <v>Nelson</v>
      </c>
      <c r="D155" s="333">
        <f ca="1">IF($B155="","",SUMPRODUCT(--(Lineups!G$50:G$87=$B155),--(Lineups!B$50:B$87=""),Lineups!$W$50:$W$87))</f>
        <v>52</v>
      </c>
      <c r="F155" s="344">
        <f ca="1">IF($B155="","",SUMPRODUCT(--(Lineups!G$50:G$87=$B155),--(Lineups!B$50:B$87="X"),Lineups!$W$50:$W$87))</f>
        <v>0</v>
      </c>
      <c r="G155" s="344">
        <f ca="1">IF($B155="","",SUMPRODUCT(--(Lineups!$K$50:$K$87=$B155),Lineups!$W$50:$W$87))</f>
        <v>0</v>
      </c>
      <c r="H155" s="344">
        <f ca="1">IF($B155="","",SUMPRODUCT(--(Lineups!$O$50:$O$87=$B155),Lineups!$W$50:$W$87))</f>
        <v>0</v>
      </c>
      <c r="I155" s="344">
        <f ca="1">IF($B155="","",SUMPRODUCT(--(Lineups!$S$50:$S$87=$B155),Lineups!$W$50:$W$87))</f>
        <v>1</v>
      </c>
      <c r="J155" s="333">
        <f t="shared" ca="1" si="96"/>
        <v>1</v>
      </c>
      <c r="L155" s="333">
        <f t="shared" ca="1" si="97"/>
        <v>53</v>
      </c>
      <c r="O155" s="333">
        <f ca="1">IF($B155="","",SUMPRODUCT(--(Lineups!$C$50:$C$87=$B155),Lineups!$W$50:$W$87))</f>
        <v>0</v>
      </c>
      <c r="Q155" s="333">
        <f t="shared" ca="1" si="98"/>
        <v>53</v>
      </c>
      <c r="T155" s="333">
        <f t="shared" si="99"/>
        <v>2</v>
      </c>
      <c r="U155" s="333" t="str">
        <f t="shared" si="100"/>
        <v>1542</v>
      </c>
      <c r="V155" s="333" t="str">
        <f t="shared" si="100"/>
        <v>Mary Queen of Skates</v>
      </c>
      <c r="W155" s="333">
        <f ca="1">IF($U155="","",SUMPRODUCT(--(Lineups!$AG$50:$AG$87=$U155),--(Lineups!$AB$50:$AB$87=""),Lineups!$AW$50:$AW$87))</f>
        <v>0</v>
      </c>
      <c r="Y155" s="344">
        <f ca="1">IF($U155="","",SUMPRODUCT(--(Lineups!$AG$50:$AG$87=$U155),--(Lineups!$AB$50:$AB$87="X"),Lineups!$AW$50:$AW$87))</f>
        <v>0</v>
      </c>
      <c r="Z155" s="344">
        <f ca="1">IF($U155="","",SUMPRODUCT(--(Lineups!$AK$50:$AK$87=$U155),Lineups!$AW$50:$AW$87))</f>
        <v>0</v>
      </c>
      <c r="AA155" s="344">
        <f ca="1">IF($U155="","",SUMPRODUCT(--(Lineups!$AO$50:$AO$87=$U155),Lineups!$AW$50:$AW$87))</f>
        <v>0</v>
      </c>
      <c r="AB155" s="344">
        <f ca="1">IF($U155="","",SUMPRODUCT(--(Lineups!$AS$50:$AS$87=$U155),Lineups!$AW$50:$AW$87))</f>
        <v>0</v>
      </c>
      <c r="AC155" s="333">
        <f t="shared" ca="1" si="101"/>
        <v>0</v>
      </c>
      <c r="AE155" s="333">
        <f t="shared" ca="1" si="102"/>
        <v>0</v>
      </c>
      <c r="AH155" s="333">
        <f ca="1">IF($U155="","",SUMPRODUCT(--(Lineups!$AC$50:$AC$87=$U155),Lineups!$AW$50:$AW$87))</f>
        <v>0</v>
      </c>
      <c r="AJ155" s="333">
        <f t="shared" ca="1" si="103"/>
        <v>0</v>
      </c>
    </row>
    <row r="156" spans="1:37" x14ac:dyDescent="0.3">
      <c r="A156" s="45">
        <f t="shared" si="94"/>
        <v>3</v>
      </c>
      <c r="B156" s="45" t="str">
        <f t="shared" si="95"/>
        <v>14</v>
      </c>
      <c r="C156" s="45" t="str">
        <f t="shared" si="95"/>
        <v>Shorty Ounce</v>
      </c>
      <c r="D156" s="45">
        <f ca="1">IF($B156="","",SUMPRODUCT(--(Lineups!G$50:G$87=$B156),--(Lineups!B$50:B$87=""),Lineups!$W$50:$W$87))</f>
        <v>0</v>
      </c>
      <c r="F156" s="344">
        <f ca="1">IF($B156="","",SUMPRODUCT(--(Lineups!G$50:G$87=$B156),--(Lineups!B$50:B$87="X"),Lineups!$W$50:$W$87))</f>
        <v>0</v>
      </c>
      <c r="G156" s="344">
        <f ca="1">IF($B156="","",SUMPRODUCT(--(Lineups!$K$50:$K$87=$B156),Lineups!$W$50:$W$87))</f>
        <v>4</v>
      </c>
      <c r="H156" s="344">
        <f ca="1">IF($B156="","",SUMPRODUCT(--(Lineups!$O$50:$O$87=$B156),Lineups!$W$50:$W$87))</f>
        <v>4</v>
      </c>
      <c r="I156" s="344">
        <f ca="1">IF($B156="","",SUMPRODUCT(--(Lineups!$S$50:$S$87=$B156),Lineups!$W$50:$W$87))</f>
        <v>12</v>
      </c>
      <c r="J156" s="45">
        <f t="shared" ca="1" si="96"/>
        <v>20</v>
      </c>
      <c r="L156" s="45">
        <f t="shared" ca="1" si="97"/>
        <v>20</v>
      </c>
      <c r="O156" s="45">
        <f ca="1">IF($B156="","",SUMPRODUCT(--(Lineups!$C$50:$C$87=$B156),Lineups!$W$50:$W$87))</f>
        <v>0</v>
      </c>
      <c r="Q156" s="45">
        <f t="shared" ca="1" si="98"/>
        <v>20</v>
      </c>
      <c r="T156" s="45">
        <f t="shared" si="99"/>
        <v>3</v>
      </c>
      <c r="U156" s="45" t="str">
        <f t="shared" si="100"/>
        <v>16</v>
      </c>
      <c r="V156" s="45" t="str">
        <f t="shared" si="100"/>
        <v>Mistilla</v>
      </c>
      <c r="W156" s="45">
        <f ca="1">IF($U156="","",SUMPRODUCT(--(Lineups!$AG$50:$AG$87=$U156),--(Lineups!$AB$50:$AB$87=""),Lineups!$AW$50:$AW$87))</f>
        <v>13</v>
      </c>
      <c r="Y156" s="344">
        <f ca="1">IF($U156="","",SUMPRODUCT(--(Lineups!$AG$50:$AG$87=$U156),--(Lineups!$AB$50:$AB$87="X"),Lineups!$AW$50:$AW$87))</f>
        <v>0</v>
      </c>
      <c r="Z156" s="344">
        <f ca="1">IF($U156="","",SUMPRODUCT(--(Lineups!$AK$50:$AK$87=$U156),Lineups!$AW$50:$AW$87))</f>
        <v>0</v>
      </c>
      <c r="AA156" s="344">
        <f ca="1">IF($U156="","",SUMPRODUCT(--(Lineups!$AO$50:$AO$87=$U156),Lineups!$AW$50:$AW$87))</f>
        <v>0</v>
      </c>
      <c r="AB156" s="344">
        <f ca="1">IF($U156="","",SUMPRODUCT(--(Lineups!$AS$50:$AS$87=$U156),Lineups!$AW$50:$AW$87))</f>
        <v>0</v>
      </c>
      <c r="AC156" s="45">
        <f t="shared" ca="1" si="101"/>
        <v>0</v>
      </c>
      <c r="AE156" s="45">
        <f t="shared" ca="1" si="102"/>
        <v>13</v>
      </c>
      <c r="AH156" s="45">
        <f ca="1">IF($U156="","",SUMPRODUCT(--(Lineups!$AC$50:$AC$87=$U156),Lineups!$AW$50:$AW$87))</f>
        <v>0</v>
      </c>
      <c r="AJ156" s="45">
        <f t="shared" ca="1" si="103"/>
        <v>13</v>
      </c>
    </row>
    <row r="157" spans="1:37" x14ac:dyDescent="0.3">
      <c r="A157" s="333">
        <f t="shared" si="94"/>
        <v>4</v>
      </c>
      <c r="B157" s="333" t="str">
        <f t="shared" si="95"/>
        <v>1618</v>
      </c>
      <c r="C157" s="333" t="str">
        <f t="shared" si="95"/>
        <v>Sintripital Force</v>
      </c>
      <c r="D157" s="333">
        <f ca="1">IF($B157="","",SUMPRODUCT(--(Lineups!G$50:G$87=$B157),--(Lineups!B$50:B$87=""),Lineups!$W$50:$W$87))</f>
        <v>0</v>
      </c>
      <c r="F157" s="344">
        <f ca="1">IF($B157="","",SUMPRODUCT(--(Lineups!G$50:G$87=$B157),--(Lineups!B$50:B$87="X"),Lineups!$W$50:$W$87))</f>
        <v>0</v>
      </c>
      <c r="G157" s="344">
        <f ca="1">IF($B157="","",SUMPRODUCT(--(Lineups!$K$50:$K$87=$B157),Lineups!$W$50:$W$87))</f>
        <v>0</v>
      </c>
      <c r="H157" s="344">
        <f ca="1">IF($B157="","",SUMPRODUCT(--(Lineups!$O$50:$O$87=$B157),Lineups!$W$50:$W$87))</f>
        <v>0</v>
      </c>
      <c r="I157" s="344">
        <f ca="1">IF($B157="","",SUMPRODUCT(--(Lineups!$S$50:$S$87=$B157),Lineups!$W$50:$W$87))</f>
        <v>0</v>
      </c>
      <c r="J157" s="333">
        <f t="shared" ca="1" si="96"/>
        <v>0</v>
      </c>
      <c r="L157" s="333">
        <f t="shared" ca="1" si="97"/>
        <v>0</v>
      </c>
      <c r="O157" s="333">
        <f ca="1">IF($B157="","",SUMPRODUCT(--(Lineups!$C$50:$C$87=$B157),Lineups!$W$50:$W$87))</f>
        <v>39</v>
      </c>
      <c r="Q157" s="333">
        <f t="shared" ca="1" si="98"/>
        <v>39</v>
      </c>
      <c r="T157" s="333">
        <f t="shared" si="99"/>
        <v>4</v>
      </c>
      <c r="U157" s="333" t="str">
        <f t="shared" si="100"/>
        <v>19</v>
      </c>
      <c r="V157" s="333" t="str">
        <f t="shared" si="100"/>
        <v>Betty Watchett</v>
      </c>
      <c r="W157" s="333">
        <f ca="1">IF($U157="","",SUMPRODUCT(--(Lineups!$AG$50:$AG$87=$U157),--(Lineups!$AB$50:$AB$87=""),Lineups!$AW$50:$AW$87))</f>
        <v>3</v>
      </c>
      <c r="Y157" s="344">
        <f ca="1">IF($U157="","",SUMPRODUCT(--(Lineups!$AG$50:$AG$87=$U157),--(Lineups!$AB$50:$AB$87="X"),Lineups!$AW$50:$AW$87))</f>
        <v>0</v>
      </c>
      <c r="Z157" s="344">
        <f ca="1">IF($U157="","",SUMPRODUCT(--(Lineups!$AK$50:$AK$87=$U157),Lineups!$AW$50:$AW$87))</f>
        <v>0</v>
      </c>
      <c r="AA157" s="344">
        <f ca="1">IF($U157="","",SUMPRODUCT(--(Lineups!$AO$50:$AO$87=$U157),Lineups!$AW$50:$AW$87))</f>
        <v>0</v>
      </c>
      <c r="AB157" s="344">
        <f ca="1">IF($U157="","",SUMPRODUCT(--(Lineups!$AS$50:$AS$87=$U157),Lineups!$AW$50:$AW$87))</f>
        <v>0</v>
      </c>
      <c r="AC157" s="333">
        <f t="shared" ca="1" si="101"/>
        <v>0</v>
      </c>
      <c r="AE157" s="333">
        <f t="shared" ca="1" si="102"/>
        <v>3</v>
      </c>
      <c r="AH157" s="333">
        <f ca="1">IF($U157="","",SUMPRODUCT(--(Lineups!$AC$50:$AC$87=$U157),Lineups!$AW$50:$AW$87))</f>
        <v>0</v>
      </c>
      <c r="AJ157" s="333">
        <f t="shared" ca="1" si="103"/>
        <v>3</v>
      </c>
    </row>
    <row r="158" spans="1:37" x14ac:dyDescent="0.3">
      <c r="A158" s="45">
        <f t="shared" si="94"/>
        <v>5</v>
      </c>
      <c r="B158" s="45" t="str">
        <f t="shared" si="95"/>
        <v>22</v>
      </c>
      <c r="C158" s="45" t="str">
        <f t="shared" si="95"/>
        <v>Sami Automatic</v>
      </c>
      <c r="D158" s="45">
        <f ca="1">IF($B158="","",SUMPRODUCT(--(Lineups!G$50:G$87=$B158),--(Lineups!B$50:B$87=""),Lineups!$W$50:$W$87))</f>
        <v>0</v>
      </c>
      <c r="F158" s="344">
        <f ca="1">IF($B158="","",SUMPRODUCT(--(Lineups!G$50:G$87=$B158),--(Lineups!B$50:B$87="X"),Lineups!$W$50:$W$87))</f>
        <v>0</v>
      </c>
      <c r="G158" s="344">
        <f ca="1">IF($B158="","",SUMPRODUCT(--(Lineups!$K$50:$K$87=$B158),Lineups!$W$50:$W$87))</f>
        <v>4</v>
      </c>
      <c r="H158" s="344">
        <f ca="1">IF($B158="","",SUMPRODUCT(--(Lineups!$O$50:$O$87=$B158),Lineups!$W$50:$W$87))</f>
        <v>12</v>
      </c>
      <c r="I158" s="344">
        <f ca="1">IF($B158="","",SUMPRODUCT(--(Lineups!$S$50:$S$87=$B158),Lineups!$W$50:$W$87))</f>
        <v>31</v>
      </c>
      <c r="J158" s="45">
        <f t="shared" ca="1" si="96"/>
        <v>47</v>
      </c>
      <c r="L158" s="45">
        <f t="shared" ca="1" si="97"/>
        <v>47</v>
      </c>
      <c r="O158" s="45">
        <f ca="1">IF($B158="","",SUMPRODUCT(--(Lineups!$C$50:$C$87=$B158),Lineups!$W$50:$W$87))</f>
        <v>0</v>
      </c>
      <c r="Q158" s="45">
        <f t="shared" ca="1" si="98"/>
        <v>47</v>
      </c>
      <c r="T158" s="45">
        <f t="shared" si="99"/>
        <v>5</v>
      </c>
      <c r="U158" s="45" t="str">
        <f t="shared" si="100"/>
        <v>2000</v>
      </c>
      <c r="V158" s="45" t="str">
        <f t="shared" si="100"/>
        <v>Lisa Lava</v>
      </c>
      <c r="W158" s="45">
        <f ca="1">IF($U158="","",SUMPRODUCT(--(Lineups!$AG$50:$AG$87=$U158),--(Lineups!$AB$50:$AB$87=""),Lineups!$AW$50:$AW$87))</f>
        <v>0</v>
      </c>
      <c r="Y158" s="344">
        <f ca="1">IF($U158="","",SUMPRODUCT(--(Lineups!$AG$50:$AG$87=$U158),--(Lineups!$AB$50:$AB$87="X"),Lineups!$AW$50:$AW$87))</f>
        <v>0</v>
      </c>
      <c r="Z158" s="344">
        <f ca="1">IF($U158="","",SUMPRODUCT(--(Lineups!$AK$50:$AK$87=$U158),Lineups!$AW$50:$AW$87))</f>
        <v>0</v>
      </c>
      <c r="AA158" s="344">
        <f ca="1">IF($U158="","",SUMPRODUCT(--(Lineups!$AO$50:$AO$87=$U158),Lineups!$AW$50:$AW$87))</f>
        <v>4</v>
      </c>
      <c r="AB158" s="344">
        <f ca="1">IF($U158="","",SUMPRODUCT(--(Lineups!$AS$50:$AS$87=$U158),Lineups!$AW$50:$AW$87))</f>
        <v>2</v>
      </c>
      <c r="AC158" s="45">
        <f t="shared" ca="1" si="101"/>
        <v>6</v>
      </c>
      <c r="AE158" s="45">
        <f t="shared" ca="1" si="102"/>
        <v>6</v>
      </c>
      <c r="AH158" s="45">
        <f ca="1">IF($U158="","",SUMPRODUCT(--(Lineups!$AC$50:$AC$87=$U158),Lineups!$AW$50:$AW$87))</f>
        <v>0</v>
      </c>
      <c r="AJ158" s="45">
        <f t="shared" ca="1" si="103"/>
        <v>6</v>
      </c>
    </row>
    <row r="159" spans="1:37" x14ac:dyDescent="0.3">
      <c r="A159" s="333">
        <f t="shared" si="94"/>
        <v>6</v>
      </c>
      <c r="B159" s="333" t="str">
        <f t="shared" si="95"/>
        <v>23</v>
      </c>
      <c r="C159" s="333" t="str">
        <f t="shared" si="95"/>
        <v>LeBrawn Maimes</v>
      </c>
      <c r="D159" s="333">
        <f ca="1">IF($B159="","",SUMPRODUCT(--(Lineups!G$50:G$87=$B159),--(Lineups!B$50:B$87=""),Lineups!$W$50:$W$87))</f>
        <v>0</v>
      </c>
      <c r="F159" s="344">
        <f ca="1">IF($B159="","",SUMPRODUCT(--(Lineups!G$50:G$87=$B159),--(Lineups!B$50:B$87="X"),Lineups!$W$50:$W$87))</f>
        <v>0</v>
      </c>
      <c r="G159" s="344">
        <f ca="1">IF($B159="","",SUMPRODUCT(--(Lineups!$K$50:$K$87=$B159),Lineups!$W$50:$W$87))</f>
        <v>0</v>
      </c>
      <c r="H159" s="344">
        <f ca="1">IF($B159="","",SUMPRODUCT(--(Lineups!$O$50:$O$87=$B159),Lineups!$W$50:$W$87))</f>
        <v>0</v>
      </c>
      <c r="I159" s="344">
        <f ca="1">IF($B159="","",SUMPRODUCT(--(Lineups!$S$50:$S$87=$B159),Lineups!$W$50:$W$87))</f>
        <v>0</v>
      </c>
      <c r="J159" s="333">
        <f t="shared" ca="1" si="96"/>
        <v>0</v>
      </c>
      <c r="L159" s="333">
        <f t="shared" ca="1" si="97"/>
        <v>0</v>
      </c>
      <c r="O159" s="333">
        <f ca="1">IF($B159="","",SUMPRODUCT(--(Lineups!$C$50:$C$87=$B159),Lineups!$W$50:$W$87))</f>
        <v>4</v>
      </c>
      <c r="Q159" s="333">
        <f t="shared" ca="1" si="98"/>
        <v>4</v>
      </c>
      <c r="T159" s="333">
        <f t="shared" si="99"/>
        <v>6</v>
      </c>
      <c r="U159" s="333" t="str">
        <f t="shared" si="100"/>
        <v>201</v>
      </c>
      <c r="V159" s="333" t="str">
        <f t="shared" si="100"/>
        <v>Dutch Destroyer</v>
      </c>
      <c r="W159" s="333">
        <f ca="1">IF($U159="","",SUMPRODUCT(--(Lineups!$AG$50:$AG$87=$U159),--(Lineups!$AB$50:$AB$87=""),Lineups!$AW$50:$AW$87))</f>
        <v>0</v>
      </c>
      <c r="Y159" s="344">
        <f ca="1">IF($U159="","",SUMPRODUCT(--(Lineups!$AG$50:$AG$87=$U159),--(Lineups!$AB$50:$AB$87="X"),Lineups!$AW$50:$AW$87))</f>
        <v>0</v>
      </c>
      <c r="Z159" s="344">
        <f ca="1">IF($U159="","",SUMPRODUCT(--(Lineups!$AK$50:$AK$87=$U159),Lineups!$AW$50:$AW$87))</f>
        <v>4</v>
      </c>
      <c r="AA159" s="344">
        <f ca="1">IF($U159="","",SUMPRODUCT(--(Lineups!$AO$50:$AO$87=$U159),Lineups!$AW$50:$AW$87))</f>
        <v>0</v>
      </c>
      <c r="AB159" s="344">
        <f ca="1">IF($U159="","",SUMPRODUCT(--(Lineups!$AS$50:$AS$87=$U159),Lineups!$AW$50:$AW$87))</f>
        <v>0</v>
      </c>
      <c r="AC159" s="333">
        <f t="shared" ca="1" si="101"/>
        <v>4</v>
      </c>
      <c r="AE159" s="333">
        <f t="shared" ca="1" si="102"/>
        <v>4</v>
      </c>
      <c r="AH159" s="333">
        <f ca="1">IF($U159="","",SUMPRODUCT(--(Lineups!$AC$50:$AC$87=$U159),Lineups!$AW$50:$AW$87))</f>
        <v>0</v>
      </c>
      <c r="AJ159" s="333">
        <f t="shared" ca="1" si="103"/>
        <v>4</v>
      </c>
    </row>
    <row r="160" spans="1:37" x14ac:dyDescent="0.3">
      <c r="A160" s="45">
        <f t="shared" si="94"/>
        <v>7</v>
      </c>
      <c r="B160" s="45" t="str">
        <f t="shared" si="95"/>
        <v>321</v>
      </c>
      <c r="C160" s="45" t="str">
        <f t="shared" si="95"/>
        <v>Missile America</v>
      </c>
      <c r="D160" s="45">
        <f ca="1">IF($B160="","",SUMPRODUCT(--(Lineups!G$50:G$87=$B160),--(Lineups!B$50:B$87=""),Lineups!$W$50:$W$87))</f>
        <v>0</v>
      </c>
      <c r="F160" s="344">
        <f ca="1">IF($B160="","",SUMPRODUCT(--(Lineups!G$50:G$87=$B160),--(Lineups!B$50:B$87="X"),Lineups!$W$50:$W$87))</f>
        <v>0</v>
      </c>
      <c r="G160" s="344">
        <f ca="1">IF($B160="","",SUMPRODUCT(--(Lineups!$K$50:$K$87=$B160),Lineups!$W$50:$W$87))</f>
        <v>38</v>
      </c>
      <c r="H160" s="344">
        <f ca="1">IF($B160="","",SUMPRODUCT(--(Lineups!$O$50:$O$87=$B160),Lineups!$W$50:$W$87))</f>
        <v>8</v>
      </c>
      <c r="I160" s="344">
        <f ca="1">IF($B160="","",SUMPRODUCT(--(Lineups!$S$50:$S$87=$B160),Lineups!$W$50:$W$87))</f>
        <v>34</v>
      </c>
      <c r="J160" s="45">
        <f t="shared" ca="1" si="96"/>
        <v>80</v>
      </c>
      <c r="L160" s="45">
        <f t="shared" ca="1" si="97"/>
        <v>80</v>
      </c>
      <c r="O160" s="45">
        <f ca="1">IF($B160="","",SUMPRODUCT(--(Lineups!$C$50:$C$87=$B160),Lineups!$W$50:$W$87))</f>
        <v>0</v>
      </c>
      <c r="Q160" s="45">
        <f t="shared" ca="1" si="98"/>
        <v>80</v>
      </c>
      <c r="T160" s="45">
        <f t="shared" si="99"/>
        <v>7</v>
      </c>
      <c r="U160" s="45" t="str">
        <f t="shared" si="100"/>
        <v>21</v>
      </c>
      <c r="V160" s="45" t="str">
        <f t="shared" si="100"/>
        <v>Jekyll &amp; Heidi</v>
      </c>
      <c r="W160" s="45">
        <f ca="1">IF($U160="","",SUMPRODUCT(--(Lineups!$AG$50:$AG$87=$U160),--(Lineups!$AB$50:$AB$87=""),Lineups!$AW$50:$AW$87))</f>
        <v>0</v>
      </c>
      <c r="Y160" s="344">
        <f ca="1">IF($U160="","",SUMPRODUCT(--(Lineups!$AG$50:$AG$87=$U160),--(Lineups!$AB$50:$AB$87="X"),Lineups!$AW$50:$AW$87))</f>
        <v>0</v>
      </c>
      <c r="Z160" s="344">
        <f ca="1">IF($U160="","",SUMPRODUCT(--(Lineups!$AK$50:$AK$87=$U160),Lineups!$AW$50:$AW$87))</f>
        <v>10</v>
      </c>
      <c r="AA160" s="344">
        <f ca="1">IF($U160="","",SUMPRODUCT(--(Lineups!$AO$50:$AO$87=$U160),Lineups!$AW$50:$AW$87))</f>
        <v>4</v>
      </c>
      <c r="AB160" s="344">
        <f ca="1">IF($U160="","",SUMPRODUCT(--(Lineups!$AS$50:$AS$87=$U160),Lineups!$AW$50:$AW$87))</f>
        <v>4</v>
      </c>
      <c r="AC160" s="45">
        <f t="shared" ca="1" si="101"/>
        <v>18</v>
      </c>
      <c r="AE160" s="45">
        <f t="shared" ca="1" si="102"/>
        <v>18</v>
      </c>
      <c r="AH160" s="45">
        <f ca="1">IF($U160="","",SUMPRODUCT(--(Lineups!$AC$50:$AC$87=$U160),Lineups!$AW$50:$AW$87))</f>
        <v>0</v>
      </c>
      <c r="AJ160" s="45">
        <f t="shared" ca="1" si="103"/>
        <v>18</v>
      </c>
    </row>
    <row r="161" spans="1:37" x14ac:dyDescent="0.3">
      <c r="A161" s="333">
        <f t="shared" si="94"/>
        <v>8</v>
      </c>
      <c r="B161" s="333" t="str">
        <f t="shared" si="95"/>
        <v>4</v>
      </c>
      <c r="C161" s="333" t="str">
        <f t="shared" si="95"/>
        <v>Belle Tolls</v>
      </c>
      <c r="D161" s="333">
        <f ca="1">IF($B161="","",SUMPRODUCT(--(Lineups!G$50:G$87=$B161),--(Lineups!B$50:B$87=""),Lineups!$W$50:$W$87))</f>
        <v>0</v>
      </c>
      <c r="F161" s="344">
        <f ca="1">IF($B161="","",SUMPRODUCT(--(Lineups!G$50:G$87=$B161),--(Lineups!B$50:B$87="X"),Lineups!$W$50:$W$87))</f>
        <v>0</v>
      </c>
      <c r="G161" s="344">
        <f ca="1">IF($B161="","",SUMPRODUCT(--(Lineups!$K$50:$K$87=$B161),Lineups!$W$50:$W$87))</f>
        <v>10</v>
      </c>
      <c r="H161" s="344">
        <f ca="1">IF($B161="","",SUMPRODUCT(--(Lineups!$O$50:$O$87=$B161),Lineups!$W$50:$W$87))</f>
        <v>59</v>
      </c>
      <c r="I161" s="344">
        <f ca="1">IF($B161="","",SUMPRODUCT(--(Lineups!$S$50:$S$87=$B161),Lineups!$W$50:$W$87))</f>
        <v>4</v>
      </c>
      <c r="J161" s="333">
        <f t="shared" ca="1" si="96"/>
        <v>73</v>
      </c>
      <c r="L161" s="333">
        <f t="shared" ca="1" si="97"/>
        <v>73</v>
      </c>
      <c r="O161" s="333">
        <f ca="1">IF($B161="","",SUMPRODUCT(--(Lineups!$C$50:$C$87=$B161),Lineups!$W$50:$W$87))</f>
        <v>0</v>
      </c>
      <c r="Q161" s="333">
        <f t="shared" ca="1" si="98"/>
        <v>73</v>
      </c>
      <c r="T161" s="333">
        <f t="shared" si="99"/>
        <v>8</v>
      </c>
      <c r="U161" s="333" t="str">
        <f t="shared" si="100"/>
        <v>22</v>
      </c>
      <c r="V161" s="333" t="str">
        <f t="shared" si="100"/>
        <v>Freight Train</v>
      </c>
      <c r="W161" s="333">
        <f ca="1">IF($U161="","",SUMPRODUCT(--(Lineups!$AG$50:$AG$87=$U161),--(Lineups!$AB$50:$AB$87=""),Lineups!$AW$50:$AW$87))</f>
        <v>0</v>
      </c>
      <c r="Y161" s="344">
        <f ca="1">IF($U161="","",SUMPRODUCT(--(Lineups!$AG$50:$AG$87=$U161),--(Lineups!$AB$50:$AB$87="X"),Lineups!$AW$50:$AW$87))</f>
        <v>0</v>
      </c>
      <c r="Z161" s="344">
        <f ca="1">IF($U161="","",SUMPRODUCT(--(Lineups!$AK$50:$AK$87=$U161),Lineups!$AW$50:$AW$87))</f>
        <v>0</v>
      </c>
      <c r="AA161" s="344">
        <f ca="1">IF($U161="","",SUMPRODUCT(--(Lineups!$AO$50:$AO$87=$U161),Lineups!$AW$50:$AW$87))</f>
        <v>0</v>
      </c>
      <c r="AB161" s="344">
        <f ca="1">IF($U161="","",SUMPRODUCT(--(Lineups!$AS$50:$AS$87=$U161),Lineups!$AW$50:$AW$87))</f>
        <v>0</v>
      </c>
      <c r="AC161" s="333">
        <f t="shared" ca="1" si="101"/>
        <v>0</v>
      </c>
      <c r="AE161" s="333">
        <f t="shared" ca="1" si="102"/>
        <v>0</v>
      </c>
      <c r="AH161" s="333">
        <f ca="1">IF($U161="","",SUMPRODUCT(--(Lineups!$AC$50:$AC$87=$U161),Lineups!$AW$50:$AW$87))</f>
        <v>22</v>
      </c>
      <c r="AJ161" s="333">
        <f t="shared" ca="1" si="103"/>
        <v>22</v>
      </c>
    </row>
    <row r="162" spans="1:37" x14ac:dyDescent="0.3">
      <c r="A162" s="45">
        <f t="shared" si="94"/>
        <v>9</v>
      </c>
      <c r="B162" s="45" t="str">
        <f t="shared" si="95"/>
        <v>505</v>
      </c>
      <c r="C162" s="45" t="str">
        <f t="shared" si="95"/>
        <v>Teddy Rupp</v>
      </c>
      <c r="D162" s="45">
        <f ca="1">IF($B162="","",SUMPRODUCT(--(Lineups!G$50:G$87=$B162),--(Lineups!B$50:B$87=""),Lineups!$W$50:$W$87))</f>
        <v>0</v>
      </c>
      <c r="F162" s="344">
        <f ca="1">IF($B162="","",SUMPRODUCT(--(Lineups!G$50:G$87=$B162),--(Lineups!B$50:B$87="X"),Lineups!$W$50:$W$87))</f>
        <v>0</v>
      </c>
      <c r="G162" s="344">
        <f ca="1">IF($B162="","",SUMPRODUCT(--(Lineups!$K$50:$K$87=$B162),Lineups!$W$50:$W$87))</f>
        <v>34</v>
      </c>
      <c r="H162" s="344">
        <f ca="1">IF($B162="","",SUMPRODUCT(--(Lineups!$O$50:$O$87=$B162),Lineups!$W$50:$W$87))</f>
        <v>14</v>
      </c>
      <c r="I162" s="344">
        <f ca="1">IF($B162="","",SUMPRODUCT(--(Lineups!$S$50:$S$87=$B162),Lineups!$W$50:$W$87))</f>
        <v>3</v>
      </c>
      <c r="J162" s="45">
        <f t="shared" ca="1" si="96"/>
        <v>51</v>
      </c>
      <c r="L162" s="45">
        <f t="shared" ca="1" si="97"/>
        <v>51</v>
      </c>
      <c r="O162" s="45">
        <f ca="1">IF($B162="","",SUMPRODUCT(--(Lineups!$C$50:$C$87=$B162),Lineups!$W$50:$W$87))</f>
        <v>0</v>
      </c>
      <c r="Q162" s="45">
        <f t="shared" ca="1" si="98"/>
        <v>51</v>
      </c>
      <c r="T162" s="45">
        <f t="shared" si="99"/>
        <v>9</v>
      </c>
      <c r="U162" s="45" t="str">
        <f t="shared" si="100"/>
        <v>312</v>
      </c>
      <c r="V162" s="45" t="str">
        <f t="shared" si="100"/>
        <v>2x Force</v>
      </c>
      <c r="W162" s="45">
        <f ca="1">IF($U162="","",SUMPRODUCT(--(Lineups!$AG$50:$AG$87=$U162),--(Lineups!$AB$50:$AB$87=""),Lineups!$AW$50:$AW$87))</f>
        <v>0</v>
      </c>
      <c r="Y162" s="344">
        <f ca="1">IF($U162="","",SUMPRODUCT(--(Lineups!$AG$50:$AG$87=$U162),--(Lineups!$AB$50:$AB$87="X"),Lineups!$AW$50:$AW$87))</f>
        <v>0</v>
      </c>
      <c r="Z162" s="344">
        <f ca="1">IF($U162="","",SUMPRODUCT(--(Lineups!$AK$50:$AK$87=$U162),Lineups!$AW$50:$AW$87))</f>
        <v>0</v>
      </c>
      <c r="AA162" s="344">
        <f ca="1">IF($U162="","",SUMPRODUCT(--(Lineups!$AO$50:$AO$87=$U162),Lineups!$AW$50:$AW$87))</f>
        <v>10</v>
      </c>
      <c r="AB162" s="344">
        <f ca="1">IF($U162="","",SUMPRODUCT(--(Lineups!$AS$50:$AS$87=$U162),Lineups!$AW$50:$AW$87))</f>
        <v>10</v>
      </c>
      <c r="AC162" s="45">
        <f t="shared" ca="1" si="101"/>
        <v>20</v>
      </c>
      <c r="AE162" s="45">
        <f t="shared" ca="1" si="102"/>
        <v>20</v>
      </c>
      <c r="AH162" s="45">
        <f ca="1">IF($U162="","",SUMPRODUCT(--(Lineups!$AC$50:$AC$87=$U162),Lineups!$AW$50:$AW$87))</f>
        <v>0</v>
      </c>
      <c r="AJ162" s="45">
        <f t="shared" ca="1" si="103"/>
        <v>20</v>
      </c>
    </row>
    <row r="163" spans="1:37" x14ac:dyDescent="0.3">
      <c r="A163" s="333">
        <f t="shared" si="94"/>
        <v>10</v>
      </c>
      <c r="B163" s="333" t="str">
        <f t="shared" si="95"/>
        <v>53</v>
      </c>
      <c r="C163" s="333" t="str">
        <f t="shared" si="95"/>
        <v>Raven Seaward</v>
      </c>
      <c r="D163" s="333">
        <f ca="1">IF($B163="","",SUMPRODUCT(--(Lineups!G$50:G$87=$B163),--(Lineups!B$50:B$87=""),Lineups!$W$50:$W$87))</f>
        <v>9</v>
      </c>
      <c r="F163" s="344">
        <f ca="1">IF($B163="","",SUMPRODUCT(--(Lineups!G$50:G$87=$B163),--(Lineups!B$50:B$87="X"),Lineups!$W$50:$W$87))</f>
        <v>0</v>
      </c>
      <c r="G163" s="344">
        <f ca="1">IF($B163="","",SUMPRODUCT(--(Lineups!$K$50:$K$87=$B163),Lineups!$W$50:$W$87))</f>
        <v>36</v>
      </c>
      <c r="H163" s="344">
        <f ca="1">IF($B163="","",SUMPRODUCT(--(Lineups!$O$50:$O$87=$B163),Lineups!$W$50:$W$87))</f>
        <v>3</v>
      </c>
      <c r="I163" s="344">
        <f ca="1">IF($B163="","",SUMPRODUCT(--(Lineups!$S$50:$S$87=$B163),Lineups!$W$50:$W$87))</f>
        <v>35</v>
      </c>
      <c r="J163" s="333">
        <f t="shared" ca="1" si="96"/>
        <v>74</v>
      </c>
      <c r="L163" s="333">
        <f t="shared" ca="1" si="97"/>
        <v>83</v>
      </c>
      <c r="O163" s="333">
        <f ca="1">IF($B163="","",SUMPRODUCT(--(Lineups!$C$50:$C$87=$B163),Lineups!$W$50:$W$87))</f>
        <v>0</v>
      </c>
      <c r="Q163" s="333">
        <f t="shared" ca="1" si="98"/>
        <v>83</v>
      </c>
      <c r="T163" s="333">
        <f t="shared" si="99"/>
        <v>10</v>
      </c>
      <c r="U163" s="333" t="str">
        <f t="shared" si="100"/>
        <v>51</v>
      </c>
      <c r="V163" s="333" t="str">
        <f t="shared" si="100"/>
        <v>Bustin’ Beaver</v>
      </c>
      <c r="W163" s="333">
        <f ca="1">IF($U163="","",SUMPRODUCT(--(Lineups!$AG$50:$AG$87=$U163),--(Lineups!$AB$50:$AB$87=""),Lineups!$AW$50:$AW$87))</f>
        <v>0</v>
      </c>
      <c r="Y163" s="344">
        <f ca="1">IF($U163="","",SUMPRODUCT(--(Lineups!$AG$50:$AG$87=$U163),--(Lineups!$AB$50:$AB$87="X"),Lineups!$AW$50:$AW$87))</f>
        <v>0</v>
      </c>
      <c r="Z163" s="344">
        <f ca="1">IF($U163="","",SUMPRODUCT(--(Lineups!$AK$50:$AK$87=$U163),Lineups!$AW$50:$AW$87))</f>
        <v>0</v>
      </c>
      <c r="AA163" s="344">
        <f ca="1">IF($U163="","",SUMPRODUCT(--(Lineups!$AO$50:$AO$87=$U163),Lineups!$AW$50:$AW$87))</f>
        <v>0</v>
      </c>
      <c r="AB163" s="344">
        <f ca="1">IF($U163="","",SUMPRODUCT(--(Lineups!$AS$50:$AS$87=$U163),Lineups!$AW$50:$AW$87))</f>
        <v>0</v>
      </c>
      <c r="AC163" s="333">
        <f t="shared" ca="1" si="101"/>
        <v>0</v>
      </c>
      <c r="AE163" s="333">
        <f t="shared" ca="1" si="102"/>
        <v>0</v>
      </c>
      <c r="AH163" s="333">
        <f ca="1">IF($U163="","",SUMPRODUCT(--(Lineups!$AC$50:$AC$87=$U163),Lineups!$AW$50:$AW$87))</f>
        <v>0</v>
      </c>
      <c r="AJ163" s="333">
        <f t="shared" ca="1" si="103"/>
        <v>0</v>
      </c>
    </row>
    <row r="164" spans="1:37" x14ac:dyDescent="0.3">
      <c r="A164" s="45">
        <f t="shared" si="94"/>
        <v>11</v>
      </c>
      <c r="B164" s="45" t="str">
        <f t="shared" si="95"/>
        <v>761</v>
      </c>
      <c r="C164" s="45" t="str">
        <f t="shared" si="95"/>
        <v>Rawkhell SqWelch</v>
      </c>
      <c r="D164" s="45">
        <f ca="1">IF($B164="","",SUMPRODUCT(--(Lineups!G$50:G$87=$B164),--(Lineups!B$50:B$87=""),Lineups!$W$50:$W$87))</f>
        <v>0</v>
      </c>
      <c r="F164" s="344">
        <f ca="1">IF($B164="","",SUMPRODUCT(--(Lineups!G$50:G$87=$B164),--(Lineups!B$50:B$87="X"),Lineups!$W$50:$W$87))</f>
        <v>11</v>
      </c>
      <c r="G164" s="344">
        <f ca="1">IF($B164="","",SUMPRODUCT(--(Lineups!$K$50:$K$87=$B164),Lineups!$W$50:$W$87))</f>
        <v>0</v>
      </c>
      <c r="H164" s="344">
        <f ca="1">IF($B164="","",SUMPRODUCT(--(Lineups!$O$50:$O$87=$B164),Lineups!$W$50:$W$87))</f>
        <v>0</v>
      </c>
      <c r="I164" s="344">
        <f ca="1">IF($B164="","",SUMPRODUCT(--(Lineups!$S$50:$S$87=$B164),Lineups!$W$50:$W$87))</f>
        <v>0</v>
      </c>
      <c r="J164" s="45">
        <f t="shared" ca="1" si="96"/>
        <v>11</v>
      </c>
      <c r="L164" s="45">
        <f t="shared" ca="1" si="97"/>
        <v>11</v>
      </c>
      <c r="O164" s="45">
        <f ca="1">IF($B164="","",SUMPRODUCT(--(Lineups!$C$50:$C$87=$B164),Lineups!$W$50:$W$87))</f>
        <v>48</v>
      </c>
      <c r="Q164" s="45">
        <f t="shared" ca="1" si="98"/>
        <v>59</v>
      </c>
      <c r="T164" s="45">
        <f t="shared" si="99"/>
        <v>11</v>
      </c>
      <c r="U164" s="45" t="str">
        <f t="shared" si="100"/>
        <v>5309</v>
      </c>
      <c r="V164" s="45" t="str">
        <f t="shared" si="100"/>
        <v>Toxic Assets</v>
      </c>
      <c r="W164" s="45">
        <f ca="1">IF($U164="","",SUMPRODUCT(--(Lineups!$AG$50:$AG$87=$U164),--(Lineups!$AB$50:$AB$87=""),Lineups!$AW$50:$AW$87))</f>
        <v>0</v>
      </c>
      <c r="Y164" s="344">
        <f ca="1">IF($U164="","",SUMPRODUCT(--(Lineups!$AG$50:$AG$87=$U164),--(Lineups!$AB$50:$AB$87="X"),Lineups!$AW$50:$AW$87))</f>
        <v>0</v>
      </c>
      <c r="Z164" s="344">
        <f ca="1">IF($U164="","",SUMPRODUCT(--(Lineups!$AK$50:$AK$87=$U164),Lineups!$AW$50:$AW$87))</f>
        <v>2</v>
      </c>
      <c r="AA164" s="344">
        <f ca="1">IF($U164="","",SUMPRODUCT(--(Lineups!$AO$50:$AO$87=$U164),Lineups!$AW$50:$AW$87))</f>
        <v>0</v>
      </c>
      <c r="AB164" s="344">
        <f ca="1">IF($U164="","",SUMPRODUCT(--(Lineups!$AS$50:$AS$87=$U164),Lineups!$AW$50:$AW$87))</f>
        <v>0</v>
      </c>
      <c r="AC164" s="45">
        <f t="shared" ca="1" si="101"/>
        <v>2</v>
      </c>
      <c r="AE164" s="45">
        <f t="shared" ca="1" si="102"/>
        <v>2</v>
      </c>
      <c r="AH164" s="45">
        <f ca="1">IF($U164="","",SUMPRODUCT(--(Lineups!$AC$50:$AC$87=$U164),Lineups!$AW$50:$AW$87))</f>
        <v>0</v>
      </c>
      <c r="AJ164" s="45">
        <f t="shared" ca="1" si="103"/>
        <v>2</v>
      </c>
    </row>
    <row r="165" spans="1:37" x14ac:dyDescent="0.3">
      <c r="A165" s="333">
        <f t="shared" si="94"/>
        <v>12</v>
      </c>
      <c r="B165" s="333" t="str">
        <f t="shared" si="95"/>
        <v>808</v>
      </c>
      <c r="C165" s="333" t="str">
        <f t="shared" si="95"/>
        <v>Kendle Bjelland</v>
      </c>
      <c r="D165" s="333">
        <f ca="1">IF($B165="","",SUMPRODUCT(--(Lineups!G$50:G$87=$B165),--(Lineups!B$50:B$87=""),Lineups!$W$50:$W$87))</f>
        <v>0</v>
      </c>
      <c r="F165" s="344">
        <f ca="1">IF($B165="","",SUMPRODUCT(--(Lineups!G$50:G$87=$B165),--(Lineups!B$50:B$87="X"),Lineups!$W$50:$W$87))</f>
        <v>0</v>
      </c>
      <c r="G165" s="344">
        <f ca="1">IF($B165="","",SUMPRODUCT(--(Lineups!$K$50:$K$87=$B165),Lineups!$W$50:$W$87))</f>
        <v>0</v>
      </c>
      <c r="H165" s="344">
        <f ca="1">IF($B165="","",SUMPRODUCT(--(Lineups!$O$50:$O$87=$B165),Lineups!$W$50:$W$87))</f>
        <v>31</v>
      </c>
      <c r="I165" s="344">
        <f ca="1">IF($B165="","",SUMPRODUCT(--(Lineups!$S$50:$S$87=$B165),Lineups!$W$50:$W$87))</f>
        <v>8</v>
      </c>
      <c r="J165" s="333">
        <f t="shared" ca="1" si="96"/>
        <v>39</v>
      </c>
      <c r="L165" s="333">
        <f t="shared" ca="1" si="97"/>
        <v>39</v>
      </c>
      <c r="O165" s="333">
        <f ca="1">IF($B165="","",SUMPRODUCT(--(Lineups!$C$50:$C$87=$B165),Lineups!$W$50:$W$87))</f>
        <v>0</v>
      </c>
      <c r="Q165" s="333">
        <f t="shared" ca="1" si="98"/>
        <v>39</v>
      </c>
      <c r="T165" s="333">
        <f t="shared" si="99"/>
        <v>12</v>
      </c>
      <c r="U165" s="333" t="str">
        <f t="shared" si="100"/>
        <v>69</v>
      </c>
      <c r="V165" s="333" t="str">
        <f t="shared" si="100"/>
        <v>Death By Chocolate</v>
      </c>
      <c r="W165" s="333">
        <f ca="1">IF($U165="","",SUMPRODUCT(--(Lineups!$AG$50:$AG$87=$U165),--(Lineups!$AB$50:$AB$87=""),Lineups!$AW$50:$AW$87))</f>
        <v>0</v>
      </c>
      <c r="Y165" s="344">
        <f ca="1">IF($U165="","",SUMPRODUCT(--(Lineups!$AG$50:$AG$87=$U165),--(Lineups!$AB$50:$AB$87="X"),Lineups!$AW$50:$AW$87))</f>
        <v>0</v>
      </c>
      <c r="Z165" s="344">
        <f ca="1">IF($U165="","",SUMPRODUCT(--(Lineups!$AK$50:$AK$87=$U165),Lineups!$AW$50:$AW$87))</f>
        <v>0</v>
      </c>
      <c r="AA165" s="344">
        <f ca="1">IF($U165="","",SUMPRODUCT(--(Lineups!$AO$50:$AO$87=$U165),Lineups!$AW$50:$AW$87))</f>
        <v>0</v>
      </c>
      <c r="AB165" s="344">
        <f ca="1">IF($U165="","",SUMPRODUCT(--(Lineups!$AS$50:$AS$87=$U165),Lineups!$AW$50:$AW$87))</f>
        <v>0</v>
      </c>
      <c r="AC165" s="333">
        <f t="shared" ca="1" si="101"/>
        <v>0</v>
      </c>
      <c r="AE165" s="333">
        <f t="shared" ca="1" si="102"/>
        <v>0</v>
      </c>
      <c r="AH165" s="333">
        <f ca="1">IF($U165="","",SUMPRODUCT(--(Lineups!$AC$50:$AC$87=$U165),Lineups!$AW$50:$AW$87))</f>
        <v>4</v>
      </c>
      <c r="AJ165" s="333">
        <f t="shared" ca="1" si="103"/>
        <v>4</v>
      </c>
    </row>
    <row r="166" spans="1:37" x14ac:dyDescent="0.3">
      <c r="A166" s="45">
        <f t="shared" si="94"/>
        <v>13</v>
      </c>
      <c r="B166" s="45" t="str">
        <f t="shared" si="95"/>
        <v>9</v>
      </c>
      <c r="C166" s="45" t="str">
        <f t="shared" si="95"/>
        <v>P. Wilhelm</v>
      </c>
      <c r="D166" s="45">
        <f ca="1">IF($B166="","",SUMPRODUCT(--(Lineups!G$50:G$87=$B166),--(Lineups!B$50:B$87=""),Lineups!$W$50:$W$87))</f>
        <v>62</v>
      </c>
      <c r="F166" s="344">
        <f ca="1">IF($B166="","",SUMPRODUCT(--(Lineups!G$50:G$87=$B166),--(Lineups!B$50:B$87="X"),Lineups!$W$50:$W$87))</f>
        <v>0</v>
      </c>
      <c r="G166" s="344">
        <f ca="1">IF($B166="","",SUMPRODUCT(--(Lineups!$K$50:$K$87=$B166),Lineups!$W$50:$W$87))</f>
        <v>30</v>
      </c>
      <c r="H166" s="344">
        <f ca="1">IF($B166="","",SUMPRODUCT(--(Lineups!$O$50:$O$87=$B166),Lineups!$W$50:$W$87))</f>
        <v>0</v>
      </c>
      <c r="I166" s="344">
        <f ca="1">IF($B166="","",SUMPRODUCT(--(Lineups!$S$50:$S$87=$B166),Lineups!$W$50:$W$87))</f>
        <v>0</v>
      </c>
      <c r="J166" s="45">
        <f t="shared" ca="1" si="96"/>
        <v>30</v>
      </c>
      <c r="L166" s="45">
        <f t="shared" ca="1" si="97"/>
        <v>92</v>
      </c>
      <c r="O166" s="45">
        <f ca="1">IF($B166="","",SUMPRODUCT(--(Lineups!$C$50:$C$87=$B166),Lineups!$W$50:$W$87))</f>
        <v>0</v>
      </c>
      <c r="Q166" s="45">
        <f t="shared" ca="1" si="98"/>
        <v>92</v>
      </c>
      <c r="T166" s="45">
        <f t="shared" si="99"/>
        <v>13</v>
      </c>
      <c r="U166" s="45" t="str">
        <f t="shared" si="100"/>
        <v>9</v>
      </c>
      <c r="V166" s="45" t="str">
        <f t="shared" si="100"/>
        <v>Big Bad Voodoo Dollie</v>
      </c>
      <c r="W166" s="45">
        <f ca="1">IF($U166="","",SUMPRODUCT(--(Lineups!$AG$50:$AG$87=$U166),--(Lineups!$AB$50:$AB$87=""),Lineups!$AW$50:$AW$87))</f>
        <v>0</v>
      </c>
      <c r="Y166" s="344">
        <f ca="1">IF($U166="","",SUMPRODUCT(--(Lineups!$AG$50:$AG$87=$U166),--(Lineups!$AB$50:$AB$87="X"),Lineups!$AW$50:$AW$87))</f>
        <v>0</v>
      </c>
      <c r="Z166" s="344">
        <f ca="1">IF($U166="","",SUMPRODUCT(--(Lineups!$AK$50:$AK$87=$U166),Lineups!$AW$50:$AW$87))</f>
        <v>0</v>
      </c>
      <c r="AA166" s="344">
        <f ca="1">IF($U166="","",SUMPRODUCT(--(Lineups!$AO$50:$AO$87=$U166),Lineups!$AW$50:$AW$87))</f>
        <v>0</v>
      </c>
      <c r="AB166" s="344">
        <f ca="1">IF($U166="","",SUMPRODUCT(--(Lineups!$AS$50:$AS$87=$U166),Lineups!$AW$50:$AW$87))</f>
        <v>0</v>
      </c>
      <c r="AC166" s="45">
        <f t="shared" ca="1" si="101"/>
        <v>0</v>
      </c>
      <c r="AE166" s="45">
        <f t="shared" ca="1" si="102"/>
        <v>0</v>
      </c>
      <c r="AH166" s="45">
        <f ca="1">IF($U166="","",SUMPRODUCT(--(Lineups!$AC$50:$AC$87=$U166),Lineups!$AW$50:$AW$87))</f>
        <v>0</v>
      </c>
      <c r="AJ166" s="45">
        <f t="shared" ca="1" si="103"/>
        <v>0</v>
      </c>
    </row>
    <row r="167" spans="1:37" x14ac:dyDescent="0.3">
      <c r="A167" s="333">
        <f t="shared" si="94"/>
        <v>14</v>
      </c>
      <c r="B167" s="333" t="str">
        <f t="shared" si="95"/>
        <v>911</v>
      </c>
      <c r="C167" s="333" t="str">
        <f t="shared" si="95"/>
        <v>Luna Negra</v>
      </c>
      <c r="D167" s="333">
        <f ca="1">IF($B167="","",SUMPRODUCT(--(Lineups!G$50:G$87=$B167),--(Lineups!B$50:B$87=""),Lineups!$W$50:$W$87))</f>
        <v>0</v>
      </c>
      <c r="F167" s="344">
        <f ca="1">IF($B167="","",SUMPRODUCT(--(Lineups!G$50:G$87=$B167),--(Lineups!B$50:B$87="X"),Lineups!$W$50:$W$87))</f>
        <v>0</v>
      </c>
      <c r="G167" s="344">
        <f ca="1">IF($B167="","",SUMPRODUCT(--(Lineups!$K$50:$K$87=$B167),Lineups!$W$50:$W$87))</f>
        <v>0</v>
      </c>
      <c r="H167" s="344">
        <f ca="1">IF($B167="","",SUMPRODUCT(--(Lineups!$O$50:$O$87=$B167),Lineups!$W$50:$W$87))</f>
        <v>0</v>
      </c>
      <c r="I167" s="344">
        <f ca="1">IF($B167="","",SUMPRODUCT(--(Lineups!$S$50:$S$87=$B167),Lineups!$W$50:$W$87))</f>
        <v>0</v>
      </c>
      <c r="J167" s="333">
        <f t="shared" ca="1" si="96"/>
        <v>0</v>
      </c>
      <c r="L167" s="333">
        <f t="shared" ca="1" si="97"/>
        <v>0</v>
      </c>
      <c r="O167" s="333">
        <f ca="1">IF($B167="","",SUMPRODUCT(--(Lineups!$C$50:$C$87=$B167),Lineups!$W$50:$W$87))</f>
        <v>54</v>
      </c>
      <c r="Q167" s="333">
        <f t="shared" ca="1" si="98"/>
        <v>54</v>
      </c>
      <c r="T167" s="333">
        <f t="shared" si="99"/>
        <v>14</v>
      </c>
      <c r="U167" s="333" t="str">
        <f t="shared" si="100"/>
        <v>93</v>
      </c>
      <c r="V167" s="333" t="str">
        <f t="shared" si="100"/>
        <v>Erma Gerd</v>
      </c>
      <c r="W167" s="333">
        <f ca="1">IF($U167="","",SUMPRODUCT(--(Lineups!$AG$50:$AG$87=$U167),--(Lineups!$AB$50:$AB$87=""),Lineups!$AW$50:$AW$87))</f>
        <v>0</v>
      </c>
      <c r="Y167" s="344">
        <f ca="1">IF($U167="","",SUMPRODUCT(--(Lineups!$AG$50:$AG$87=$U167),--(Lineups!$AB$50:$AB$87="X"),Lineups!$AW$50:$AW$87))</f>
        <v>0</v>
      </c>
      <c r="Z167" s="344">
        <f ca="1">IF($U167="","",SUMPRODUCT(--(Lineups!$AK$50:$AK$87=$U167),Lineups!$AW$50:$AW$87))</f>
        <v>10</v>
      </c>
      <c r="AA167" s="344">
        <f ca="1">IF($U167="","",SUMPRODUCT(--(Lineups!$AO$50:$AO$87=$U167),Lineups!$AW$50:$AW$87))</f>
        <v>0</v>
      </c>
      <c r="AB167" s="344">
        <f ca="1">IF($U167="","",SUMPRODUCT(--(Lineups!$AS$50:$AS$87=$U167),Lineups!$AW$50:$AW$87))</f>
        <v>10</v>
      </c>
      <c r="AC167" s="333">
        <f t="shared" ca="1" si="101"/>
        <v>20</v>
      </c>
      <c r="AE167" s="333">
        <f t="shared" ca="1" si="102"/>
        <v>20</v>
      </c>
      <c r="AH167" s="333">
        <f ca="1">IF($U167="","",SUMPRODUCT(--(Lineups!$AC$50:$AC$87=$U167),Lineups!$AW$50:$AW$87))</f>
        <v>0</v>
      </c>
      <c r="AJ167" s="333">
        <f t="shared" ca="1" si="103"/>
        <v>20</v>
      </c>
    </row>
    <row r="168" spans="1:37" x14ac:dyDescent="0.3">
      <c r="A168" s="45">
        <f t="shared" si="94"/>
        <v>15</v>
      </c>
      <c r="B168" s="45" t="str">
        <f t="shared" si="95"/>
        <v>0</v>
      </c>
      <c r="C168" s="45" t="str">
        <f t="shared" si="95"/>
        <v>Enurgizer Bunny</v>
      </c>
      <c r="D168" s="45">
        <f ca="1">IF($B168="","",SUMPRODUCT(--(Lineups!G$50:G$87=$B168),--(Lineups!B$50:B$87=""),Lineups!$W$50:$W$87))</f>
        <v>0</v>
      </c>
      <c r="F168" s="344">
        <f ca="1">IF($B168="","",SUMPRODUCT(--(Lineups!G$50:G$87=$B168),--(Lineups!B$50:B$87="X"),Lineups!$W$50:$W$87))</f>
        <v>0</v>
      </c>
      <c r="G168" s="344">
        <f ca="1">IF($B168="","",SUMPRODUCT(--(Lineups!$K$50:$K$87=$B168),Lineups!$W$50:$W$87))</f>
        <v>0</v>
      </c>
      <c r="H168" s="344">
        <f ca="1">IF($B168="","",SUMPRODUCT(--(Lineups!$O$50:$O$87=$B168),Lineups!$W$50:$W$87))</f>
        <v>0</v>
      </c>
      <c r="I168" s="344">
        <f ca="1">IF($B168="","",SUMPRODUCT(--(Lineups!$S$50:$S$87=$B168),Lineups!$W$50:$W$87))</f>
        <v>0</v>
      </c>
      <c r="J168" s="45">
        <f t="shared" ca="1" si="96"/>
        <v>0</v>
      </c>
      <c r="L168" s="45">
        <f t="shared" ca="1" si="97"/>
        <v>0</v>
      </c>
      <c r="O168" s="45">
        <f ca="1">IF($B168="","",SUMPRODUCT(--(Lineups!$C$50:$C$87=$B168),Lineups!$W$50:$W$87))</f>
        <v>0</v>
      </c>
      <c r="Q168" s="45">
        <f t="shared" ca="1" si="98"/>
        <v>0</v>
      </c>
      <c r="T168" s="45">
        <f t="shared" si="99"/>
        <v>15</v>
      </c>
      <c r="U168" s="45" t="str">
        <f t="shared" si="100"/>
        <v/>
      </c>
      <c r="V168" s="45" t="str">
        <f t="shared" si="100"/>
        <v/>
      </c>
      <c r="W168" s="45" t="str">
        <f>IF($U168="","",SUMPRODUCT(--(Lineups!$AG$50:$AG$87=$U168),--(Lineups!$AB$50:$AB$87=""),Lineups!$AW$50:$AW$87))</f>
        <v/>
      </c>
      <c r="Y168" s="344" t="str">
        <f>IF($U168="","",SUMPRODUCT(--(Lineups!$AG$50:$AG$87=$U168),--(Lineups!$AB$50:$AB$87="X"),Lineups!$AW$50:$AW$87))</f>
        <v/>
      </c>
      <c r="Z168" s="344" t="str">
        <f>IF($U168="","",SUMPRODUCT(--(Lineups!$AK$50:$AK$87=$U168),Lineups!$AW$50:$AW$87))</f>
        <v/>
      </c>
      <c r="AA168" s="344" t="str">
        <f>IF($U168="","",SUMPRODUCT(--(Lineups!$AO$50:$AO$87=$U168),Lineups!$AW$50:$AW$87))</f>
        <v/>
      </c>
      <c r="AB168" s="344" t="str">
        <f>IF($U168="","",SUMPRODUCT(--(Lineups!$AS$50:$AS$87=$U168),Lineups!$AW$50:$AW$87))</f>
        <v/>
      </c>
      <c r="AC168" s="45">
        <f t="shared" si="101"/>
        <v>0</v>
      </c>
      <c r="AE168" s="45" t="str">
        <f t="shared" si="102"/>
        <v/>
      </c>
      <c r="AH168" s="45" t="str">
        <f>IF($U168="","",SUMPRODUCT(--(Lineups!$AC$50:$AC$87=$U168),Lineups!$AW$50:$AW$87))</f>
        <v/>
      </c>
      <c r="AJ168" s="45" t="str">
        <f t="shared" si="103"/>
        <v/>
      </c>
    </row>
    <row r="169" spans="1:37" x14ac:dyDescent="0.3">
      <c r="A169" s="333">
        <f t="shared" si="94"/>
        <v>16</v>
      </c>
      <c r="B169" s="333" t="str">
        <f t="shared" si="95"/>
        <v>88</v>
      </c>
      <c r="C169" s="333" t="str">
        <f t="shared" si="95"/>
        <v>Ophelia Melons</v>
      </c>
      <c r="D169" s="333">
        <f ca="1">IF($B169="","",SUMPRODUCT(--(Lineups!G$50:G$87=$B169),--(Lineups!B$50:B$87=""),Lineups!$W$50:$W$87))</f>
        <v>0</v>
      </c>
      <c r="F169" s="344">
        <f ca="1">IF($B169="","",SUMPRODUCT(--(Lineups!G$50:G$87=$B169),--(Lineups!B$50:B$87="X"),Lineups!$W$50:$W$87))</f>
        <v>0</v>
      </c>
      <c r="G169" s="344">
        <f ca="1">IF($B169="","",SUMPRODUCT(--(Lineups!$K$50:$K$87=$B169),Lineups!$W$50:$W$87))</f>
        <v>0</v>
      </c>
      <c r="H169" s="344">
        <f ca="1">IF($B169="","",SUMPRODUCT(--(Lineups!$O$50:$O$87=$B169),Lineups!$W$50:$W$87))</f>
        <v>0</v>
      </c>
      <c r="I169" s="344">
        <f ca="1">IF($B169="","",SUMPRODUCT(--(Lineups!$S$50:$S$87=$B169),Lineups!$W$50:$W$87))</f>
        <v>0</v>
      </c>
      <c r="J169" s="333">
        <f t="shared" ca="1" si="96"/>
        <v>0</v>
      </c>
      <c r="L169" s="333">
        <f t="shared" ca="1" si="97"/>
        <v>0</v>
      </c>
      <c r="O169" s="333">
        <f ca="1">IF($B169="","",SUMPRODUCT(--(Lineups!$C$50:$C$87=$B169),Lineups!$W$50:$W$87))</f>
        <v>0</v>
      </c>
      <c r="Q169" s="333">
        <f t="shared" ca="1" si="98"/>
        <v>0</v>
      </c>
      <c r="T169" s="333">
        <f t="shared" si="99"/>
        <v>16</v>
      </c>
      <c r="U169" s="333" t="str">
        <f t="shared" si="100"/>
        <v/>
      </c>
      <c r="V169" s="333" t="str">
        <f t="shared" si="100"/>
        <v/>
      </c>
      <c r="W169" s="333" t="str">
        <f>IF($U169="","",SUMPRODUCT(--(Lineups!$AG$50:$AG$87=$U169),--(Lineups!$AB$50:$AB$87=""),Lineups!$AW$50:$AW$87))</f>
        <v/>
      </c>
      <c r="Y169" s="344" t="str">
        <f>IF($U169="","",SUMPRODUCT(--(Lineups!$AG$50:$AG$87=$U169),--(Lineups!$AB$50:$AB$87="X"),Lineups!$AW$50:$AW$87))</f>
        <v/>
      </c>
      <c r="Z169" s="344" t="str">
        <f>IF($U169="","",SUMPRODUCT(--(Lineups!$AK$50:$AK$87=$U169),Lineups!$AW$50:$AW$87))</f>
        <v/>
      </c>
      <c r="AA169" s="344" t="str">
        <f>IF($U169="","",SUMPRODUCT(--(Lineups!$AO$50:$AO$87=$U169),Lineups!$AW$50:$AW$87))</f>
        <v/>
      </c>
      <c r="AB169" s="344" t="str">
        <f>IF($U169="","",SUMPRODUCT(--(Lineups!$AS$50:$AS$87=$U169),Lineups!$AW$50:$AW$87))</f>
        <v/>
      </c>
      <c r="AC169" s="333">
        <f t="shared" si="101"/>
        <v>0</v>
      </c>
      <c r="AE169" s="333" t="str">
        <f t="shared" si="102"/>
        <v/>
      </c>
      <c r="AH169" s="333" t="str">
        <f>IF($U169="","",SUMPRODUCT(--(Lineups!$AC$50:$AC$87=$U169),Lineups!$AW$50:$AW$87))</f>
        <v/>
      </c>
      <c r="AJ169" s="333" t="str">
        <f t="shared" si="103"/>
        <v/>
      </c>
    </row>
    <row r="170" spans="1:37" x14ac:dyDescent="0.3">
      <c r="A170" s="45">
        <f t="shared" si="94"/>
        <v>17</v>
      </c>
      <c r="B170" s="45" t="str">
        <f t="shared" si="95"/>
        <v/>
      </c>
      <c r="C170" s="45" t="str">
        <f t="shared" si="95"/>
        <v/>
      </c>
      <c r="D170" s="45" t="str">
        <f>IF($B170="","",SUMPRODUCT(--(Lineups!G$50:G$87=$B170),--(Lineups!B$50:B$87=""),Lineups!$W$50:$W$87))</f>
        <v/>
      </c>
      <c r="F170" s="344" t="str">
        <f>IF($B170="","",SUMPRODUCT(--(Lineups!G$50:G$87=$B170),--(Lineups!B$50:B$87="X"),Lineups!$W$50:$W$87))</f>
        <v/>
      </c>
      <c r="G170" s="344" t="str">
        <f>IF($B170="","",SUMPRODUCT(--(Lineups!$K$50:$K$87=$B170),Lineups!$W$50:$W$87))</f>
        <v/>
      </c>
      <c r="H170" s="344" t="str">
        <f>IF($B170="","",SUMPRODUCT(--(Lineups!$O$50:$O$87=$B170),Lineups!$W$50:$W$87))</f>
        <v/>
      </c>
      <c r="I170" s="344" t="str">
        <f>IF($B170="","",SUMPRODUCT(--(Lineups!$S$50:$S$87=$B170),Lineups!$W$50:$W$87))</f>
        <v/>
      </c>
      <c r="J170" s="45" t="str">
        <f t="shared" si="96"/>
        <v/>
      </c>
      <c r="L170" s="45" t="str">
        <f t="shared" si="97"/>
        <v/>
      </c>
      <c r="O170" s="45" t="str">
        <f>IF($B170="","",SUMPRODUCT(--(Lineups!$C$50:$C$87=$B170),Lineups!$W$50:$W$87))</f>
        <v/>
      </c>
      <c r="Q170" s="45" t="str">
        <f t="shared" si="98"/>
        <v/>
      </c>
      <c r="T170" s="45">
        <f t="shared" si="99"/>
        <v>17</v>
      </c>
      <c r="U170" s="45" t="str">
        <f t="shared" si="100"/>
        <v/>
      </c>
      <c r="V170" s="45" t="str">
        <f t="shared" si="100"/>
        <v/>
      </c>
      <c r="W170" s="45" t="str">
        <f>IF($U170="","",SUMPRODUCT(--(Lineups!$AG$50:$AG$87=$U170),--(Lineups!$AB$50:$AB$87=""),Lineups!$AW$50:$AW$87))</f>
        <v/>
      </c>
      <c r="Y170" s="344" t="str">
        <f>IF($U170="","",SUMPRODUCT(--(Lineups!$AG$50:$AG$87=$U170),--(Lineups!$AB$50:$AB$87="X"),Lineups!$AW$50:$AW$87))</f>
        <v/>
      </c>
      <c r="Z170" s="344" t="str">
        <f>IF($U170="","",SUMPRODUCT(--(Lineups!$AK$50:$AK$87=$U170),Lineups!$AW$50:$AW$87))</f>
        <v/>
      </c>
      <c r="AA170" s="344" t="str">
        <f>IF($U170="","",SUMPRODUCT(--(Lineups!$AO$50:$AO$87=$U170),Lineups!$AW$50:$AW$87))</f>
        <v/>
      </c>
      <c r="AB170" s="344" t="str">
        <f>IF($U170="","",SUMPRODUCT(--(Lineups!$AS$50:$AS$87=$U170),Lineups!$AW$50:$AW$87))</f>
        <v/>
      </c>
      <c r="AC170" s="45">
        <f t="shared" si="101"/>
        <v>0</v>
      </c>
      <c r="AE170" s="45" t="str">
        <f t="shared" si="102"/>
        <v/>
      </c>
      <c r="AH170" s="45" t="str">
        <f>IF($U170="","",SUMPRODUCT(--(Lineups!$AC$50:$AC$87=$U170),Lineups!$AW$50:$AW$87))</f>
        <v/>
      </c>
      <c r="AJ170" s="45" t="str">
        <f t="shared" si="103"/>
        <v/>
      </c>
    </row>
    <row r="171" spans="1:37" x14ac:dyDescent="0.3">
      <c r="A171" s="333">
        <f t="shared" si="94"/>
        <v>18</v>
      </c>
      <c r="B171" s="333" t="str">
        <f t="shared" si="95"/>
        <v/>
      </c>
      <c r="C171" s="333" t="str">
        <f t="shared" si="95"/>
        <v/>
      </c>
      <c r="D171" s="333" t="str">
        <f>IF($B171="","",SUMPRODUCT(--(Lineups!G$50:G$87=$B171),--(Lineups!B$50:B$87=""),Lineups!$W$50:$W$87))</f>
        <v/>
      </c>
      <c r="F171" s="344" t="str">
        <f>IF($B171="","",SUMPRODUCT(--(Lineups!G$50:G$87=$B171),--(Lineups!B$50:B$87="X"),Lineups!$W$50:$W$87))</f>
        <v/>
      </c>
      <c r="G171" s="344" t="str">
        <f>IF($B171="","",SUMPRODUCT(--(Lineups!$K$50:$K$87=$B171),Lineups!$W$50:$W$87))</f>
        <v/>
      </c>
      <c r="H171" s="344" t="str">
        <f>IF($B171="","",SUMPRODUCT(--(Lineups!$O$50:$O$87=$B171),Lineups!$W$50:$W$87))</f>
        <v/>
      </c>
      <c r="I171" s="344" t="str">
        <f>IF($B171="","",SUMPRODUCT(--(Lineups!$S$50:$S$87=$B171),Lineups!$W$50:$W$87))</f>
        <v/>
      </c>
      <c r="J171" s="333" t="str">
        <f t="shared" si="96"/>
        <v/>
      </c>
      <c r="L171" s="333" t="str">
        <f t="shared" si="97"/>
        <v/>
      </c>
      <c r="O171" s="333" t="str">
        <f>IF($B171="","",SUMPRODUCT(--(Lineups!$C$50:$C$87=$B171),Lineups!$W$50:$W$87))</f>
        <v/>
      </c>
      <c r="Q171" s="333" t="str">
        <f t="shared" si="98"/>
        <v/>
      </c>
      <c r="T171" s="333">
        <f t="shared" si="99"/>
        <v>18</v>
      </c>
      <c r="U171" s="333" t="str">
        <f t="shared" si="100"/>
        <v/>
      </c>
      <c r="V171" s="333" t="str">
        <f t="shared" si="100"/>
        <v/>
      </c>
      <c r="W171" s="333" t="str">
        <f>IF($U171="","",SUMPRODUCT(--(Lineups!$AG$50:$AG$87=$U171),--(Lineups!$AB$50:$AB$87=""),Lineups!$AW$50:$AW$87))</f>
        <v/>
      </c>
      <c r="Y171" s="344" t="str">
        <f>IF($U171="","",SUMPRODUCT(--(Lineups!$AG$50:$AG$87=$U171),--(Lineups!$AB$50:$AB$87="X"),Lineups!$AW$50:$AW$87))</f>
        <v/>
      </c>
      <c r="Z171" s="344" t="str">
        <f>IF($U171="","",SUMPRODUCT(--(Lineups!$AK$50:$AK$87=$U171),Lineups!$AW$50:$AW$87))</f>
        <v/>
      </c>
      <c r="AA171" s="344" t="str">
        <f>IF($U171="","",SUMPRODUCT(--(Lineups!$AO$50:$AO$87=$U171),Lineups!$AW$50:$AW$87))</f>
        <v/>
      </c>
      <c r="AB171" s="344" t="str">
        <f>IF($U171="","",SUMPRODUCT(--(Lineups!$AS$50:$AS$87=$U171),Lineups!$AW$50:$AW$87))</f>
        <v/>
      </c>
      <c r="AC171" s="333">
        <f t="shared" si="101"/>
        <v>0</v>
      </c>
      <c r="AE171" s="333" t="str">
        <f t="shared" si="102"/>
        <v/>
      </c>
      <c r="AH171" s="333" t="str">
        <f>IF($U171="","",SUMPRODUCT(--(Lineups!$AC$50:$AC$87=$U171),Lineups!$AW$50:$AW$87))</f>
        <v/>
      </c>
      <c r="AJ171" s="333" t="str">
        <f t="shared" si="103"/>
        <v/>
      </c>
    </row>
    <row r="172" spans="1:37" x14ac:dyDescent="0.3">
      <c r="A172" s="45">
        <f t="shared" si="94"/>
        <v>19</v>
      </c>
      <c r="B172" s="45" t="str">
        <f t="shared" si="95"/>
        <v/>
      </c>
      <c r="C172" s="45" t="str">
        <f t="shared" si="95"/>
        <v/>
      </c>
      <c r="D172" s="45" t="str">
        <f>IF($B172="","",SUMPRODUCT(--(Lineups!G$50:G$87=$B172),--(Lineups!B$50:B$87=""),Lineups!$W$50:$W$87))</f>
        <v/>
      </c>
      <c r="F172" s="344" t="str">
        <f>IF($B172="","",SUMPRODUCT(--(Lineups!G$50:G$87=$B172),--(Lineups!B$50:B$87="X"),Lineups!$W$50:$W$87))</f>
        <v/>
      </c>
      <c r="G172" s="344" t="str">
        <f>IF($B172="","",SUMPRODUCT(--(Lineups!$K$50:$K$87=$B172),Lineups!$W$50:$W$87))</f>
        <v/>
      </c>
      <c r="H172" s="344" t="str">
        <f>IF($B172="","",SUMPRODUCT(--(Lineups!$O$50:$O$87=$B172),Lineups!$W$50:$W$87))</f>
        <v/>
      </c>
      <c r="I172" s="344" t="str">
        <f>IF($B172="","",SUMPRODUCT(--(Lineups!$S$50:$S$87=$B172),Lineups!$W$50:$W$87))</f>
        <v/>
      </c>
      <c r="J172" s="45" t="str">
        <f t="shared" si="96"/>
        <v/>
      </c>
      <c r="L172" s="45" t="str">
        <f t="shared" si="97"/>
        <v/>
      </c>
      <c r="O172" s="45" t="str">
        <f>IF($B172="","",SUMPRODUCT(--(Lineups!$C$50:$C$87=$B172),Lineups!$W$50:$W$87))</f>
        <v/>
      </c>
      <c r="Q172" s="45" t="str">
        <f t="shared" si="98"/>
        <v/>
      </c>
      <c r="T172" s="45">
        <f t="shared" si="99"/>
        <v>19</v>
      </c>
      <c r="U172" s="45" t="str">
        <f t="shared" si="100"/>
        <v/>
      </c>
      <c r="V172" s="45" t="str">
        <f t="shared" si="100"/>
        <v/>
      </c>
      <c r="W172" s="45" t="str">
        <f>IF($U172="","",SUMPRODUCT(--(Lineups!$AG$50:$AG$87=$U172),--(Lineups!$AB$50:$AB$87=""),Lineups!$AW$50:$AW$87))</f>
        <v/>
      </c>
      <c r="Y172" s="344" t="str">
        <f>IF($U172="","",SUMPRODUCT(--(Lineups!$AG$50:$AG$87=$U172),--(Lineups!$AB$50:$AB$87="X"),Lineups!$AW$50:$AW$87))</f>
        <v/>
      </c>
      <c r="Z172" s="344" t="str">
        <f>IF($U172="","",SUMPRODUCT(--(Lineups!$AK$50:$AK$87=$U172),Lineups!$AW$50:$AW$87))</f>
        <v/>
      </c>
      <c r="AA172" s="344" t="str">
        <f>IF($U172="","",SUMPRODUCT(--(Lineups!$AO$50:$AO$87=$U172),Lineups!$AW$50:$AW$87))</f>
        <v/>
      </c>
      <c r="AB172" s="344" t="str">
        <f>IF($U172="","",SUMPRODUCT(--(Lineups!$AS$50:$AS$87=$U172),Lineups!$AW$50:$AW$87))</f>
        <v/>
      </c>
      <c r="AC172" s="45">
        <f t="shared" si="101"/>
        <v>0</v>
      </c>
      <c r="AE172" s="45" t="str">
        <f t="shared" si="102"/>
        <v/>
      </c>
      <c r="AH172" s="45" t="str">
        <f>IF($U172="","",SUMPRODUCT(--(Lineups!$AC$50:$AC$87=$U172),Lineups!$AW$50:$AW$87))</f>
        <v/>
      </c>
      <c r="AJ172" s="45" t="str">
        <f t="shared" si="103"/>
        <v/>
      </c>
    </row>
    <row r="173" spans="1:37" x14ac:dyDescent="0.3">
      <c r="A173" s="333">
        <f t="shared" si="94"/>
        <v>20</v>
      </c>
      <c r="B173" s="333" t="str">
        <f t="shared" si="95"/>
        <v/>
      </c>
      <c r="C173" s="333" t="str">
        <f t="shared" si="95"/>
        <v/>
      </c>
      <c r="D173" s="333" t="str">
        <f>IF($B173="","",SUMPRODUCT(--(Lineups!G$50:G$87=$B173),--(Lineups!B$50:B$87=""),Lineups!$W$50:$W$87))</f>
        <v/>
      </c>
      <c r="F173" s="344" t="str">
        <f>IF($B173="","",SUMPRODUCT(--(Lineups!G$50:G$87=$B173),--(Lineups!B$50:B$87="X"),Lineups!$W$50:$W$87))</f>
        <v/>
      </c>
      <c r="G173" s="344" t="str">
        <f>IF($B173="","",SUMPRODUCT(--(Lineups!$K$50:$K$87=$B173),Lineups!$W$50:$W$87))</f>
        <v/>
      </c>
      <c r="H173" s="344" t="str">
        <f>IF($B173="","",SUMPRODUCT(--(Lineups!$O$50:$O$87=$B173),Lineups!$W$50:$W$87))</f>
        <v/>
      </c>
      <c r="I173" s="344" t="str">
        <f>IF($B173="","",SUMPRODUCT(--(Lineups!$S$50:$S$87=$B173),Lineups!$W$50:$W$87))</f>
        <v/>
      </c>
      <c r="J173" s="333" t="str">
        <f t="shared" si="96"/>
        <v/>
      </c>
      <c r="L173" s="333" t="str">
        <f t="shared" si="97"/>
        <v/>
      </c>
      <c r="O173" s="333" t="str">
        <f>IF($B173="","",SUMPRODUCT(--(Lineups!$C$50:$C$87=$B173),Lineups!$W$50:$W$87))</f>
        <v/>
      </c>
      <c r="Q173" s="333" t="str">
        <f t="shared" si="98"/>
        <v/>
      </c>
      <c r="T173" s="333">
        <f t="shared" si="99"/>
        <v>20</v>
      </c>
      <c r="U173" s="333" t="str">
        <f t="shared" si="100"/>
        <v/>
      </c>
      <c r="V173" s="333" t="str">
        <f t="shared" si="100"/>
        <v/>
      </c>
      <c r="W173" s="333" t="str">
        <f>IF($U173="","",SUMPRODUCT(--(Lineups!$AG$50:$AG$87=$U173),--(Lineups!$AB$50:$AB$87=""),Lineups!$AW$50:$AW$87))</f>
        <v/>
      </c>
      <c r="Y173" s="344" t="str">
        <f>IF($U173="","",SUMPRODUCT(--(Lineups!$AG$50:$AG$87=$U173),--(Lineups!$AB$50:$AB$87="X"),Lineups!$AW$50:$AW$87))</f>
        <v/>
      </c>
      <c r="Z173" s="344" t="str">
        <f>IF($U173="","",SUMPRODUCT(--(Lineups!$AK$50:$AK$87=$U173),Lineups!$AW$50:$AW$87))</f>
        <v/>
      </c>
      <c r="AA173" s="344" t="str">
        <f>IF($U173="","",SUMPRODUCT(--(Lineups!$AO$50:$AO$87=$U173),Lineups!$AW$50:$AW$87))</f>
        <v/>
      </c>
      <c r="AB173" s="344" t="str">
        <f>IF($U173="","",SUMPRODUCT(--(Lineups!$AS$50:$AS$87=$U173),Lineups!$AW$50:$AW$87))</f>
        <v/>
      </c>
      <c r="AC173" s="333">
        <f t="shared" si="101"/>
        <v>0</v>
      </c>
      <c r="AE173" s="333" t="str">
        <f t="shared" si="102"/>
        <v/>
      </c>
      <c r="AH173" s="333" t="str">
        <f>IF($U173="","",SUMPRODUCT(--(Lineups!$AC$50:$AC$87=$U173),Lineups!$AW$50:$AW$87))</f>
        <v/>
      </c>
      <c r="AJ173" s="333" t="str">
        <f t="shared" si="103"/>
        <v/>
      </c>
    </row>
    <row r="175" spans="1:37" x14ac:dyDescent="0.3">
      <c r="A175" s="1363" t="s">
        <v>54</v>
      </c>
      <c r="B175" s="1363"/>
      <c r="C175" s="1363"/>
      <c r="D175" s="236"/>
      <c r="E175" s="236"/>
      <c r="F175" s="236"/>
      <c r="G175" s="236"/>
      <c r="H175" s="236"/>
      <c r="I175" s="236"/>
      <c r="J175" s="236"/>
      <c r="K175" s="236"/>
      <c r="L175" s="236"/>
      <c r="M175" s="236"/>
      <c r="N175" s="236"/>
      <c r="O175" s="236"/>
      <c r="P175" s="236"/>
      <c r="Q175" s="236"/>
      <c r="R175" s="236"/>
      <c r="T175" s="1363" t="s">
        <v>54</v>
      </c>
      <c r="U175" s="1363"/>
      <c r="V175" s="1363"/>
      <c r="W175" s="236"/>
      <c r="X175" s="236"/>
      <c r="Y175" s="236"/>
      <c r="Z175" s="236"/>
      <c r="AA175" s="236"/>
      <c r="AB175" s="236"/>
      <c r="AC175" s="236"/>
      <c r="AD175" s="236"/>
      <c r="AE175" s="236"/>
      <c r="AF175" s="236"/>
      <c r="AG175" s="236"/>
      <c r="AH175" s="236"/>
      <c r="AI175" s="236"/>
      <c r="AJ175" s="236"/>
      <c r="AK175" s="236"/>
    </row>
    <row r="176" spans="1:37" x14ac:dyDescent="0.3">
      <c r="A176" s="338">
        <v>0</v>
      </c>
      <c r="B176" s="338" t="s">
        <v>36</v>
      </c>
      <c r="C176" s="338" t="s">
        <v>37</v>
      </c>
      <c r="D176" s="338" t="s">
        <v>175</v>
      </c>
      <c r="E176" s="234"/>
      <c r="F176" s="343" t="s">
        <v>176</v>
      </c>
      <c r="G176" s="343" t="s">
        <v>176</v>
      </c>
      <c r="H176" s="343" t="s">
        <v>176</v>
      </c>
      <c r="I176" s="343" t="s">
        <v>176</v>
      </c>
      <c r="J176" s="338" t="s">
        <v>46</v>
      </c>
      <c r="K176" s="234"/>
      <c r="L176" s="338" t="s">
        <v>48</v>
      </c>
      <c r="M176" s="234"/>
      <c r="N176" s="340" t="s">
        <v>25</v>
      </c>
      <c r="O176" s="338" t="s">
        <v>177</v>
      </c>
      <c r="P176" s="234"/>
      <c r="Q176" s="338" t="s">
        <v>19</v>
      </c>
      <c r="R176" s="234"/>
      <c r="T176" s="338">
        <v>0</v>
      </c>
      <c r="U176" s="338" t="s">
        <v>36</v>
      </c>
      <c r="V176" s="338" t="s">
        <v>37</v>
      </c>
      <c r="W176" s="338" t="s">
        <v>175</v>
      </c>
      <c r="X176" s="234"/>
      <c r="Y176" s="343" t="s">
        <v>176</v>
      </c>
      <c r="Z176" s="343" t="s">
        <v>176</v>
      </c>
      <c r="AA176" s="343" t="s">
        <v>176</v>
      </c>
      <c r="AB176" s="343" t="s">
        <v>176</v>
      </c>
      <c r="AC176" s="338" t="s">
        <v>46</v>
      </c>
      <c r="AD176" s="234"/>
      <c r="AE176" s="338" t="s">
        <v>48</v>
      </c>
      <c r="AF176" s="234"/>
      <c r="AG176" s="340" t="s">
        <v>25</v>
      </c>
      <c r="AH176" s="338" t="s">
        <v>177</v>
      </c>
      <c r="AI176" s="234"/>
      <c r="AJ176" s="338" t="s">
        <v>19</v>
      </c>
      <c r="AK176" s="234"/>
    </row>
    <row r="177" spans="1:36" x14ac:dyDescent="0.3">
      <c r="A177" s="45">
        <f t="shared" ref="A177:A196" si="104">A176+1</f>
        <v>1</v>
      </c>
      <c r="B177" s="45" t="str">
        <f t="shared" ref="B177:C196" si="105">B108</f>
        <v>12</v>
      </c>
      <c r="C177" s="45" t="str">
        <f t="shared" si="105"/>
        <v>Carmen Getsome</v>
      </c>
      <c r="D177" s="45">
        <f ca="1">IF($B177="","",SUMPRODUCT(--(Lineups!$G$50:$G$87=$B177),--(Lineups!$B$50:$B$87=""),Lineups!$AW$50:$AW$87))</f>
        <v>9</v>
      </c>
      <c r="F177" s="344">
        <f ca="1">IF($B177="","",SUMPRODUCT(--(Lineups!$G$50:$G$87=$B177),--(Lineups!$B$50:$B$87="X"),Lineups!$AW$50:$AW$87))</f>
        <v>0</v>
      </c>
      <c r="G177" s="344">
        <f ca="1">IF($B177="","",SUMPRODUCT(--(Lineups!$K$50:$K$87=$B177),Lineups!$AW$50:$AW$87))</f>
        <v>0</v>
      </c>
      <c r="H177" s="344">
        <f ca="1">IF($B177="","",SUMPRODUCT(--(Lineups!$O$50:$O$87=$B177),Lineups!$AW$50:$AW$87))</f>
        <v>0</v>
      </c>
      <c r="I177" s="344">
        <f ca="1">IF($B177="","",SUMPRODUCT(--(Lineups!$S$50:$S$87=$B177),Lineups!$AW$50:$AW$87))</f>
        <v>0</v>
      </c>
      <c r="J177" s="45">
        <f t="shared" ref="J177:J196" ca="1" si="106">IF(B177="","",SUM(F177:I177))</f>
        <v>0</v>
      </c>
      <c r="L177" s="45">
        <f t="shared" ref="L177:L196" ca="1" si="107">IF(B177="","",SUM(D177,J177))</f>
        <v>9</v>
      </c>
      <c r="O177" s="45">
        <f ca="1">IF($B177="","",SUMPRODUCT(--(Lineups!$C$50:$C$87=$B177),Lineups!$AW$50:$AW$87))</f>
        <v>0</v>
      </c>
      <c r="Q177" s="45">
        <f t="shared" ref="Q177:Q196" ca="1" si="108">IF(B177="","",SUM(L177,O177))</f>
        <v>9</v>
      </c>
      <c r="T177" s="45">
        <f t="shared" ref="T177:T196" si="109">T176+1</f>
        <v>1</v>
      </c>
      <c r="U177" s="45" t="str">
        <f t="shared" ref="U177:V196" si="110">U108</f>
        <v>112</v>
      </c>
      <c r="V177" s="45" t="str">
        <f t="shared" si="110"/>
        <v>Singapore Rogue</v>
      </c>
      <c r="W177" s="45">
        <f ca="1">IF($U177="","",SUMPRODUCT(--(Lineups!$AG$50:$AG$87=$U177),--(Lineups!$AB$50:$AB$87=""),Lineups!$W$50:$W$87))</f>
        <v>0</v>
      </c>
      <c r="Y177" s="344">
        <f ca="1">IF($U177="","",SUMPRODUCT(--(Lineups!$AG$50:$AG$87=$U177),--(Lineups!$AB$50:$AB$87="X"),Lineups!$W$50:$W$87))</f>
        <v>0</v>
      </c>
      <c r="Z177" s="344">
        <f ca="1">IF(U177="","",(SUMPRODUCT(--(Lineups!$AK$50:$AK$87=$U177),Lineups!$W$50:$W$87)))</f>
        <v>8</v>
      </c>
      <c r="AA177" s="344">
        <f ca="1">IF(U177="","",(SUMPRODUCT(--(Lineups!$AO$50:$AO$87=$U177),Lineups!$W$50:$W$87)))</f>
        <v>38</v>
      </c>
      <c r="AB177" s="344">
        <f ca="1">IF(U177="","",(SUMPRODUCT(--(Lineups!$AS$50:$AS$87=$U177),Lineups!$W$50:$W$87)))</f>
        <v>0</v>
      </c>
      <c r="AC177" s="45">
        <f t="shared" ref="AC177:AC196" ca="1" si="111">SUM(Y177:AB177)</f>
        <v>46</v>
      </c>
      <c r="AE177" s="45">
        <f t="shared" ref="AE177:AE196" ca="1" si="112">IF(U177="","",SUM(W177,AC177))</f>
        <v>46</v>
      </c>
      <c r="AH177" s="45">
        <f ca="1">IF($U177="","",SUMPRODUCT(--(Lineups!$AC$50:$AC$87=$U177),Lineups!$W$50:$W$87))</f>
        <v>0</v>
      </c>
      <c r="AJ177" s="45">
        <f t="shared" ref="AJ177:AJ196" ca="1" si="113">IF(U177="","",SUM(AE177,AH177))</f>
        <v>46</v>
      </c>
    </row>
    <row r="178" spans="1:36" x14ac:dyDescent="0.3">
      <c r="A178" s="333">
        <f t="shared" si="104"/>
        <v>2</v>
      </c>
      <c r="B178" s="333" t="str">
        <f t="shared" si="105"/>
        <v>123</v>
      </c>
      <c r="C178" s="333" t="str">
        <f t="shared" si="105"/>
        <v>Nelson</v>
      </c>
      <c r="D178" s="333">
        <f ca="1">IF($B178="","",SUMPRODUCT(--(Lineups!$G$50:$G$87=$B178),--(Lineups!$B$50:$B$87=""),Lineups!$AW$50:$AW$87))</f>
        <v>14</v>
      </c>
      <c r="F178" s="344">
        <f ca="1">IF($B178="","",SUMPRODUCT(--(Lineups!$G$50:$G$87=$B178),--(Lineups!$B$50:$B$87="X"),Lineups!$AW$50:$AW$87))</f>
        <v>0</v>
      </c>
      <c r="G178" s="344">
        <f ca="1">IF($B178="","",SUMPRODUCT(--(Lineups!$K$50:$K$87=$B178),Lineups!$AW$50:$AW$87))</f>
        <v>0</v>
      </c>
      <c r="H178" s="344">
        <f ca="1">IF($B178="","",SUMPRODUCT(--(Lineups!$O$50:$O$87=$B178),Lineups!$AW$50:$AW$87))</f>
        <v>5</v>
      </c>
      <c r="I178" s="344">
        <f ca="1">IF($B178="","",SUMPRODUCT(--(Lineups!$S$50:$S$87=$B178),Lineups!$AW$50:$AW$87))</f>
        <v>0</v>
      </c>
      <c r="J178" s="333">
        <f t="shared" ca="1" si="106"/>
        <v>5</v>
      </c>
      <c r="L178" s="333">
        <f t="shared" ca="1" si="107"/>
        <v>19</v>
      </c>
      <c r="O178" s="333">
        <f ca="1">IF($B178="","",SUMPRODUCT(--(Lineups!$C$50:$C$87=$B178),Lineups!$AW$50:$AW$87))</f>
        <v>0</v>
      </c>
      <c r="Q178" s="333">
        <f t="shared" ca="1" si="108"/>
        <v>19</v>
      </c>
      <c r="T178" s="333">
        <f t="shared" si="109"/>
        <v>2</v>
      </c>
      <c r="U178" s="333" t="str">
        <f t="shared" si="110"/>
        <v>1542</v>
      </c>
      <c r="V178" s="333" t="str">
        <f t="shared" si="110"/>
        <v>Mary Queen of Skates</v>
      </c>
      <c r="W178" s="333">
        <f ca="1">IF($U178="","",SUMPRODUCT(--(Lineups!$AG$50:$AG$87=$U178),--(Lineups!$AB$50:$AB$87=""),Lineups!$W$50:$W$87))</f>
        <v>0</v>
      </c>
      <c r="Y178" s="344">
        <f ca="1">IF($U178="","",SUMPRODUCT(--(Lineups!$AG$50:$AG$87=$U178),--(Lineups!$AB$50:$AB$87="X"),Lineups!$W$50:$W$87))</f>
        <v>0</v>
      </c>
      <c r="Z178" s="344">
        <f ca="1">IF(U178="","",(SUMPRODUCT(--(Lineups!$AK$50:$AK$87=$U178),Lineups!$W$50:$W$87)))</f>
        <v>0</v>
      </c>
      <c r="AA178" s="344">
        <f ca="1">IF(U178="","",(SUMPRODUCT(--(Lineups!$AO$50:$AO$87=$U178),Lineups!$W$50:$W$87)))</f>
        <v>4</v>
      </c>
      <c r="AB178" s="344">
        <f ca="1">IF(U178="","",(SUMPRODUCT(--(Lineups!$AS$50:$AS$87=$U178),Lineups!$W$50:$W$87)))</f>
        <v>29</v>
      </c>
      <c r="AC178" s="333">
        <f t="shared" ca="1" si="111"/>
        <v>33</v>
      </c>
      <c r="AE178" s="333">
        <f t="shared" ca="1" si="112"/>
        <v>33</v>
      </c>
      <c r="AH178" s="333">
        <f ca="1">IF($U178="","",SUMPRODUCT(--(Lineups!$AC$50:$AC$87=$U178),Lineups!$W$50:$W$87))</f>
        <v>0</v>
      </c>
      <c r="AJ178" s="333">
        <f t="shared" ca="1" si="113"/>
        <v>33</v>
      </c>
    </row>
    <row r="179" spans="1:36" x14ac:dyDescent="0.3">
      <c r="A179" s="45">
        <f t="shared" si="104"/>
        <v>3</v>
      </c>
      <c r="B179" s="45" t="str">
        <f t="shared" si="105"/>
        <v>14</v>
      </c>
      <c r="C179" s="45" t="str">
        <f t="shared" si="105"/>
        <v>Shorty Ounce</v>
      </c>
      <c r="D179" s="45">
        <f ca="1">IF($B179="","",SUMPRODUCT(--(Lineups!$G$50:$G$87=$B179),--(Lineups!$B$50:$B$87=""),Lineups!$AW$50:$AW$87))</f>
        <v>0</v>
      </c>
      <c r="F179" s="344">
        <f ca="1">IF($B179="","",SUMPRODUCT(--(Lineups!$G$50:$G$87=$B179),--(Lineups!$B$50:$B$87="X"),Lineups!$AW$50:$AW$87))</f>
        <v>0</v>
      </c>
      <c r="G179" s="344">
        <f ca="1">IF($B179="","",SUMPRODUCT(--(Lineups!$K$50:$K$87=$B179),Lineups!$AW$50:$AW$87))</f>
        <v>5</v>
      </c>
      <c r="H179" s="344">
        <f ca="1">IF($B179="","",SUMPRODUCT(--(Lineups!$O$50:$O$87=$B179),Lineups!$AW$50:$AW$87))</f>
        <v>13</v>
      </c>
      <c r="I179" s="344">
        <f ca="1">IF($B179="","",SUMPRODUCT(--(Lineups!$S$50:$S$87=$B179),Lineups!$AW$50:$AW$87))</f>
        <v>2</v>
      </c>
      <c r="J179" s="45">
        <f t="shared" ca="1" si="106"/>
        <v>20</v>
      </c>
      <c r="L179" s="45">
        <f t="shared" ca="1" si="107"/>
        <v>20</v>
      </c>
      <c r="O179" s="45">
        <f ca="1">IF($B179="","",SUMPRODUCT(--(Lineups!$C$50:$C$87=$B179),Lineups!$AW$50:$AW$87))</f>
        <v>0</v>
      </c>
      <c r="Q179" s="45">
        <f t="shared" ca="1" si="108"/>
        <v>20</v>
      </c>
      <c r="T179" s="45">
        <f t="shared" si="109"/>
        <v>3</v>
      </c>
      <c r="U179" s="45" t="str">
        <f t="shared" si="110"/>
        <v>16</v>
      </c>
      <c r="V179" s="45" t="str">
        <f t="shared" si="110"/>
        <v>Mistilla</v>
      </c>
      <c r="W179" s="45">
        <f ca="1">IF($U179="","",SUMPRODUCT(--(Lineups!$AG$50:$AG$87=$U179),--(Lineups!$AB$50:$AB$87=""),Lineups!$W$50:$W$87))</f>
        <v>50</v>
      </c>
      <c r="Y179" s="344">
        <f ca="1">IF($U179="","",SUMPRODUCT(--(Lineups!$AG$50:$AG$87=$U179),--(Lineups!$AB$50:$AB$87="X"),Lineups!$W$50:$W$87))</f>
        <v>0</v>
      </c>
      <c r="Z179" s="344">
        <f ca="1">IF(U179="","",(SUMPRODUCT(--(Lineups!$AK$50:$AK$87=$U179),Lineups!$W$50:$W$87)))</f>
        <v>0</v>
      </c>
      <c r="AA179" s="344">
        <f ca="1">IF(U179="","",(SUMPRODUCT(--(Lineups!$AO$50:$AO$87=$U179),Lineups!$W$50:$W$87)))</f>
        <v>0</v>
      </c>
      <c r="AB179" s="344">
        <f ca="1">IF(U179="","",(SUMPRODUCT(--(Lineups!$AS$50:$AS$87=$U179),Lineups!$W$50:$W$87)))</f>
        <v>0</v>
      </c>
      <c r="AC179" s="45">
        <f t="shared" ca="1" si="111"/>
        <v>0</v>
      </c>
      <c r="AE179" s="45">
        <f t="shared" ca="1" si="112"/>
        <v>50</v>
      </c>
      <c r="AH179" s="45">
        <f ca="1">IF($U179="","",SUMPRODUCT(--(Lineups!$AC$50:$AC$87=$U179),Lineups!$W$50:$W$87))</f>
        <v>0</v>
      </c>
      <c r="AJ179" s="45">
        <f t="shared" ca="1" si="113"/>
        <v>50</v>
      </c>
    </row>
    <row r="180" spans="1:36" x14ac:dyDescent="0.3">
      <c r="A180" s="333">
        <f t="shared" si="104"/>
        <v>4</v>
      </c>
      <c r="B180" s="333" t="str">
        <f t="shared" si="105"/>
        <v>1618</v>
      </c>
      <c r="C180" s="333" t="str">
        <f t="shared" si="105"/>
        <v>Sintripital Force</v>
      </c>
      <c r="D180" s="333">
        <f ca="1">IF($B180="","",SUMPRODUCT(--(Lineups!$G$50:$G$87=$B180),--(Lineups!$B$50:$B$87=""),Lineups!$AW$50:$AW$87))</f>
        <v>0</v>
      </c>
      <c r="F180" s="344">
        <f ca="1">IF($B180="","",SUMPRODUCT(--(Lineups!$G$50:$G$87=$B180),--(Lineups!$B$50:$B$87="X"),Lineups!$AW$50:$AW$87))</f>
        <v>0</v>
      </c>
      <c r="G180" s="344">
        <f ca="1">IF($B180="","",SUMPRODUCT(--(Lineups!$K$50:$K$87=$B180),Lineups!$AW$50:$AW$87))</f>
        <v>0</v>
      </c>
      <c r="H180" s="344">
        <f ca="1">IF($B180="","",SUMPRODUCT(--(Lineups!$O$50:$O$87=$B180),Lineups!$AW$50:$AW$87))</f>
        <v>0</v>
      </c>
      <c r="I180" s="344">
        <f ca="1">IF($B180="","",SUMPRODUCT(--(Lineups!$S$50:$S$87=$B180),Lineups!$AW$50:$AW$87))</f>
        <v>0</v>
      </c>
      <c r="J180" s="333">
        <f t="shared" ca="1" si="106"/>
        <v>0</v>
      </c>
      <c r="L180" s="333">
        <f t="shared" ca="1" si="107"/>
        <v>0</v>
      </c>
      <c r="O180" s="333">
        <f ca="1">IF($B180="","",SUMPRODUCT(--(Lineups!$C$50:$C$87=$B180),Lineups!$AW$50:$AW$87))</f>
        <v>6</v>
      </c>
      <c r="Q180" s="333">
        <f t="shared" ca="1" si="108"/>
        <v>6</v>
      </c>
      <c r="T180" s="333">
        <f t="shared" si="109"/>
        <v>4</v>
      </c>
      <c r="U180" s="333" t="str">
        <f t="shared" si="110"/>
        <v>19</v>
      </c>
      <c r="V180" s="333" t="str">
        <f t="shared" si="110"/>
        <v>Betty Watchett</v>
      </c>
      <c r="W180" s="333">
        <f ca="1">IF($U180="","",SUMPRODUCT(--(Lineups!$AG$50:$AG$87=$U180),--(Lineups!$AB$50:$AB$87=""),Lineups!$W$50:$W$87))</f>
        <v>58</v>
      </c>
      <c r="Y180" s="344">
        <f ca="1">IF($U180="","",SUMPRODUCT(--(Lineups!$AG$50:$AG$87=$U180),--(Lineups!$AB$50:$AB$87="X"),Lineups!$W$50:$W$87))</f>
        <v>0</v>
      </c>
      <c r="Z180" s="344">
        <f ca="1">IF(U180="","",(SUMPRODUCT(--(Lineups!$AK$50:$AK$87=$U180),Lineups!$W$50:$W$87)))</f>
        <v>0</v>
      </c>
      <c r="AA180" s="344">
        <f ca="1">IF(U180="","",(SUMPRODUCT(--(Lineups!$AO$50:$AO$87=$U180),Lineups!$W$50:$W$87)))</f>
        <v>0</v>
      </c>
      <c r="AB180" s="344">
        <f ca="1">IF(U180="","",(SUMPRODUCT(--(Lineups!$AS$50:$AS$87=$U180),Lineups!$W$50:$W$87)))</f>
        <v>0</v>
      </c>
      <c r="AC180" s="333">
        <f t="shared" ca="1" si="111"/>
        <v>0</v>
      </c>
      <c r="AE180" s="333">
        <f t="shared" ca="1" si="112"/>
        <v>58</v>
      </c>
      <c r="AH180" s="333">
        <f ca="1">IF($U180="","",SUMPRODUCT(--(Lineups!$AC$50:$AC$87=$U180),Lineups!$W$50:$W$87))</f>
        <v>0</v>
      </c>
      <c r="AJ180" s="333">
        <f t="shared" ca="1" si="113"/>
        <v>58</v>
      </c>
    </row>
    <row r="181" spans="1:36" x14ac:dyDescent="0.3">
      <c r="A181" s="45">
        <f t="shared" si="104"/>
        <v>5</v>
      </c>
      <c r="B181" s="45" t="str">
        <f t="shared" si="105"/>
        <v>22</v>
      </c>
      <c r="C181" s="45" t="str">
        <f t="shared" si="105"/>
        <v>Sami Automatic</v>
      </c>
      <c r="D181" s="45">
        <f ca="1">IF($B181="","",SUMPRODUCT(--(Lineups!$G$50:$G$87=$B181),--(Lineups!$B$50:$B$87=""),Lineups!$AW$50:$AW$87))</f>
        <v>0</v>
      </c>
      <c r="F181" s="344">
        <f ca="1">IF($B181="","",SUMPRODUCT(--(Lineups!$G$50:$G$87=$B181),--(Lineups!$B$50:$B$87="X"),Lineups!$AW$50:$AW$87))</f>
        <v>0</v>
      </c>
      <c r="G181" s="344">
        <f ca="1">IF($B181="","",SUMPRODUCT(--(Lineups!$K$50:$K$87=$B181),Lineups!$AW$50:$AW$87))</f>
        <v>0</v>
      </c>
      <c r="H181" s="344">
        <f ca="1">IF($B181="","",SUMPRODUCT(--(Lineups!$O$50:$O$87=$B181),Lineups!$AW$50:$AW$87))</f>
        <v>0</v>
      </c>
      <c r="I181" s="344">
        <f ca="1">IF($B181="","",SUMPRODUCT(--(Lineups!$S$50:$S$87=$B181),Lineups!$AW$50:$AW$87))</f>
        <v>0</v>
      </c>
      <c r="J181" s="45">
        <f t="shared" ca="1" si="106"/>
        <v>0</v>
      </c>
      <c r="L181" s="45">
        <f t="shared" ca="1" si="107"/>
        <v>0</v>
      </c>
      <c r="O181" s="45">
        <f ca="1">IF($B181="","",SUMPRODUCT(--(Lineups!$C$50:$C$87=$B181),Lineups!$AW$50:$AW$87))</f>
        <v>0</v>
      </c>
      <c r="Q181" s="45">
        <f t="shared" ca="1" si="108"/>
        <v>0</v>
      </c>
      <c r="T181" s="45">
        <f t="shared" si="109"/>
        <v>5</v>
      </c>
      <c r="U181" s="45" t="str">
        <f t="shared" si="110"/>
        <v>2000</v>
      </c>
      <c r="V181" s="45" t="str">
        <f t="shared" si="110"/>
        <v>Lisa Lava</v>
      </c>
      <c r="W181" s="45">
        <f ca="1">IF($U181="","",SUMPRODUCT(--(Lineups!$AG$50:$AG$87=$U181),--(Lineups!$AB$50:$AB$87=""),Lineups!$W$50:$W$87))</f>
        <v>0</v>
      </c>
      <c r="Y181" s="344">
        <f ca="1">IF($U181="","",SUMPRODUCT(--(Lineups!$AG$50:$AG$87=$U181),--(Lineups!$AB$50:$AB$87="X"),Lineups!$W$50:$W$87))</f>
        <v>9</v>
      </c>
      <c r="Z181" s="344">
        <f ca="1">IF(U181="","",(SUMPRODUCT(--(Lineups!$AK$50:$AK$87=$U181),Lineups!$W$50:$W$87)))</f>
        <v>0</v>
      </c>
      <c r="AA181" s="344">
        <f ca="1">IF(U181="","",(SUMPRODUCT(--(Lineups!$AO$50:$AO$87=$U181),Lineups!$W$50:$W$87)))</f>
        <v>8</v>
      </c>
      <c r="AB181" s="344">
        <f ca="1">IF(U181="","",(SUMPRODUCT(--(Lineups!$AS$50:$AS$87=$U181),Lineups!$W$50:$W$87)))</f>
        <v>45</v>
      </c>
      <c r="AC181" s="45">
        <f t="shared" ca="1" si="111"/>
        <v>62</v>
      </c>
      <c r="AE181" s="45">
        <f t="shared" ca="1" si="112"/>
        <v>62</v>
      </c>
      <c r="AH181" s="45">
        <f ca="1">IF($U181="","",SUMPRODUCT(--(Lineups!$AC$50:$AC$87=$U181),Lineups!$W$50:$W$87))</f>
        <v>0</v>
      </c>
      <c r="AJ181" s="45">
        <f t="shared" ca="1" si="113"/>
        <v>62</v>
      </c>
    </row>
    <row r="182" spans="1:36" x14ac:dyDescent="0.3">
      <c r="A182" s="333">
        <f t="shared" si="104"/>
        <v>6</v>
      </c>
      <c r="B182" s="333" t="str">
        <f t="shared" si="105"/>
        <v>23</v>
      </c>
      <c r="C182" s="333" t="str">
        <f t="shared" si="105"/>
        <v>LeBrawn Maimes</v>
      </c>
      <c r="D182" s="333">
        <f ca="1">IF($B182="","",SUMPRODUCT(--(Lineups!$G$50:$G$87=$B182),--(Lineups!$B$50:$B$87=""),Lineups!$AW$50:$AW$87))</f>
        <v>0</v>
      </c>
      <c r="F182" s="344">
        <f ca="1">IF($B182="","",SUMPRODUCT(--(Lineups!$G$50:$G$87=$B182),--(Lineups!$B$50:$B$87="X"),Lineups!$AW$50:$AW$87))</f>
        <v>0</v>
      </c>
      <c r="G182" s="344">
        <f ca="1">IF($B182="","",SUMPRODUCT(--(Lineups!$K$50:$K$87=$B182),Lineups!$AW$50:$AW$87))</f>
        <v>0</v>
      </c>
      <c r="H182" s="344">
        <f ca="1">IF($B182="","",SUMPRODUCT(--(Lineups!$O$50:$O$87=$B182),Lineups!$AW$50:$AW$87))</f>
        <v>0</v>
      </c>
      <c r="I182" s="344">
        <f ca="1">IF($B182="","",SUMPRODUCT(--(Lineups!$S$50:$S$87=$B182),Lineups!$AW$50:$AW$87))</f>
        <v>0</v>
      </c>
      <c r="J182" s="333">
        <f t="shared" ca="1" si="106"/>
        <v>0</v>
      </c>
      <c r="L182" s="333">
        <f t="shared" ca="1" si="107"/>
        <v>0</v>
      </c>
      <c r="O182" s="333">
        <f ca="1">IF($B182="","",SUMPRODUCT(--(Lineups!$C$50:$C$87=$B182),Lineups!$AW$50:$AW$87))</f>
        <v>7</v>
      </c>
      <c r="Q182" s="333">
        <f t="shared" ca="1" si="108"/>
        <v>7</v>
      </c>
      <c r="T182" s="333">
        <f t="shared" si="109"/>
        <v>6</v>
      </c>
      <c r="U182" s="333" t="str">
        <f t="shared" si="110"/>
        <v>201</v>
      </c>
      <c r="V182" s="333" t="str">
        <f t="shared" si="110"/>
        <v>Dutch Destroyer</v>
      </c>
      <c r="W182" s="333">
        <f ca="1">IF($U182="","",SUMPRODUCT(--(Lineups!$AG$50:$AG$87=$U182),--(Lineups!$AB$50:$AB$87=""),Lineups!$W$50:$W$87))</f>
        <v>0</v>
      </c>
      <c r="Y182" s="344">
        <f ca="1">IF($U182="","",SUMPRODUCT(--(Lineups!$AG$50:$AG$87=$U182),--(Lineups!$AB$50:$AB$87="X"),Lineups!$W$50:$W$87))</f>
        <v>0</v>
      </c>
      <c r="Z182" s="344">
        <f ca="1">IF(U182="","",(SUMPRODUCT(--(Lineups!$AK$50:$AK$87=$U182),Lineups!$W$50:$W$87)))</f>
        <v>33</v>
      </c>
      <c r="AA182" s="344">
        <f ca="1">IF(U182="","",(SUMPRODUCT(--(Lineups!$AO$50:$AO$87=$U182),Lineups!$W$50:$W$87)))</f>
        <v>4</v>
      </c>
      <c r="AB182" s="344">
        <f ca="1">IF(U182="","",(SUMPRODUCT(--(Lineups!$AS$50:$AS$87=$U182),Lineups!$W$50:$W$87)))</f>
        <v>0</v>
      </c>
      <c r="AC182" s="333">
        <f t="shared" ca="1" si="111"/>
        <v>37</v>
      </c>
      <c r="AE182" s="333">
        <f t="shared" ca="1" si="112"/>
        <v>37</v>
      </c>
      <c r="AH182" s="333">
        <f ca="1">IF($U182="","",SUMPRODUCT(--(Lineups!$AC$50:$AC$87=$U182),Lineups!$W$50:$W$87))</f>
        <v>0</v>
      </c>
      <c r="AJ182" s="333">
        <f t="shared" ca="1" si="113"/>
        <v>37</v>
      </c>
    </row>
    <row r="183" spans="1:36" x14ac:dyDescent="0.3">
      <c r="A183" s="45">
        <f t="shared" si="104"/>
        <v>7</v>
      </c>
      <c r="B183" s="45" t="str">
        <f t="shared" si="105"/>
        <v>321</v>
      </c>
      <c r="C183" s="45" t="str">
        <f t="shared" si="105"/>
        <v>Missile America</v>
      </c>
      <c r="D183" s="45">
        <f ca="1">IF($B183="","",SUMPRODUCT(--(Lineups!$G$50:$G$87=$B183),--(Lineups!$B$50:$B$87=""),Lineups!$AW$50:$AW$87))</f>
        <v>0</v>
      </c>
      <c r="F183" s="344">
        <f ca="1">IF($B183="","",SUMPRODUCT(--(Lineups!$G$50:$G$87=$B183),--(Lineups!$B$50:$B$87="X"),Lineups!$AW$50:$AW$87))</f>
        <v>0</v>
      </c>
      <c r="G183" s="344">
        <f ca="1">IF($B183="","",SUMPRODUCT(--(Lineups!$K$50:$K$87=$B183),Lineups!$AW$50:$AW$87))</f>
        <v>3</v>
      </c>
      <c r="H183" s="344">
        <f ca="1">IF($B183="","",SUMPRODUCT(--(Lineups!$O$50:$O$87=$B183),Lineups!$AW$50:$AW$87))</f>
        <v>0</v>
      </c>
      <c r="I183" s="344">
        <f ca="1">IF($B183="","",SUMPRODUCT(--(Lineups!$S$50:$S$87=$B183),Lineups!$AW$50:$AW$87))</f>
        <v>0</v>
      </c>
      <c r="J183" s="45">
        <f t="shared" ca="1" si="106"/>
        <v>3</v>
      </c>
      <c r="L183" s="45">
        <f t="shared" ca="1" si="107"/>
        <v>3</v>
      </c>
      <c r="O183" s="45">
        <f ca="1">IF($B183="","",SUMPRODUCT(--(Lineups!$C$50:$C$87=$B183),Lineups!$AW$50:$AW$87))</f>
        <v>0</v>
      </c>
      <c r="Q183" s="45">
        <f t="shared" ca="1" si="108"/>
        <v>3</v>
      </c>
      <c r="T183" s="45">
        <f t="shared" si="109"/>
        <v>7</v>
      </c>
      <c r="U183" s="45" t="str">
        <f t="shared" si="110"/>
        <v>21</v>
      </c>
      <c r="V183" s="45" t="str">
        <f t="shared" si="110"/>
        <v>Jekyll &amp; Heidi</v>
      </c>
      <c r="W183" s="45">
        <f ca="1">IF($U183="","",SUMPRODUCT(--(Lineups!$AG$50:$AG$87=$U183),--(Lineups!$AB$50:$AB$87=""),Lineups!$W$50:$W$87))</f>
        <v>0</v>
      </c>
      <c r="Y183" s="344">
        <f ca="1">IF($U183="","",SUMPRODUCT(--(Lineups!$AG$50:$AG$87=$U183),--(Lineups!$AB$50:$AB$87="X"),Lineups!$W$50:$W$87))</f>
        <v>0</v>
      </c>
      <c r="Z183" s="344">
        <f ca="1">IF(U183="","",(SUMPRODUCT(--(Lineups!$AK$50:$AK$87=$U183),Lineups!$W$50:$W$87)))</f>
        <v>4</v>
      </c>
      <c r="AA183" s="344">
        <f ca="1">IF(U183="","",(SUMPRODUCT(--(Lineups!$AO$50:$AO$87=$U183),Lineups!$W$50:$W$87)))</f>
        <v>62</v>
      </c>
      <c r="AB183" s="344">
        <f ca="1">IF(U183="","",(SUMPRODUCT(--(Lineups!$AS$50:$AS$87=$U183),Lineups!$W$50:$W$87)))</f>
        <v>17</v>
      </c>
      <c r="AC183" s="45">
        <f t="shared" ca="1" si="111"/>
        <v>83</v>
      </c>
      <c r="AE183" s="45">
        <f t="shared" ca="1" si="112"/>
        <v>83</v>
      </c>
      <c r="AH183" s="45">
        <f ca="1">IF($U183="","",SUMPRODUCT(--(Lineups!$AC$50:$AC$87=$U183),Lineups!$W$50:$W$87))</f>
        <v>0</v>
      </c>
      <c r="AJ183" s="45">
        <f t="shared" ca="1" si="113"/>
        <v>83</v>
      </c>
    </row>
    <row r="184" spans="1:36" x14ac:dyDescent="0.3">
      <c r="A184" s="333">
        <f t="shared" si="104"/>
        <v>8</v>
      </c>
      <c r="B184" s="333" t="str">
        <f t="shared" si="105"/>
        <v>4</v>
      </c>
      <c r="C184" s="333" t="str">
        <f t="shared" si="105"/>
        <v>Belle Tolls</v>
      </c>
      <c r="D184" s="333">
        <f ca="1">IF($B184="","",SUMPRODUCT(--(Lineups!$G$50:$G$87=$B184),--(Lineups!$B$50:$B$87=""),Lineups!$AW$50:$AW$87))</f>
        <v>0</v>
      </c>
      <c r="F184" s="344">
        <f ca="1">IF($B184="","",SUMPRODUCT(--(Lineups!$G$50:$G$87=$B184),--(Lineups!$B$50:$B$87="X"),Lineups!$AW$50:$AW$87))</f>
        <v>0</v>
      </c>
      <c r="G184" s="344">
        <f ca="1">IF($B184="","",SUMPRODUCT(--(Lineups!$K$50:$K$87=$B184),Lineups!$AW$50:$AW$87))</f>
        <v>0</v>
      </c>
      <c r="H184" s="344">
        <f ca="1">IF($B184="","",SUMPRODUCT(--(Lineups!$O$50:$O$87=$B184),Lineups!$AW$50:$AW$87))</f>
        <v>0</v>
      </c>
      <c r="I184" s="344">
        <f ca="1">IF($B184="","",SUMPRODUCT(--(Lineups!$S$50:$S$87=$B184),Lineups!$AW$50:$AW$87))</f>
        <v>5</v>
      </c>
      <c r="J184" s="333">
        <f t="shared" ca="1" si="106"/>
        <v>5</v>
      </c>
      <c r="L184" s="333">
        <f t="shared" ca="1" si="107"/>
        <v>5</v>
      </c>
      <c r="O184" s="333">
        <f ca="1">IF($B184="","",SUMPRODUCT(--(Lineups!$C$50:$C$87=$B184),Lineups!$AW$50:$AW$87))</f>
        <v>0</v>
      </c>
      <c r="Q184" s="333">
        <f t="shared" ca="1" si="108"/>
        <v>5</v>
      </c>
      <c r="T184" s="333">
        <f t="shared" si="109"/>
        <v>8</v>
      </c>
      <c r="U184" s="333" t="str">
        <f t="shared" si="110"/>
        <v>22</v>
      </c>
      <c r="V184" s="333" t="str">
        <f t="shared" si="110"/>
        <v>Freight Train</v>
      </c>
      <c r="W184" s="333">
        <f ca="1">IF($U184="","",SUMPRODUCT(--(Lineups!$AG$50:$AG$87=$U184),--(Lineups!$AB$50:$AB$87=""),Lineups!$W$50:$W$87))</f>
        <v>0</v>
      </c>
      <c r="Y184" s="344">
        <f ca="1">IF($U184="","",SUMPRODUCT(--(Lineups!$AG$50:$AG$87=$U184),--(Lineups!$AB$50:$AB$87="X"),Lineups!$W$50:$W$87))</f>
        <v>0</v>
      </c>
      <c r="Z184" s="344">
        <f ca="1">IF(U184="","",(SUMPRODUCT(--(Lineups!$AK$50:$AK$87=$U184),Lineups!$W$50:$W$87)))</f>
        <v>0</v>
      </c>
      <c r="AA184" s="344">
        <f ca="1">IF(U184="","",(SUMPRODUCT(--(Lineups!$AO$50:$AO$87=$U184),Lineups!$W$50:$W$87)))</f>
        <v>0</v>
      </c>
      <c r="AB184" s="344">
        <f ca="1">IF(U184="","",(SUMPRODUCT(--(Lineups!$AS$50:$AS$87=$U184),Lineups!$W$50:$W$87)))</f>
        <v>0</v>
      </c>
      <c r="AC184" s="333">
        <f t="shared" ca="1" si="111"/>
        <v>0</v>
      </c>
      <c r="AE184" s="333">
        <f t="shared" ca="1" si="112"/>
        <v>0</v>
      </c>
      <c r="AH184" s="333">
        <f ca="1">IF($U184="","",SUMPRODUCT(--(Lineups!$AC$50:$AC$87=$U184),Lineups!$W$50:$W$87))</f>
        <v>31</v>
      </c>
      <c r="AJ184" s="333">
        <f t="shared" ca="1" si="113"/>
        <v>31</v>
      </c>
    </row>
    <row r="185" spans="1:36" x14ac:dyDescent="0.3">
      <c r="A185" s="45">
        <f t="shared" si="104"/>
        <v>9</v>
      </c>
      <c r="B185" s="45" t="str">
        <f t="shared" si="105"/>
        <v>505</v>
      </c>
      <c r="C185" s="45" t="str">
        <f t="shared" si="105"/>
        <v>Teddy Rupp</v>
      </c>
      <c r="D185" s="45">
        <f ca="1">IF($B185="","",SUMPRODUCT(--(Lineups!$G$50:$G$87=$B185),--(Lineups!$B$50:$B$87=""),Lineups!$AW$50:$AW$87))</f>
        <v>0</v>
      </c>
      <c r="F185" s="344">
        <f ca="1">IF($B185="","",SUMPRODUCT(--(Lineups!$G$50:$G$87=$B185),--(Lineups!$B$50:$B$87="X"),Lineups!$AW$50:$AW$87))</f>
        <v>0</v>
      </c>
      <c r="G185" s="344">
        <f ca="1">IF($B185="","",SUMPRODUCT(--(Lineups!$K$50:$K$87=$B185),Lineups!$AW$50:$AW$87))</f>
        <v>2</v>
      </c>
      <c r="H185" s="344">
        <f ca="1">IF($B185="","",SUMPRODUCT(--(Lineups!$O$50:$O$87=$B185),Lineups!$AW$50:$AW$87))</f>
        <v>4</v>
      </c>
      <c r="I185" s="344">
        <f ca="1">IF($B185="","",SUMPRODUCT(--(Lineups!$S$50:$S$87=$B185),Lineups!$AW$50:$AW$87))</f>
        <v>10</v>
      </c>
      <c r="J185" s="45">
        <f t="shared" ca="1" si="106"/>
        <v>16</v>
      </c>
      <c r="L185" s="45">
        <f t="shared" ca="1" si="107"/>
        <v>16</v>
      </c>
      <c r="O185" s="45">
        <f ca="1">IF($B185="","",SUMPRODUCT(--(Lineups!$C$50:$C$87=$B185),Lineups!$AW$50:$AW$87))</f>
        <v>0</v>
      </c>
      <c r="Q185" s="45">
        <f t="shared" ca="1" si="108"/>
        <v>16</v>
      </c>
      <c r="T185" s="45">
        <f t="shared" si="109"/>
        <v>9</v>
      </c>
      <c r="U185" s="45" t="str">
        <f t="shared" si="110"/>
        <v>312</v>
      </c>
      <c r="V185" s="45" t="str">
        <f t="shared" si="110"/>
        <v>2x Force</v>
      </c>
      <c r="W185" s="45">
        <f ca="1">IF($U185="","",SUMPRODUCT(--(Lineups!$AG$50:$AG$87=$U185),--(Lineups!$AB$50:$AB$87=""),Lineups!$W$50:$W$87))</f>
        <v>0</v>
      </c>
      <c r="Y185" s="344">
        <f ca="1">IF($U185="","",SUMPRODUCT(--(Lineups!$AG$50:$AG$87=$U185),--(Lineups!$AB$50:$AB$87="X"),Lineups!$W$50:$W$87))</f>
        <v>0</v>
      </c>
      <c r="Z185" s="344">
        <f ca="1">IF(U185="","",(SUMPRODUCT(--(Lineups!$AK$50:$AK$87=$U185),Lineups!$W$50:$W$87)))</f>
        <v>25</v>
      </c>
      <c r="AA185" s="344">
        <f ca="1">IF(U185="","",(SUMPRODUCT(--(Lineups!$AO$50:$AO$87=$U185),Lineups!$W$50:$W$87)))</f>
        <v>0</v>
      </c>
      <c r="AB185" s="344">
        <f ca="1">IF(U185="","",(SUMPRODUCT(--(Lineups!$AS$50:$AS$87=$U185),Lineups!$W$50:$W$87)))</f>
        <v>29</v>
      </c>
      <c r="AC185" s="45">
        <f t="shared" ca="1" si="111"/>
        <v>54</v>
      </c>
      <c r="AE185" s="45">
        <f t="shared" ca="1" si="112"/>
        <v>54</v>
      </c>
      <c r="AH185" s="45">
        <f ca="1">IF($U185="","",SUMPRODUCT(--(Lineups!$AC$50:$AC$87=$U185),Lineups!$W$50:$W$87))</f>
        <v>0</v>
      </c>
      <c r="AJ185" s="45">
        <f t="shared" ca="1" si="113"/>
        <v>54</v>
      </c>
    </row>
    <row r="186" spans="1:36" x14ac:dyDescent="0.3">
      <c r="A186" s="333">
        <f t="shared" si="104"/>
        <v>10</v>
      </c>
      <c r="B186" s="333" t="str">
        <f t="shared" si="105"/>
        <v>53</v>
      </c>
      <c r="C186" s="333" t="str">
        <f t="shared" si="105"/>
        <v>Raven Seaward</v>
      </c>
      <c r="D186" s="333">
        <f ca="1">IF($B186="","",SUMPRODUCT(--(Lineups!$G$50:$G$87=$B186),--(Lineups!$B$50:$B$87=""),Lineups!$AW$50:$AW$87))</f>
        <v>0</v>
      </c>
      <c r="F186" s="344">
        <f ca="1">IF($B186="","",SUMPRODUCT(--(Lineups!$G$50:$G$87=$B186),--(Lineups!$B$50:$B$87="X"),Lineups!$AW$50:$AW$87))</f>
        <v>0</v>
      </c>
      <c r="G186" s="344">
        <f ca="1">IF($B186="","",SUMPRODUCT(--(Lineups!$K$50:$K$87=$B186),Lineups!$AW$50:$AW$87))</f>
        <v>6</v>
      </c>
      <c r="H186" s="344">
        <f ca="1">IF($B186="","",SUMPRODUCT(--(Lineups!$O$50:$O$87=$B186),Lineups!$AW$50:$AW$87))</f>
        <v>2</v>
      </c>
      <c r="I186" s="344">
        <f ca="1">IF($B186="","",SUMPRODUCT(--(Lineups!$S$50:$S$87=$B186),Lineups!$AW$50:$AW$87))</f>
        <v>0</v>
      </c>
      <c r="J186" s="333">
        <f t="shared" ca="1" si="106"/>
        <v>8</v>
      </c>
      <c r="L186" s="333">
        <f t="shared" ca="1" si="107"/>
        <v>8</v>
      </c>
      <c r="O186" s="333">
        <f ca="1">IF($B186="","",SUMPRODUCT(--(Lineups!$C$50:$C$87=$B186),Lineups!$AW$50:$AW$87))</f>
        <v>0</v>
      </c>
      <c r="Q186" s="333">
        <f t="shared" ca="1" si="108"/>
        <v>8</v>
      </c>
      <c r="T186" s="333">
        <f t="shared" si="109"/>
        <v>10</v>
      </c>
      <c r="U186" s="333" t="str">
        <f t="shared" si="110"/>
        <v>51</v>
      </c>
      <c r="V186" s="333" t="str">
        <f t="shared" si="110"/>
        <v>Bustin’ Beaver</v>
      </c>
      <c r="W186" s="333">
        <f ca="1">IF($U186="","",SUMPRODUCT(--(Lineups!$AG$50:$AG$87=$U186),--(Lineups!$AB$50:$AB$87=""),Lineups!$W$50:$W$87))</f>
        <v>28</v>
      </c>
      <c r="Y186" s="344">
        <f ca="1">IF($U186="","",SUMPRODUCT(--(Lineups!$AG$50:$AG$87=$U186),--(Lineups!$AB$50:$AB$87="X"),Lineups!$W$50:$W$87))</f>
        <v>0</v>
      </c>
      <c r="Z186" s="344">
        <f ca="1">IF(U186="","",(SUMPRODUCT(--(Lineups!$AK$50:$AK$87=$U186),Lineups!$W$50:$W$87)))</f>
        <v>0</v>
      </c>
      <c r="AA186" s="344">
        <f ca="1">IF(U186="","",(SUMPRODUCT(--(Lineups!$AO$50:$AO$87=$U186),Lineups!$W$50:$W$87)))</f>
        <v>0</v>
      </c>
      <c r="AB186" s="344">
        <f ca="1">IF(U186="","",(SUMPRODUCT(--(Lineups!$AS$50:$AS$87=$U186),Lineups!$W$50:$W$87)))</f>
        <v>0</v>
      </c>
      <c r="AC186" s="333">
        <f t="shared" ca="1" si="111"/>
        <v>0</v>
      </c>
      <c r="AE186" s="333">
        <f t="shared" ca="1" si="112"/>
        <v>28</v>
      </c>
      <c r="AH186" s="333">
        <f ca="1">IF($U186="","",SUMPRODUCT(--(Lineups!$AC$50:$AC$87=$U186),Lineups!$W$50:$W$87))</f>
        <v>31</v>
      </c>
      <c r="AJ186" s="333">
        <f t="shared" ca="1" si="113"/>
        <v>59</v>
      </c>
    </row>
    <row r="187" spans="1:36" x14ac:dyDescent="0.3">
      <c r="A187" s="45">
        <f t="shared" si="104"/>
        <v>11</v>
      </c>
      <c r="B187" s="45" t="str">
        <f t="shared" si="105"/>
        <v>761</v>
      </c>
      <c r="C187" s="45" t="str">
        <f t="shared" si="105"/>
        <v>Rawkhell SqWelch</v>
      </c>
      <c r="D187" s="45">
        <f ca="1">IF($B187="","",SUMPRODUCT(--(Lineups!$G$50:$G$87=$B187),--(Lineups!$B$50:$B$87=""),Lineups!$AW$50:$AW$87))</f>
        <v>0</v>
      </c>
      <c r="F187" s="344">
        <f ca="1">IF($B187="","",SUMPRODUCT(--(Lineups!$G$50:$G$87=$B187),--(Lineups!$B$50:$B$87="X"),Lineups!$AW$50:$AW$87))</f>
        <v>0</v>
      </c>
      <c r="G187" s="344">
        <f ca="1">IF($B187="","",SUMPRODUCT(--(Lineups!$K$50:$K$87=$B187),Lineups!$AW$50:$AW$87))</f>
        <v>0</v>
      </c>
      <c r="H187" s="344">
        <f ca="1">IF($B187="","",SUMPRODUCT(--(Lineups!$O$50:$O$87=$B187),Lineups!$AW$50:$AW$87))</f>
        <v>0</v>
      </c>
      <c r="I187" s="344">
        <f ca="1">IF($B187="","",SUMPRODUCT(--(Lineups!$S$50:$S$87=$B187),Lineups!$AW$50:$AW$87))</f>
        <v>0</v>
      </c>
      <c r="J187" s="45">
        <f t="shared" ca="1" si="106"/>
        <v>0</v>
      </c>
      <c r="L187" s="45">
        <f t="shared" ca="1" si="107"/>
        <v>0</v>
      </c>
      <c r="O187" s="45">
        <f ca="1">IF($B187="","",SUMPRODUCT(--(Lineups!$C$50:$C$87=$B187),Lineups!$AW$50:$AW$87))</f>
        <v>10</v>
      </c>
      <c r="Q187" s="45">
        <f t="shared" ca="1" si="108"/>
        <v>10</v>
      </c>
      <c r="T187" s="45">
        <f t="shared" si="109"/>
        <v>11</v>
      </c>
      <c r="U187" s="45" t="str">
        <f t="shared" si="110"/>
        <v>5309</v>
      </c>
      <c r="V187" s="45" t="str">
        <f t="shared" si="110"/>
        <v>Toxic Assets</v>
      </c>
      <c r="W187" s="45">
        <f ca="1">IF($U187="","",SUMPRODUCT(--(Lineups!$AG$50:$AG$87=$U187),--(Lineups!$AB$50:$AB$87=""),Lineups!$W$50:$W$87))</f>
        <v>0</v>
      </c>
      <c r="Y187" s="344">
        <f ca="1">IF($U187="","",SUMPRODUCT(--(Lineups!$AG$50:$AG$87=$U187),--(Lineups!$AB$50:$AB$87="X"),Lineups!$W$50:$W$87))</f>
        <v>0</v>
      </c>
      <c r="Z187" s="344">
        <f ca="1">IF(U187="","",(SUMPRODUCT(--(Lineups!$AK$50:$AK$87=$U187),Lineups!$W$50:$W$87)))</f>
        <v>41</v>
      </c>
      <c r="AA187" s="344">
        <f ca="1">IF(U187="","",(SUMPRODUCT(--(Lineups!$AO$50:$AO$87=$U187),Lineups!$W$50:$W$87)))</f>
        <v>0</v>
      </c>
      <c r="AB187" s="344">
        <f ca="1">IF(U187="","",(SUMPRODUCT(--(Lineups!$AS$50:$AS$87=$U187),Lineups!$W$50:$W$87)))</f>
        <v>25</v>
      </c>
      <c r="AC187" s="45">
        <f t="shared" ca="1" si="111"/>
        <v>66</v>
      </c>
      <c r="AE187" s="45">
        <f t="shared" ca="1" si="112"/>
        <v>66</v>
      </c>
      <c r="AH187" s="45">
        <f ca="1">IF($U187="","",SUMPRODUCT(--(Lineups!$AC$50:$AC$87=$U187),Lineups!$W$50:$W$87))</f>
        <v>0</v>
      </c>
      <c r="AJ187" s="45">
        <f t="shared" ca="1" si="113"/>
        <v>66</v>
      </c>
    </row>
    <row r="188" spans="1:36" x14ac:dyDescent="0.3">
      <c r="A188" s="333">
        <f t="shared" si="104"/>
        <v>12</v>
      </c>
      <c r="B188" s="333" t="str">
        <f t="shared" si="105"/>
        <v>808</v>
      </c>
      <c r="C188" s="333" t="str">
        <f t="shared" si="105"/>
        <v>Kendle Bjelland</v>
      </c>
      <c r="D188" s="333">
        <f ca="1">IF($B188="","",SUMPRODUCT(--(Lineups!$G$50:$G$87=$B188),--(Lineups!$B$50:$B$87=""),Lineups!$AW$50:$AW$87))</f>
        <v>0</v>
      </c>
      <c r="F188" s="344">
        <f ca="1">IF($B188="","",SUMPRODUCT(--(Lineups!$G$50:$G$87=$B188),--(Lineups!$B$50:$B$87="X"),Lineups!$AW$50:$AW$87))</f>
        <v>0</v>
      </c>
      <c r="G188" s="344">
        <f ca="1">IF($B188="","",SUMPRODUCT(--(Lineups!$K$50:$K$87=$B188),Lineups!$AW$50:$AW$87))</f>
        <v>10</v>
      </c>
      <c r="H188" s="344">
        <f ca="1">IF($B188="","",SUMPRODUCT(--(Lineups!$O$50:$O$87=$B188),Lineups!$AW$50:$AW$87))</f>
        <v>2</v>
      </c>
      <c r="I188" s="344">
        <f ca="1">IF($B188="","",SUMPRODUCT(--(Lineups!$S$50:$S$87=$B188),Lineups!$AW$50:$AW$87))</f>
        <v>4</v>
      </c>
      <c r="J188" s="333">
        <f t="shared" ca="1" si="106"/>
        <v>16</v>
      </c>
      <c r="L188" s="333">
        <f t="shared" ca="1" si="107"/>
        <v>16</v>
      </c>
      <c r="O188" s="333">
        <f ca="1">IF($B188="","",SUMPRODUCT(--(Lineups!$C$50:$C$87=$B188),Lineups!$AW$50:$AW$87))</f>
        <v>0</v>
      </c>
      <c r="Q188" s="333">
        <f t="shared" ca="1" si="108"/>
        <v>16</v>
      </c>
      <c r="T188" s="333">
        <f t="shared" si="109"/>
        <v>12</v>
      </c>
      <c r="U188" s="333" t="str">
        <f t="shared" si="110"/>
        <v>69</v>
      </c>
      <c r="V188" s="333" t="str">
        <f t="shared" si="110"/>
        <v>Death By Chocolate</v>
      </c>
      <c r="W188" s="333">
        <f ca="1">IF($U188="","",SUMPRODUCT(--(Lineups!$AG$50:$AG$87=$U188),--(Lineups!$AB$50:$AB$87=""),Lineups!$W$50:$W$87))</f>
        <v>0</v>
      </c>
      <c r="Y188" s="344">
        <f ca="1">IF($U188="","",SUMPRODUCT(--(Lineups!$AG$50:$AG$87=$U188),--(Lineups!$AB$50:$AB$87="X"),Lineups!$W$50:$W$87))</f>
        <v>0</v>
      </c>
      <c r="Z188" s="344">
        <f ca="1">IF(U188="","",(SUMPRODUCT(--(Lineups!$AK$50:$AK$87=$U188),Lineups!$W$50:$W$87)))</f>
        <v>0</v>
      </c>
      <c r="AA188" s="344">
        <f ca="1">IF(U188="","",(SUMPRODUCT(--(Lineups!$AO$50:$AO$87=$U188),Lineups!$W$50:$W$87)))</f>
        <v>0</v>
      </c>
      <c r="AB188" s="344">
        <f ca="1">IF(U188="","",(SUMPRODUCT(--(Lineups!$AS$50:$AS$87=$U188),Lineups!$W$50:$W$87)))</f>
        <v>0</v>
      </c>
      <c r="AC188" s="333">
        <f t="shared" ca="1" si="111"/>
        <v>0</v>
      </c>
      <c r="AE188" s="333">
        <f t="shared" ca="1" si="112"/>
        <v>0</v>
      </c>
      <c r="AH188" s="333">
        <f ca="1">IF($U188="","",SUMPRODUCT(--(Lineups!$AC$50:$AC$87=$U188),Lineups!$W$50:$W$87))</f>
        <v>79</v>
      </c>
      <c r="AJ188" s="333">
        <f t="shared" ca="1" si="113"/>
        <v>79</v>
      </c>
    </row>
    <row r="189" spans="1:36" x14ac:dyDescent="0.3">
      <c r="A189" s="45">
        <f t="shared" si="104"/>
        <v>13</v>
      </c>
      <c r="B189" s="45" t="str">
        <f t="shared" si="105"/>
        <v>9</v>
      </c>
      <c r="C189" s="45" t="str">
        <f t="shared" si="105"/>
        <v>P. Wilhelm</v>
      </c>
      <c r="D189" s="45">
        <f ca="1">IF($B189="","",SUMPRODUCT(--(Lineups!$G$50:$G$87=$B189),--(Lineups!$B$50:$B$87=""),Lineups!$AW$50:$AW$87))</f>
        <v>3</v>
      </c>
      <c r="F189" s="344">
        <f ca="1">IF($B189="","",SUMPRODUCT(--(Lineups!$G$50:$G$87=$B189),--(Lineups!$B$50:$B$87="X"),Lineups!$AW$50:$AW$87))</f>
        <v>0</v>
      </c>
      <c r="G189" s="344">
        <f ca="1">IF($B189="","",SUMPRODUCT(--(Lineups!$K$50:$K$87=$B189),Lineups!$AW$50:$AW$87))</f>
        <v>0</v>
      </c>
      <c r="H189" s="344">
        <f ca="1">IF($B189="","",SUMPRODUCT(--(Lineups!$O$50:$O$87=$B189),Lineups!$AW$50:$AW$87))</f>
        <v>0</v>
      </c>
      <c r="I189" s="344">
        <f ca="1">IF($B189="","",SUMPRODUCT(--(Lineups!$S$50:$S$87=$B189),Lineups!$AW$50:$AW$87))</f>
        <v>5</v>
      </c>
      <c r="J189" s="45">
        <f t="shared" ca="1" si="106"/>
        <v>5</v>
      </c>
      <c r="L189" s="45">
        <f t="shared" ca="1" si="107"/>
        <v>8</v>
      </c>
      <c r="O189" s="45">
        <f ca="1">IF($B189="","",SUMPRODUCT(--(Lineups!$C$50:$C$87=$B189),Lineups!$AW$50:$AW$87))</f>
        <v>0</v>
      </c>
      <c r="Q189" s="45">
        <f t="shared" ca="1" si="108"/>
        <v>8</v>
      </c>
      <c r="T189" s="45">
        <f t="shared" si="109"/>
        <v>13</v>
      </c>
      <c r="U189" s="45" t="str">
        <f t="shared" si="110"/>
        <v>9</v>
      </c>
      <c r="V189" s="45" t="str">
        <f t="shared" si="110"/>
        <v>Big Bad Voodoo Dollie</v>
      </c>
      <c r="W189" s="45">
        <f ca="1">IF($U189="","",SUMPRODUCT(--(Lineups!$AG$50:$AG$87=$U189),--(Lineups!$AB$50:$AB$87=""),Lineups!$W$50:$W$87))</f>
        <v>0</v>
      </c>
      <c r="Y189" s="344">
        <f ca="1">IF($U189="","",SUMPRODUCT(--(Lineups!$AG$50:$AG$87=$U189),--(Lineups!$AB$50:$AB$87="X"),Lineups!$W$50:$W$87))</f>
        <v>0</v>
      </c>
      <c r="Z189" s="344">
        <f ca="1">IF(U189="","",(SUMPRODUCT(--(Lineups!$AK$50:$AK$87=$U189),Lineups!$W$50:$W$87)))</f>
        <v>0</v>
      </c>
      <c r="AA189" s="344">
        <f ca="1">IF(U189="","",(SUMPRODUCT(--(Lineups!$AO$50:$AO$87=$U189),Lineups!$W$50:$W$87)))</f>
        <v>0</v>
      </c>
      <c r="AB189" s="344">
        <f ca="1">IF(U189="","",(SUMPRODUCT(--(Lineups!$AS$50:$AS$87=$U189),Lineups!$W$50:$W$87)))</f>
        <v>0</v>
      </c>
      <c r="AC189" s="45">
        <f t="shared" ca="1" si="111"/>
        <v>0</v>
      </c>
      <c r="AE189" s="45">
        <f t="shared" ca="1" si="112"/>
        <v>0</v>
      </c>
      <c r="AH189" s="45">
        <f ca="1">IF($U189="","",SUMPRODUCT(--(Lineups!$AC$50:$AC$87=$U189),Lineups!$W$50:$W$87))</f>
        <v>4</v>
      </c>
      <c r="AJ189" s="45">
        <f t="shared" ca="1" si="113"/>
        <v>4</v>
      </c>
    </row>
    <row r="190" spans="1:36" x14ac:dyDescent="0.3">
      <c r="A190" s="333">
        <f t="shared" si="104"/>
        <v>14</v>
      </c>
      <c r="B190" s="333" t="str">
        <f t="shared" si="105"/>
        <v>911</v>
      </c>
      <c r="C190" s="333" t="str">
        <f t="shared" si="105"/>
        <v>Luna Negra</v>
      </c>
      <c r="D190" s="333">
        <f ca="1">IF($B190="","",SUMPRODUCT(--(Lineups!$G$50:$G$87=$B190),--(Lineups!$B$50:$B$87=""),Lineups!$AW$50:$AW$87))</f>
        <v>0</v>
      </c>
      <c r="F190" s="344">
        <f ca="1">IF($B190="","",SUMPRODUCT(--(Lineups!$G$50:$G$87=$B190),--(Lineups!$B$50:$B$87="X"),Lineups!$AW$50:$AW$87))</f>
        <v>0</v>
      </c>
      <c r="G190" s="344">
        <f ca="1">IF($B190="","",SUMPRODUCT(--(Lineups!$K$50:$K$87=$B190),Lineups!$AW$50:$AW$87))</f>
        <v>0</v>
      </c>
      <c r="H190" s="344">
        <f ca="1">IF($B190="","",SUMPRODUCT(--(Lineups!$O$50:$O$87=$B190),Lineups!$AW$50:$AW$87))</f>
        <v>0</v>
      </c>
      <c r="I190" s="344">
        <f ca="1">IF($B190="","",SUMPRODUCT(--(Lineups!$S$50:$S$87=$B190),Lineups!$AW$50:$AW$87))</f>
        <v>0</v>
      </c>
      <c r="J190" s="333">
        <f t="shared" ca="1" si="106"/>
        <v>0</v>
      </c>
      <c r="L190" s="333">
        <f t="shared" ca="1" si="107"/>
        <v>0</v>
      </c>
      <c r="O190" s="333">
        <f ca="1">IF($B190="","",SUMPRODUCT(--(Lineups!$C$50:$C$87=$B190),Lineups!$AW$50:$AW$87))</f>
        <v>3</v>
      </c>
      <c r="Q190" s="333">
        <f t="shared" ca="1" si="108"/>
        <v>3</v>
      </c>
      <c r="T190" s="333">
        <f t="shared" si="109"/>
        <v>14</v>
      </c>
      <c r="U190" s="333" t="str">
        <f t="shared" si="110"/>
        <v>93</v>
      </c>
      <c r="V190" s="333" t="str">
        <f t="shared" si="110"/>
        <v>Erma Gerd</v>
      </c>
      <c r="W190" s="333">
        <f ca="1">IF($U190="","",SUMPRODUCT(--(Lineups!$AG$50:$AG$87=$U190),--(Lineups!$AB$50:$AB$87=""),Lineups!$W$50:$W$87))</f>
        <v>0</v>
      </c>
      <c r="Y190" s="344">
        <f ca="1">IF($U190="","",SUMPRODUCT(--(Lineups!$AG$50:$AG$87=$U190),--(Lineups!$AB$50:$AB$87="X"),Lineups!$W$50:$W$87))</f>
        <v>0</v>
      </c>
      <c r="Z190" s="344">
        <f ca="1">IF(U190="","",(SUMPRODUCT(--(Lineups!$AK$50:$AK$87=$U190),Lineups!$W$50:$W$87)))</f>
        <v>34</v>
      </c>
      <c r="AA190" s="344">
        <f ca="1">IF(U190="","",(SUMPRODUCT(--(Lineups!$AO$50:$AO$87=$U190),Lineups!$W$50:$W$87)))</f>
        <v>29</v>
      </c>
      <c r="AB190" s="344">
        <f ca="1">IF(U190="","",(SUMPRODUCT(--(Lineups!$AS$50:$AS$87=$U190),Lineups!$W$50:$W$87)))</f>
        <v>0</v>
      </c>
      <c r="AC190" s="333">
        <f t="shared" ca="1" si="111"/>
        <v>63</v>
      </c>
      <c r="AE190" s="333">
        <f t="shared" ca="1" si="112"/>
        <v>63</v>
      </c>
      <c r="AH190" s="333">
        <f ca="1">IF($U190="","",SUMPRODUCT(--(Lineups!$AC$50:$AC$87=$U190),Lineups!$W$50:$W$87))</f>
        <v>0</v>
      </c>
      <c r="AJ190" s="333">
        <f t="shared" ca="1" si="113"/>
        <v>63</v>
      </c>
    </row>
    <row r="191" spans="1:36" x14ac:dyDescent="0.3">
      <c r="A191" s="45">
        <f t="shared" si="104"/>
        <v>15</v>
      </c>
      <c r="B191" s="45" t="str">
        <f t="shared" si="105"/>
        <v>0</v>
      </c>
      <c r="C191" s="45" t="str">
        <f t="shared" si="105"/>
        <v>Enurgizer Bunny</v>
      </c>
      <c r="D191" s="45">
        <f ca="1">IF($B191="","",SUMPRODUCT(--(Lineups!$G$50:$G$87=$B191),--(Lineups!$B$50:$B$87=""),Lineups!$AW$50:$AW$87))</f>
        <v>0</v>
      </c>
      <c r="F191" s="344">
        <f ca="1">IF($B191="","",SUMPRODUCT(--(Lineups!$G$50:$G$87=$B191),--(Lineups!$B$50:$B$87="X"),Lineups!$AW$50:$AW$87))</f>
        <v>0</v>
      </c>
      <c r="G191" s="344">
        <f ca="1">IF($B191="","",SUMPRODUCT(--(Lineups!$K$50:$K$87=$B191),Lineups!$AW$50:$AW$87))</f>
        <v>0</v>
      </c>
      <c r="H191" s="344">
        <f ca="1">IF($B191="","",SUMPRODUCT(--(Lineups!$O$50:$O$87=$B191),Lineups!$AW$50:$AW$87))</f>
        <v>0</v>
      </c>
      <c r="I191" s="344">
        <f ca="1">IF($B191="","",SUMPRODUCT(--(Lineups!$S$50:$S$87=$B191),Lineups!$AW$50:$AW$87))</f>
        <v>0</v>
      </c>
      <c r="J191" s="45">
        <f t="shared" ca="1" si="106"/>
        <v>0</v>
      </c>
      <c r="L191" s="45">
        <f t="shared" ca="1" si="107"/>
        <v>0</v>
      </c>
      <c r="O191" s="45">
        <f ca="1">IF($B191="","",SUMPRODUCT(--(Lineups!$C$50:$C$87=$B191),Lineups!$AW$50:$AW$87))</f>
        <v>0</v>
      </c>
      <c r="Q191" s="45">
        <f t="shared" ca="1" si="108"/>
        <v>0</v>
      </c>
      <c r="T191" s="45">
        <f t="shared" si="109"/>
        <v>15</v>
      </c>
      <c r="U191" s="45" t="str">
        <f t="shared" si="110"/>
        <v/>
      </c>
      <c r="V191" s="45" t="str">
        <f t="shared" si="110"/>
        <v/>
      </c>
      <c r="W191" s="45" t="str">
        <f>IF($U191="","",SUMPRODUCT(--(Lineups!$AG$50:$AG$87=$U191),--(Lineups!$AB$50:$AB$87=""),Lineups!$W$50:$W$87))</f>
        <v/>
      </c>
      <c r="Y191" s="344" t="str">
        <f>IF($U191="","",SUMPRODUCT(--(Lineups!$AG$50:$AG$87=$U191),--(Lineups!$AB$50:$AB$87="X"),Lineups!$W$50:$W$87))</f>
        <v/>
      </c>
      <c r="Z191" s="344" t="str">
        <f>IF(U191="","",(SUMPRODUCT(--(Lineups!$AK$50:$AK$87=$U191),Lineups!$W$50:$W$87)))</f>
        <v/>
      </c>
      <c r="AA191" s="344" t="str">
        <f>IF(U191="","",(SUMPRODUCT(--(Lineups!$AO$50:$AO$87=$U191),Lineups!$W$50:$W$87)))</f>
        <v/>
      </c>
      <c r="AB191" s="344" t="str">
        <f>IF(U191="","",(SUMPRODUCT(--(Lineups!$AS$50:$AS$87=$U191),Lineups!$W$50:$W$87)))</f>
        <v/>
      </c>
      <c r="AC191" s="45">
        <f t="shared" si="111"/>
        <v>0</v>
      </c>
      <c r="AE191" s="45" t="str">
        <f t="shared" si="112"/>
        <v/>
      </c>
      <c r="AH191" s="45" t="str">
        <f>IF($U191="","",SUMPRODUCT(--(Lineups!$AC$50:$AC$87=$U191),Lineups!$W$50:$W$87))</f>
        <v/>
      </c>
      <c r="AJ191" s="45" t="str">
        <f t="shared" si="113"/>
        <v/>
      </c>
    </row>
    <row r="192" spans="1:36" x14ac:dyDescent="0.3">
      <c r="A192" s="333">
        <f t="shared" si="104"/>
        <v>16</v>
      </c>
      <c r="B192" s="333" t="str">
        <f t="shared" si="105"/>
        <v>88</v>
      </c>
      <c r="C192" s="333" t="str">
        <f t="shared" si="105"/>
        <v>Ophelia Melons</v>
      </c>
      <c r="D192" s="333">
        <f ca="1">IF($B192="","",SUMPRODUCT(--(Lineups!$G$50:$G$87=$B192),--(Lineups!$B$50:$B$87=""),Lineups!$AW$50:$AW$87))</f>
        <v>0</v>
      </c>
      <c r="F192" s="344">
        <f ca="1">IF($B192="","",SUMPRODUCT(--(Lineups!$G$50:$G$87=$B192),--(Lineups!$B$50:$B$87="X"),Lineups!$AW$50:$AW$87))</f>
        <v>0</v>
      </c>
      <c r="G192" s="344">
        <f ca="1">IF($B192="","",SUMPRODUCT(--(Lineups!$K$50:$K$87=$B192),Lineups!$AW$50:$AW$87))</f>
        <v>0</v>
      </c>
      <c r="H192" s="344">
        <f ca="1">IF($B192="","",SUMPRODUCT(--(Lineups!$O$50:$O$87=$B192),Lineups!$AW$50:$AW$87))</f>
        <v>0</v>
      </c>
      <c r="I192" s="344">
        <f ca="1">IF($B192="","",SUMPRODUCT(--(Lineups!$S$50:$S$87=$B192),Lineups!$AW$50:$AW$87))</f>
        <v>0</v>
      </c>
      <c r="J192" s="333">
        <f t="shared" ca="1" si="106"/>
        <v>0</v>
      </c>
      <c r="L192" s="333">
        <f t="shared" ca="1" si="107"/>
        <v>0</v>
      </c>
      <c r="O192" s="333">
        <f ca="1">IF($B192="","",SUMPRODUCT(--(Lineups!$C$50:$C$87=$B192),Lineups!$AW$50:$AW$87))</f>
        <v>0</v>
      </c>
      <c r="Q192" s="333">
        <f t="shared" ca="1" si="108"/>
        <v>0</v>
      </c>
      <c r="T192" s="333">
        <f t="shared" si="109"/>
        <v>16</v>
      </c>
      <c r="U192" s="333" t="str">
        <f t="shared" si="110"/>
        <v/>
      </c>
      <c r="V192" s="333" t="str">
        <f t="shared" si="110"/>
        <v/>
      </c>
      <c r="W192" s="333" t="str">
        <f>IF($U192="","",SUMPRODUCT(--(Lineups!$AG$50:$AG$87=$U192),--(Lineups!$AB$50:$AB$87=""),Lineups!$W$50:$W$87))</f>
        <v/>
      </c>
      <c r="Y192" s="344" t="str">
        <f>IF($U192="","",SUMPRODUCT(--(Lineups!$AG$50:$AG$87=$U192),--(Lineups!$AB$50:$AB$87="X"),Lineups!$W$50:$W$87))</f>
        <v/>
      </c>
      <c r="Z192" s="344" t="str">
        <f>IF(U192="","",(SUMPRODUCT(--(Lineups!$AK$50:$AK$87=$U192),Lineups!$W$50:$W$87)))</f>
        <v/>
      </c>
      <c r="AA192" s="344" t="str">
        <f>IF(U192="","",(SUMPRODUCT(--(Lineups!$AO$50:$AO$87=$U192),Lineups!$W$50:$W$87)))</f>
        <v/>
      </c>
      <c r="AB192" s="344" t="str">
        <f>IF(U192="","",(SUMPRODUCT(--(Lineups!$AS$50:$AS$87=$U192),Lineups!$W$50:$W$87)))</f>
        <v/>
      </c>
      <c r="AC192" s="333">
        <f t="shared" si="111"/>
        <v>0</v>
      </c>
      <c r="AE192" s="333" t="str">
        <f t="shared" si="112"/>
        <v/>
      </c>
      <c r="AH192" s="333" t="str">
        <f>IF($U192="","",SUMPRODUCT(--(Lineups!$AC$50:$AC$87=$U192),Lineups!$W$50:$W$87))</f>
        <v/>
      </c>
      <c r="AJ192" s="333" t="str">
        <f t="shared" si="113"/>
        <v/>
      </c>
    </row>
    <row r="193" spans="1:36" x14ac:dyDescent="0.3">
      <c r="A193" s="45">
        <f t="shared" si="104"/>
        <v>17</v>
      </c>
      <c r="B193" s="45" t="str">
        <f t="shared" si="105"/>
        <v/>
      </c>
      <c r="C193" s="45" t="str">
        <f t="shared" si="105"/>
        <v/>
      </c>
      <c r="D193" s="45" t="str">
        <f>IF($B193="","",SUMPRODUCT(--(Lineups!$G$50:$G$87=$B193),--(Lineups!$B$50:$B$87=""),Lineups!$AW$50:$AW$87))</f>
        <v/>
      </c>
      <c r="F193" s="344" t="str">
        <f>IF($B193="","",SUMPRODUCT(--(Lineups!$G$50:$G$87=$B193),--(Lineups!$B$50:$B$87="X"),Lineups!$AW$50:$AW$87))</f>
        <v/>
      </c>
      <c r="G193" s="344" t="str">
        <f>IF($B193="","",SUMPRODUCT(--(Lineups!$K$50:$K$87=$B193),Lineups!$AW$50:$AW$87))</f>
        <v/>
      </c>
      <c r="H193" s="344" t="str">
        <f>IF($B193="","",SUMPRODUCT(--(Lineups!$O$50:$O$87=$B193),Lineups!$AW$50:$AW$87))</f>
        <v/>
      </c>
      <c r="I193" s="344" t="str">
        <f>IF($B193="","",SUMPRODUCT(--(Lineups!$S$50:$S$87=$B193),Lineups!$AW$50:$AW$87))</f>
        <v/>
      </c>
      <c r="J193" s="45" t="str">
        <f t="shared" si="106"/>
        <v/>
      </c>
      <c r="L193" s="45" t="str">
        <f t="shared" si="107"/>
        <v/>
      </c>
      <c r="O193" s="45" t="str">
        <f>IF($B193="","",SUMPRODUCT(--(Lineups!$C$50:$C$87=$B193),Lineups!$AW$50:$AW$87))</f>
        <v/>
      </c>
      <c r="Q193" s="45" t="str">
        <f t="shared" si="108"/>
        <v/>
      </c>
      <c r="T193" s="45">
        <f t="shared" si="109"/>
        <v>17</v>
      </c>
      <c r="U193" s="45" t="str">
        <f t="shared" si="110"/>
        <v/>
      </c>
      <c r="V193" s="45" t="str">
        <f t="shared" si="110"/>
        <v/>
      </c>
      <c r="W193" s="45" t="str">
        <f>IF($U193="","",SUMPRODUCT(--(Lineups!$AG$50:$AG$87=$U193),--(Lineups!$AB$50:$AB$87=""),Lineups!$W$50:$W$87))</f>
        <v/>
      </c>
      <c r="Y193" s="344" t="str">
        <f>IF($U193="","",SUMPRODUCT(--(Lineups!$AG$50:$AG$87=$U193),--(Lineups!$AB$50:$AB$87="X"),Lineups!$W$50:$W$87))</f>
        <v/>
      </c>
      <c r="Z193" s="344" t="str">
        <f>IF(U193="","",(SUMPRODUCT(--(Lineups!$AK$50:$AK$87=$U193),Lineups!$W$50:$W$87)))</f>
        <v/>
      </c>
      <c r="AA193" s="344" t="str">
        <f>IF(U193="","",(SUMPRODUCT(--(Lineups!$AO$50:$AO$87=$U193),Lineups!$W$50:$W$87)))</f>
        <v/>
      </c>
      <c r="AB193" s="344" t="str">
        <f>IF(U193="","",(SUMPRODUCT(--(Lineups!$AS$50:$AS$87=$U193),Lineups!$W$50:$W$87)))</f>
        <v/>
      </c>
      <c r="AC193" s="45">
        <f t="shared" si="111"/>
        <v>0</v>
      </c>
      <c r="AE193" s="45" t="str">
        <f t="shared" si="112"/>
        <v/>
      </c>
      <c r="AH193" s="45" t="str">
        <f>IF($U193="","",SUMPRODUCT(--(Lineups!$AC$50:$AC$87=$U193),Lineups!$W$50:$W$87))</f>
        <v/>
      </c>
      <c r="AJ193" s="45" t="str">
        <f t="shared" si="113"/>
        <v/>
      </c>
    </row>
    <row r="194" spans="1:36" x14ac:dyDescent="0.3">
      <c r="A194" s="333">
        <f t="shared" si="104"/>
        <v>18</v>
      </c>
      <c r="B194" s="333" t="str">
        <f t="shared" si="105"/>
        <v/>
      </c>
      <c r="C194" s="333" t="str">
        <f t="shared" si="105"/>
        <v/>
      </c>
      <c r="D194" s="333" t="str">
        <f>IF($B194="","",SUMPRODUCT(--(Lineups!$G$50:$G$87=$B194),--(Lineups!$B$50:$B$87=""),Lineups!$AW$50:$AW$87))</f>
        <v/>
      </c>
      <c r="F194" s="344" t="str">
        <f>IF($B194="","",SUMPRODUCT(--(Lineups!$G$50:$G$87=$B194),--(Lineups!$B$50:$B$87="X"),Lineups!$AW$50:$AW$87))</f>
        <v/>
      </c>
      <c r="G194" s="344" t="str">
        <f>IF($B194="","",SUMPRODUCT(--(Lineups!$K$50:$K$87=$B194),Lineups!$AW$50:$AW$87))</f>
        <v/>
      </c>
      <c r="H194" s="344" t="str">
        <f>IF($B194="","",SUMPRODUCT(--(Lineups!$O$50:$O$87=$B194),Lineups!$AW$50:$AW$87))</f>
        <v/>
      </c>
      <c r="I194" s="344" t="str">
        <f>IF($B194="","",SUMPRODUCT(--(Lineups!$S$50:$S$87=$B194),Lineups!$AW$50:$AW$87))</f>
        <v/>
      </c>
      <c r="J194" s="333" t="str">
        <f t="shared" si="106"/>
        <v/>
      </c>
      <c r="L194" s="333" t="str">
        <f t="shared" si="107"/>
        <v/>
      </c>
      <c r="O194" s="333" t="str">
        <f>IF($B194="","",SUMPRODUCT(--(Lineups!$C$50:$C$87=$B194),Lineups!$AW$50:$AW$87))</f>
        <v/>
      </c>
      <c r="Q194" s="333" t="str">
        <f t="shared" si="108"/>
        <v/>
      </c>
      <c r="T194" s="333">
        <f t="shared" si="109"/>
        <v>18</v>
      </c>
      <c r="U194" s="333" t="str">
        <f t="shared" si="110"/>
        <v/>
      </c>
      <c r="V194" s="333" t="str">
        <f t="shared" si="110"/>
        <v/>
      </c>
      <c r="W194" s="333" t="str">
        <f>IF($U194="","",SUMPRODUCT(--(Lineups!$AG$50:$AG$87=$U194),--(Lineups!$AB$50:$AB$87=""),Lineups!$W$50:$W$87))</f>
        <v/>
      </c>
      <c r="Y194" s="344" t="str">
        <f>IF($U194="","",SUMPRODUCT(--(Lineups!$AG$50:$AG$87=$U194),--(Lineups!$AB$50:$AB$87="X"),Lineups!$W$50:$W$87))</f>
        <v/>
      </c>
      <c r="Z194" s="344" t="str">
        <f>IF(U194="","",(SUMPRODUCT(--(Lineups!$AK$50:$AK$87=$U194),Lineups!$W$50:$W$87)))</f>
        <v/>
      </c>
      <c r="AA194" s="344" t="str">
        <f>IF(U194="","",(SUMPRODUCT(--(Lineups!$AO$50:$AO$87=$U194),Lineups!$W$50:$W$87)))</f>
        <v/>
      </c>
      <c r="AB194" s="344" t="str">
        <f>IF(U194="","",(SUMPRODUCT(--(Lineups!$AS$50:$AS$87=$U194),Lineups!$W$50:$W$87)))</f>
        <v/>
      </c>
      <c r="AC194" s="333">
        <f t="shared" si="111"/>
        <v>0</v>
      </c>
      <c r="AE194" s="333" t="str">
        <f t="shared" si="112"/>
        <v/>
      </c>
      <c r="AH194" s="333" t="str">
        <f>IF($U194="","",SUMPRODUCT(--(Lineups!$AC$50:$AC$87=$U194),Lineups!$W$50:$W$87))</f>
        <v/>
      </c>
      <c r="AJ194" s="333" t="str">
        <f t="shared" si="113"/>
        <v/>
      </c>
    </row>
    <row r="195" spans="1:36" x14ac:dyDescent="0.3">
      <c r="A195" s="45">
        <f t="shared" si="104"/>
        <v>19</v>
      </c>
      <c r="B195" s="45" t="str">
        <f t="shared" si="105"/>
        <v/>
      </c>
      <c r="C195" s="45" t="str">
        <f t="shared" si="105"/>
        <v/>
      </c>
      <c r="D195" s="45" t="str">
        <f>IF($B195="","",SUMPRODUCT(--(Lineups!$G$50:$G$87=$B195),--(Lineups!$B$50:$B$87=""),Lineups!$AW$50:$AW$87))</f>
        <v/>
      </c>
      <c r="F195" s="344" t="str">
        <f>IF($B195="","",SUMPRODUCT(--(Lineups!$G$50:$G$87=$B195),--(Lineups!$B$50:$B$87="X"),Lineups!$AW$50:$AW$87))</f>
        <v/>
      </c>
      <c r="G195" s="344" t="str">
        <f>IF($B195="","",SUMPRODUCT(--(Lineups!$K$50:$K$87=$B195),Lineups!$AW$50:$AW$87))</f>
        <v/>
      </c>
      <c r="H195" s="344" t="str">
        <f>IF($B195="","",SUMPRODUCT(--(Lineups!$O$50:$O$87=$B195),Lineups!$AW$50:$AW$87))</f>
        <v/>
      </c>
      <c r="I195" s="344" t="str">
        <f>IF($B195="","",SUMPRODUCT(--(Lineups!$S$50:$S$87=$B195),Lineups!$AW$50:$AW$87))</f>
        <v/>
      </c>
      <c r="J195" s="45" t="str">
        <f t="shared" si="106"/>
        <v/>
      </c>
      <c r="L195" s="45" t="str">
        <f t="shared" si="107"/>
        <v/>
      </c>
      <c r="O195" s="45" t="str">
        <f>IF($B195="","",SUMPRODUCT(--(Lineups!$C$50:$C$87=$B195),Lineups!$AW$50:$AW$87))</f>
        <v/>
      </c>
      <c r="Q195" s="45" t="str">
        <f t="shared" si="108"/>
        <v/>
      </c>
      <c r="T195" s="45">
        <f t="shared" si="109"/>
        <v>19</v>
      </c>
      <c r="U195" s="45" t="str">
        <f t="shared" si="110"/>
        <v/>
      </c>
      <c r="V195" s="45" t="str">
        <f t="shared" si="110"/>
        <v/>
      </c>
      <c r="W195" s="45" t="str">
        <f>IF($U195="","",SUMPRODUCT(--(Lineups!$AG$50:$AG$87=$U195),--(Lineups!$AB$50:$AB$87=""),Lineups!$W$50:$W$87))</f>
        <v/>
      </c>
      <c r="Y195" s="344" t="str">
        <f>IF($U195="","",SUMPRODUCT(--(Lineups!$AG$50:$AG$87=$U195),--(Lineups!$AB$50:$AB$87="X"),Lineups!$W$50:$W$87))</f>
        <v/>
      </c>
      <c r="Z195" s="344" t="str">
        <f>IF(U195="","",(SUMPRODUCT(--(Lineups!$AK$50:$AK$87=$U195),Lineups!$W$50:$W$87)))</f>
        <v/>
      </c>
      <c r="AA195" s="344" t="str">
        <f>IF(U195="","",(SUMPRODUCT(--(Lineups!$AO$50:$AO$87=$U195),Lineups!$W$50:$W$87)))</f>
        <v/>
      </c>
      <c r="AB195" s="344" t="str">
        <f>IF(U195="","",(SUMPRODUCT(--(Lineups!$AS$50:$AS$87=$U195),Lineups!$W$50:$W$87)))</f>
        <v/>
      </c>
      <c r="AC195" s="45">
        <f t="shared" si="111"/>
        <v>0</v>
      </c>
      <c r="AE195" s="45" t="str">
        <f t="shared" si="112"/>
        <v/>
      </c>
      <c r="AH195" s="45" t="str">
        <f>IF($U195="","",SUMPRODUCT(--(Lineups!$AC$50:$AC$87=$U195),Lineups!$W$50:$W$87))</f>
        <v/>
      </c>
      <c r="AJ195" s="45" t="str">
        <f t="shared" si="113"/>
        <v/>
      </c>
    </row>
    <row r="196" spans="1:36" x14ac:dyDescent="0.3">
      <c r="A196" s="333">
        <f t="shared" si="104"/>
        <v>20</v>
      </c>
      <c r="B196" s="333" t="str">
        <f t="shared" si="105"/>
        <v/>
      </c>
      <c r="C196" s="333" t="str">
        <f t="shared" si="105"/>
        <v/>
      </c>
      <c r="D196" s="333" t="str">
        <f>IF($B196="","",SUMPRODUCT(--(Lineups!$G$50:$G$87=$B196),--(Lineups!$B$50:$B$87=""),Lineups!$AW$50:$AW$87))</f>
        <v/>
      </c>
      <c r="F196" s="344" t="str">
        <f>IF($B196="","",SUMPRODUCT(--(Lineups!$G$50:$G$87=$B196),--(Lineups!$B$50:$B$87="X"),Lineups!$AW$50:$AW$87))</f>
        <v/>
      </c>
      <c r="G196" s="344" t="str">
        <f>IF($B196="","",SUMPRODUCT(--(Lineups!$K$50:$K$87=$B196),Lineups!$AW$50:$AW$87))</f>
        <v/>
      </c>
      <c r="H196" s="344" t="str">
        <f>IF($B196="","",SUMPRODUCT(--(Lineups!$O$50:$O$87=$B196),Lineups!$AW$50:$AW$87))</f>
        <v/>
      </c>
      <c r="I196" s="344" t="str">
        <f>IF($B196="","",SUMPRODUCT(--(Lineups!$S$50:$S$87=$B196),Lineups!$AW$50:$AW$87))</f>
        <v/>
      </c>
      <c r="J196" s="333" t="str">
        <f t="shared" si="106"/>
        <v/>
      </c>
      <c r="L196" s="333" t="str">
        <f t="shared" si="107"/>
        <v/>
      </c>
      <c r="O196" s="333" t="str">
        <f>IF($B196="","",SUMPRODUCT(--(Lineups!$C$50:$C$87=$B196),Lineups!$AW$50:$AW$87))</f>
        <v/>
      </c>
      <c r="Q196" s="333" t="str">
        <f t="shared" si="108"/>
        <v/>
      </c>
      <c r="T196" s="333">
        <f t="shared" si="109"/>
        <v>20</v>
      </c>
      <c r="U196" s="333" t="str">
        <f t="shared" si="110"/>
        <v/>
      </c>
      <c r="V196" s="333" t="str">
        <f t="shared" si="110"/>
        <v/>
      </c>
      <c r="W196" s="333" t="str">
        <f>IF($U196="","",SUMPRODUCT(--(Lineups!$AG$50:$AG$87=$U196),--(Lineups!$AB$50:$AB$87=""),Lineups!$W$50:$W$87))</f>
        <v/>
      </c>
      <c r="Y196" s="344" t="str">
        <f>IF($U196="","",SUMPRODUCT(--(Lineups!$AG$50:$AG$87=$U196),--(Lineups!$AB$50:$AB$87="X"),Lineups!$W$50:$W$87))</f>
        <v/>
      </c>
      <c r="Z196" s="344" t="str">
        <f>IF(U196="","",(SUMPRODUCT(--(Lineups!$AK$50:$AK$87=$U196),Lineups!$W$50:$W$87)))</f>
        <v/>
      </c>
      <c r="AA196" s="344" t="str">
        <f>IF(U196="","",(SUMPRODUCT(--(Lineups!$AO$50:$AO$87=$U196),Lineups!$W$50:$W$87)))</f>
        <v/>
      </c>
      <c r="AB196" s="344" t="str">
        <f>IF(U196="","",(SUMPRODUCT(--(Lineups!$AS$50:$AS$87=$U196),Lineups!$W$50:$W$87)))</f>
        <v/>
      </c>
      <c r="AC196" s="333">
        <f t="shared" si="111"/>
        <v>0</v>
      </c>
      <c r="AE196" s="333" t="str">
        <f t="shared" si="112"/>
        <v/>
      </c>
      <c r="AH196" s="333" t="str">
        <f>IF($U196="","",SUMPRODUCT(--(Lineups!$AC$50:$AC$87=$U196),Lineups!$W$50:$W$87))</f>
        <v/>
      </c>
      <c r="AJ196" s="333"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8" type="noConversion"/>
  <pageMargins left="0.7" right="0.7" top="0.75" bottom="0.75" header="0.51180555555555551" footer="0.51180555555555551"/>
  <pageSetup scale="54" firstPageNumber="0" orientation="portrait" horizontalDpi="300" verticalDpi="300"/>
  <headerFooter alignWithMargins="0"/>
  <rowBreaks count="1" manualBreakCount="1">
    <brk id="100" max="16383" man="1"/>
  </rowBreaks>
  <colBreaks count="3" manualBreakCount="3">
    <brk id="9" max="1048575" man="1"/>
    <brk id="19" max="1048575" man="1"/>
    <brk id="28" max="1048575" man="1"/>
  </colBreak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indexed="13"/>
  </sheetPr>
  <dimension ref="A1:AX102"/>
  <sheetViews>
    <sheetView zoomScaleSheetLayoutView="100" workbookViewId="0"/>
  </sheetViews>
  <sheetFormatPr defaultColWidth="8.6640625" defaultRowHeight="13.8" x14ac:dyDescent="0.3"/>
  <cols>
    <col min="1" max="1" width="5.6640625" style="182" customWidth="1"/>
    <col min="2" max="2" width="11.44140625" style="182" customWidth="1"/>
    <col min="3" max="3" width="20.6640625" style="182" customWidth="1"/>
    <col min="4" max="4" width="5.6640625" style="739" customWidth="1"/>
    <col min="5" max="20" width="3.6640625" style="739" customWidth="1"/>
    <col min="21" max="22" width="5.6640625" style="739" customWidth="1"/>
    <col min="23" max="35" width="3.6640625" style="739" customWidth="1"/>
    <col min="36" max="36" width="6.6640625" style="739" customWidth="1"/>
    <col min="37" max="37" width="11.44140625" style="739" customWidth="1"/>
    <col min="38" max="50" width="3.6640625" style="739" customWidth="1"/>
    <col min="51" max="51" width="3.44140625" style="182" bestFit="1" customWidth="1"/>
    <col min="52" max="55" width="11.44140625" style="182" customWidth="1"/>
    <col min="56" max="67" width="3.6640625" style="182" customWidth="1"/>
    <col min="68" max="68" width="6.6640625" style="182" customWidth="1"/>
    <col min="69" max="84" width="3.6640625" style="182" customWidth="1"/>
    <col min="85" max="85" width="6.6640625" style="182" customWidth="1"/>
    <col min="86" max="86" width="11.44140625" style="182" customWidth="1"/>
    <col min="87" max="90" width="3.6640625" style="182" customWidth="1"/>
    <col min="91" max="266" width="11.44140625" style="182" customWidth="1"/>
    <col min="267" max="16384" width="8.6640625" style="182"/>
  </cols>
  <sheetData>
    <row r="1" spans="1:36" s="182" customFormat="1" ht="12.75" customHeight="1" x14ac:dyDescent="0.3">
      <c r="A1" s="734"/>
      <c r="B1" s="734"/>
      <c r="C1" s="734"/>
      <c r="D1" s="732"/>
      <c r="E1" s="846" t="s">
        <v>605</v>
      </c>
      <c r="F1" s="847"/>
      <c r="G1" s="848"/>
      <c r="H1" s="848"/>
      <c r="I1" s="848"/>
      <c r="J1" s="735"/>
      <c r="K1" s="735"/>
      <c r="L1" s="735"/>
      <c r="M1" s="735"/>
      <c r="N1" s="735"/>
      <c r="O1" s="735"/>
      <c r="P1" s="735"/>
      <c r="Q1" s="735"/>
      <c r="R1" s="735"/>
      <c r="S1" s="735"/>
      <c r="T1" s="735"/>
      <c r="U1" s="735"/>
      <c r="V1" s="1370" t="s">
        <v>476</v>
      </c>
      <c r="W1" s="1371" t="s">
        <v>298</v>
      </c>
      <c r="X1" s="1371"/>
      <c r="Y1" s="1371"/>
      <c r="Z1" s="1371"/>
      <c r="AA1" s="1371"/>
      <c r="AB1" s="1371"/>
      <c r="AC1" s="1371"/>
      <c r="AD1" s="1371"/>
      <c r="AE1" s="1371"/>
      <c r="AF1" s="1371"/>
      <c r="AG1" s="1371"/>
      <c r="AH1" s="1371"/>
      <c r="AI1" s="1371"/>
      <c r="AJ1" s="1371"/>
    </row>
    <row r="2" spans="1:36" s="739" customFormat="1" ht="12.75" customHeight="1" thickBot="1" x14ac:dyDescent="0.35">
      <c r="A2" s="736" t="s">
        <v>18</v>
      </c>
      <c r="B2" s="736" t="s">
        <v>36</v>
      </c>
      <c r="C2" s="736" t="s">
        <v>37</v>
      </c>
      <c r="D2" s="736"/>
      <c r="E2" s="736" t="s">
        <v>189</v>
      </c>
      <c r="F2" s="736" t="s">
        <v>201</v>
      </c>
      <c r="G2" s="736" t="s">
        <v>204</v>
      </c>
      <c r="H2" s="736" t="s">
        <v>197</v>
      </c>
      <c r="I2" s="736" t="s">
        <v>199</v>
      </c>
      <c r="J2" s="736" t="s">
        <v>191</v>
      </c>
      <c r="K2" s="736" t="s">
        <v>206</v>
      </c>
      <c r="L2" s="736" t="s">
        <v>208</v>
      </c>
      <c r="M2" s="736" t="s">
        <v>195</v>
      </c>
      <c r="N2" s="736" t="s">
        <v>210</v>
      </c>
      <c r="O2" s="736" t="s">
        <v>193</v>
      </c>
      <c r="P2" s="736" t="s">
        <v>212</v>
      </c>
      <c r="Q2" s="736" t="s">
        <v>203</v>
      </c>
      <c r="R2" s="736" t="s">
        <v>215</v>
      </c>
      <c r="S2" s="736" t="s">
        <v>313</v>
      </c>
      <c r="T2" s="736" t="s">
        <v>217</v>
      </c>
      <c r="U2" s="737" t="s">
        <v>19</v>
      </c>
      <c r="V2" s="1370"/>
      <c r="W2" s="738" t="s">
        <v>543</v>
      </c>
      <c r="X2" s="738" t="s">
        <v>189</v>
      </c>
      <c r="Y2" s="738" t="s">
        <v>201</v>
      </c>
      <c r="Z2" s="738" t="s">
        <v>204</v>
      </c>
      <c r="AA2" s="738" t="s">
        <v>197</v>
      </c>
      <c r="AB2" s="738" t="s">
        <v>199</v>
      </c>
      <c r="AC2" s="738" t="s">
        <v>191</v>
      </c>
      <c r="AD2" s="738" t="s">
        <v>206</v>
      </c>
      <c r="AE2" s="738" t="s">
        <v>208</v>
      </c>
      <c r="AF2" s="738" t="s">
        <v>195</v>
      </c>
      <c r="AG2" s="738" t="s">
        <v>210</v>
      </c>
      <c r="AH2" s="738" t="s">
        <v>215</v>
      </c>
      <c r="AI2" s="738" t="s">
        <v>217</v>
      </c>
      <c r="AJ2" s="738"/>
    </row>
    <row r="3" spans="1:36" s="182" customFormat="1" x14ac:dyDescent="0.3">
      <c r="A3" s="1367">
        <v>1</v>
      </c>
      <c r="B3" s="1368" t="str">
        <f>IF(IGRF!B11="","",IGRF!B11)</f>
        <v>12</v>
      </c>
      <c r="C3" s="1369" t="str">
        <f>IF(IGRF!C11="","",IGRF!C11)</f>
        <v>Carmen Getsome</v>
      </c>
      <c r="D3" s="739" t="s">
        <v>17</v>
      </c>
      <c r="E3" s="732">
        <f>IF($B3="","",COUNTIF(Penalties!$B4:$J4,E$2))</f>
        <v>0</v>
      </c>
      <c r="F3" s="732">
        <f>IF($B3="","",COUNTIF(Penalties!$B4:$J4,F$2))</f>
        <v>0</v>
      </c>
      <c r="G3" s="732">
        <f>IF($B3="","",COUNTIF(Penalties!$B4:$J4,G$2))</f>
        <v>0</v>
      </c>
      <c r="H3" s="732">
        <f>IF($B3="","",COUNTIF(Penalties!$B4:$J4,H$2))</f>
        <v>0</v>
      </c>
      <c r="I3" s="732">
        <f>IF($B3="","",COUNTIF(Penalties!$B4:$J4,I$2))</f>
        <v>0</v>
      </c>
      <c r="J3" s="732">
        <f>IF($B3="","",COUNTIF(Penalties!$B4:$J4,J$2))</f>
        <v>0</v>
      </c>
      <c r="K3" s="732">
        <f>IF($B3="","",COUNTIF(Penalties!$B4:$J4,K$2))</f>
        <v>0</v>
      </c>
      <c r="L3" s="732">
        <f>IF($B3="","",COUNTIF(Penalties!$B4:$J4,L$2))</f>
        <v>0</v>
      </c>
      <c r="M3" s="732">
        <f>IF($B3="","",COUNTIF(Penalties!$B4:$J4,M$2))</f>
        <v>0</v>
      </c>
      <c r="N3" s="732">
        <f>IF($B3="","",COUNTIF(Penalties!$B4:$J4,N$2))</f>
        <v>1</v>
      </c>
      <c r="O3" s="732">
        <f>IF($B3="","",COUNTIF(Penalties!$B4:$J4,O$2))</f>
        <v>0</v>
      </c>
      <c r="P3" s="732">
        <f>IF($B3="","",COUNTIF(Penalties!$B4:$J4,P$2))</f>
        <v>0</v>
      </c>
      <c r="Q3" s="732">
        <f>IF($B3="","",COUNTIF(Penalties!$B4:$J4,Q$2))</f>
        <v>0</v>
      </c>
      <c r="R3" s="732">
        <f>IF($B3="","",COUNTIF(Penalties!$B4:$J4,R$2))</f>
        <v>0</v>
      </c>
      <c r="S3" s="732">
        <f>IF($B3="","",COUNTIF(Penalties!$B4:$J4,S$2))</f>
        <v>0</v>
      </c>
      <c r="T3" s="732">
        <f>IF($B3="","",COUNTIF(Penalties!$B4:$J4,T$2))</f>
        <v>0</v>
      </c>
      <c r="U3" s="740">
        <f>IF(B3="","",SUM(E3:T3))</f>
        <v>1</v>
      </c>
      <c r="V3" s="741">
        <f>IF(B3="","",SUM(E3:T3)*0.5)</f>
        <v>0.5</v>
      </c>
      <c r="W3" s="742" t="str">
        <f>IF($B3="","",IF(Penalties!$K4=W$2,1,""))</f>
        <v/>
      </c>
      <c r="X3" s="742" t="str">
        <f>IF($B3="","",IF(Penalties!$K4=X$2,1,""))</f>
        <v/>
      </c>
      <c r="Y3" s="742" t="str">
        <f>IF($B3="","",IF(Penalties!$K4=Y$2,1,""))</f>
        <v/>
      </c>
      <c r="Z3" s="742" t="str">
        <f>IF($B3="","",IF(Penalties!$K4=Z$2,1,""))</f>
        <v/>
      </c>
      <c r="AA3" s="742" t="str">
        <f>IF($B3="","",IF(Penalties!$K4=AA$2,1,""))</f>
        <v/>
      </c>
      <c r="AB3" s="742" t="str">
        <f>IF($B3="","",IF(Penalties!$K4=AB$2,1,""))</f>
        <v/>
      </c>
      <c r="AC3" s="742" t="str">
        <f>IF($B3="","",IF(Penalties!$K4=AC$2,1,""))</f>
        <v/>
      </c>
      <c r="AD3" s="742" t="str">
        <f>IF($B3="","",IF(Penalties!$K4=AD$2,1,""))</f>
        <v/>
      </c>
      <c r="AE3" s="742" t="str">
        <f>IF($B3="","",IF(Penalties!$K4=AE$2,1,""))</f>
        <v/>
      </c>
      <c r="AF3" s="742" t="str">
        <f>IF($B3="","",IF(Penalties!$K4=AF$2,1,""))</f>
        <v/>
      </c>
      <c r="AG3" s="742" t="str">
        <f>IF($B3="","",IF(Penalties!$K4=AG$2,1,""))</f>
        <v/>
      </c>
      <c r="AH3" s="742" t="str">
        <f>IF($B3="","",IF(Penalties!$K4=AH$2,1,""))</f>
        <v/>
      </c>
      <c r="AI3" s="742" t="str">
        <f>IF($B3="","",IF(Penalties!$K4=AI$2,1,""))</f>
        <v/>
      </c>
      <c r="AJ3" s="743"/>
    </row>
    <row r="4" spans="1:36" s="182" customFormat="1" x14ac:dyDescent="0.3">
      <c r="A4" s="1367"/>
      <c r="B4" s="1368"/>
      <c r="C4" s="1369"/>
      <c r="D4" s="739" t="s">
        <v>33</v>
      </c>
      <c r="E4" s="732">
        <f>IF($B3="","",COUNTIF(Penalties!$AD4:$AL4,E$2))</f>
        <v>1</v>
      </c>
      <c r="F4" s="732">
        <f>IF($B3="","",COUNTIF(Penalties!$AD4:$AL4,F$2))</f>
        <v>0</v>
      </c>
      <c r="G4" s="732">
        <f>IF($B3="","",COUNTIF(Penalties!$AD4:$AL4,G$2))</f>
        <v>0</v>
      </c>
      <c r="H4" s="732">
        <f>IF($B3="","",COUNTIF(Penalties!$AD4:$AL4,H$2))</f>
        <v>1</v>
      </c>
      <c r="I4" s="732">
        <f>IF($B3="","",COUNTIF(Penalties!$AD4:$AL4,I$2))</f>
        <v>1</v>
      </c>
      <c r="J4" s="732">
        <f>IF($B3="","",COUNTIF(Penalties!$AD4:$AL4,J$2))</f>
        <v>0</v>
      </c>
      <c r="K4" s="732">
        <f>IF($B3="","",COUNTIF(Penalties!$AD4:$AL4,K$2))</f>
        <v>0</v>
      </c>
      <c r="L4" s="732">
        <f>IF($B3="","",COUNTIF(Penalties!$AD4:$AL4,L$2))</f>
        <v>0</v>
      </c>
      <c r="M4" s="732">
        <f>IF($B3="","",COUNTIF(Penalties!$AD4:$AL4,M$2))</f>
        <v>0</v>
      </c>
      <c r="N4" s="732">
        <f>IF($B3="","",COUNTIF(Penalties!$AD4:$AL4,N$2))</f>
        <v>0</v>
      </c>
      <c r="O4" s="732">
        <f>IF($B3="","",COUNTIF(Penalties!$AD4:$AL4,O$2))</f>
        <v>1</v>
      </c>
      <c r="P4" s="732">
        <f>IF($B3="","",COUNTIF(Penalties!$AD4:$AL4,P$2))</f>
        <v>0</v>
      </c>
      <c r="Q4" s="732">
        <f>IF($B3="","",COUNTIF(Penalties!$AD4:$AL4,Q$2))</f>
        <v>0</v>
      </c>
      <c r="R4" s="732">
        <f>IF($B3="","",COUNTIF(Penalties!$AD4:$AL4,R$2))</f>
        <v>0</v>
      </c>
      <c r="S4" s="732">
        <f>IF($B3="","",COUNTIF(Penalties!$AD4:$AL4,S$2))</f>
        <v>0</v>
      </c>
      <c r="T4" s="732">
        <f>IF($B3="","",COUNTIF(Penalties!$AD4:$AL4,T$2))</f>
        <v>0</v>
      </c>
      <c r="U4" s="740">
        <f>IF(B3="","",SUM(E4:T4))</f>
        <v>4</v>
      </c>
      <c r="V4" s="741">
        <f>IF(B3="","",SUM(E4:T4)*0.5)</f>
        <v>2</v>
      </c>
      <c r="W4" s="742" t="str">
        <f>IF($B3="","",IF(Penalties!$AM4=W$2,1,""))</f>
        <v/>
      </c>
      <c r="X4" s="742" t="str">
        <f>IF($B3="","",IF(Penalties!$AM4=X$2,1,""))</f>
        <v/>
      </c>
      <c r="Y4" s="742" t="str">
        <f>IF($B3="","",IF(Penalties!$AM4=Y$2,1,""))</f>
        <v/>
      </c>
      <c r="Z4" s="742" t="str">
        <f>IF($B3="","",IF(Penalties!$AM4=Z$2,1,""))</f>
        <v/>
      </c>
      <c r="AA4" s="742" t="str">
        <f>IF($B3="","",IF(Penalties!$AM4=AA$2,1,""))</f>
        <v/>
      </c>
      <c r="AB4" s="742" t="str">
        <f>IF($B3="","",IF(Penalties!$AM4=AB$2,1,""))</f>
        <v/>
      </c>
      <c r="AC4" s="742" t="str">
        <f>IF($B3="","",IF(Penalties!$AM4=AC$2,1,""))</f>
        <v/>
      </c>
      <c r="AD4" s="742" t="str">
        <f>IF($B3="","",IF(Penalties!$AM4=AD$2,1,""))</f>
        <v/>
      </c>
      <c r="AE4" s="742" t="str">
        <f>IF($B3="","",IF(Penalties!$AM4=AE$2,1,""))</f>
        <v/>
      </c>
      <c r="AF4" s="742" t="str">
        <f>IF($B3="","",IF(Penalties!$AM4=AF$2,1,""))</f>
        <v/>
      </c>
      <c r="AG4" s="742" t="str">
        <f>IF($B3="","",IF(Penalties!$AM4=AG$2,1,""))</f>
        <v/>
      </c>
      <c r="AH4" s="742" t="str">
        <f>IF($B3="","",IF(Penalties!$AM4=AH$2,1,""))</f>
        <v/>
      </c>
      <c r="AI4" s="742" t="str">
        <f>IF($B3="","",IF(Penalties!$AM4=AI$2,1,""))</f>
        <v/>
      </c>
      <c r="AJ4" s="744" t="str">
        <f>IF(SUM(X3:AI4)=0, "", IF(SUM(X3:AI3)=1, LOOKUP(1, X3:AI3, $X$2:$AI$2), LOOKUP(1, X4:AI4, $X$2:$AI$2)))</f>
        <v/>
      </c>
    </row>
    <row r="5" spans="1:36" s="182" customFormat="1" x14ac:dyDescent="0.3">
      <c r="A5" s="1364">
        <f>A3+1</f>
        <v>2</v>
      </c>
      <c r="B5" s="1365" t="str">
        <f>IF(IGRF!B12="","",IGRF!B12)</f>
        <v>123</v>
      </c>
      <c r="C5" s="1366" t="str">
        <f>IF(IGRF!C12="","",IGRF!C12)</f>
        <v>Nelson</v>
      </c>
      <c r="D5" s="733" t="s">
        <v>17</v>
      </c>
      <c r="E5" s="733">
        <f>IF($B5="","",COUNTIF(Penalties!$B6:$J6,E$2))</f>
        <v>0</v>
      </c>
      <c r="F5" s="733">
        <f>IF($B5="","",COUNTIF(Penalties!$B6:$J6,F$2))</f>
        <v>0</v>
      </c>
      <c r="G5" s="733">
        <f>IF($B5="","",COUNTIF(Penalties!$B6:$J6,G$2))</f>
        <v>0</v>
      </c>
      <c r="H5" s="733">
        <f>IF($B5="","",COUNTIF(Penalties!$B6:$J6,H$2))</f>
        <v>0</v>
      </c>
      <c r="I5" s="733">
        <f>IF($B5="","",COUNTIF(Penalties!$B6:$J6,I$2))</f>
        <v>0</v>
      </c>
      <c r="J5" s="733">
        <f>IF($B5="","",COUNTIF(Penalties!$B6:$J6,J$2))</f>
        <v>0</v>
      </c>
      <c r="K5" s="733">
        <f>IF($B5="","",COUNTIF(Penalties!$B6:$J6,K$2))</f>
        <v>1</v>
      </c>
      <c r="L5" s="733">
        <f>IF($B5="","",COUNTIF(Penalties!$B6:$J6,L$2))</f>
        <v>0</v>
      </c>
      <c r="M5" s="733">
        <f>IF($B5="","",COUNTIF(Penalties!$B6:$J6,M$2))</f>
        <v>0</v>
      </c>
      <c r="N5" s="733">
        <f>IF($B5="","",COUNTIF(Penalties!$B6:$J6,N$2))</f>
        <v>0</v>
      </c>
      <c r="O5" s="733">
        <f>IF($B5="","",COUNTIF(Penalties!$B6:$J6,O$2))</f>
        <v>0</v>
      </c>
      <c r="P5" s="733">
        <f>IF($B5="","",COUNTIF(Penalties!$B6:$J6,P$2))</f>
        <v>0</v>
      </c>
      <c r="Q5" s="733">
        <f>IF($B5="","",COUNTIF(Penalties!$B6:$J6,Q$2))</f>
        <v>0</v>
      </c>
      <c r="R5" s="733">
        <f>IF($B5="","",COUNTIF(Penalties!$B6:$J6,R$2))</f>
        <v>0</v>
      </c>
      <c r="S5" s="733">
        <f>IF($B5="","",COUNTIF(Penalties!$B6:$J6,S$2))</f>
        <v>0</v>
      </c>
      <c r="T5" s="733">
        <f>IF($B5="","",COUNTIF(Penalties!$B6:$J6,T$2))</f>
        <v>0</v>
      </c>
      <c r="U5" s="745">
        <f>IF(B5="","",SUM(E5:T5))</f>
        <v>1</v>
      </c>
      <c r="V5" s="746">
        <f>IF(B5="","",SUM(E5:T5)*0.5)</f>
        <v>0.5</v>
      </c>
      <c r="W5" s="747" t="str">
        <f>IF($B5="","",IF(Penalties!$K6=W$2,1,""))</f>
        <v/>
      </c>
      <c r="X5" s="747" t="str">
        <f>IF($B5="","",IF(Penalties!$K6=X$2,1,""))</f>
        <v/>
      </c>
      <c r="Y5" s="747" t="str">
        <f>IF($B5="","",IF(Penalties!$K6=Y$2,1,""))</f>
        <v/>
      </c>
      <c r="Z5" s="747" t="str">
        <f>IF($B5="","",IF(Penalties!$K6=Z$2,1,""))</f>
        <v/>
      </c>
      <c r="AA5" s="747" t="str">
        <f>IF($B5="","",IF(Penalties!$K6=AA$2,1,""))</f>
        <v/>
      </c>
      <c r="AB5" s="747" t="str">
        <f>IF($B5="","",IF(Penalties!$K6=AB$2,1,""))</f>
        <v/>
      </c>
      <c r="AC5" s="747" t="str">
        <f>IF($B5="","",IF(Penalties!$K6=AC$2,1,""))</f>
        <v/>
      </c>
      <c r="AD5" s="747" t="str">
        <f>IF($B5="","",IF(Penalties!$K6=AD$2,1,""))</f>
        <v/>
      </c>
      <c r="AE5" s="747" t="str">
        <f>IF($B5="","",IF(Penalties!$K6=AE$2,1,""))</f>
        <v/>
      </c>
      <c r="AF5" s="747" t="str">
        <f>IF($B5="","",IF(Penalties!$K6=AF$2,1,""))</f>
        <v/>
      </c>
      <c r="AG5" s="747" t="str">
        <f>IF($B5="","",IF(Penalties!$K6=AG$2,1,""))</f>
        <v/>
      </c>
      <c r="AH5" s="747" t="str">
        <f>IF($B5="","",IF(Penalties!$K6=AH$2,1,""))</f>
        <v/>
      </c>
      <c r="AI5" s="747" t="str">
        <f>IF($B5="","",IF(Penalties!$K6=AI$2,1,""))</f>
        <v/>
      </c>
      <c r="AJ5" s="748"/>
    </row>
    <row r="6" spans="1:36" s="182" customFormat="1" ht="14.4" thickBot="1" x14ac:dyDescent="0.35">
      <c r="A6" s="1364"/>
      <c r="B6" s="1365"/>
      <c r="C6" s="1366"/>
      <c r="D6" s="733" t="s">
        <v>33</v>
      </c>
      <c r="E6" s="733">
        <f>IF($B5="","",COUNTIF(Penalties!$AD6:$AL6,E$2))</f>
        <v>0</v>
      </c>
      <c r="F6" s="733">
        <f>IF($B5="","",COUNTIF(Penalties!$AD6:$AL6,F$2))</f>
        <v>0</v>
      </c>
      <c r="G6" s="733">
        <f>IF($B5="","",COUNTIF(Penalties!$AD6:$AL6,G$2))</f>
        <v>0</v>
      </c>
      <c r="H6" s="733">
        <f>IF($B5="","",COUNTIF(Penalties!$AD6:$AL6,H$2))</f>
        <v>0</v>
      </c>
      <c r="I6" s="733">
        <f>IF($B5="","",COUNTIF(Penalties!$AD6:$AL6,I$2))</f>
        <v>0</v>
      </c>
      <c r="J6" s="733">
        <f>IF($B5="","",COUNTIF(Penalties!$AD6:$AL6,J$2))</f>
        <v>0</v>
      </c>
      <c r="K6" s="733">
        <f>IF($B5="","",COUNTIF(Penalties!$AD6:$AL6,K$2))</f>
        <v>0</v>
      </c>
      <c r="L6" s="733">
        <f>IF($B5="","",COUNTIF(Penalties!$AD6:$AL6,L$2))</f>
        <v>0</v>
      </c>
      <c r="M6" s="733">
        <f>IF($B5="","",COUNTIF(Penalties!$AD6:$AL6,M$2))</f>
        <v>0</v>
      </c>
      <c r="N6" s="733">
        <f>IF($B5="","",COUNTIF(Penalties!$AD6:$AL6,N$2))</f>
        <v>0</v>
      </c>
      <c r="O6" s="733">
        <f>IF($B5="","",COUNTIF(Penalties!$AD6:$AL6,O$2))</f>
        <v>0</v>
      </c>
      <c r="P6" s="733">
        <f>IF($B5="","",COUNTIF(Penalties!$AD6:$AL6,P$2))</f>
        <v>0</v>
      </c>
      <c r="Q6" s="733">
        <f>IF($B5="","",COUNTIF(Penalties!$AD6:$AL6,Q$2))</f>
        <v>0</v>
      </c>
      <c r="R6" s="733">
        <f>IF($B5="","",COUNTIF(Penalties!$AD6:$AL6,R$2))</f>
        <v>0</v>
      </c>
      <c r="S6" s="733">
        <f>IF($B5="","",COUNTIF(Penalties!$AD6:$AL6,S$2))</f>
        <v>0</v>
      </c>
      <c r="T6" s="733">
        <f>IF($B5="","",COUNTIF(Penalties!$AD6:$AL6,T$2))</f>
        <v>0</v>
      </c>
      <c r="U6" s="745">
        <f>IF(B5="","",SUM(E6:T6))</f>
        <v>0</v>
      </c>
      <c r="V6" s="746">
        <f>IF(B5="","",SUM(E6:T6)*0.5)</f>
        <v>0</v>
      </c>
      <c r="W6" s="747" t="str">
        <f>IF($B5="","",IF(Penalties!$AM6=W$2,1,""))</f>
        <v/>
      </c>
      <c r="X6" s="747" t="str">
        <f>IF($B5="","",IF(Penalties!$AM6=X$2,1,""))</f>
        <v/>
      </c>
      <c r="Y6" s="747" t="str">
        <f>IF($B5="","",IF(Penalties!$AM6=Y$2,1,""))</f>
        <v/>
      </c>
      <c r="Z6" s="747" t="str">
        <f>IF($B5="","",IF(Penalties!$AM6=Z$2,1,""))</f>
        <v/>
      </c>
      <c r="AA6" s="747" t="str">
        <f>IF($B5="","",IF(Penalties!$AM6=AA$2,1,""))</f>
        <v/>
      </c>
      <c r="AB6" s="747" t="str">
        <f>IF($B5="","",IF(Penalties!$AM6=AB$2,1,""))</f>
        <v/>
      </c>
      <c r="AC6" s="747" t="str">
        <f>IF($B5="","",IF(Penalties!$AM6=AC$2,1,""))</f>
        <v/>
      </c>
      <c r="AD6" s="747" t="str">
        <f>IF($B5="","",IF(Penalties!$AM6=AD$2,1,""))</f>
        <v/>
      </c>
      <c r="AE6" s="747" t="str">
        <f>IF($B5="","",IF(Penalties!$AM6=AE$2,1,""))</f>
        <v/>
      </c>
      <c r="AF6" s="747" t="str">
        <f>IF($B5="","",IF(Penalties!$AM6=AF$2,1,""))</f>
        <v/>
      </c>
      <c r="AG6" s="747" t="str">
        <f>IF($B5="","",IF(Penalties!$AM6=AG$2,1,""))</f>
        <v/>
      </c>
      <c r="AH6" s="747" t="str">
        <f>IF($B5="","",IF(Penalties!$AM6=AH$2,1,""))</f>
        <v/>
      </c>
      <c r="AI6" s="747" t="str">
        <f>IF($B5="","",IF(Penalties!$AM6=AI$2,1,""))</f>
        <v/>
      </c>
      <c r="AJ6" s="749" t="str">
        <f>IF(SUM(X5:AI6)=0, "", IF(SUM(X5:AI5)=1, LOOKUP(1, X5:AI5, $X$2:$AI$2), LOOKUP(1, X6:AI6, $X$2:$AI$2)))</f>
        <v/>
      </c>
    </row>
    <row r="7" spans="1:36" s="182" customFormat="1" x14ac:dyDescent="0.3">
      <c r="A7" s="1367">
        <f>A5+1</f>
        <v>3</v>
      </c>
      <c r="B7" s="1368" t="str">
        <f>IF(IGRF!B13="","",IGRF!B13)</f>
        <v>14</v>
      </c>
      <c r="C7" s="1369" t="str">
        <f>IF(IGRF!C13="","",IGRF!C13)</f>
        <v>Shorty Ounce</v>
      </c>
      <c r="D7" s="739" t="s">
        <v>17</v>
      </c>
      <c r="E7" s="732">
        <f>IF($B7="","",COUNTIF(Penalties!$B8:$J8,E$2))</f>
        <v>0</v>
      </c>
      <c r="F7" s="732">
        <f>IF($B7="","",COUNTIF(Penalties!$B8:$J8,F$2))</f>
        <v>0</v>
      </c>
      <c r="G7" s="732">
        <f>IF($B7="","",COUNTIF(Penalties!$B8:$J8,G$2))</f>
        <v>0</v>
      </c>
      <c r="H7" s="732">
        <f>IF($B7="","",COUNTIF(Penalties!$B8:$J8,H$2))</f>
        <v>0</v>
      </c>
      <c r="I7" s="732">
        <f>IF($B7="","",COUNTIF(Penalties!$B8:$J8,I$2))</f>
        <v>0</v>
      </c>
      <c r="J7" s="732">
        <f>IF($B7="","",COUNTIF(Penalties!$B8:$J8,J$2))</f>
        <v>0</v>
      </c>
      <c r="K7" s="732">
        <f>IF($B7="","",COUNTIF(Penalties!$B8:$J8,K$2))</f>
        <v>0</v>
      </c>
      <c r="L7" s="732">
        <f>IF($B7="","",COUNTIF(Penalties!$B8:$J8,L$2))</f>
        <v>0</v>
      </c>
      <c r="M7" s="732">
        <f>IF($B7="","",COUNTIF(Penalties!$B8:$J8,M$2))</f>
        <v>0</v>
      </c>
      <c r="N7" s="732">
        <f>IF($B7="","",COUNTIF(Penalties!$B8:$J8,N$2))</f>
        <v>0</v>
      </c>
      <c r="O7" s="732">
        <f>IF($B7="","",COUNTIF(Penalties!$B8:$J8,O$2))</f>
        <v>0</v>
      </c>
      <c r="P7" s="732">
        <f>IF($B7="","",COUNTIF(Penalties!$B8:$J8,P$2))</f>
        <v>0</v>
      </c>
      <c r="Q7" s="732">
        <f>IF($B7="","",COUNTIF(Penalties!$B8:$J8,Q$2))</f>
        <v>0</v>
      </c>
      <c r="R7" s="732">
        <f>IF($B7="","",COUNTIF(Penalties!$B8:$J8,R$2))</f>
        <v>0</v>
      </c>
      <c r="S7" s="732">
        <f>IF($B7="","",COUNTIF(Penalties!$B8:$J8,S$2))</f>
        <v>0</v>
      </c>
      <c r="T7" s="732">
        <f>IF($B7="","",COUNTIF(Penalties!$B8:$J8,T$2))</f>
        <v>0</v>
      </c>
      <c r="U7" s="740">
        <f>IF(B7="","",SUM(E7:T7))</f>
        <v>0</v>
      </c>
      <c r="V7" s="741">
        <f>IF(B7="","",SUM(E7:T7)*0.5)</f>
        <v>0</v>
      </c>
      <c r="W7" s="742" t="str">
        <f>IF($B7="","",IF(Penalties!$K8=W$2,1,""))</f>
        <v/>
      </c>
      <c r="X7" s="742" t="str">
        <f>IF($B7="","",IF(Penalties!$K8=X$2,1,""))</f>
        <v/>
      </c>
      <c r="Y7" s="742" t="str">
        <f>IF($B7="","",IF(Penalties!$K8=Y$2,1,""))</f>
        <v/>
      </c>
      <c r="Z7" s="742" t="str">
        <f>IF($B7="","",IF(Penalties!$K8=Z$2,1,""))</f>
        <v/>
      </c>
      <c r="AA7" s="742" t="str">
        <f>IF($B7="","",IF(Penalties!$K8=AA$2,1,""))</f>
        <v/>
      </c>
      <c r="AB7" s="742" t="str">
        <f>IF($B7="","",IF(Penalties!$K8=AB$2,1,""))</f>
        <v/>
      </c>
      <c r="AC7" s="742" t="str">
        <f>IF($B7="","",IF(Penalties!$K8=AC$2,1,""))</f>
        <v/>
      </c>
      <c r="AD7" s="742" t="str">
        <f>IF($B7="","",IF(Penalties!$K8=AD$2,1,""))</f>
        <v/>
      </c>
      <c r="AE7" s="742" t="str">
        <f>IF($B7="","",IF(Penalties!$K8=AE$2,1,""))</f>
        <v/>
      </c>
      <c r="AF7" s="742" t="str">
        <f>IF($B7="","",IF(Penalties!$K8=AF$2,1,""))</f>
        <v/>
      </c>
      <c r="AG7" s="742" t="str">
        <f>IF($B7="","",IF(Penalties!$K8=AG$2,1,""))</f>
        <v/>
      </c>
      <c r="AH7" s="742" t="str">
        <f>IF($B7="","",IF(Penalties!$K8=AH$2,1,""))</f>
        <v/>
      </c>
      <c r="AI7" s="742" t="str">
        <f>IF($B7="","",IF(Penalties!$K8=AI$2,1,""))</f>
        <v/>
      </c>
      <c r="AJ7" s="743"/>
    </row>
    <row r="8" spans="1:36" s="182" customFormat="1" x14ac:dyDescent="0.3">
      <c r="A8" s="1367"/>
      <c r="B8" s="1368"/>
      <c r="C8" s="1369"/>
      <c r="D8" s="739" t="s">
        <v>33</v>
      </c>
      <c r="E8" s="732">
        <f>IF($B7="","",COUNTIF(Penalties!$AD8:$AL8,E$2))</f>
        <v>0</v>
      </c>
      <c r="F8" s="732">
        <f>IF($B7="","",COUNTIF(Penalties!$AD8:$AL8,F$2))</f>
        <v>0</v>
      </c>
      <c r="G8" s="732">
        <f>IF($B7="","",COUNTIF(Penalties!$AD8:$AL8,G$2))</f>
        <v>1</v>
      </c>
      <c r="H8" s="732">
        <f>IF($B7="","",COUNTIF(Penalties!$AD8:$AL8,H$2))</f>
        <v>0</v>
      </c>
      <c r="I8" s="732">
        <f>IF($B7="","",COUNTIF(Penalties!$AD8:$AL8,I$2))</f>
        <v>1</v>
      </c>
      <c r="J8" s="732">
        <f>IF($B7="","",COUNTIF(Penalties!$AD8:$AL8,J$2))</f>
        <v>0</v>
      </c>
      <c r="K8" s="732">
        <f>IF($B7="","",COUNTIF(Penalties!$AD8:$AL8,K$2))</f>
        <v>0</v>
      </c>
      <c r="L8" s="732">
        <f>IF($B7="","",COUNTIF(Penalties!$AD8:$AL8,L$2))</f>
        <v>0</v>
      </c>
      <c r="M8" s="732">
        <f>IF($B7="","",COUNTIF(Penalties!$AD8:$AL8,M$2))</f>
        <v>0</v>
      </c>
      <c r="N8" s="732">
        <f>IF($B7="","",COUNTIF(Penalties!$AD8:$AL8,N$2))</f>
        <v>0</v>
      </c>
      <c r="O8" s="732">
        <f>IF($B7="","",COUNTIF(Penalties!$AD8:$AL8,O$2))</f>
        <v>0</v>
      </c>
      <c r="P8" s="732">
        <f>IF($B7="","",COUNTIF(Penalties!$AD8:$AL8,P$2))</f>
        <v>0</v>
      </c>
      <c r="Q8" s="732">
        <f>IF($B7="","",COUNTIF(Penalties!$AD8:$AL8,Q$2))</f>
        <v>0</v>
      </c>
      <c r="R8" s="732">
        <f>IF($B7="","",COUNTIF(Penalties!$AD8:$AL8,R$2))</f>
        <v>0</v>
      </c>
      <c r="S8" s="732">
        <f>IF($B7="","",COUNTIF(Penalties!$AD8:$AL8,S$2))</f>
        <v>0</v>
      </c>
      <c r="T8" s="732">
        <f>IF($B7="","",COUNTIF(Penalties!$AD8:$AL8,T$2))</f>
        <v>0</v>
      </c>
      <c r="U8" s="740">
        <f>IF(B7="","",SUM(E8:T8))</f>
        <v>2</v>
      </c>
      <c r="V8" s="741">
        <f>IF(B7="","",SUM(E8:T8)*0.5)</f>
        <v>1</v>
      </c>
      <c r="W8" s="742" t="str">
        <f>IF($B7="","",IF(Penalties!$AM8=W$2,1,""))</f>
        <v/>
      </c>
      <c r="X8" s="742" t="str">
        <f>IF($B7="","",IF(Penalties!$AM8=X$2,1,""))</f>
        <v/>
      </c>
      <c r="Y8" s="742" t="str">
        <f>IF($B7="","",IF(Penalties!$AM8=Y$2,1,""))</f>
        <v/>
      </c>
      <c r="Z8" s="742" t="str">
        <f>IF($B7="","",IF(Penalties!$AM8=Z$2,1,""))</f>
        <v/>
      </c>
      <c r="AA8" s="742" t="str">
        <f>IF($B7="","",IF(Penalties!$AM8=AA$2,1,""))</f>
        <v/>
      </c>
      <c r="AB8" s="742" t="str">
        <f>IF($B7="","",IF(Penalties!$AM8=AB$2,1,""))</f>
        <v/>
      </c>
      <c r="AC8" s="742" t="str">
        <f>IF($B7="","",IF(Penalties!$AM8=AC$2,1,""))</f>
        <v/>
      </c>
      <c r="AD8" s="742" t="str">
        <f>IF($B7="","",IF(Penalties!$AM8=AD$2,1,""))</f>
        <v/>
      </c>
      <c r="AE8" s="742" t="str">
        <f>IF($B7="","",IF(Penalties!$AM8=AE$2,1,""))</f>
        <v/>
      </c>
      <c r="AF8" s="742" t="str">
        <f>IF($B7="","",IF(Penalties!$AM8=AF$2,1,""))</f>
        <v/>
      </c>
      <c r="AG8" s="742" t="str">
        <f>IF($B7="","",IF(Penalties!$AM8=AG$2,1,""))</f>
        <v/>
      </c>
      <c r="AH8" s="742" t="str">
        <f>IF($B7="","",IF(Penalties!$AM8=AH$2,1,""))</f>
        <v/>
      </c>
      <c r="AI8" s="742" t="str">
        <f>IF($B7="","",IF(Penalties!$AM8=AI$2,1,""))</f>
        <v/>
      </c>
      <c r="AJ8" s="744" t="str">
        <f>IF(SUM(X7:AI8)=0, "", IF(SUM(X7:AI7)=1, LOOKUP(1, X7:AI7, $X$2:$AI$2), LOOKUP(1, X8:AI8, $X$2:$AI$2)))</f>
        <v/>
      </c>
    </row>
    <row r="9" spans="1:36" s="182" customFormat="1" x14ac:dyDescent="0.3">
      <c r="A9" s="1364">
        <f>A7+1</f>
        <v>4</v>
      </c>
      <c r="B9" s="1365" t="str">
        <f>IF(IGRF!B14="","",IGRF!B14)</f>
        <v>1618</v>
      </c>
      <c r="C9" s="1366" t="str">
        <f>IF(IGRF!C14="","",IGRF!C14)</f>
        <v>Sintripital Force</v>
      </c>
      <c r="D9" s="733" t="s">
        <v>17</v>
      </c>
      <c r="E9" s="733">
        <f>IF($B9="","",COUNTIF(Penalties!$B10:$J10,E$2))</f>
        <v>0</v>
      </c>
      <c r="F9" s="733">
        <f>IF($B9="","",COUNTIF(Penalties!$B10:$J10,F$2))</f>
        <v>0</v>
      </c>
      <c r="G9" s="733">
        <f>IF($B9="","",COUNTIF(Penalties!$B10:$J10,G$2))</f>
        <v>0</v>
      </c>
      <c r="H9" s="733">
        <f>IF($B9="","",COUNTIF(Penalties!$B10:$J10,H$2))</f>
        <v>0</v>
      </c>
      <c r="I9" s="733">
        <f>IF($B9="","",COUNTIF(Penalties!$B10:$J10,I$2))</f>
        <v>0</v>
      </c>
      <c r="J9" s="733">
        <f>IF($B9="","",COUNTIF(Penalties!$B10:$J10,J$2))</f>
        <v>0</v>
      </c>
      <c r="K9" s="733">
        <f>IF($B9="","",COUNTIF(Penalties!$B10:$J10,K$2))</f>
        <v>0</v>
      </c>
      <c r="L9" s="733">
        <f>IF($B9="","",COUNTIF(Penalties!$B10:$J10,L$2))</f>
        <v>0</v>
      </c>
      <c r="M9" s="733">
        <f>IF($B9="","",COUNTIF(Penalties!$B10:$J10,M$2))</f>
        <v>0</v>
      </c>
      <c r="N9" s="733">
        <f>IF($B9="","",COUNTIF(Penalties!$B10:$J10,N$2))</f>
        <v>0</v>
      </c>
      <c r="O9" s="733">
        <f>IF($B9="","",COUNTIF(Penalties!$B10:$J10,O$2))</f>
        <v>0</v>
      </c>
      <c r="P9" s="733">
        <f>IF($B9="","",COUNTIF(Penalties!$B10:$J10,P$2))</f>
        <v>0</v>
      </c>
      <c r="Q9" s="733">
        <f>IF($B9="","",COUNTIF(Penalties!$B10:$J10,Q$2))</f>
        <v>0</v>
      </c>
      <c r="R9" s="733">
        <f>IF($B9="","",COUNTIF(Penalties!$B10:$J10,R$2))</f>
        <v>0</v>
      </c>
      <c r="S9" s="733">
        <f>IF($B9="","",COUNTIF(Penalties!$B10:$J10,S$2))</f>
        <v>0</v>
      </c>
      <c r="T9" s="733">
        <f>IF($B9="","",COUNTIF(Penalties!$B10:$J10,T$2))</f>
        <v>0</v>
      </c>
      <c r="U9" s="745">
        <f>IF(B9="","",SUM(E9:T9))</f>
        <v>0</v>
      </c>
      <c r="V9" s="746">
        <f>IF(B9="","",SUM(E9:T9)*0.5)</f>
        <v>0</v>
      </c>
      <c r="W9" s="747" t="str">
        <f>IF($B9="","",IF(Penalties!$K10=W$2,1,""))</f>
        <v/>
      </c>
      <c r="X9" s="747" t="str">
        <f>IF($B9="","",IF(Penalties!$K10=X$2,1,""))</f>
        <v/>
      </c>
      <c r="Y9" s="747" t="str">
        <f>IF($B9="","",IF(Penalties!$K10=Y$2,1,""))</f>
        <v/>
      </c>
      <c r="Z9" s="747" t="str">
        <f>IF($B9="","",IF(Penalties!$K10=Z$2,1,""))</f>
        <v/>
      </c>
      <c r="AA9" s="747" t="str">
        <f>IF($B9="","",IF(Penalties!$K10=AA$2,1,""))</f>
        <v/>
      </c>
      <c r="AB9" s="747" t="str">
        <f>IF($B9="","",IF(Penalties!$K10=AB$2,1,""))</f>
        <v/>
      </c>
      <c r="AC9" s="747" t="str">
        <f>IF($B9="","",IF(Penalties!$K10=AC$2,1,""))</f>
        <v/>
      </c>
      <c r="AD9" s="747" t="str">
        <f>IF($B9="","",IF(Penalties!$K10=AD$2,1,""))</f>
        <v/>
      </c>
      <c r="AE9" s="747" t="str">
        <f>IF($B9="","",IF(Penalties!$K10=AE$2,1,""))</f>
        <v/>
      </c>
      <c r="AF9" s="747" t="str">
        <f>IF($B9="","",IF(Penalties!$K10=AF$2,1,""))</f>
        <v/>
      </c>
      <c r="AG9" s="747" t="str">
        <f>IF($B9="","",IF(Penalties!$K10=AG$2,1,""))</f>
        <v/>
      </c>
      <c r="AH9" s="747" t="str">
        <f>IF($B9="","",IF(Penalties!$K10=AH$2,1,""))</f>
        <v/>
      </c>
      <c r="AI9" s="747" t="str">
        <f>IF($B9="","",IF(Penalties!$K10=AI$2,1,""))</f>
        <v/>
      </c>
      <c r="AJ9" s="748"/>
    </row>
    <row r="10" spans="1:36" s="182" customFormat="1" ht="14.4" thickBot="1" x14ac:dyDescent="0.35">
      <c r="A10" s="1364"/>
      <c r="B10" s="1365"/>
      <c r="C10" s="1366"/>
      <c r="D10" s="733" t="s">
        <v>33</v>
      </c>
      <c r="E10" s="733">
        <f>IF($B9="","",COUNTIF(Penalties!$AD10:$AL10,E$2))</f>
        <v>0</v>
      </c>
      <c r="F10" s="733">
        <f>IF($B9="","",COUNTIF(Penalties!$AD10:$AL10,F$2))</f>
        <v>0</v>
      </c>
      <c r="G10" s="733">
        <f>IF($B9="","",COUNTIF(Penalties!$AD10:$AL10,G$2))</f>
        <v>0</v>
      </c>
      <c r="H10" s="733">
        <f>IF($B9="","",COUNTIF(Penalties!$AD10:$AL10,H$2))</f>
        <v>0</v>
      </c>
      <c r="I10" s="733">
        <f>IF($B9="","",COUNTIF(Penalties!$AD10:$AL10,I$2))</f>
        <v>0</v>
      </c>
      <c r="J10" s="733">
        <f>IF($B9="","",COUNTIF(Penalties!$AD10:$AL10,J$2))</f>
        <v>0</v>
      </c>
      <c r="K10" s="733">
        <f>IF($B9="","",COUNTIF(Penalties!$AD10:$AL10,K$2))</f>
        <v>0</v>
      </c>
      <c r="L10" s="733">
        <f>IF($B9="","",COUNTIF(Penalties!$AD10:$AL10,L$2))</f>
        <v>0</v>
      </c>
      <c r="M10" s="733">
        <f>IF($B9="","",COUNTIF(Penalties!$AD10:$AL10,M$2))</f>
        <v>0</v>
      </c>
      <c r="N10" s="733">
        <f>IF($B9="","",COUNTIF(Penalties!$AD10:$AL10,N$2))</f>
        <v>0</v>
      </c>
      <c r="O10" s="733">
        <f>IF($B9="","",COUNTIF(Penalties!$AD10:$AL10,O$2))</f>
        <v>0</v>
      </c>
      <c r="P10" s="733">
        <f>IF($B9="","",COUNTIF(Penalties!$AD10:$AL10,P$2))</f>
        <v>0</v>
      </c>
      <c r="Q10" s="733">
        <f>IF($B9="","",COUNTIF(Penalties!$AD10:$AL10,Q$2))</f>
        <v>0</v>
      </c>
      <c r="R10" s="733">
        <f>IF($B9="","",COUNTIF(Penalties!$AD10:$AL10,R$2))</f>
        <v>0</v>
      </c>
      <c r="S10" s="733">
        <f>IF($B9="","",COUNTIF(Penalties!$AD10:$AL10,S$2))</f>
        <v>0</v>
      </c>
      <c r="T10" s="733">
        <f>IF($B9="","",COUNTIF(Penalties!$AD10:$AL10,T$2))</f>
        <v>0</v>
      </c>
      <c r="U10" s="745">
        <f>IF(B9="","",SUM(E10:T10))</f>
        <v>0</v>
      </c>
      <c r="V10" s="746">
        <f>IF(B9="","",SUM(E10:T10)*0.5)</f>
        <v>0</v>
      </c>
      <c r="W10" s="747" t="str">
        <f>IF($B9="","",IF(Penalties!$AM10=W$2,1,""))</f>
        <v/>
      </c>
      <c r="X10" s="747" t="str">
        <f>IF($B9="","",IF(Penalties!$AM10=X$2,1,""))</f>
        <v/>
      </c>
      <c r="Y10" s="747" t="str">
        <f>IF($B9="","",IF(Penalties!$AM10=Y$2,1,""))</f>
        <v/>
      </c>
      <c r="Z10" s="747" t="str">
        <f>IF($B9="","",IF(Penalties!$AM10=Z$2,1,""))</f>
        <v/>
      </c>
      <c r="AA10" s="747" t="str">
        <f>IF($B9="","",IF(Penalties!$AM10=AA$2,1,""))</f>
        <v/>
      </c>
      <c r="AB10" s="747" t="str">
        <f>IF($B9="","",IF(Penalties!$AM10=AB$2,1,""))</f>
        <v/>
      </c>
      <c r="AC10" s="747" t="str">
        <f>IF($B9="","",IF(Penalties!$AM10=AC$2,1,""))</f>
        <v/>
      </c>
      <c r="AD10" s="747" t="str">
        <f>IF($B9="","",IF(Penalties!$AM10=AD$2,1,""))</f>
        <v/>
      </c>
      <c r="AE10" s="747" t="str">
        <f>IF($B9="","",IF(Penalties!$AM10=AE$2,1,""))</f>
        <v/>
      </c>
      <c r="AF10" s="747" t="str">
        <f>IF($B9="","",IF(Penalties!$AM10=AF$2,1,""))</f>
        <v/>
      </c>
      <c r="AG10" s="747" t="str">
        <f>IF($B9="","",IF(Penalties!$AM10=AG$2,1,""))</f>
        <v/>
      </c>
      <c r="AH10" s="747" t="str">
        <f>IF($B9="","",IF(Penalties!$AM10=AH$2,1,""))</f>
        <v/>
      </c>
      <c r="AI10" s="747" t="str">
        <f>IF($B9="","",IF(Penalties!$AM10=AI$2,1,""))</f>
        <v/>
      </c>
      <c r="AJ10" s="749" t="str">
        <f>IF(SUM(X9:AI10)=0, "", IF(SUM(X9:AI9)=1, LOOKUP(1, X9:AI9, $X$2:$AI$2), LOOKUP(1, X10:AI10, $X$2:$AI$2)))</f>
        <v/>
      </c>
    </row>
    <row r="11" spans="1:36" s="182" customFormat="1" x14ac:dyDescent="0.3">
      <c r="A11" s="1367">
        <f>A9+1</f>
        <v>5</v>
      </c>
      <c r="B11" s="1368" t="str">
        <f>IF(IGRF!B15="","",IGRF!B15)</f>
        <v>22</v>
      </c>
      <c r="C11" s="1369" t="str">
        <f>IF(IGRF!C15="","",IGRF!C15)</f>
        <v>Sami Automatic</v>
      </c>
      <c r="D11" s="739" t="s">
        <v>17</v>
      </c>
      <c r="E11" s="732">
        <f>IF($B11="","",COUNTIF(Penalties!$B12:$J12,E$2))</f>
        <v>0</v>
      </c>
      <c r="F11" s="732">
        <f>IF($B11="","",COUNTIF(Penalties!$B12:$J12,F$2))</f>
        <v>0</v>
      </c>
      <c r="G11" s="732">
        <f>IF($B11="","",COUNTIF(Penalties!$B12:$J12,G$2))</f>
        <v>0</v>
      </c>
      <c r="H11" s="732">
        <f>IF($B11="","",COUNTIF(Penalties!$B12:$J12,H$2))</f>
        <v>1</v>
      </c>
      <c r="I11" s="732">
        <f>IF($B11="","",COUNTIF(Penalties!$B12:$J12,I$2))</f>
        <v>0</v>
      </c>
      <c r="J11" s="732">
        <f>IF($B11="","",COUNTIF(Penalties!$B12:$J12,J$2))</f>
        <v>0</v>
      </c>
      <c r="K11" s="732">
        <f>IF($B11="","",COUNTIF(Penalties!$B12:$J12,K$2))</f>
        <v>0</v>
      </c>
      <c r="L11" s="732">
        <f>IF($B11="","",COUNTIF(Penalties!$B12:$J12,L$2))</f>
        <v>0</v>
      </c>
      <c r="M11" s="732">
        <f>IF($B11="","",COUNTIF(Penalties!$B12:$J12,M$2))</f>
        <v>0</v>
      </c>
      <c r="N11" s="732">
        <f>IF($B11="","",COUNTIF(Penalties!$B12:$J12,N$2))</f>
        <v>0</v>
      </c>
      <c r="O11" s="732">
        <f>IF($B11="","",COUNTIF(Penalties!$B12:$J12,O$2))</f>
        <v>0</v>
      </c>
      <c r="P11" s="732">
        <f>IF($B11="","",COUNTIF(Penalties!$B12:$J12,P$2))</f>
        <v>0</v>
      </c>
      <c r="Q11" s="732">
        <f>IF($B11="","",COUNTIF(Penalties!$B12:$J12,Q$2))</f>
        <v>0</v>
      </c>
      <c r="R11" s="732">
        <f>IF($B11="","",COUNTIF(Penalties!$B12:$J12,R$2))</f>
        <v>0</v>
      </c>
      <c r="S11" s="732">
        <f>IF($B11="","",COUNTIF(Penalties!$B12:$J12,S$2))</f>
        <v>0</v>
      </c>
      <c r="T11" s="732">
        <f>IF($B11="","",COUNTIF(Penalties!$B12:$J12,T$2))</f>
        <v>0</v>
      </c>
      <c r="U11" s="740">
        <f>IF(B11="","",SUM(E11:T11))</f>
        <v>1</v>
      </c>
      <c r="V11" s="741">
        <f t="shared" ref="V11" si="0">IF(B11="","",SUM(E11:T11)*0.5)</f>
        <v>0.5</v>
      </c>
      <c r="W11" s="742" t="str">
        <f>IF($B11="","",IF(Penalties!$K12=W$2,1,""))</f>
        <v/>
      </c>
      <c r="X11" s="742" t="str">
        <f>IF($B11="","",IF(Penalties!$K12=X$2,1,""))</f>
        <v/>
      </c>
      <c r="Y11" s="742" t="str">
        <f>IF($B11="","",IF(Penalties!$K12=Y$2,1,""))</f>
        <v/>
      </c>
      <c r="Z11" s="742" t="str">
        <f>IF($B11="","",IF(Penalties!$K12=Z$2,1,""))</f>
        <v/>
      </c>
      <c r="AA11" s="742" t="str">
        <f>IF($B11="","",IF(Penalties!$K12=AA$2,1,""))</f>
        <v/>
      </c>
      <c r="AB11" s="742" t="str">
        <f>IF($B11="","",IF(Penalties!$K12=AB$2,1,""))</f>
        <v/>
      </c>
      <c r="AC11" s="742" t="str">
        <f>IF($B11="","",IF(Penalties!$K12=AC$2,1,""))</f>
        <v/>
      </c>
      <c r="AD11" s="742" t="str">
        <f>IF($B11="","",IF(Penalties!$K12=AD$2,1,""))</f>
        <v/>
      </c>
      <c r="AE11" s="742" t="str">
        <f>IF($B11="","",IF(Penalties!$K12=AE$2,1,""))</f>
        <v/>
      </c>
      <c r="AF11" s="742" t="str">
        <f>IF($B11="","",IF(Penalties!$K12=AF$2,1,""))</f>
        <v/>
      </c>
      <c r="AG11" s="742" t="str">
        <f>IF($B11="","",IF(Penalties!$K12=AG$2,1,""))</f>
        <v/>
      </c>
      <c r="AH11" s="742" t="str">
        <f>IF($B11="","",IF(Penalties!$K12=AH$2,1,""))</f>
        <v/>
      </c>
      <c r="AI11" s="742" t="str">
        <f>IF($B11="","",IF(Penalties!$K12=AI$2,1,""))</f>
        <v/>
      </c>
      <c r="AJ11" s="743"/>
    </row>
    <row r="12" spans="1:36" s="182" customFormat="1" x14ac:dyDescent="0.3">
      <c r="A12" s="1367"/>
      <c r="B12" s="1368"/>
      <c r="C12" s="1369"/>
      <c r="D12" s="739" t="s">
        <v>33</v>
      </c>
      <c r="E12" s="732">
        <f>IF($B11="","",COUNTIF(Penalties!$AD12:$AL12,E$2))</f>
        <v>0</v>
      </c>
      <c r="F12" s="732">
        <f>IF($B11="","",COUNTIF(Penalties!$AD12:$AL12,F$2))</f>
        <v>0</v>
      </c>
      <c r="G12" s="732">
        <f>IF($B11="","",COUNTIF(Penalties!$AD12:$AL12,G$2))</f>
        <v>0</v>
      </c>
      <c r="H12" s="732">
        <f>IF($B11="","",COUNTIF(Penalties!$AD12:$AL12,H$2))</f>
        <v>0</v>
      </c>
      <c r="I12" s="732">
        <f>IF($B11="","",COUNTIF(Penalties!$AD12:$AL12,I$2))</f>
        <v>0</v>
      </c>
      <c r="J12" s="732">
        <f>IF($B11="","",COUNTIF(Penalties!$AD12:$AL12,J$2))</f>
        <v>0</v>
      </c>
      <c r="K12" s="732">
        <f>IF($B11="","",COUNTIF(Penalties!$AD12:$AL12,K$2))</f>
        <v>1</v>
      </c>
      <c r="L12" s="732">
        <f>IF($B11="","",COUNTIF(Penalties!$AD12:$AL12,L$2))</f>
        <v>0</v>
      </c>
      <c r="M12" s="732">
        <f>IF($B11="","",COUNTIF(Penalties!$AD12:$AL12,M$2))</f>
        <v>0</v>
      </c>
      <c r="N12" s="732">
        <f>IF($B11="","",COUNTIF(Penalties!$AD12:$AL12,N$2))</f>
        <v>0</v>
      </c>
      <c r="O12" s="732">
        <f>IF($B11="","",COUNTIF(Penalties!$AD12:$AL12,O$2))</f>
        <v>0</v>
      </c>
      <c r="P12" s="732">
        <f>IF($B11="","",COUNTIF(Penalties!$AD12:$AL12,P$2))</f>
        <v>0</v>
      </c>
      <c r="Q12" s="732">
        <f>IF($B11="","",COUNTIF(Penalties!$AD12:$AL12,Q$2))</f>
        <v>0</v>
      </c>
      <c r="R12" s="732">
        <f>IF($B11="","",COUNTIF(Penalties!$AD12:$AL12,R$2))</f>
        <v>0</v>
      </c>
      <c r="S12" s="732">
        <f>IF($B11="","",COUNTIF(Penalties!$AD12:$AL12,S$2))</f>
        <v>0</v>
      </c>
      <c r="T12" s="732">
        <f>IF($B11="","",COUNTIF(Penalties!$AD12:$AL12,T$2))</f>
        <v>0</v>
      </c>
      <c r="U12" s="740">
        <f>IF(B11="","",SUM(E12:T12))</f>
        <v>1</v>
      </c>
      <c r="V12" s="741">
        <f t="shared" ref="V12" si="1">IF(B11="","",SUM(E12:T12)*0.5)</f>
        <v>0.5</v>
      </c>
      <c r="W12" s="742" t="str">
        <f>IF($B11="","",IF(Penalties!$AM12=W$2,1,""))</f>
        <v/>
      </c>
      <c r="X12" s="742" t="str">
        <f>IF($B11="","",IF(Penalties!$AM12=X$2,1,""))</f>
        <v/>
      </c>
      <c r="Y12" s="742" t="str">
        <f>IF($B11="","",IF(Penalties!$AM12=Y$2,1,""))</f>
        <v/>
      </c>
      <c r="Z12" s="742" t="str">
        <f>IF($B11="","",IF(Penalties!$AM12=Z$2,1,""))</f>
        <v/>
      </c>
      <c r="AA12" s="742" t="str">
        <f>IF($B11="","",IF(Penalties!$AM12=AA$2,1,""))</f>
        <v/>
      </c>
      <c r="AB12" s="742" t="str">
        <f>IF($B11="","",IF(Penalties!$AM12=AB$2,1,""))</f>
        <v/>
      </c>
      <c r="AC12" s="742" t="str">
        <f>IF($B11="","",IF(Penalties!$AM12=AC$2,1,""))</f>
        <v/>
      </c>
      <c r="AD12" s="742" t="str">
        <f>IF($B11="","",IF(Penalties!$AM12=AD$2,1,""))</f>
        <v/>
      </c>
      <c r="AE12" s="742" t="str">
        <f>IF($B11="","",IF(Penalties!$AM12=AE$2,1,""))</f>
        <v/>
      </c>
      <c r="AF12" s="742" t="str">
        <f>IF($B11="","",IF(Penalties!$AM12=AF$2,1,""))</f>
        <v/>
      </c>
      <c r="AG12" s="742" t="str">
        <f>IF($B11="","",IF(Penalties!$AM12=AG$2,1,""))</f>
        <v/>
      </c>
      <c r="AH12" s="742" t="str">
        <f>IF($B11="","",IF(Penalties!$AM12=AH$2,1,""))</f>
        <v/>
      </c>
      <c r="AI12" s="742" t="str">
        <f>IF($B11="","",IF(Penalties!$AM12=AI$2,1,""))</f>
        <v/>
      </c>
      <c r="AJ12" s="744" t="str">
        <f>IF(SUM(X11:AI12)=0, "", IF(SUM(X11:AI11)=1, LOOKUP(1, X11:AI11, $X$2:$AI$2), LOOKUP(1, X12:AI12, $X$2:$AI$2)))</f>
        <v/>
      </c>
    </row>
    <row r="13" spans="1:36" s="182" customFormat="1" x14ac:dyDescent="0.3">
      <c r="A13" s="1364">
        <f>A11+1</f>
        <v>6</v>
      </c>
      <c r="B13" s="1365" t="str">
        <f>IF(IGRF!B16="","",IGRF!B16)</f>
        <v>23</v>
      </c>
      <c r="C13" s="1366" t="str">
        <f>IF(IGRF!C16="","",IGRF!C16)</f>
        <v>LeBrawn Maimes</v>
      </c>
      <c r="D13" s="733" t="s">
        <v>17</v>
      </c>
      <c r="E13" s="733">
        <f>IF($B13="","",COUNTIF(Penalties!$B14:$J14,E$2))</f>
        <v>0</v>
      </c>
      <c r="F13" s="733">
        <f>IF($B13="","",COUNTIF(Penalties!$B14:$J14,F$2))</f>
        <v>0</v>
      </c>
      <c r="G13" s="733">
        <f>IF($B13="","",COUNTIF(Penalties!$B14:$J14,G$2))</f>
        <v>0</v>
      </c>
      <c r="H13" s="733">
        <f>IF($B13="","",COUNTIF(Penalties!$B14:$J14,H$2))</f>
        <v>0</v>
      </c>
      <c r="I13" s="733">
        <f>IF($B13="","",COUNTIF(Penalties!$B14:$J14,I$2))</f>
        <v>0</v>
      </c>
      <c r="J13" s="733">
        <f>IF($B13="","",COUNTIF(Penalties!$B14:$J14,J$2))</f>
        <v>0</v>
      </c>
      <c r="K13" s="733">
        <f>IF($B13="","",COUNTIF(Penalties!$B14:$J14,K$2))</f>
        <v>1</v>
      </c>
      <c r="L13" s="733">
        <f>IF($B13="","",COUNTIF(Penalties!$B14:$J14,L$2))</f>
        <v>0</v>
      </c>
      <c r="M13" s="733">
        <f>IF($B13="","",COUNTIF(Penalties!$B14:$J14,M$2))</f>
        <v>0</v>
      </c>
      <c r="N13" s="733">
        <f>IF($B13="","",COUNTIF(Penalties!$B14:$J14,N$2))</f>
        <v>0</v>
      </c>
      <c r="O13" s="733">
        <f>IF($B13="","",COUNTIF(Penalties!$B14:$J14,O$2))</f>
        <v>1</v>
      </c>
      <c r="P13" s="733">
        <f>IF($B13="","",COUNTIF(Penalties!$B14:$J14,P$2))</f>
        <v>0</v>
      </c>
      <c r="Q13" s="733">
        <f>IF($B13="","",COUNTIF(Penalties!$B14:$J14,Q$2))</f>
        <v>0</v>
      </c>
      <c r="R13" s="733">
        <f>IF($B13="","",COUNTIF(Penalties!$B14:$J14,R$2))</f>
        <v>0</v>
      </c>
      <c r="S13" s="733">
        <f>IF($B13="","",COUNTIF(Penalties!$B14:$J14,S$2))</f>
        <v>0</v>
      </c>
      <c r="T13" s="733">
        <f>IF($B13="","",COUNTIF(Penalties!$B14:$J14,T$2))</f>
        <v>0</v>
      </c>
      <c r="U13" s="745">
        <f>IF(B13="","",SUM(E13:T13))</f>
        <v>2</v>
      </c>
      <c r="V13" s="746">
        <f t="shared" ref="V13" si="2">IF(B13="","",SUM(E13:T13)*0.5)</f>
        <v>1</v>
      </c>
      <c r="W13" s="747" t="str">
        <f>IF($B13="","",IF(Penalties!$K14=W$2,1,""))</f>
        <v/>
      </c>
      <c r="X13" s="747" t="str">
        <f>IF($B13="","",IF(Penalties!$K14=X$2,1,""))</f>
        <v/>
      </c>
      <c r="Y13" s="747" t="str">
        <f>IF($B13="","",IF(Penalties!$K14=Y$2,1,""))</f>
        <v/>
      </c>
      <c r="Z13" s="747" t="str">
        <f>IF($B13="","",IF(Penalties!$K14=Z$2,1,""))</f>
        <v/>
      </c>
      <c r="AA13" s="747" t="str">
        <f>IF($B13="","",IF(Penalties!$K14=AA$2,1,""))</f>
        <v/>
      </c>
      <c r="AB13" s="747" t="str">
        <f>IF($B13="","",IF(Penalties!$K14=AB$2,1,""))</f>
        <v/>
      </c>
      <c r="AC13" s="747" t="str">
        <f>IF($B13="","",IF(Penalties!$K14=AC$2,1,""))</f>
        <v/>
      </c>
      <c r="AD13" s="747" t="str">
        <f>IF($B13="","",IF(Penalties!$K14=AD$2,1,""))</f>
        <v/>
      </c>
      <c r="AE13" s="747" t="str">
        <f>IF($B13="","",IF(Penalties!$K14=AE$2,1,""))</f>
        <v/>
      </c>
      <c r="AF13" s="747" t="str">
        <f>IF($B13="","",IF(Penalties!$K14=AF$2,1,""))</f>
        <v/>
      </c>
      <c r="AG13" s="747" t="str">
        <f>IF($B13="","",IF(Penalties!$K14=AG$2,1,""))</f>
        <v/>
      </c>
      <c r="AH13" s="747" t="str">
        <f>IF($B13="","",IF(Penalties!$K14=AH$2,1,""))</f>
        <v/>
      </c>
      <c r="AI13" s="747" t="str">
        <f>IF($B13="","",IF(Penalties!$K14=AI$2,1,""))</f>
        <v/>
      </c>
      <c r="AJ13" s="748"/>
    </row>
    <row r="14" spans="1:36" s="182" customFormat="1" ht="14.4" thickBot="1" x14ac:dyDescent="0.35">
      <c r="A14" s="1364"/>
      <c r="B14" s="1365"/>
      <c r="C14" s="1366"/>
      <c r="D14" s="733" t="s">
        <v>33</v>
      </c>
      <c r="E14" s="733">
        <f>IF($B13="","",COUNTIF(Penalties!$AD14:$AL14,E$2))</f>
        <v>0</v>
      </c>
      <c r="F14" s="733">
        <f>IF($B13="","",COUNTIF(Penalties!$AD14:$AL14,F$2))</f>
        <v>0</v>
      </c>
      <c r="G14" s="733">
        <f>IF($B13="","",COUNTIF(Penalties!$AD14:$AL14,G$2))</f>
        <v>0</v>
      </c>
      <c r="H14" s="733">
        <f>IF($B13="","",COUNTIF(Penalties!$AD14:$AL14,H$2))</f>
        <v>0</v>
      </c>
      <c r="I14" s="733">
        <f>IF($B13="","",COUNTIF(Penalties!$AD14:$AL14,I$2))</f>
        <v>0</v>
      </c>
      <c r="J14" s="733">
        <f>IF($B13="","",COUNTIF(Penalties!$AD14:$AL14,J$2))</f>
        <v>0</v>
      </c>
      <c r="K14" s="733">
        <f>IF($B13="","",COUNTIF(Penalties!$AD14:$AL14,K$2))</f>
        <v>0</v>
      </c>
      <c r="L14" s="733">
        <f>IF($B13="","",COUNTIF(Penalties!$AD14:$AL14,L$2))</f>
        <v>0</v>
      </c>
      <c r="M14" s="733">
        <f>IF($B13="","",COUNTIF(Penalties!$AD14:$AL14,M$2))</f>
        <v>0</v>
      </c>
      <c r="N14" s="733">
        <f>IF($B13="","",COUNTIF(Penalties!$AD14:$AL14,N$2))</f>
        <v>0</v>
      </c>
      <c r="O14" s="733">
        <f>IF($B13="","",COUNTIF(Penalties!$AD14:$AL14,O$2))</f>
        <v>0</v>
      </c>
      <c r="P14" s="733">
        <f>IF($B13="","",COUNTIF(Penalties!$AD14:$AL14,P$2))</f>
        <v>0</v>
      </c>
      <c r="Q14" s="733">
        <f>IF($B13="","",COUNTIF(Penalties!$AD14:$AL14,Q$2))</f>
        <v>0</v>
      </c>
      <c r="R14" s="733">
        <f>IF($B13="","",COUNTIF(Penalties!$AD14:$AL14,R$2))</f>
        <v>0</v>
      </c>
      <c r="S14" s="733">
        <f>IF($B13="","",COUNTIF(Penalties!$AD14:$AL14,S$2))</f>
        <v>0</v>
      </c>
      <c r="T14" s="733">
        <f>IF($B13="","",COUNTIF(Penalties!$AD14:$AL14,T$2))</f>
        <v>0</v>
      </c>
      <c r="U14" s="745">
        <f>IF(B13="","",SUM(E14:T14))</f>
        <v>0</v>
      </c>
      <c r="V14" s="746">
        <f t="shared" ref="V14" si="3">IF(B13="","",SUM(E14:T14)*0.5)</f>
        <v>0</v>
      </c>
      <c r="W14" s="747" t="str">
        <f>IF($B13="","",IF(Penalties!$AM14=W$2,1,""))</f>
        <v/>
      </c>
      <c r="X14" s="747" t="str">
        <f>IF($B13="","",IF(Penalties!$AM14=X$2,1,""))</f>
        <v/>
      </c>
      <c r="Y14" s="747" t="str">
        <f>IF($B13="","",IF(Penalties!$AM14=Y$2,1,""))</f>
        <v/>
      </c>
      <c r="Z14" s="747" t="str">
        <f>IF($B13="","",IF(Penalties!$AM14=Z$2,1,""))</f>
        <v/>
      </c>
      <c r="AA14" s="747" t="str">
        <f>IF($B13="","",IF(Penalties!$AM14=AA$2,1,""))</f>
        <v/>
      </c>
      <c r="AB14" s="747" t="str">
        <f>IF($B13="","",IF(Penalties!$AM14=AB$2,1,""))</f>
        <v/>
      </c>
      <c r="AC14" s="747" t="str">
        <f>IF($B13="","",IF(Penalties!$AM14=AC$2,1,""))</f>
        <v/>
      </c>
      <c r="AD14" s="747" t="str">
        <f>IF($B13="","",IF(Penalties!$AM14=AD$2,1,""))</f>
        <v/>
      </c>
      <c r="AE14" s="747" t="str">
        <f>IF($B13="","",IF(Penalties!$AM14=AE$2,1,""))</f>
        <v/>
      </c>
      <c r="AF14" s="747" t="str">
        <f>IF($B13="","",IF(Penalties!$AM14=AF$2,1,""))</f>
        <v/>
      </c>
      <c r="AG14" s="747" t="str">
        <f>IF($B13="","",IF(Penalties!$AM14=AG$2,1,""))</f>
        <v/>
      </c>
      <c r="AH14" s="747" t="str">
        <f>IF($B13="","",IF(Penalties!$AM14=AH$2,1,""))</f>
        <v/>
      </c>
      <c r="AI14" s="747" t="str">
        <f>IF($B13="","",IF(Penalties!$AM14=AI$2,1,""))</f>
        <v/>
      </c>
      <c r="AJ14" s="749" t="str">
        <f>IF(SUM(X13:AI14)=0, "", IF(SUM(X13:AI13)=1, LOOKUP(1, X13:AI13, $X$2:$AI$2), LOOKUP(1, X14:AI14, $X$2:$AI$2)))</f>
        <v/>
      </c>
    </row>
    <row r="15" spans="1:36" s="182" customFormat="1" x14ac:dyDescent="0.3">
      <c r="A15" s="1367">
        <f>A13+1</f>
        <v>7</v>
      </c>
      <c r="B15" s="1368" t="str">
        <f>IF(IGRF!B17="","",IGRF!B17)</f>
        <v>321</v>
      </c>
      <c r="C15" s="1369" t="str">
        <f>IF(IGRF!C17="","",IGRF!C17)</f>
        <v>Missile America</v>
      </c>
      <c r="D15" s="739" t="s">
        <v>17</v>
      </c>
      <c r="E15" s="732">
        <f>IF($B15="","",COUNTIF(Penalties!$B16:$J16,E$2))</f>
        <v>0</v>
      </c>
      <c r="F15" s="732">
        <f>IF($B15="","",COUNTIF(Penalties!$B16:$J16,F$2))</f>
        <v>1</v>
      </c>
      <c r="G15" s="732">
        <f>IF($B15="","",COUNTIF(Penalties!$B16:$J16,G$2))</f>
        <v>0</v>
      </c>
      <c r="H15" s="732">
        <f>IF($B15="","",COUNTIF(Penalties!$B16:$J16,H$2))</f>
        <v>0</v>
      </c>
      <c r="I15" s="732">
        <f>IF($B15="","",COUNTIF(Penalties!$B16:$J16,I$2))</f>
        <v>1</v>
      </c>
      <c r="J15" s="732">
        <f>IF($B15="","",COUNTIF(Penalties!$B16:$J16,J$2))</f>
        <v>0</v>
      </c>
      <c r="K15" s="732">
        <f>IF($B15="","",COUNTIF(Penalties!$B16:$J16,K$2))</f>
        <v>0</v>
      </c>
      <c r="L15" s="732">
        <f>IF($B15="","",COUNTIF(Penalties!$B16:$J16,L$2))</f>
        <v>0</v>
      </c>
      <c r="M15" s="732">
        <f>IF($B15="","",COUNTIF(Penalties!$B16:$J16,M$2))</f>
        <v>0</v>
      </c>
      <c r="N15" s="732">
        <f>IF($B15="","",COUNTIF(Penalties!$B16:$J16,N$2))</f>
        <v>1</v>
      </c>
      <c r="O15" s="732">
        <f>IF($B15="","",COUNTIF(Penalties!$B16:$J16,O$2))</f>
        <v>0</v>
      </c>
      <c r="P15" s="732">
        <f>IF($B15="","",COUNTIF(Penalties!$B16:$J16,P$2))</f>
        <v>0</v>
      </c>
      <c r="Q15" s="732">
        <f>IF($B15="","",COUNTIF(Penalties!$B16:$J16,Q$2))</f>
        <v>0</v>
      </c>
      <c r="R15" s="732">
        <f>IF($B15="","",COUNTIF(Penalties!$B16:$J16,R$2))</f>
        <v>0</v>
      </c>
      <c r="S15" s="732">
        <f>IF($B15="","",COUNTIF(Penalties!$B16:$J16,S$2))</f>
        <v>0</v>
      </c>
      <c r="T15" s="732">
        <f>IF($B15="","",COUNTIF(Penalties!$B16:$J16,T$2))</f>
        <v>0</v>
      </c>
      <c r="U15" s="740">
        <f>IF(B15="","",SUM(E15:T15))</f>
        <v>3</v>
      </c>
      <c r="V15" s="741">
        <f t="shared" ref="V15" si="4">IF(B15="","",SUM(E15:T15)*0.5)</f>
        <v>1.5</v>
      </c>
      <c r="W15" s="742" t="str">
        <f>IF($B15="","",IF(Penalties!$K16=W$2,1,""))</f>
        <v/>
      </c>
      <c r="X15" s="742" t="str">
        <f>IF($B15="","",IF(Penalties!$K16=X$2,1,""))</f>
        <v/>
      </c>
      <c r="Y15" s="742" t="str">
        <f>IF($B15="","",IF(Penalties!$K16=Y$2,1,""))</f>
        <v/>
      </c>
      <c r="Z15" s="742" t="str">
        <f>IF($B15="","",IF(Penalties!$K16=Z$2,1,""))</f>
        <v/>
      </c>
      <c r="AA15" s="742" t="str">
        <f>IF($B15="","",IF(Penalties!$K16=AA$2,1,""))</f>
        <v/>
      </c>
      <c r="AB15" s="742" t="str">
        <f>IF($B15="","",IF(Penalties!$K16=AB$2,1,""))</f>
        <v/>
      </c>
      <c r="AC15" s="742" t="str">
        <f>IF($B15="","",IF(Penalties!$K16=AC$2,1,""))</f>
        <v/>
      </c>
      <c r="AD15" s="742" t="str">
        <f>IF($B15="","",IF(Penalties!$K16=AD$2,1,""))</f>
        <v/>
      </c>
      <c r="AE15" s="742" t="str">
        <f>IF($B15="","",IF(Penalties!$K16=AE$2,1,""))</f>
        <v/>
      </c>
      <c r="AF15" s="742" t="str">
        <f>IF($B15="","",IF(Penalties!$K16=AF$2,1,""))</f>
        <v/>
      </c>
      <c r="AG15" s="742" t="str">
        <f>IF($B15="","",IF(Penalties!$K16=AG$2,1,""))</f>
        <v/>
      </c>
      <c r="AH15" s="742" t="str">
        <f>IF($B15="","",IF(Penalties!$K16=AH$2,1,""))</f>
        <v/>
      </c>
      <c r="AI15" s="742" t="str">
        <f>IF($B15="","",IF(Penalties!$K16=AI$2,1,""))</f>
        <v/>
      </c>
      <c r="AJ15" s="743"/>
    </row>
    <row r="16" spans="1:36" s="182" customFormat="1" x14ac:dyDescent="0.3">
      <c r="A16" s="1367"/>
      <c r="B16" s="1368"/>
      <c r="C16" s="1369"/>
      <c r="D16" s="739" t="s">
        <v>33</v>
      </c>
      <c r="E16" s="732">
        <f>IF($B15="","",COUNTIF(Penalties!$AD16:$AL16,E$2))</f>
        <v>0</v>
      </c>
      <c r="F16" s="732">
        <f>IF($B15="","",COUNTIF(Penalties!$AD16:$AL16,F$2))</f>
        <v>0</v>
      </c>
      <c r="G16" s="732">
        <f>IF($B15="","",COUNTIF(Penalties!$AD16:$AL16,G$2))</f>
        <v>0</v>
      </c>
      <c r="H16" s="732">
        <f>IF($B15="","",COUNTIF(Penalties!$AD16:$AL16,H$2))</f>
        <v>0</v>
      </c>
      <c r="I16" s="732">
        <f>IF($B15="","",COUNTIF(Penalties!$AD16:$AL16,I$2))</f>
        <v>0</v>
      </c>
      <c r="J16" s="732">
        <f>IF($B15="","",COUNTIF(Penalties!$AD16:$AL16,J$2))</f>
        <v>0</v>
      </c>
      <c r="K16" s="732">
        <f>IF($B15="","",COUNTIF(Penalties!$AD16:$AL16,K$2))</f>
        <v>1</v>
      </c>
      <c r="L16" s="732">
        <f>IF($B15="","",COUNTIF(Penalties!$AD16:$AL16,L$2))</f>
        <v>0</v>
      </c>
      <c r="M16" s="732">
        <f>IF($B15="","",COUNTIF(Penalties!$AD16:$AL16,M$2))</f>
        <v>1</v>
      </c>
      <c r="N16" s="732">
        <f>IF($B15="","",COUNTIF(Penalties!$AD16:$AL16,N$2))</f>
        <v>0</v>
      </c>
      <c r="O16" s="732">
        <f>IF($B15="","",COUNTIF(Penalties!$AD16:$AL16,O$2))</f>
        <v>0</v>
      </c>
      <c r="P16" s="732">
        <f>IF($B15="","",COUNTIF(Penalties!$AD16:$AL16,P$2))</f>
        <v>0</v>
      </c>
      <c r="Q16" s="732">
        <f>IF($B15="","",COUNTIF(Penalties!$AD16:$AL16,Q$2))</f>
        <v>0</v>
      </c>
      <c r="R16" s="732">
        <f>IF($B15="","",COUNTIF(Penalties!$AD16:$AL16,R$2))</f>
        <v>0</v>
      </c>
      <c r="S16" s="732">
        <f>IF($B15="","",COUNTIF(Penalties!$AD16:$AL16,S$2))</f>
        <v>0</v>
      </c>
      <c r="T16" s="732">
        <f>IF($B15="","",COUNTIF(Penalties!$AD16:$AL16,T$2))</f>
        <v>0</v>
      </c>
      <c r="U16" s="740">
        <f>IF(B15="","",SUM(E16:T16))</f>
        <v>2</v>
      </c>
      <c r="V16" s="741">
        <f t="shared" ref="V16" si="5">IF(B15="","",SUM(E16:T16)*0.5)</f>
        <v>1</v>
      </c>
      <c r="W16" s="742" t="str">
        <f>IF($B15="","",IF(Penalties!$AM16=W$2,1,""))</f>
        <v/>
      </c>
      <c r="X16" s="742" t="str">
        <f>IF($B15="","",IF(Penalties!$AM16=X$2,1,""))</f>
        <v/>
      </c>
      <c r="Y16" s="742" t="str">
        <f>IF($B15="","",IF(Penalties!$AM16=Y$2,1,""))</f>
        <v/>
      </c>
      <c r="Z16" s="742" t="str">
        <f>IF($B15="","",IF(Penalties!$AM16=Z$2,1,""))</f>
        <v/>
      </c>
      <c r="AA16" s="742" t="str">
        <f>IF($B15="","",IF(Penalties!$AM16=AA$2,1,""))</f>
        <v/>
      </c>
      <c r="AB16" s="742" t="str">
        <f>IF($B15="","",IF(Penalties!$AM16=AB$2,1,""))</f>
        <v/>
      </c>
      <c r="AC16" s="742" t="str">
        <f>IF($B15="","",IF(Penalties!$AM16=AC$2,1,""))</f>
        <v/>
      </c>
      <c r="AD16" s="742" t="str">
        <f>IF($B15="","",IF(Penalties!$AM16=AD$2,1,""))</f>
        <v/>
      </c>
      <c r="AE16" s="742" t="str">
        <f>IF($B15="","",IF(Penalties!$AM16=AE$2,1,""))</f>
        <v/>
      </c>
      <c r="AF16" s="742" t="str">
        <f>IF($B15="","",IF(Penalties!$AM16=AF$2,1,""))</f>
        <v/>
      </c>
      <c r="AG16" s="742" t="str">
        <f>IF($B15="","",IF(Penalties!$AM16=AG$2,1,""))</f>
        <v/>
      </c>
      <c r="AH16" s="742" t="str">
        <f>IF($B15="","",IF(Penalties!$AM16=AH$2,1,""))</f>
        <v/>
      </c>
      <c r="AI16" s="742" t="str">
        <f>IF($B15="","",IF(Penalties!$AM16=AI$2,1,""))</f>
        <v/>
      </c>
      <c r="AJ16" s="744" t="str">
        <f>IF(SUM(X15:AI16)=0, "", IF(SUM(X15:AI15)=1, LOOKUP(1, X15:AI15, $X$2:$AI$2), LOOKUP(1, X16:AI16, $X$2:$AI$2)))</f>
        <v/>
      </c>
    </row>
    <row r="17" spans="1:36" s="182" customFormat="1" x14ac:dyDescent="0.3">
      <c r="A17" s="1364">
        <f>A15+1</f>
        <v>8</v>
      </c>
      <c r="B17" s="1365" t="str">
        <f>IF(IGRF!B18="","",IGRF!B18)</f>
        <v>4</v>
      </c>
      <c r="C17" s="1366" t="str">
        <f>IF(IGRF!C18="","",IGRF!C18)</f>
        <v>Belle Tolls</v>
      </c>
      <c r="D17" s="733" t="s">
        <v>17</v>
      </c>
      <c r="E17" s="733">
        <f>IF($B17="","",COUNTIF(Penalties!$B18:$J18,E$2))</f>
        <v>0</v>
      </c>
      <c r="F17" s="733">
        <f>IF($B17="","",COUNTIF(Penalties!$B18:$J18,F$2))</f>
        <v>1</v>
      </c>
      <c r="G17" s="733">
        <f>IF($B17="","",COUNTIF(Penalties!$B18:$J18,G$2))</f>
        <v>0</v>
      </c>
      <c r="H17" s="733">
        <f>IF($B17="","",COUNTIF(Penalties!$B18:$J18,H$2))</f>
        <v>0</v>
      </c>
      <c r="I17" s="733">
        <f>IF($B17="","",COUNTIF(Penalties!$B18:$J18,I$2))</f>
        <v>0</v>
      </c>
      <c r="J17" s="733">
        <f>IF($B17="","",COUNTIF(Penalties!$B18:$J18,J$2))</f>
        <v>0</v>
      </c>
      <c r="K17" s="733">
        <f>IF($B17="","",COUNTIF(Penalties!$B18:$J18,K$2))</f>
        <v>0</v>
      </c>
      <c r="L17" s="733">
        <f>IF($B17="","",COUNTIF(Penalties!$B18:$J18,L$2))</f>
        <v>0</v>
      </c>
      <c r="M17" s="733">
        <f>IF($B17="","",COUNTIF(Penalties!$B18:$J18,M$2))</f>
        <v>0</v>
      </c>
      <c r="N17" s="733">
        <f>IF($B17="","",COUNTIF(Penalties!$B18:$J18,N$2))</f>
        <v>0</v>
      </c>
      <c r="O17" s="733">
        <f>IF($B17="","",COUNTIF(Penalties!$B18:$J18,O$2))</f>
        <v>0</v>
      </c>
      <c r="P17" s="733">
        <f>IF($B17="","",COUNTIF(Penalties!$B18:$J18,P$2))</f>
        <v>0</v>
      </c>
      <c r="Q17" s="733">
        <f>IF($B17="","",COUNTIF(Penalties!$B18:$J18,Q$2))</f>
        <v>0</v>
      </c>
      <c r="R17" s="733">
        <f>IF($B17="","",COUNTIF(Penalties!$B18:$J18,R$2))</f>
        <v>0</v>
      </c>
      <c r="S17" s="733">
        <f>IF($B17="","",COUNTIF(Penalties!$B18:$J18,S$2))</f>
        <v>0</v>
      </c>
      <c r="T17" s="733">
        <f>IF($B17="","",COUNTIF(Penalties!$B18:$J18,T$2))</f>
        <v>0</v>
      </c>
      <c r="U17" s="745">
        <f>IF(B17="","",SUM(E17:T17))</f>
        <v>1</v>
      </c>
      <c r="V17" s="746">
        <f t="shared" ref="V17" si="6">IF(B17="","",SUM(E17:T17)*0.5)</f>
        <v>0.5</v>
      </c>
      <c r="W17" s="747" t="str">
        <f>IF($B17="","",IF(Penalties!$K18=W$2,1,""))</f>
        <v/>
      </c>
      <c r="X17" s="747" t="str">
        <f>IF($B17="","",IF(Penalties!$K18=X$2,1,""))</f>
        <v/>
      </c>
      <c r="Y17" s="747" t="str">
        <f>IF($B17="","",IF(Penalties!$K18=Y$2,1,""))</f>
        <v/>
      </c>
      <c r="Z17" s="747" t="str">
        <f>IF($B17="","",IF(Penalties!$K18=Z$2,1,""))</f>
        <v/>
      </c>
      <c r="AA17" s="747" t="str">
        <f>IF($B17="","",IF(Penalties!$K18=AA$2,1,""))</f>
        <v/>
      </c>
      <c r="AB17" s="747" t="str">
        <f>IF($B17="","",IF(Penalties!$K18=AB$2,1,""))</f>
        <v/>
      </c>
      <c r="AC17" s="747" t="str">
        <f>IF($B17="","",IF(Penalties!$K18=AC$2,1,""))</f>
        <v/>
      </c>
      <c r="AD17" s="747" t="str">
        <f>IF($B17="","",IF(Penalties!$K18=AD$2,1,""))</f>
        <v/>
      </c>
      <c r="AE17" s="747" t="str">
        <f>IF($B17="","",IF(Penalties!$K18=AE$2,1,""))</f>
        <v/>
      </c>
      <c r="AF17" s="747" t="str">
        <f>IF($B17="","",IF(Penalties!$K18=AF$2,1,""))</f>
        <v/>
      </c>
      <c r="AG17" s="747" t="str">
        <f>IF($B17="","",IF(Penalties!$K18=AG$2,1,""))</f>
        <v/>
      </c>
      <c r="AH17" s="747" t="str">
        <f>IF($B17="","",IF(Penalties!$K18=AH$2,1,""))</f>
        <v/>
      </c>
      <c r="AI17" s="747" t="str">
        <f>IF($B17="","",IF(Penalties!$K18=AI$2,1,""))</f>
        <v/>
      </c>
      <c r="AJ17" s="748"/>
    </row>
    <row r="18" spans="1:36" s="182" customFormat="1" ht="14.4" thickBot="1" x14ac:dyDescent="0.35">
      <c r="A18" s="1364"/>
      <c r="B18" s="1365"/>
      <c r="C18" s="1366"/>
      <c r="D18" s="733" t="s">
        <v>33</v>
      </c>
      <c r="E18" s="733">
        <f>IF($B17="","",COUNTIF(Penalties!$AD18:$AL18,E$2))</f>
        <v>0</v>
      </c>
      <c r="F18" s="733">
        <f>IF($B17="","",COUNTIF(Penalties!$AD18:$AL18,F$2))</f>
        <v>0</v>
      </c>
      <c r="G18" s="733">
        <f>IF($B17="","",COUNTIF(Penalties!$AD18:$AL18,G$2))</f>
        <v>0</v>
      </c>
      <c r="H18" s="733">
        <f>IF($B17="","",COUNTIF(Penalties!$AD18:$AL18,H$2))</f>
        <v>0</v>
      </c>
      <c r="I18" s="733">
        <f>IF($B17="","",COUNTIF(Penalties!$AD18:$AL18,I$2))</f>
        <v>0</v>
      </c>
      <c r="J18" s="733">
        <f>IF($B17="","",COUNTIF(Penalties!$AD18:$AL18,J$2))</f>
        <v>0</v>
      </c>
      <c r="K18" s="733">
        <f>IF($B17="","",COUNTIF(Penalties!$AD18:$AL18,K$2))</f>
        <v>0</v>
      </c>
      <c r="L18" s="733">
        <f>IF($B17="","",COUNTIF(Penalties!$AD18:$AL18,L$2))</f>
        <v>0</v>
      </c>
      <c r="M18" s="733">
        <f>IF($B17="","",COUNTIF(Penalties!$AD18:$AL18,M$2))</f>
        <v>0</v>
      </c>
      <c r="N18" s="733">
        <f>IF($B17="","",COUNTIF(Penalties!$AD18:$AL18,N$2))</f>
        <v>0</v>
      </c>
      <c r="O18" s="733">
        <f>IF($B17="","",COUNTIF(Penalties!$AD18:$AL18,O$2))</f>
        <v>0</v>
      </c>
      <c r="P18" s="733">
        <f>IF($B17="","",COUNTIF(Penalties!$AD18:$AL18,P$2))</f>
        <v>0</v>
      </c>
      <c r="Q18" s="733">
        <f>IF($B17="","",COUNTIF(Penalties!$AD18:$AL18,Q$2))</f>
        <v>0</v>
      </c>
      <c r="R18" s="733">
        <f>IF($B17="","",COUNTIF(Penalties!$AD18:$AL18,R$2))</f>
        <v>0</v>
      </c>
      <c r="S18" s="733">
        <f>IF($B17="","",COUNTIF(Penalties!$AD18:$AL18,S$2))</f>
        <v>0</v>
      </c>
      <c r="T18" s="733">
        <f>IF($B17="","",COUNTIF(Penalties!$AD18:$AL18,T$2))</f>
        <v>1</v>
      </c>
      <c r="U18" s="745">
        <f>IF(B17="","",SUM(E18:T18))</f>
        <v>1</v>
      </c>
      <c r="V18" s="746">
        <f t="shared" ref="V18" si="7">IF(B17="","",SUM(E18:T18)*0.5)</f>
        <v>0.5</v>
      </c>
      <c r="W18" s="747" t="str">
        <f>IF($B17="","",IF(Penalties!$AM18=W$2,1,""))</f>
        <v/>
      </c>
      <c r="X18" s="747" t="str">
        <f>IF($B17="","",IF(Penalties!$AM18=X$2,1,""))</f>
        <v/>
      </c>
      <c r="Y18" s="747" t="str">
        <f>IF($B17="","",IF(Penalties!$AM18=Y$2,1,""))</f>
        <v/>
      </c>
      <c r="Z18" s="747" t="str">
        <f>IF($B17="","",IF(Penalties!$AM18=Z$2,1,""))</f>
        <v/>
      </c>
      <c r="AA18" s="747" t="str">
        <f>IF($B17="","",IF(Penalties!$AM18=AA$2,1,""))</f>
        <v/>
      </c>
      <c r="AB18" s="747" t="str">
        <f>IF($B17="","",IF(Penalties!$AM18=AB$2,1,""))</f>
        <v/>
      </c>
      <c r="AC18" s="747" t="str">
        <f>IF($B17="","",IF(Penalties!$AM18=AC$2,1,""))</f>
        <v/>
      </c>
      <c r="AD18" s="747" t="str">
        <f>IF($B17="","",IF(Penalties!$AM18=AD$2,1,""))</f>
        <v/>
      </c>
      <c r="AE18" s="747" t="str">
        <f>IF($B17="","",IF(Penalties!$AM18=AE$2,1,""))</f>
        <v/>
      </c>
      <c r="AF18" s="747" t="str">
        <f>IF($B17="","",IF(Penalties!$AM18=AF$2,1,""))</f>
        <v/>
      </c>
      <c r="AG18" s="747" t="str">
        <f>IF($B17="","",IF(Penalties!$AM18=AG$2,1,""))</f>
        <v/>
      </c>
      <c r="AH18" s="747" t="str">
        <f>IF($B17="","",IF(Penalties!$AM18=AH$2,1,""))</f>
        <v/>
      </c>
      <c r="AI18" s="747" t="str">
        <f>IF($B17="","",IF(Penalties!$AM18=AI$2,1,""))</f>
        <v/>
      </c>
      <c r="AJ18" s="749" t="str">
        <f>IF(SUM(X17:AI18)=0, "", IF(SUM(X17:AI17)=1, LOOKUP(1, X17:AI17, $X$2:$AI$2), LOOKUP(1, X18:AI18, $X$2:$AI$2)))</f>
        <v/>
      </c>
    </row>
    <row r="19" spans="1:36" s="182" customFormat="1" x14ac:dyDescent="0.3">
      <c r="A19" s="1367">
        <f>A17+1</f>
        <v>9</v>
      </c>
      <c r="B19" s="1368" t="str">
        <f>IF(IGRF!B19="","",IGRF!B19)</f>
        <v>505</v>
      </c>
      <c r="C19" s="1369" t="str">
        <f>IF(IGRF!C19="","",IGRF!C19)</f>
        <v>Teddy Rupp</v>
      </c>
      <c r="D19" s="739" t="s">
        <v>17</v>
      </c>
      <c r="E19" s="732">
        <f>IF($B19="","",COUNTIF(Penalties!$B20:$J20,E$2))</f>
        <v>0</v>
      </c>
      <c r="F19" s="732">
        <f>IF($B19="","",COUNTIF(Penalties!$B20:$J20,F$2))</f>
        <v>0</v>
      </c>
      <c r="G19" s="732">
        <f>IF($B19="","",COUNTIF(Penalties!$B20:$J20,G$2))</f>
        <v>1</v>
      </c>
      <c r="H19" s="732">
        <f>IF($B19="","",COUNTIF(Penalties!$B20:$J20,H$2))</f>
        <v>0</v>
      </c>
      <c r="I19" s="732">
        <f>IF($B19="","",COUNTIF(Penalties!$B20:$J20,I$2))</f>
        <v>0</v>
      </c>
      <c r="J19" s="732">
        <f>IF($B19="","",COUNTIF(Penalties!$B20:$J20,J$2))</f>
        <v>0</v>
      </c>
      <c r="K19" s="732">
        <f>IF($B19="","",COUNTIF(Penalties!$B20:$J20,K$2))</f>
        <v>0</v>
      </c>
      <c r="L19" s="732">
        <f>IF($B19="","",COUNTIF(Penalties!$B20:$J20,L$2))</f>
        <v>0</v>
      </c>
      <c r="M19" s="732">
        <f>IF($B19="","",COUNTIF(Penalties!$B20:$J20,M$2))</f>
        <v>0</v>
      </c>
      <c r="N19" s="732">
        <f>IF($B19="","",COUNTIF(Penalties!$B20:$J20,N$2))</f>
        <v>0</v>
      </c>
      <c r="O19" s="732">
        <f>IF($B19="","",COUNTIF(Penalties!$B20:$J20,O$2))</f>
        <v>0</v>
      </c>
      <c r="P19" s="732">
        <f>IF($B19="","",COUNTIF(Penalties!$B20:$J20,P$2))</f>
        <v>0</v>
      </c>
      <c r="Q19" s="732">
        <f>IF($B19="","",COUNTIF(Penalties!$B20:$J20,Q$2))</f>
        <v>0</v>
      </c>
      <c r="R19" s="732">
        <f>IF($B19="","",COUNTIF(Penalties!$B20:$J20,R$2))</f>
        <v>0</v>
      </c>
      <c r="S19" s="732">
        <f>IF($B19="","",COUNTIF(Penalties!$B20:$J20,S$2))</f>
        <v>0</v>
      </c>
      <c r="T19" s="732">
        <f>IF($B19="","",COUNTIF(Penalties!$B20:$J20,T$2))</f>
        <v>0</v>
      </c>
      <c r="U19" s="740">
        <f>IF(B19="","",SUM(E19:T19))</f>
        <v>1</v>
      </c>
      <c r="V19" s="741">
        <f t="shared" ref="V19" si="8">IF(B19="","",SUM(E19:T19)*0.5)</f>
        <v>0.5</v>
      </c>
      <c r="W19" s="742" t="str">
        <f>IF($B19="","",IF(Penalties!$K20=W$2,1,""))</f>
        <v/>
      </c>
      <c r="X19" s="742" t="str">
        <f>IF($B19="","",IF(Penalties!$K20=X$2,1,""))</f>
        <v/>
      </c>
      <c r="Y19" s="742" t="str">
        <f>IF($B19="","",IF(Penalties!$K20=Y$2,1,""))</f>
        <v/>
      </c>
      <c r="Z19" s="742" t="str">
        <f>IF($B19="","",IF(Penalties!$K20=Z$2,1,""))</f>
        <v/>
      </c>
      <c r="AA19" s="742" t="str">
        <f>IF($B19="","",IF(Penalties!$K20=AA$2,1,""))</f>
        <v/>
      </c>
      <c r="AB19" s="742" t="str">
        <f>IF($B19="","",IF(Penalties!$K20=AB$2,1,""))</f>
        <v/>
      </c>
      <c r="AC19" s="742" t="str">
        <f>IF($B19="","",IF(Penalties!$K20=AC$2,1,""))</f>
        <v/>
      </c>
      <c r="AD19" s="742" t="str">
        <f>IF($B19="","",IF(Penalties!$K20=AD$2,1,""))</f>
        <v/>
      </c>
      <c r="AE19" s="742" t="str">
        <f>IF($B19="","",IF(Penalties!$K20=AE$2,1,""))</f>
        <v/>
      </c>
      <c r="AF19" s="742" t="str">
        <f>IF($B19="","",IF(Penalties!$K20=AF$2,1,""))</f>
        <v/>
      </c>
      <c r="AG19" s="742" t="str">
        <f>IF($B19="","",IF(Penalties!$K20=AG$2,1,""))</f>
        <v/>
      </c>
      <c r="AH19" s="742" t="str">
        <f>IF($B19="","",IF(Penalties!$K20=AH$2,1,""))</f>
        <v/>
      </c>
      <c r="AI19" s="742" t="str">
        <f>IF($B19="","",IF(Penalties!$K20=AI$2,1,""))</f>
        <v/>
      </c>
      <c r="AJ19" s="743"/>
    </row>
    <row r="20" spans="1:36" s="182" customFormat="1" x14ac:dyDescent="0.3">
      <c r="A20" s="1367"/>
      <c r="B20" s="1368"/>
      <c r="C20" s="1369"/>
      <c r="D20" s="739" t="s">
        <v>33</v>
      </c>
      <c r="E20" s="732">
        <f>IF($B19="","",COUNTIF(Penalties!$AD20:$AL20,E$2))</f>
        <v>0</v>
      </c>
      <c r="F20" s="732">
        <f>IF($B19="","",COUNTIF(Penalties!$AD20:$AL20,F$2))</f>
        <v>0</v>
      </c>
      <c r="G20" s="732">
        <f>IF($B19="","",COUNTIF(Penalties!$AD20:$AL20,G$2))</f>
        <v>0</v>
      </c>
      <c r="H20" s="732">
        <f>IF($B19="","",COUNTIF(Penalties!$AD20:$AL20,H$2))</f>
        <v>0</v>
      </c>
      <c r="I20" s="732">
        <f>IF($B19="","",COUNTIF(Penalties!$AD20:$AL20,I$2))</f>
        <v>0</v>
      </c>
      <c r="J20" s="732">
        <f>IF($B19="","",COUNTIF(Penalties!$AD20:$AL20,J$2))</f>
        <v>0</v>
      </c>
      <c r="K20" s="732">
        <f>IF($B19="","",COUNTIF(Penalties!$AD20:$AL20,K$2))</f>
        <v>1</v>
      </c>
      <c r="L20" s="732">
        <f>IF($B19="","",COUNTIF(Penalties!$AD20:$AL20,L$2))</f>
        <v>0</v>
      </c>
      <c r="M20" s="732">
        <f>IF($B19="","",COUNTIF(Penalties!$AD20:$AL20,M$2))</f>
        <v>0</v>
      </c>
      <c r="N20" s="732">
        <f>IF($B19="","",COUNTIF(Penalties!$AD20:$AL20,N$2))</f>
        <v>0</v>
      </c>
      <c r="O20" s="732">
        <f>IF($B19="","",COUNTIF(Penalties!$AD20:$AL20,O$2))</f>
        <v>0</v>
      </c>
      <c r="P20" s="732">
        <f>IF($B19="","",COUNTIF(Penalties!$AD20:$AL20,P$2))</f>
        <v>0</v>
      </c>
      <c r="Q20" s="732">
        <f>IF($B19="","",COUNTIF(Penalties!$AD20:$AL20,Q$2))</f>
        <v>0</v>
      </c>
      <c r="R20" s="732">
        <f>IF($B19="","",COUNTIF(Penalties!$AD20:$AL20,R$2))</f>
        <v>0</v>
      </c>
      <c r="S20" s="732">
        <f>IF($B19="","",COUNTIF(Penalties!$AD20:$AL20,S$2))</f>
        <v>0</v>
      </c>
      <c r="T20" s="732">
        <f>IF($B19="","",COUNTIF(Penalties!$AD20:$AL20,T$2))</f>
        <v>0</v>
      </c>
      <c r="U20" s="740">
        <f>IF(B19="","",SUM(E20:T20))</f>
        <v>1</v>
      </c>
      <c r="V20" s="741">
        <f t="shared" ref="V20" si="9">IF(B19="","",SUM(E20:T20)*0.5)</f>
        <v>0.5</v>
      </c>
      <c r="W20" s="742" t="str">
        <f>IF($B19="","",IF(Penalties!$AM20=W$2,1,""))</f>
        <v/>
      </c>
      <c r="X20" s="742" t="str">
        <f>IF($B19="","",IF(Penalties!$AM20=X$2,1,""))</f>
        <v/>
      </c>
      <c r="Y20" s="742" t="str">
        <f>IF($B19="","",IF(Penalties!$AM20=Y$2,1,""))</f>
        <v/>
      </c>
      <c r="Z20" s="742" t="str">
        <f>IF($B19="","",IF(Penalties!$AM20=Z$2,1,""))</f>
        <v/>
      </c>
      <c r="AA20" s="742" t="str">
        <f>IF($B19="","",IF(Penalties!$AM20=AA$2,1,""))</f>
        <v/>
      </c>
      <c r="AB20" s="742" t="str">
        <f>IF($B19="","",IF(Penalties!$AM20=AB$2,1,""))</f>
        <v/>
      </c>
      <c r="AC20" s="742" t="str">
        <f>IF($B19="","",IF(Penalties!$AM20=AC$2,1,""))</f>
        <v/>
      </c>
      <c r="AD20" s="742" t="str">
        <f>IF($B19="","",IF(Penalties!$AM20=AD$2,1,""))</f>
        <v/>
      </c>
      <c r="AE20" s="742" t="str">
        <f>IF($B19="","",IF(Penalties!$AM20=AE$2,1,""))</f>
        <v/>
      </c>
      <c r="AF20" s="742" t="str">
        <f>IF($B19="","",IF(Penalties!$AM20=AF$2,1,""))</f>
        <v/>
      </c>
      <c r="AG20" s="742" t="str">
        <f>IF($B19="","",IF(Penalties!$AM20=AG$2,1,""))</f>
        <v/>
      </c>
      <c r="AH20" s="742" t="str">
        <f>IF($B19="","",IF(Penalties!$AM20=AH$2,1,""))</f>
        <v/>
      </c>
      <c r="AI20" s="742" t="str">
        <f>IF($B19="","",IF(Penalties!$AM20=AI$2,1,""))</f>
        <v/>
      </c>
      <c r="AJ20" s="744" t="str">
        <f>IF(SUM(X19:AI20)=0, "", IF(SUM(X19:AI19)=1, LOOKUP(1, X19:AI19, $X$2:$AI$2), LOOKUP(1, X20:AI20, $X$2:$AI$2)))</f>
        <v/>
      </c>
    </row>
    <row r="21" spans="1:36" s="182" customFormat="1" x14ac:dyDescent="0.3">
      <c r="A21" s="1364">
        <f>A19+1</f>
        <v>10</v>
      </c>
      <c r="B21" s="1365" t="str">
        <f>IF(IGRF!B20="","",IGRF!B20)</f>
        <v>53</v>
      </c>
      <c r="C21" s="1366" t="str">
        <f>IF(IGRF!C20="","",IGRF!C20)</f>
        <v>Raven Seaward</v>
      </c>
      <c r="D21" s="733" t="s">
        <v>17</v>
      </c>
      <c r="E21" s="733">
        <f>IF($B21="","",COUNTIF(Penalties!$B22:$J22,E$2))</f>
        <v>0</v>
      </c>
      <c r="F21" s="733">
        <f>IF($B21="","",COUNTIF(Penalties!$B22:$J22,F$2))</f>
        <v>0</v>
      </c>
      <c r="G21" s="733">
        <f>IF($B21="","",COUNTIF(Penalties!$B22:$J22,G$2))</f>
        <v>0</v>
      </c>
      <c r="H21" s="733">
        <f>IF($B21="","",COUNTIF(Penalties!$B22:$J22,H$2))</f>
        <v>0</v>
      </c>
      <c r="I21" s="733">
        <f>IF($B21="","",COUNTIF(Penalties!$B22:$J22,I$2))</f>
        <v>0</v>
      </c>
      <c r="J21" s="733">
        <f>IF($B21="","",COUNTIF(Penalties!$B22:$J22,J$2))</f>
        <v>0</v>
      </c>
      <c r="K21" s="733">
        <f>IF($B21="","",COUNTIF(Penalties!$B22:$J22,K$2))</f>
        <v>0</v>
      </c>
      <c r="L21" s="733">
        <f>IF($B21="","",COUNTIF(Penalties!$B22:$J22,L$2))</f>
        <v>0</v>
      </c>
      <c r="M21" s="733">
        <f>IF($B21="","",COUNTIF(Penalties!$B22:$J22,M$2))</f>
        <v>0</v>
      </c>
      <c r="N21" s="733">
        <f>IF($B21="","",COUNTIF(Penalties!$B22:$J22,N$2))</f>
        <v>0</v>
      </c>
      <c r="O21" s="733">
        <f>IF($B21="","",COUNTIF(Penalties!$B22:$J22,O$2))</f>
        <v>0</v>
      </c>
      <c r="P21" s="733">
        <f>IF($B21="","",COUNTIF(Penalties!$B22:$J22,P$2))</f>
        <v>0</v>
      </c>
      <c r="Q21" s="733">
        <f>IF($B21="","",COUNTIF(Penalties!$B22:$J22,Q$2))</f>
        <v>0</v>
      </c>
      <c r="R21" s="733">
        <f>IF($B21="","",COUNTIF(Penalties!$B22:$J22,R$2))</f>
        <v>0</v>
      </c>
      <c r="S21" s="733">
        <f>IF($B21="","",COUNTIF(Penalties!$B22:$J22,S$2))</f>
        <v>0</v>
      </c>
      <c r="T21" s="733">
        <f>IF($B21="","",COUNTIF(Penalties!$B22:$J22,T$2))</f>
        <v>0</v>
      </c>
      <c r="U21" s="745">
        <f>IF(B21="","",SUM(E21:T21))</f>
        <v>0</v>
      </c>
      <c r="V21" s="746">
        <f t="shared" ref="V21" si="10">IF(B21="","",SUM(E21:T21)*0.5)</f>
        <v>0</v>
      </c>
      <c r="W21" s="747" t="str">
        <f>IF($B21="","",IF(Penalties!$K22=W$2,1,""))</f>
        <v/>
      </c>
      <c r="X21" s="747" t="str">
        <f>IF($B21="","",IF(Penalties!$K22=X$2,1,""))</f>
        <v/>
      </c>
      <c r="Y21" s="747" t="str">
        <f>IF($B21="","",IF(Penalties!$K22=Y$2,1,""))</f>
        <v/>
      </c>
      <c r="Z21" s="747" t="str">
        <f>IF($B21="","",IF(Penalties!$K22=Z$2,1,""))</f>
        <v/>
      </c>
      <c r="AA21" s="747" t="str">
        <f>IF($B21="","",IF(Penalties!$K22=AA$2,1,""))</f>
        <v/>
      </c>
      <c r="AB21" s="747" t="str">
        <f>IF($B21="","",IF(Penalties!$K22=AB$2,1,""))</f>
        <v/>
      </c>
      <c r="AC21" s="747" t="str">
        <f>IF($B21="","",IF(Penalties!$K22=AC$2,1,""))</f>
        <v/>
      </c>
      <c r="AD21" s="747" t="str">
        <f>IF($B21="","",IF(Penalties!$K22=AD$2,1,""))</f>
        <v/>
      </c>
      <c r="AE21" s="747" t="str">
        <f>IF($B21="","",IF(Penalties!$K22=AE$2,1,""))</f>
        <v/>
      </c>
      <c r="AF21" s="747" t="str">
        <f>IF($B21="","",IF(Penalties!$K22=AF$2,1,""))</f>
        <v/>
      </c>
      <c r="AG21" s="747" t="str">
        <f>IF($B21="","",IF(Penalties!$K22=AG$2,1,""))</f>
        <v/>
      </c>
      <c r="AH21" s="747" t="str">
        <f>IF($B21="","",IF(Penalties!$K22=AH$2,1,""))</f>
        <v/>
      </c>
      <c r="AI21" s="747" t="str">
        <f>IF($B21="","",IF(Penalties!$K22=AI$2,1,""))</f>
        <v/>
      </c>
      <c r="AJ21" s="748"/>
    </row>
    <row r="22" spans="1:36" s="182" customFormat="1" ht="14.4" thickBot="1" x14ac:dyDescent="0.35">
      <c r="A22" s="1364"/>
      <c r="B22" s="1365"/>
      <c r="C22" s="1366"/>
      <c r="D22" s="733" t="s">
        <v>33</v>
      </c>
      <c r="E22" s="733">
        <f>IF($B21="","",COUNTIF(Penalties!$AD22:$AL22,E$2))</f>
        <v>0</v>
      </c>
      <c r="F22" s="733">
        <f>IF($B21="","",COUNTIF(Penalties!$AD22:$AL22,F$2))</f>
        <v>0</v>
      </c>
      <c r="G22" s="733">
        <f>IF($B21="","",COUNTIF(Penalties!$AD22:$AL22,G$2))</f>
        <v>0</v>
      </c>
      <c r="H22" s="733">
        <f>IF($B21="","",COUNTIF(Penalties!$AD22:$AL22,H$2))</f>
        <v>0</v>
      </c>
      <c r="I22" s="733">
        <f>IF($B21="","",COUNTIF(Penalties!$AD22:$AL22,I$2))</f>
        <v>0</v>
      </c>
      <c r="J22" s="733">
        <f>IF($B21="","",COUNTIF(Penalties!$AD22:$AL22,J$2))</f>
        <v>0</v>
      </c>
      <c r="K22" s="733">
        <f>IF($B21="","",COUNTIF(Penalties!$AD22:$AL22,K$2))</f>
        <v>0</v>
      </c>
      <c r="L22" s="733">
        <f>IF($B21="","",COUNTIF(Penalties!$AD22:$AL22,L$2))</f>
        <v>0</v>
      </c>
      <c r="M22" s="733">
        <f>IF($B21="","",COUNTIF(Penalties!$AD22:$AL22,M$2))</f>
        <v>0</v>
      </c>
      <c r="N22" s="733">
        <f>IF($B21="","",COUNTIF(Penalties!$AD22:$AL22,N$2))</f>
        <v>0</v>
      </c>
      <c r="O22" s="733">
        <f>IF($B21="","",COUNTIF(Penalties!$AD22:$AL22,O$2))</f>
        <v>0</v>
      </c>
      <c r="P22" s="733">
        <f>IF($B21="","",COUNTIF(Penalties!$AD22:$AL22,P$2))</f>
        <v>0</v>
      </c>
      <c r="Q22" s="733">
        <f>IF($B21="","",COUNTIF(Penalties!$AD22:$AL22,Q$2))</f>
        <v>0</v>
      </c>
      <c r="R22" s="733">
        <f>IF($B21="","",COUNTIF(Penalties!$AD22:$AL22,R$2))</f>
        <v>0</v>
      </c>
      <c r="S22" s="733">
        <f>IF($B21="","",COUNTIF(Penalties!$AD22:$AL22,S$2))</f>
        <v>0</v>
      </c>
      <c r="T22" s="733">
        <f>IF($B21="","",COUNTIF(Penalties!$AD22:$AL22,T$2))</f>
        <v>0</v>
      </c>
      <c r="U22" s="745">
        <f>IF(B21="","",SUM(E22:T22))</f>
        <v>0</v>
      </c>
      <c r="V22" s="746">
        <f t="shared" ref="V22" si="11">IF(B21="","",SUM(E22:T22)*0.5)</f>
        <v>0</v>
      </c>
      <c r="W22" s="747" t="str">
        <f>IF($B21="","",IF(Penalties!$AM22=W$2,1,""))</f>
        <v/>
      </c>
      <c r="X22" s="747" t="str">
        <f>IF($B21="","",IF(Penalties!$AM22=X$2,1,""))</f>
        <v/>
      </c>
      <c r="Y22" s="747" t="str">
        <f>IF($B21="","",IF(Penalties!$AM22=Y$2,1,""))</f>
        <v/>
      </c>
      <c r="Z22" s="747" t="str">
        <f>IF($B21="","",IF(Penalties!$AM22=Z$2,1,""))</f>
        <v/>
      </c>
      <c r="AA22" s="747" t="str">
        <f>IF($B21="","",IF(Penalties!$AM22=AA$2,1,""))</f>
        <v/>
      </c>
      <c r="AB22" s="747" t="str">
        <f>IF($B21="","",IF(Penalties!$AM22=AB$2,1,""))</f>
        <v/>
      </c>
      <c r="AC22" s="747" t="str">
        <f>IF($B21="","",IF(Penalties!$AM22=AC$2,1,""))</f>
        <v/>
      </c>
      <c r="AD22" s="747" t="str">
        <f>IF($B21="","",IF(Penalties!$AM22=AD$2,1,""))</f>
        <v/>
      </c>
      <c r="AE22" s="747" t="str">
        <f>IF($B21="","",IF(Penalties!$AM22=AE$2,1,""))</f>
        <v/>
      </c>
      <c r="AF22" s="747" t="str">
        <f>IF($B21="","",IF(Penalties!$AM22=AF$2,1,""))</f>
        <v/>
      </c>
      <c r="AG22" s="747" t="str">
        <f>IF($B21="","",IF(Penalties!$AM22=AG$2,1,""))</f>
        <v/>
      </c>
      <c r="AH22" s="747" t="str">
        <f>IF($B21="","",IF(Penalties!$AM22=AH$2,1,""))</f>
        <v/>
      </c>
      <c r="AI22" s="747" t="str">
        <f>IF($B21="","",IF(Penalties!$AM22=AI$2,1,""))</f>
        <v/>
      </c>
      <c r="AJ22" s="749" t="str">
        <f>IF(SUM(X21:AI22)=0, "", IF(SUM(X21:AI21)=1, LOOKUP(1, X21:AI21, $X$2:$AI$2), LOOKUP(1, X22:AI22, $X$2:$AI$2)))</f>
        <v/>
      </c>
    </row>
    <row r="23" spans="1:36" s="182" customFormat="1" x14ac:dyDescent="0.3">
      <c r="A23" s="1367">
        <f>A21+1</f>
        <v>11</v>
      </c>
      <c r="B23" s="1368" t="str">
        <f>IF(IGRF!B21="","",IGRF!B21)</f>
        <v>761</v>
      </c>
      <c r="C23" s="1369" t="str">
        <f>IF(IGRF!C21="","",IGRF!C21)</f>
        <v>Rawkhell SqWelch</v>
      </c>
      <c r="D23" s="739" t="s">
        <v>17</v>
      </c>
      <c r="E23" s="732">
        <f>IF($B23="","",COUNTIF(Penalties!$B24:$J24,E$2))</f>
        <v>0</v>
      </c>
      <c r="F23" s="732">
        <f>IF($B23="","",COUNTIF(Penalties!$B24:$J24,F$2))</f>
        <v>0</v>
      </c>
      <c r="G23" s="732">
        <f>IF($B23="","",COUNTIF(Penalties!$B24:$J24,G$2))</f>
        <v>0</v>
      </c>
      <c r="H23" s="732">
        <f>IF($B23="","",COUNTIF(Penalties!$B24:$J24,H$2))</f>
        <v>0</v>
      </c>
      <c r="I23" s="732">
        <f>IF($B23="","",COUNTIF(Penalties!$B24:$J24,I$2))</f>
        <v>0</v>
      </c>
      <c r="J23" s="732">
        <f>IF($B23="","",COUNTIF(Penalties!$B24:$J24,J$2))</f>
        <v>0</v>
      </c>
      <c r="K23" s="732">
        <f>IF($B23="","",COUNTIF(Penalties!$B24:$J24,K$2))</f>
        <v>0</v>
      </c>
      <c r="L23" s="732">
        <f>IF($B23="","",COUNTIF(Penalties!$B24:$J24,L$2))</f>
        <v>0</v>
      </c>
      <c r="M23" s="732">
        <f>IF($B23="","",COUNTIF(Penalties!$B24:$J24,M$2))</f>
        <v>0</v>
      </c>
      <c r="N23" s="732">
        <f>IF($B23="","",COUNTIF(Penalties!$B24:$J24,N$2))</f>
        <v>0</v>
      </c>
      <c r="O23" s="732">
        <f>IF($B23="","",COUNTIF(Penalties!$B24:$J24,O$2))</f>
        <v>1</v>
      </c>
      <c r="P23" s="732">
        <f>IF($B23="","",COUNTIF(Penalties!$B24:$J24,P$2))</f>
        <v>0</v>
      </c>
      <c r="Q23" s="732">
        <f>IF($B23="","",COUNTIF(Penalties!$B24:$J24,Q$2))</f>
        <v>0</v>
      </c>
      <c r="R23" s="732">
        <f>IF($B23="","",COUNTIF(Penalties!$B24:$J24,R$2))</f>
        <v>0</v>
      </c>
      <c r="S23" s="732">
        <f>IF($B23="","",COUNTIF(Penalties!$B24:$J24,S$2))</f>
        <v>0</v>
      </c>
      <c r="T23" s="732">
        <f>IF($B23="","",COUNTIF(Penalties!$B24:$J24,T$2))</f>
        <v>0</v>
      </c>
      <c r="U23" s="740">
        <f>IF(B23="","",SUM(E23:T23))</f>
        <v>1</v>
      </c>
      <c r="V23" s="741">
        <f t="shared" ref="V23" si="12">IF(B23="","",SUM(E23:T23)*0.5)</f>
        <v>0.5</v>
      </c>
      <c r="W23" s="742" t="str">
        <f>IF($B23="","",IF(Penalties!$K24=W$2,1,""))</f>
        <v/>
      </c>
      <c r="X23" s="742" t="str">
        <f>IF($B23="","",IF(Penalties!$K24=X$2,1,""))</f>
        <v/>
      </c>
      <c r="Y23" s="742" t="str">
        <f>IF($B23="","",IF(Penalties!$K24=Y$2,1,""))</f>
        <v/>
      </c>
      <c r="Z23" s="742" t="str">
        <f>IF($B23="","",IF(Penalties!$K24=Z$2,1,""))</f>
        <v/>
      </c>
      <c r="AA23" s="742" t="str">
        <f>IF($B23="","",IF(Penalties!$K24=AA$2,1,""))</f>
        <v/>
      </c>
      <c r="AB23" s="742" t="str">
        <f>IF($B23="","",IF(Penalties!$K24=AB$2,1,""))</f>
        <v/>
      </c>
      <c r="AC23" s="742" t="str">
        <f>IF($B23="","",IF(Penalties!$K24=AC$2,1,""))</f>
        <v/>
      </c>
      <c r="AD23" s="742" t="str">
        <f>IF($B23="","",IF(Penalties!$K24=AD$2,1,""))</f>
        <v/>
      </c>
      <c r="AE23" s="742" t="str">
        <f>IF($B23="","",IF(Penalties!$K24=AE$2,1,""))</f>
        <v/>
      </c>
      <c r="AF23" s="742" t="str">
        <f>IF($B23="","",IF(Penalties!$K24=AF$2,1,""))</f>
        <v/>
      </c>
      <c r="AG23" s="742" t="str">
        <f>IF($B23="","",IF(Penalties!$K24=AG$2,1,""))</f>
        <v/>
      </c>
      <c r="AH23" s="742" t="str">
        <f>IF($B23="","",IF(Penalties!$K24=AH$2,1,""))</f>
        <v/>
      </c>
      <c r="AI23" s="742" t="str">
        <f>IF($B23="","",IF(Penalties!$K24=AI$2,1,""))</f>
        <v/>
      </c>
      <c r="AJ23" s="743"/>
    </row>
    <row r="24" spans="1:36" s="182" customFormat="1" x14ac:dyDescent="0.3">
      <c r="A24" s="1367"/>
      <c r="B24" s="1368"/>
      <c r="C24" s="1369"/>
      <c r="D24" s="739" t="s">
        <v>33</v>
      </c>
      <c r="E24" s="732">
        <f>IF($B23="","",COUNTIF(Penalties!$AD24:$AL24,E$2))</f>
        <v>0</v>
      </c>
      <c r="F24" s="732">
        <f>IF($B23="","",COUNTIF(Penalties!$AD24:$AL24,F$2))</f>
        <v>0</v>
      </c>
      <c r="G24" s="732">
        <f>IF($B23="","",COUNTIF(Penalties!$AD24:$AL24,G$2))</f>
        <v>0</v>
      </c>
      <c r="H24" s="732">
        <f>IF($B23="","",COUNTIF(Penalties!$AD24:$AL24,H$2))</f>
        <v>0</v>
      </c>
      <c r="I24" s="732">
        <f>IF($B23="","",COUNTIF(Penalties!$AD24:$AL24,I$2))</f>
        <v>1</v>
      </c>
      <c r="J24" s="732">
        <f>IF($B23="","",COUNTIF(Penalties!$AD24:$AL24,J$2))</f>
        <v>0</v>
      </c>
      <c r="K24" s="732">
        <f>IF($B23="","",COUNTIF(Penalties!$AD24:$AL24,K$2))</f>
        <v>0</v>
      </c>
      <c r="L24" s="732">
        <f>IF($B23="","",COUNTIF(Penalties!$AD24:$AL24,L$2))</f>
        <v>0</v>
      </c>
      <c r="M24" s="732">
        <f>IF($B23="","",COUNTIF(Penalties!$AD24:$AL24,M$2))</f>
        <v>0</v>
      </c>
      <c r="N24" s="732">
        <f>IF($B23="","",COUNTIF(Penalties!$AD24:$AL24,N$2))</f>
        <v>0</v>
      </c>
      <c r="O24" s="732">
        <f>IF($B23="","",COUNTIF(Penalties!$AD24:$AL24,O$2))</f>
        <v>0</v>
      </c>
      <c r="P24" s="732">
        <f>IF($B23="","",COUNTIF(Penalties!$AD24:$AL24,P$2))</f>
        <v>0</v>
      </c>
      <c r="Q24" s="732">
        <f>IF($B23="","",COUNTIF(Penalties!$AD24:$AL24,Q$2))</f>
        <v>0</v>
      </c>
      <c r="R24" s="732">
        <f>IF($B23="","",COUNTIF(Penalties!$AD24:$AL24,R$2))</f>
        <v>0</v>
      </c>
      <c r="S24" s="732">
        <f>IF($B23="","",COUNTIF(Penalties!$AD24:$AL24,S$2))</f>
        <v>0</v>
      </c>
      <c r="T24" s="732">
        <f>IF($B23="","",COUNTIF(Penalties!$AD24:$AL24,T$2))</f>
        <v>0</v>
      </c>
      <c r="U24" s="740">
        <f>IF(B23="","",SUM(E24:T24))</f>
        <v>1</v>
      </c>
      <c r="V24" s="741">
        <f t="shared" ref="V24" si="13">IF(B23="","",SUM(E24:T24)*0.5)</f>
        <v>0.5</v>
      </c>
      <c r="W24" s="742" t="str">
        <f>IF($B23="","",IF(Penalties!$AM24=W$2,1,""))</f>
        <v/>
      </c>
      <c r="X24" s="742" t="str">
        <f>IF($B23="","",IF(Penalties!$AM24=X$2,1,""))</f>
        <v/>
      </c>
      <c r="Y24" s="742" t="str">
        <f>IF($B23="","",IF(Penalties!$AM24=Y$2,1,""))</f>
        <v/>
      </c>
      <c r="Z24" s="742" t="str">
        <f>IF($B23="","",IF(Penalties!$AM24=Z$2,1,""))</f>
        <v/>
      </c>
      <c r="AA24" s="742" t="str">
        <f>IF($B23="","",IF(Penalties!$AM24=AA$2,1,""))</f>
        <v/>
      </c>
      <c r="AB24" s="742" t="str">
        <f>IF($B23="","",IF(Penalties!$AM24=AB$2,1,""))</f>
        <v/>
      </c>
      <c r="AC24" s="742" t="str">
        <f>IF($B23="","",IF(Penalties!$AM24=AC$2,1,""))</f>
        <v/>
      </c>
      <c r="AD24" s="742" t="str">
        <f>IF($B23="","",IF(Penalties!$AM24=AD$2,1,""))</f>
        <v/>
      </c>
      <c r="AE24" s="742" t="str">
        <f>IF($B23="","",IF(Penalties!$AM24=AE$2,1,""))</f>
        <v/>
      </c>
      <c r="AF24" s="742" t="str">
        <f>IF($B23="","",IF(Penalties!$AM24=AF$2,1,""))</f>
        <v/>
      </c>
      <c r="AG24" s="742" t="str">
        <f>IF($B23="","",IF(Penalties!$AM24=AG$2,1,""))</f>
        <v/>
      </c>
      <c r="AH24" s="742" t="str">
        <f>IF($B23="","",IF(Penalties!$AM24=AH$2,1,""))</f>
        <v/>
      </c>
      <c r="AI24" s="742" t="str">
        <f>IF($B23="","",IF(Penalties!$AM24=AI$2,1,""))</f>
        <v/>
      </c>
      <c r="AJ24" s="744" t="str">
        <f>IF(SUM(X23:AI24)=0, "", IF(SUM(X23:AI23)=1, LOOKUP(1, X23:AI23, $X$2:$AI$2), LOOKUP(1, X24:AI24, $X$2:$AI$2)))</f>
        <v/>
      </c>
    </row>
    <row r="25" spans="1:36" s="182" customFormat="1" x14ac:dyDescent="0.3">
      <c r="A25" s="1364">
        <f>A23+1</f>
        <v>12</v>
      </c>
      <c r="B25" s="1365" t="str">
        <f>IF(IGRF!B22="","",IGRF!B22)</f>
        <v>808</v>
      </c>
      <c r="C25" s="1366" t="str">
        <f>IF(IGRF!C22="","",IGRF!C22)</f>
        <v>Kendle Bjelland</v>
      </c>
      <c r="D25" s="733" t="s">
        <v>17</v>
      </c>
      <c r="E25" s="733">
        <f>IF($B25="","",COUNTIF(Penalties!$B26:$J26,E$2))</f>
        <v>0</v>
      </c>
      <c r="F25" s="733">
        <f>IF($B25="","",COUNTIF(Penalties!$B26:$J26,F$2))</f>
        <v>0</v>
      </c>
      <c r="G25" s="733">
        <f>IF($B25="","",COUNTIF(Penalties!$B26:$J26,G$2))</f>
        <v>1</v>
      </c>
      <c r="H25" s="733">
        <f>IF($B25="","",COUNTIF(Penalties!$B26:$J26,H$2))</f>
        <v>0</v>
      </c>
      <c r="I25" s="733">
        <f>IF($B25="","",COUNTIF(Penalties!$B26:$J26,I$2))</f>
        <v>0</v>
      </c>
      <c r="J25" s="733">
        <f>IF($B25="","",COUNTIF(Penalties!$B26:$J26,J$2))</f>
        <v>0</v>
      </c>
      <c r="K25" s="733">
        <f>IF($B25="","",COUNTIF(Penalties!$B26:$J26,K$2))</f>
        <v>0</v>
      </c>
      <c r="L25" s="733">
        <f>IF($B25="","",COUNTIF(Penalties!$B26:$J26,L$2))</f>
        <v>0</v>
      </c>
      <c r="M25" s="733">
        <f>IF($B25="","",COUNTIF(Penalties!$B26:$J26,M$2))</f>
        <v>0</v>
      </c>
      <c r="N25" s="733">
        <f>IF($B25="","",COUNTIF(Penalties!$B26:$J26,N$2))</f>
        <v>0</v>
      </c>
      <c r="O25" s="733">
        <f>IF($B25="","",COUNTIF(Penalties!$B26:$J26,O$2))</f>
        <v>1</v>
      </c>
      <c r="P25" s="733">
        <f>IF($B25="","",COUNTIF(Penalties!$B26:$J26,P$2))</f>
        <v>0</v>
      </c>
      <c r="Q25" s="733">
        <f>IF($B25="","",COUNTIF(Penalties!$B26:$J26,Q$2))</f>
        <v>0</v>
      </c>
      <c r="R25" s="733">
        <f>IF($B25="","",COUNTIF(Penalties!$B26:$J26,R$2))</f>
        <v>0</v>
      </c>
      <c r="S25" s="733">
        <f>IF($B25="","",COUNTIF(Penalties!$B26:$J26,S$2))</f>
        <v>0</v>
      </c>
      <c r="T25" s="733">
        <f>IF($B25="","",COUNTIF(Penalties!$B26:$J26,T$2))</f>
        <v>0</v>
      </c>
      <c r="U25" s="745">
        <f>IF(B25="","",SUM(E25:T25))</f>
        <v>2</v>
      </c>
      <c r="V25" s="746">
        <f t="shared" ref="V25" si="14">IF(B25="","",SUM(E25:T25)*0.5)</f>
        <v>1</v>
      </c>
      <c r="W25" s="747" t="str">
        <f>IF($B25="","",IF(Penalties!$K26=W$2,1,""))</f>
        <v/>
      </c>
      <c r="X25" s="747" t="str">
        <f>IF($B25="","",IF(Penalties!$K26=X$2,1,""))</f>
        <v/>
      </c>
      <c r="Y25" s="747" t="str">
        <f>IF($B25="","",IF(Penalties!$K26=Y$2,1,""))</f>
        <v/>
      </c>
      <c r="Z25" s="747" t="str">
        <f>IF($B25="","",IF(Penalties!$K26=Z$2,1,""))</f>
        <v/>
      </c>
      <c r="AA25" s="747" t="str">
        <f>IF($B25="","",IF(Penalties!$K26=AA$2,1,""))</f>
        <v/>
      </c>
      <c r="AB25" s="747" t="str">
        <f>IF($B25="","",IF(Penalties!$K26=AB$2,1,""))</f>
        <v/>
      </c>
      <c r="AC25" s="747" t="str">
        <f>IF($B25="","",IF(Penalties!$K26=AC$2,1,""))</f>
        <v/>
      </c>
      <c r="AD25" s="747" t="str">
        <f>IF($B25="","",IF(Penalties!$K26=AD$2,1,""))</f>
        <v/>
      </c>
      <c r="AE25" s="747" t="str">
        <f>IF($B25="","",IF(Penalties!$K26=AE$2,1,""))</f>
        <v/>
      </c>
      <c r="AF25" s="747" t="str">
        <f>IF($B25="","",IF(Penalties!$K26=AF$2,1,""))</f>
        <v/>
      </c>
      <c r="AG25" s="747" t="str">
        <f>IF($B25="","",IF(Penalties!$K26=AG$2,1,""))</f>
        <v/>
      </c>
      <c r="AH25" s="747" t="str">
        <f>IF($B25="","",IF(Penalties!$K26=AH$2,1,""))</f>
        <v/>
      </c>
      <c r="AI25" s="747" t="str">
        <f>IF($B25="","",IF(Penalties!$K26=AI$2,1,""))</f>
        <v/>
      </c>
      <c r="AJ25" s="748"/>
    </row>
    <row r="26" spans="1:36" s="182" customFormat="1" ht="14.4" thickBot="1" x14ac:dyDescent="0.35">
      <c r="A26" s="1364"/>
      <c r="B26" s="1365"/>
      <c r="C26" s="1366"/>
      <c r="D26" s="733" t="s">
        <v>33</v>
      </c>
      <c r="E26" s="733">
        <f>IF($B25="","",COUNTIF(Penalties!$AD26:$AL26,E$2))</f>
        <v>0</v>
      </c>
      <c r="F26" s="733">
        <f>IF($B25="","",COUNTIF(Penalties!$AD26:$AL26,F$2))</f>
        <v>0</v>
      </c>
      <c r="G26" s="733">
        <f>IF($B25="","",COUNTIF(Penalties!$AD26:$AL26,G$2))</f>
        <v>0</v>
      </c>
      <c r="H26" s="733">
        <f>IF($B25="","",COUNTIF(Penalties!$AD26:$AL26,H$2))</f>
        <v>0</v>
      </c>
      <c r="I26" s="733">
        <f>IF($B25="","",COUNTIF(Penalties!$AD26:$AL26,I$2))</f>
        <v>0</v>
      </c>
      <c r="J26" s="733">
        <f>IF($B25="","",COUNTIF(Penalties!$AD26:$AL26,J$2))</f>
        <v>0</v>
      </c>
      <c r="K26" s="733">
        <f>IF($B25="","",COUNTIF(Penalties!$AD26:$AL26,K$2))</f>
        <v>0</v>
      </c>
      <c r="L26" s="733">
        <f>IF($B25="","",COUNTIF(Penalties!$AD26:$AL26,L$2))</f>
        <v>0</v>
      </c>
      <c r="M26" s="733">
        <f>IF($B25="","",COUNTIF(Penalties!$AD26:$AL26,M$2))</f>
        <v>0</v>
      </c>
      <c r="N26" s="733">
        <f>IF($B25="","",COUNTIF(Penalties!$AD26:$AL26,N$2))</f>
        <v>0</v>
      </c>
      <c r="O26" s="733">
        <f>IF($B25="","",COUNTIF(Penalties!$AD26:$AL26,O$2))</f>
        <v>0</v>
      </c>
      <c r="P26" s="733">
        <f>IF($B25="","",COUNTIF(Penalties!$AD26:$AL26,P$2))</f>
        <v>0</v>
      </c>
      <c r="Q26" s="733">
        <f>IF($B25="","",COUNTIF(Penalties!$AD26:$AL26,Q$2))</f>
        <v>0</v>
      </c>
      <c r="R26" s="733">
        <f>IF($B25="","",COUNTIF(Penalties!$AD26:$AL26,R$2))</f>
        <v>0</v>
      </c>
      <c r="S26" s="733">
        <f>IF($B25="","",COUNTIF(Penalties!$AD26:$AL26,S$2))</f>
        <v>0</v>
      </c>
      <c r="T26" s="733">
        <f>IF($B25="","",COUNTIF(Penalties!$AD26:$AL26,T$2))</f>
        <v>0</v>
      </c>
      <c r="U26" s="745">
        <f>IF(B25="","",SUM(E26:T26))</f>
        <v>0</v>
      </c>
      <c r="V26" s="746">
        <f t="shared" ref="V26" si="15">IF(B25="","",SUM(E26:T26)*0.5)</f>
        <v>0</v>
      </c>
      <c r="W26" s="747" t="str">
        <f>IF($B25="","",IF(Penalties!$AM26=W$2,1,""))</f>
        <v/>
      </c>
      <c r="X26" s="747" t="str">
        <f>IF($B25="","",IF(Penalties!$AM26=X$2,1,""))</f>
        <v/>
      </c>
      <c r="Y26" s="747" t="str">
        <f>IF($B25="","",IF(Penalties!$AM26=Y$2,1,""))</f>
        <v/>
      </c>
      <c r="Z26" s="747" t="str">
        <f>IF($B25="","",IF(Penalties!$AM26=Z$2,1,""))</f>
        <v/>
      </c>
      <c r="AA26" s="747" t="str">
        <f>IF($B25="","",IF(Penalties!$AM26=AA$2,1,""))</f>
        <v/>
      </c>
      <c r="AB26" s="747" t="str">
        <f>IF($B25="","",IF(Penalties!$AM26=AB$2,1,""))</f>
        <v/>
      </c>
      <c r="AC26" s="747" t="str">
        <f>IF($B25="","",IF(Penalties!$AM26=AC$2,1,""))</f>
        <v/>
      </c>
      <c r="AD26" s="747" t="str">
        <f>IF($B25="","",IF(Penalties!$AM26=AD$2,1,""))</f>
        <v/>
      </c>
      <c r="AE26" s="747" t="str">
        <f>IF($B25="","",IF(Penalties!$AM26=AE$2,1,""))</f>
        <v/>
      </c>
      <c r="AF26" s="747" t="str">
        <f>IF($B25="","",IF(Penalties!$AM26=AF$2,1,""))</f>
        <v/>
      </c>
      <c r="AG26" s="747" t="str">
        <f>IF($B25="","",IF(Penalties!$AM26=AG$2,1,""))</f>
        <v/>
      </c>
      <c r="AH26" s="747" t="str">
        <f>IF($B25="","",IF(Penalties!$AM26=AH$2,1,""))</f>
        <v/>
      </c>
      <c r="AI26" s="747" t="str">
        <f>IF($B25="","",IF(Penalties!$AM26=AI$2,1,""))</f>
        <v/>
      </c>
      <c r="AJ26" s="749" t="str">
        <f>IF(SUM(X25:AI26)=0, "", IF(SUM(X25:AI25)=1, LOOKUP(1, X25:AI25, $X$2:$AI$2), LOOKUP(1, X26:AI26, $X$2:$AI$2)))</f>
        <v/>
      </c>
    </row>
    <row r="27" spans="1:36" s="182" customFormat="1" x14ac:dyDescent="0.3">
      <c r="A27" s="1367">
        <f>A25+1</f>
        <v>13</v>
      </c>
      <c r="B27" s="1368" t="str">
        <f>IF(IGRF!B23="","",IGRF!B23)</f>
        <v>9</v>
      </c>
      <c r="C27" s="1369" t="str">
        <f>IF(IGRF!C23="","",IGRF!C23)</f>
        <v>P. Wilhelm</v>
      </c>
      <c r="D27" s="739" t="s">
        <v>17</v>
      </c>
      <c r="E27" s="732">
        <f>IF($B27="","",COUNTIF(Penalties!$B28:$J28,E$2))</f>
        <v>0</v>
      </c>
      <c r="F27" s="732">
        <f>IF($B27="","",COUNTIF(Penalties!$B28:$J28,F$2))</f>
        <v>1</v>
      </c>
      <c r="G27" s="732">
        <f>IF($B27="","",COUNTIF(Penalties!$B28:$J28,G$2))</f>
        <v>0</v>
      </c>
      <c r="H27" s="732">
        <f>IF($B27="","",COUNTIF(Penalties!$B28:$J28,H$2))</f>
        <v>0</v>
      </c>
      <c r="I27" s="732">
        <f>IF($B27="","",COUNTIF(Penalties!$B28:$J28,I$2))</f>
        <v>0</v>
      </c>
      <c r="J27" s="732">
        <f>IF($B27="","",COUNTIF(Penalties!$B28:$J28,J$2))</f>
        <v>0</v>
      </c>
      <c r="K27" s="732">
        <f>IF($B27="","",COUNTIF(Penalties!$B28:$J28,K$2))</f>
        <v>0</v>
      </c>
      <c r="L27" s="732">
        <f>IF($B27="","",COUNTIF(Penalties!$B28:$J28,L$2))</f>
        <v>0</v>
      </c>
      <c r="M27" s="732">
        <f>IF($B27="","",COUNTIF(Penalties!$B28:$J28,M$2))</f>
        <v>0</v>
      </c>
      <c r="N27" s="732">
        <f>IF($B27="","",COUNTIF(Penalties!$B28:$J28,N$2))</f>
        <v>1</v>
      </c>
      <c r="O27" s="732">
        <f>IF($B27="","",COUNTIF(Penalties!$B28:$J28,O$2))</f>
        <v>0</v>
      </c>
      <c r="P27" s="732">
        <f>IF($B27="","",COUNTIF(Penalties!$B28:$J28,P$2))</f>
        <v>0</v>
      </c>
      <c r="Q27" s="732">
        <f>IF($B27="","",COUNTIF(Penalties!$B28:$J28,Q$2))</f>
        <v>0</v>
      </c>
      <c r="R27" s="732">
        <f>IF($B27="","",COUNTIF(Penalties!$B28:$J28,R$2))</f>
        <v>0</v>
      </c>
      <c r="S27" s="732">
        <f>IF($B27="","",COUNTIF(Penalties!$B28:$J28,S$2))</f>
        <v>0</v>
      </c>
      <c r="T27" s="732">
        <f>IF($B27="","",COUNTIF(Penalties!$B28:$J28,T$2))</f>
        <v>0</v>
      </c>
      <c r="U27" s="740">
        <f>IF(B27="","",SUM(E27:T27))</f>
        <v>2</v>
      </c>
      <c r="V27" s="741">
        <f t="shared" ref="V27" si="16">IF(B27="","",SUM(E27:T27)*0.5)</f>
        <v>1</v>
      </c>
      <c r="W27" s="742" t="str">
        <f>IF($B27="","",IF(Penalties!$K28=W$2,1,""))</f>
        <v/>
      </c>
      <c r="X27" s="742" t="str">
        <f>IF($B27="","",IF(Penalties!$K28=X$2,1,""))</f>
        <v/>
      </c>
      <c r="Y27" s="742" t="str">
        <f>IF($B27="","",IF(Penalties!$K28=Y$2,1,""))</f>
        <v/>
      </c>
      <c r="Z27" s="742" t="str">
        <f>IF($B27="","",IF(Penalties!$K28=Z$2,1,""))</f>
        <v/>
      </c>
      <c r="AA27" s="742" t="str">
        <f>IF($B27="","",IF(Penalties!$K28=AA$2,1,""))</f>
        <v/>
      </c>
      <c r="AB27" s="742" t="str">
        <f>IF($B27="","",IF(Penalties!$K28=AB$2,1,""))</f>
        <v/>
      </c>
      <c r="AC27" s="742" t="str">
        <f>IF($B27="","",IF(Penalties!$K28=AC$2,1,""))</f>
        <v/>
      </c>
      <c r="AD27" s="742" t="str">
        <f>IF($B27="","",IF(Penalties!$K28=AD$2,1,""))</f>
        <v/>
      </c>
      <c r="AE27" s="742" t="str">
        <f>IF($B27="","",IF(Penalties!$K28=AE$2,1,""))</f>
        <v/>
      </c>
      <c r="AF27" s="742" t="str">
        <f>IF($B27="","",IF(Penalties!$K28=AF$2,1,""))</f>
        <v/>
      </c>
      <c r="AG27" s="742" t="str">
        <f>IF($B27="","",IF(Penalties!$K28=AG$2,1,""))</f>
        <v/>
      </c>
      <c r="AH27" s="742" t="str">
        <f>IF($B27="","",IF(Penalties!$K28=AH$2,1,""))</f>
        <v/>
      </c>
      <c r="AI27" s="742" t="str">
        <f>IF($B27="","",IF(Penalties!$K28=AI$2,1,""))</f>
        <v/>
      </c>
      <c r="AJ27" s="743"/>
    </row>
    <row r="28" spans="1:36" s="182" customFormat="1" x14ac:dyDescent="0.3">
      <c r="A28" s="1367"/>
      <c r="B28" s="1368"/>
      <c r="C28" s="1369"/>
      <c r="D28" s="739" t="s">
        <v>33</v>
      </c>
      <c r="E28" s="732">
        <f>IF($B27="","",COUNTIF(Penalties!$AD28:$AL28,E$2))</f>
        <v>0</v>
      </c>
      <c r="F28" s="732">
        <f>IF($B27="","",COUNTIF(Penalties!$AD28:$AL28,F$2))</f>
        <v>0</v>
      </c>
      <c r="G28" s="732">
        <f>IF($B27="","",COUNTIF(Penalties!$AD28:$AL28,G$2))</f>
        <v>0</v>
      </c>
      <c r="H28" s="732">
        <f>IF($B27="","",COUNTIF(Penalties!$AD28:$AL28,H$2))</f>
        <v>0</v>
      </c>
      <c r="I28" s="732">
        <f>IF($B27="","",COUNTIF(Penalties!$AD28:$AL28,I$2))</f>
        <v>0</v>
      </c>
      <c r="J28" s="732">
        <f>IF($B27="","",COUNTIF(Penalties!$AD28:$AL28,J$2))</f>
        <v>0</v>
      </c>
      <c r="K28" s="732">
        <f>IF($B27="","",COUNTIF(Penalties!$AD28:$AL28,K$2))</f>
        <v>0</v>
      </c>
      <c r="L28" s="732">
        <f>IF($B27="","",COUNTIF(Penalties!$AD28:$AL28,L$2))</f>
        <v>1</v>
      </c>
      <c r="M28" s="732">
        <f>IF($B27="","",COUNTIF(Penalties!$AD28:$AL28,M$2))</f>
        <v>0</v>
      </c>
      <c r="N28" s="732">
        <f>IF($B27="","",COUNTIF(Penalties!$AD28:$AL28,N$2))</f>
        <v>0</v>
      </c>
      <c r="O28" s="732">
        <f>IF($B27="","",COUNTIF(Penalties!$AD28:$AL28,O$2))</f>
        <v>0</v>
      </c>
      <c r="P28" s="732">
        <f>IF($B27="","",COUNTIF(Penalties!$AD28:$AL28,P$2))</f>
        <v>0</v>
      </c>
      <c r="Q28" s="732">
        <f>IF($B27="","",COUNTIF(Penalties!$AD28:$AL28,Q$2))</f>
        <v>0</v>
      </c>
      <c r="R28" s="732">
        <f>IF($B27="","",COUNTIF(Penalties!$AD28:$AL28,R$2))</f>
        <v>0</v>
      </c>
      <c r="S28" s="732">
        <f>IF($B27="","",COUNTIF(Penalties!$AD28:$AL28,S$2))</f>
        <v>0</v>
      </c>
      <c r="T28" s="732">
        <f>IF($B27="","",COUNTIF(Penalties!$AD28:$AL28,T$2))</f>
        <v>0</v>
      </c>
      <c r="U28" s="740">
        <f>IF(B27="","",SUM(E28:T28))</f>
        <v>1</v>
      </c>
      <c r="V28" s="741">
        <f t="shared" ref="V28" si="17">IF(B27="","",SUM(E28:T28)*0.5)</f>
        <v>0.5</v>
      </c>
      <c r="W28" s="742" t="str">
        <f>IF($B27="","",IF(Penalties!$AM28=W$2,1,""))</f>
        <v/>
      </c>
      <c r="X28" s="742" t="str">
        <f>IF($B27="","",IF(Penalties!$AM28=X$2,1,""))</f>
        <v/>
      </c>
      <c r="Y28" s="742" t="str">
        <f>IF($B27="","",IF(Penalties!$AM28=Y$2,1,""))</f>
        <v/>
      </c>
      <c r="Z28" s="742" t="str">
        <f>IF($B27="","",IF(Penalties!$AM28=Z$2,1,""))</f>
        <v/>
      </c>
      <c r="AA28" s="742" t="str">
        <f>IF($B27="","",IF(Penalties!$AM28=AA$2,1,""))</f>
        <v/>
      </c>
      <c r="AB28" s="742" t="str">
        <f>IF($B27="","",IF(Penalties!$AM28=AB$2,1,""))</f>
        <v/>
      </c>
      <c r="AC28" s="742" t="str">
        <f>IF($B27="","",IF(Penalties!$AM28=AC$2,1,""))</f>
        <v/>
      </c>
      <c r="AD28" s="742" t="str">
        <f>IF($B27="","",IF(Penalties!$AM28=AD$2,1,""))</f>
        <v/>
      </c>
      <c r="AE28" s="742" t="str">
        <f>IF($B27="","",IF(Penalties!$AM28=AE$2,1,""))</f>
        <v/>
      </c>
      <c r="AF28" s="742" t="str">
        <f>IF($B27="","",IF(Penalties!$AM28=AF$2,1,""))</f>
        <v/>
      </c>
      <c r="AG28" s="742" t="str">
        <f>IF($B27="","",IF(Penalties!$AM28=AG$2,1,""))</f>
        <v/>
      </c>
      <c r="AH28" s="742" t="str">
        <f>IF($B27="","",IF(Penalties!$AM28=AH$2,1,""))</f>
        <v/>
      </c>
      <c r="AI28" s="742" t="str">
        <f>IF($B27="","",IF(Penalties!$AM28=AI$2,1,""))</f>
        <v/>
      </c>
      <c r="AJ28" s="744" t="str">
        <f>IF(SUM(X27:AI28)=0, "", IF(SUM(X27:AI27)=1, LOOKUP(1, X27:AI27, $X$2:$AI$2), LOOKUP(1, X28:AI28, $X$2:$AI$2)))</f>
        <v/>
      </c>
    </row>
    <row r="29" spans="1:36" s="182" customFormat="1" x14ac:dyDescent="0.3">
      <c r="A29" s="1364">
        <f>A27+1</f>
        <v>14</v>
      </c>
      <c r="B29" s="1365" t="str">
        <f>IF(IGRF!B24="","",IGRF!B24)</f>
        <v>911</v>
      </c>
      <c r="C29" s="1366" t="str">
        <f>IF(IGRF!C24="","",IGRF!C24)</f>
        <v>Luna Negra</v>
      </c>
      <c r="D29" s="733" t="s">
        <v>17</v>
      </c>
      <c r="E29" s="733">
        <f>IF($B29="","",COUNTIF(Penalties!$B30:$J30,E$2))</f>
        <v>1</v>
      </c>
      <c r="F29" s="733">
        <f>IF($B29="","",COUNTIF(Penalties!$B30:$J30,F$2))</f>
        <v>0</v>
      </c>
      <c r="G29" s="733">
        <f>IF($B29="","",COUNTIF(Penalties!$B30:$J30,G$2))</f>
        <v>0</v>
      </c>
      <c r="H29" s="733">
        <f>IF($B29="","",COUNTIF(Penalties!$B30:$J30,H$2))</f>
        <v>0</v>
      </c>
      <c r="I29" s="733">
        <f>IF($B29="","",COUNTIF(Penalties!$B30:$J30,I$2))</f>
        <v>0</v>
      </c>
      <c r="J29" s="733">
        <f>IF($B29="","",COUNTIF(Penalties!$B30:$J30,J$2))</f>
        <v>0</v>
      </c>
      <c r="K29" s="733">
        <f>IF($B29="","",COUNTIF(Penalties!$B30:$J30,K$2))</f>
        <v>0</v>
      </c>
      <c r="L29" s="733">
        <f>IF($B29="","",COUNTIF(Penalties!$B30:$J30,L$2))</f>
        <v>0</v>
      </c>
      <c r="M29" s="733">
        <f>IF($B29="","",COUNTIF(Penalties!$B30:$J30,M$2))</f>
        <v>0</v>
      </c>
      <c r="N29" s="733">
        <f>IF($B29="","",COUNTIF(Penalties!$B30:$J30,N$2))</f>
        <v>0</v>
      </c>
      <c r="O29" s="733">
        <f>IF($B29="","",COUNTIF(Penalties!$B30:$J30,O$2))</f>
        <v>1</v>
      </c>
      <c r="P29" s="733">
        <f>IF($B29="","",COUNTIF(Penalties!$B30:$J30,P$2))</f>
        <v>0</v>
      </c>
      <c r="Q29" s="733">
        <f>IF($B29="","",COUNTIF(Penalties!$B30:$J30,Q$2))</f>
        <v>1</v>
      </c>
      <c r="R29" s="733">
        <f>IF($B29="","",COUNTIF(Penalties!$B30:$J30,R$2))</f>
        <v>0</v>
      </c>
      <c r="S29" s="733">
        <f>IF($B29="","",COUNTIF(Penalties!$B30:$J30,S$2))</f>
        <v>0</v>
      </c>
      <c r="T29" s="733">
        <f>IF($B29="","",COUNTIF(Penalties!$B30:$J30,T$2))</f>
        <v>0</v>
      </c>
      <c r="U29" s="745">
        <f>IF(B29="","",SUM(E29:T29))</f>
        <v>3</v>
      </c>
      <c r="V29" s="746">
        <f t="shared" ref="V29" si="18">IF(B29="","",SUM(E29:T29)*0.5)</f>
        <v>1.5</v>
      </c>
      <c r="W29" s="747" t="str">
        <f>IF($B29="","",IF(Penalties!$K30=W$2,1,""))</f>
        <v/>
      </c>
      <c r="X29" s="747" t="str">
        <f>IF($B29="","",IF(Penalties!$K30=X$2,1,""))</f>
        <v/>
      </c>
      <c r="Y29" s="747" t="str">
        <f>IF($B29="","",IF(Penalties!$K30=Y$2,1,""))</f>
        <v/>
      </c>
      <c r="Z29" s="747" t="str">
        <f>IF($B29="","",IF(Penalties!$K30=Z$2,1,""))</f>
        <v/>
      </c>
      <c r="AA29" s="747" t="str">
        <f>IF($B29="","",IF(Penalties!$K30=AA$2,1,""))</f>
        <v/>
      </c>
      <c r="AB29" s="747" t="str">
        <f>IF($B29="","",IF(Penalties!$K30=AB$2,1,""))</f>
        <v/>
      </c>
      <c r="AC29" s="747" t="str">
        <f>IF($B29="","",IF(Penalties!$K30=AC$2,1,""))</f>
        <v/>
      </c>
      <c r="AD29" s="747" t="str">
        <f>IF($B29="","",IF(Penalties!$K30=AD$2,1,""))</f>
        <v/>
      </c>
      <c r="AE29" s="747" t="str">
        <f>IF($B29="","",IF(Penalties!$K30=AE$2,1,""))</f>
        <v/>
      </c>
      <c r="AF29" s="747" t="str">
        <f>IF($B29="","",IF(Penalties!$K30=AF$2,1,""))</f>
        <v/>
      </c>
      <c r="AG29" s="747" t="str">
        <f>IF($B29="","",IF(Penalties!$K30=AG$2,1,""))</f>
        <v/>
      </c>
      <c r="AH29" s="747" t="str">
        <f>IF($B29="","",IF(Penalties!$K30=AH$2,1,""))</f>
        <v/>
      </c>
      <c r="AI29" s="747" t="str">
        <f>IF($B29="","",IF(Penalties!$K30=AI$2,1,""))</f>
        <v/>
      </c>
      <c r="AJ29" s="748"/>
    </row>
    <row r="30" spans="1:36" s="182" customFormat="1" ht="14.4" thickBot="1" x14ac:dyDescent="0.35">
      <c r="A30" s="1364"/>
      <c r="B30" s="1365"/>
      <c r="C30" s="1366"/>
      <c r="D30" s="733" t="s">
        <v>33</v>
      </c>
      <c r="E30" s="733">
        <f>IF($B29="","",COUNTIF(Penalties!$AD30:$AL30,E$2))</f>
        <v>0</v>
      </c>
      <c r="F30" s="733">
        <f>IF($B29="","",COUNTIF(Penalties!$AD30:$AL30,F$2))</f>
        <v>0</v>
      </c>
      <c r="G30" s="733">
        <f>IF($B29="","",COUNTIF(Penalties!$AD30:$AL30,G$2))</f>
        <v>0</v>
      </c>
      <c r="H30" s="733">
        <f>IF($B29="","",COUNTIF(Penalties!$AD30:$AL30,H$2))</f>
        <v>0</v>
      </c>
      <c r="I30" s="733">
        <f>IF($B29="","",COUNTIF(Penalties!$AD30:$AL30,I$2))</f>
        <v>0</v>
      </c>
      <c r="J30" s="733">
        <f>IF($B29="","",COUNTIF(Penalties!$AD30:$AL30,J$2))</f>
        <v>0</v>
      </c>
      <c r="K30" s="733">
        <f>IF($B29="","",COUNTIF(Penalties!$AD30:$AL30,K$2))</f>
        <v>0</v>
      </c>
      <c r="L30" s="733">
        <f>IF($B29="","",COUNTIF(Penalties!$AD30:$AL30,L$2))</f>
        <v>0</v>
      </c>
      <c r="M30" s="733">
        <f>IF($B29="","",COUNTIF(Penalties!$AD30:$AL30,M$2))</f>
        <v>0</v>
      </c>
      <c r="N30" s="733">
        <f>IF($B29="","",COUNTIF(Penalties!$AD30:$AL30,N$2))</f>
        <v>0</v>
      </c>
      <c r="O30" s="733">
        <f>IF($B29="","",COUNTIF(Penalties!$AD30:$AL30,O$2))</f>
        <v>0</v>
      </c>
      <c r="P30" s="733">
        <f>IF($B29="","",COUNTIF(Penalties!$AD30:$AL30,P$2))</f>
        <v>0</v>
      </c>
      <c r="Q30" s="733">
        <f>IF($B29="","",COUNTIF(Penalties!$AD30:$AL30,Q$2))</f>
        <v>0</v>
      </c>
      <c r="R30" s="733">
        <f>IF($B29="","",COUNTIF(Penalties!$AD30:$AL30,R$2))</f>
        <v>0</v>
      </c>
      <c r="S30" s="733">
        <f>IF($B29="","",COUNTIF(Penalties!$AD30:$AL30,S$2))</f>
        <v>0</v>
      </c>
      <c r="T30" s="733">
        <f>IF($B29="","",COUNTIF(Penalties!$AD30:$AL30,T$2))</f>
        <v>0</v>
      </c>
      <c r="U30" s="745">
        <f>IF(B29="","",SUM(E30:T30))</f>
        <v>0</v>
      </c>
      <c r="V30" s="746">
        <f t="shared" ref="V30" si="19">IF(B29="","",SUM(E30:T30)*0.5)</f>
        <v>0</v>
      </c>
      <c r="W30" s="747" t="str">
        <f>IF($B29="","",IF(Penalties!$AM30=W$2,1,""))</f>
        <v/>
      </c>
      <c r="X30" s="747" t="str">
        <f>IF($B29="","",IF(Penalties!$AM30=X$2,1,""))</f>
        <v/>
      </c>
      <c r="Y30" s="747" t="str">
        <f>IF($B29="","",IF(Penalties!$AM30=Y$2,1,""))</f>
        <v/>
      </c>
      <c r="Z30" s="747" t="str">
        <f>IF($B29="","",IF(Penalties!$AM30=Z$2,1,""))</f>
        <v/>
      </c>
      <c r="AA30" s="747" t="str">
        <f>IF($B29="","",IF(Penalties!$AM30=AA$2,1,""))</f>
        <v/>
      </c>
      <c r="AB30" s="747" t="str">
        <f>IF($B29="","",IF(Penalties!$AM30=AB$2,1,""))</f>
        <v/>
      </c>
      <c r="AC30" s="747" t="str">
        <f>IF($B29="","",IF(Penalties!$AM30=AC$2,1,""))</f>
        <v/>
      </c>
      <c r="AD30" s="747" t="str">
        <f>IF($B29="","",IF(Penalties!$AM30=AD$2,1,""))</f>
        <v/>
      </c>
      <c r="AE30" s="747" t="str">
        <f>IF($B29="","",IF(Penalties!$AM30=AE$2,1,""))</f>
        <v/>
      </c>
      <c r="AF30" s="747" t="str">
        <f>IF($B29="","",IF(Penalties!$AM30=AF$2,1,""))</f>
        <v/>
      </c>
      <c r="AG30" s="747" t="str">
        <f>IF($B29="","",IF(Penalties!$AM30=AG$2,1,""))</f>
        <v/>
      </c>
      <c r="AH30" s="747" t="str">
        <f>IF($B29="","",IF(Penalties!$AM30=AH$2,1,""))</f>
        <v/>
      </c>
      <c r="AI30" s="747" t="str">
        <f>IF($B29="","",IF(Penalties!$AM30=AI$2,1,""))</f>
        <v/>
      </c>
      <c r="AJ30" s="749" t="str">
        <f>IF(SUM(X29:AI30)=0, "", IF(SUM(X29:AI29)=1, LOOKUP(1, X29:AI29, $X$2:$AI$2), LOOKUP(1, X30:AI30, $X$2:$AI$2)))</f>
        <v/>
      </c>
    </row>
    <row r="31" spans="1:36" s="182" customFormat="1" x14ac:dyDescent="0.3">
      <c r="A31" s="1367">
        <f>A29+1</f>
        <v>15</v>
      </c>
      <c r="B31" s="1368" t="str">
        <f>IF(IGRF!B25="","",IGRF!B25)</f>
        <v>0</v>
      </c>
      <c r="C31" s="1369" t="str">
        <f>IF(IGRF!C25="","",IGRF!C25)</f>
        <v>Enurgizer Bunny</v>
      </c>
      <c r="D31" s="739" t="s">
        <v>17</v>
      </c>
      <c r="E31" s="732">
        <f>IF($B31="","",COUNTIF(Penalties!$B32:$J32,E$2))</f>
        <v>0</v>
      </c>
      <c r="F31" s="732">
        <f>IF($B31="","",COUNTIF(Penalties!$B32:$J32,F$2))</f>
        <v>0</v>
      </c>
      <c r="G31" s="732">
        <f>IF($B31="","",COUNTIF(Penalties!$B32:$J32,G$2))</f>
        <v>0</v>
      </c>
      <c r="H31" s="732">
        <f>IF($B31="","",COUNTIF(Penalties!$B32:$J32,H$2))</f>
        <v>0</v>
      </c>
      <c r="I31" s="732">
        <f>IF($B31="","",COUNTIF(Penalties!$B32:$J32,I$2))</f>
        <v>0</v>
      </c>
      <c r="J31" s="732">
        <f>IF($B31="","",COUNTIF(Penalties!$B32:$J32,J$2))</f>
        <v>0</v>
      </c>
      <c r="K31" s="732">
        <f>IF($B31="","",COUNTIF(Penalties!$B32:$J32,K$2))</f>
        <v>0</v>
      </c>
      <c r="L31" s="732">
        <f>IF($B31="","",COUNTIF(Penalties!$B32:$J32,L$2))</f>
        <v>0</v>
      </c>
      <c r="M31" s="732">
        <f>IF($B31="","",COUNTIF(Penalties!$B32:$J32,M$2))</f>
        <v>0</v>
      </c>
      <c r="N31" s="732">
        <f>IF($B31="","",COUNTIF(Penalties!$B32:$J32,N$2))</f>
        <v>0</v>
      </c>
      <c r="O31" s="732">
        <f>IF($B31="","",COUNTIF(Penalties!$B32:$J32,O$2))</f>
        <v>0</v>
      </c>
      <c r="P31" s="732">
        <f>IF($B31="","",COUNTIF(Penalties!$B32:$J32,P$2))</f>
        <v>0</v>
      </c>
      <c r="Q31" s="732">
        <f>IF($B31="","",COUNTIF(Penalties!$B32:$J32,Q$2))</f>
        <v>0</v>
      </c>
      <c r="R31" s="732">
        <f>IF($B31="","",COUNTIF(Penalties!$B32:$J32,R$2))</f>
        <v>0</v>
      </c>
      <c r="S31" s="732">
        <f>IF($B31="","",COUNTIF(Penalties!$B32:$J32,S$2))</f>
        <v>0</v>
      </c>
      <c r="T31" s="732">
        <f>IF($B31="","",COUNTIF(Penalties!$B32:$J32,T$2))</f>
        <v>0</v>
      </c>
      <c r="U31" s="740">
        <f>IF(B31="","",SUM(E31:T31))</f>
        <v>0</v>
      </c>
      <c r="V31" s="741">
        <f t="shared" ref="V31" si="20">IF(B31="","",SUM(E31:T31)*0.5)</f>
        <v>0</v>
      </c>
      <c r="W31" s="742" t="str">
        <f>IF($B31="","",IF(Penalties!$K32=W$2,1,""))</f>
        <v/>
      </c>
      <c r="X31" s="742" t="str">
        <f>IF($B31="","",IF(Penalties!$K32=X$2,1,""))</f>
        <v/>
      </c>
      <c r="Y31" s="742" t="str">
        <f>IF($B31="","",IF(Penalties!$K32=Y$2,1,""))</f>
        <v/>
      </c>
      <c r="Z31" s="742" t="str">
        <f>IF($B31="","",IF(Penalties!$K32=Z$2,1,""))</f>
        <v/>
      </c>
      <c r="AA31" s="742" t="str">
        <f>IF($B31="","",IF(Penalties!$K32=AA$2,1,""))</f>
        <v/>
      </c>
      <c r="AB31" s="742" t="str">
        <f>IF($B31="","",IF(Penalties!$K32=AB$2,1,""))</f>
        <v/>
      </c>
      <c r="AC31" s="742" t="str">
        <f>IF($B31="","",IF(Penalties!$K32=AC$2,1,""))</f>
        <v/>
      </c>
      <c r="AD31" s="742" t="str">
        <f>IF($B31="","",IF(Penalties!$K32=AD$2,1,""))</f>
        <v/>
      </c>
      <c r="AE31" s="742" t="str">
        <f>IF($B31="","",IF(Penalties!$K32=AE$2,1,""))</f>
        <v/>
      </c>
      <c r="AF31" s="742" t="str">
        <f>IF($B31="","",IF(Penalties!$K32=AF$2,1,""))</f>
        <v/>
      </c>
      <c r="AG31" s="742" t="str">
        <f>IF($B31="","",IF(Penalties!$K32=AG$2,1,""))</f>
        <v/>
      </c>
      <c r="AH31" s="742" t="str">
        <f>IF($B31="","",IF(Penalties!$K32=AH$2,1,""))</f>
        <v/>
      </c>
      <c r="AI31" s="742" t="str">
        <f>IF($B31="","",IF(Penalties!$K32=AI$2,1,""))</f>
        <v/>
      </c>
      <c r="AJ31" s="743"/>
    </row>
    <row r="32" spans="1:36" s="182" customFormat="1" x14ac:dyDescent="0.3">
      <c r="A32" s="1367"/>
      <c r="B32" s="1368"/>
      <c r="C32" s="1369"/>
      <c r="D32" s="739" t="s">
        <v>33</v>
      </c>
      <c r="E32" s="732">
        <f>IF($B31="","",COUNTIF(Penalties!$AD32:$AL32,E$2))</f>
        <v>0</v>
      </c>
      <c r="F32" s="732">
        <f>IF($B31="","",COUNTIF(Penalties!$AD32:$AL32,F$2))</f>
        <v>0</v>
      </c>
      <c r="G32" s="732">
        <f>IF($B31="","",COUNTIF(Penalties!$AD32:$AL32,G$2))</f>
        <v>0</v>
      </c>
      <c r="H32" s="732">
        <f>IF($B31="","",COUNTIF(Penalties!$AD32:$AL32,H$2))</f>
        <v>0</v>
      </c>
      <c r="I32" s="732">
        <f>IF($B31="","",COUNTIF(Penalties!$AD32:$AL32,I$2))</f>
        <v>0</v>
      </c>
      <c r="J32" s="732">
        <f>IF($B31="","",COUNTIF(Penalties!$AD32:$AL32,J$2))</f>
        <v>0</v>
      </c>
      <c r="K32" s="732">
        <f>IF($B31="","",COUNTIF(Penalties!$AD32:$AL32,K$2))</f>
        <v>0</v>
      </c>
      <c r="L32" s="732">
        <f>IF($B31="","",COUNTIF(Penalties!$AD32:$AL32,L$2))</f>
        <v>0</v>
      </c>
      <c r="M32" s="732">
        <f>IF($B31="","",COUNTIF(Penalties!$AD32:$AL32,M$2))</f>
        <v>0</v>
      </c>
      <c r="N32" s="732">
        <f>IF($B31="","",COUNTIF(Penalties!$AD32:$AL32,N$2))</f>
        <v>0</v>
      </c>
      <c r="O32" s="732">
        <f>IF($B31="","",COUNTIF(Penalties!$AD32:$AL32,O$2))</f>
        <v>0</v>
      </c>
      <c r="P32" s="732">
        <f>IF($B31="","",COUNTIF(Penalties!$AD32:$AL32,P$2))</f>
        <v>0</v>
      </c>
      <c r="Q32" s="732">
        <f>IF($B31="","",COUNTIF(Penalties!$AD32:$AL32,Q$2))</f>
        <v>0</v>
      </c>
      <c r="R32" s="732">
        <f>IF($B31="","",COUNTIF(Penalties!$AD32:$AL32,R$2))</f>
        <v>0</v>
      </c>
      <c r="S32" s="732">
        <f>IF($B31="","",COUNTIF(Penalties!$AD32:$AL32,S$2))</f>
        <v>0</v>
      </c>
      <c r="T32" s="732">
        <f>IF($B31="","",COUNTIF(Penalties!$AD32:$AL32,T$2))</f>
        <v>0</v>
      </c>
      <c r="U32" s="740">
        <f>IF(B31="","",SUM(E32:T32))</f>
        <v>0</v>
      </c>
      <c r="V32" s="741">
        <f t="shared" ref="V32" si="21">IF(B31="","",SUM(E32:T32)*0.5)</f>
        <v>0</v>
      </c>
      <c r="W32" s="742" t="str">
        <f>IF($B31="","",IF(Penalties!$AM32=W$2,1,""))</f>
        <v/>
      </c>
      <c r="X32" s="742" t="str">
        <f>IF($B31="","",IF(Penalties!$AM32=X$2,1,""))</f>
        <v/>
      </c>
      <c r="Y32" s="742" t="str">
        <f>IF($B31="","",IF(Penalties!$AM32=Y$2,1,""))</f>
        <v/>
      </c>
      <c r="Z32" s="742" t="str">
        <f>IF($B31="","",IF(Penalties!$AM32=Z$2,1,""))</f>
        <v/>
      </c>
      <c r="AA32" s="742" t="str">
        <f>IF($B31="","",IF(Penalties!$AM32=AA$2,1,""))</f>
        <v/>
      </c>
      <c r="AB32" s="742" t="str">
        <f>IF($B31="","",IF(Penalties!$AM32=AB$2,1,""))</f>
        <v/>
      </c>
      <c r="AC32" s="742" t="str">
        <f>IF($B31="","",IF(Penalties!$AM32=AC$2,1,""))</f>
        <v/>
      </c>
      <c r="AD32" s="742" t="str">
        <f>IF($B31="","",IF(Penalties!$AM32=AD$2,1,""))</f>
        <v/>
      </c>
      <c r="AE32" s="742" t="str">
        <f>IF($B31="","",IF(Penalties!$AM32=AE$2,1,""))</f>
        <v/>
      </c>
      <c r="AF32" s="742" t="str">
        <f>IF($B31="","",IF(Penalties!$AM32=AF$2,1,""))</f>
        <v/>
      </c>
      <c r="AG32" s="742" t="str">
        <f>IF($B31="","",IF(Penalties!$AM32=AG$2,1,""))</f>
        <v/>
      </c>
      <c r="AH32" s="742" t="str">
        <f>IF($B31="","",IF(Penalties!$AM32=AH$2,1,""))</f>
        <v/>
      </c>
      <c r="AI32" s="742" t="str">
        <f>IF($B31="","",IF(Penalties!$AM32=AI$2,1,""))</f>
        <v/>
      </c>
      <c r="AJ32" s="744" t="str">
        <f>IF(SUM(X31:AI32)=0, "", IF(SUM(X31:AI31)=1, LOOKUP(1, X31:AI31, $X$2:$AI$2), LOOKUP(1, X32:AI32, $X$2:$AI$2)))</f>
        <v/>
      </c>
    </row>
    <row r="33" spans="1:50" x14ac:dyDescent="0.3">
      <c r="A33" s="1364">
        <f>A31+1</f>
        <v>16</v>
      </c>
      <c r="B33" s="1365" t="str">
        <f>IF(IGRF!B26="","",IGRF!B26)</f>
        <v>88</v>
      </c>
      <c r="C33" s="1366" t="str">
        <f>IF(IGRF!C26="","",IGRF!C26)</f>
        <v>Ophelia Melons</v>
      </c>
      <c r="D33" s="733" t="s">
        <v>17</v>
      </c>
      <c r="E33" s="733">
        <f>IF($B33="","",COUNTIF(Penalties!$B34:$J34,E$2))</f>
        <v>0</v>
      </c>
      <c r="F33" s="733">
        <f>IF($B33="","",COUNTIF(Penalties!$B34:$J34,F$2))</f>
        <v>0</v>
      </c>
      <c r="G33" s="733">
        <f>IF($B33="","",COUNTIF(Penalties!$B34:$J34,G$2))</f>
        <v>0</v>
      </c>
      <c r="H33" s="733">
        <f>IF($B33="","",COUNTIF(Penalties!$B34:$J34,H$2))</f>
        <v>0</v>
      </c>
      <c r="I33" s="733">
        <f>IF($B33="","",COUNTIF(Penalties!$B34:$J34,I$2))</f>
        <v>0</v>
      </c>
      <c r="J33" s="733">
        <f>IF($B33="","",COUNTIF(Penalties!$B34:$J34,J$2))</f>
        <v>0</v>
      </c>
      <c r="K33" s="733">
        <f>IF($B33="","",COUNTIF(Penalties!$B34:$J34,K$2))</f>
        <v>0</v>
      </c>
      <c r="L33" s="733">
        <f>IF($B33="","",COUNTIF(Penalties!$B34:$J34,L$2))</f>
        <v>0</v>
      </c>
      <c r="M33" s="733">
        <f>IF($B33="","",COUNTIF(Penalties!$B34:$J34,M$2))</f>
        <v>0</v>
      </c>
      <c r="N33" s="733">
        <f>IF($B33="","",COUNTIF(Penalties!$B34:$J34,N$2))</f>
        <v>0</v>
      </c>
      <c r="O33" s="733">
        <f>IF($B33="","",COUNTIF(Penalties!$B34:$J34,O$2))</f>
        <v>0</v>
      </c>
      <c r="P33" s="733">
        <f>IF($B33="","",COUNTIF(Penalties!$B34:$J34,P$2))</f>
        <v>0</v>
      </c>
      <c r="Q33" s="733">
        <f>IF($B33="","",COUNTIF(Penalties!$B34:$J34,Q$2))</f>
        <v>0</v>
      </c>
      <c r="R33" s="733">
        <f>IF($B33="","",COUNTIF(Penalties!$B34:$J34,R$2))</f>
        <v>0</v>
      </c>
      <c r="S33" s="733">
        <f>IF($B33="","",COUNTIF(Penalties!$B34:$J34,S$2))</f>
        <v>0</v>
      </c>
      <c r="T33" s="733">
        <f>IF($B33="","",COUNTIF(Penalties!$B34:$J34,T$2))</f>
        <v>0</v>
      </c>
      <c r="U33" s="745">
        <f>IF(B33="","",SUM(E33:T33))</f>
        <v>0</v>
      </c>
      <c r="V33" s="746">
        <f t="shared" ref="V33" si="22">IF(B33="","",SUM(E33:T33)*0.5)</f>
        <v>0</v>
      </c>
      <c r="W33" s="747" t="str">
        <f>IF($B33="","",IF(Penalties!$K34=W$2,1,""))</f>
        <v/>
      </c>
      <c r="X33" s="747" t="str">
        <f>IF($B33="","",IF(Penalties!$K34=X$2,1,""))</f>
        <v/>
      </c>
      <c r="Y33" s="747" t="str">
        <f>IF($B33="","",IF(Penalties!$K34=Y$2,1,""))</f>
        <v/>
      </c>
      <c r="Z33" s="747" t="str">
        <f>IF($B33="","",IF(Penalties!$K34=Z$2,1,""))</f>
        <v/>
      </c>
      <c r="AA33" s="747" t="str">
        <f>IF($B33="","",IF(Penalties!$K34=AA$2,1,""))</f>
        <v/>
      </c>
      <c r="AB33" s="747" t="str">
        <f>IF($B33="","",IF(Penalties!$K34=AB$2,1,""))</f>
        <v/>
      </c>
      <c r="AC33" s="747" t="str">
        <f>IF($B33="","",IF(Penalties!$K34=AC$2,1,""))</f>
        <v/>
      </c>
      <c r="AD33" s="747" t="str">
        <f>IF($B33="","",IF(Penalties!$K34=AD$2,1,""))</f>
        <v/>
      </c>
      <c r="AE33" s="747" t="str">
        <f>IF($B33="","",IF(Penalties!$K34=AE$2,1,""))</f>
        <v/>
      </c>
      <c r="AF33" s="747" t="str">
        <f>IF($B33="","",IF(Penalties!$K34=AF$2,1,""))</f>
        <v/>
      </c>
      <c r="AG33" s="747" t="str">
        <f>IF($B33="","",IF(Penalties!$K34=AG$2,1,""))</f>
        <v/>
      </c>
      <c r="AH33" s="747" t="str">
        <f>IF($B33="","",IF(Penalties!$K34=AH$2,1,""))</f>
        <v/>
      </c>
      <c r="AI33" s="747" t="str">
        <f>IF($B33="","",IF(Penalties!$K34=AI$2,1,""))</f>
        <v/>
      </c>
      <c r="AJ33" s="748"/>
      <c r="AK33" s="182"/>
      <c r="AL33" s="182"/>
      <c r="AM33" s="182"/>
      <c r="AN33" s="182"/>
      <c r="AO33" s="182"/>
      <c r="AP33" s="182"/>
      <c r="AQ33" s="182"/>
      <c r="AR33" s="182"/>
      <c r="AS33" s="182"/>
      <c r="AT33" s="182"/>
      <c r="AU33" s="182"/>
      <c r="AV33" s="182"/>
      <c r="AW33" s="182"/>
      <c r="AX33" s="182"/>
    </row>
    <row r="34" spans="1:50" ht="14.4" thickBot="1" x14ac:dyDescent="0.35">
      <c r="A34" s="1364"/>
      <c r="B34" s="1365"/>
      <c r="C34" s="1366"/>
      <c r="D34" s="733" t="s">
        <v>33</v>
      </c>
      <c r="E34" s="733">
        <f>IF($B33="","",COUNTIF(Penalties!$AD34:$AL34,E$2))</f>
        <v>0</v>
      </c>
      <c r="F34" s="733">
        <f>IF($B33="","",COUNTIF(Penalties!$AD34:$AL34,F$2))</f>
        <v>0</v>
      </c>
      <c r="G34" s="733">
        <f>IF($B33="","",COUNTIF(Penalties!$AD34:$AL34,G$2))</f>
        <v>0</v>
      </c>
      <c r="H34" s="733">
        <f>IF($B33="","",COUNTIF(Penalties!$AD34:$AL34,H$2))</f>
        <v>0</v>
      </c>
      <c r="I34" s="733">
        <f>IF($B33="","",COUNTIF(Penalties!$AD34:$AL34,I$2))</f>
        <v>0</v>
      </c>
      <c r="J34" s="733">
        <f>IF($B33="","",COUNTIF(Penalties!$AD34:$AL34,J$2))</f>
        <v>0</v>
      </c>
      <c r="K34" s="733">
        <f>IF($B33="","",COUNTIF(Penalties!$AD34:$AL34,K$2))</f>
        <v>0</v>
      </c>
      <c r="L34" s="733">
        <f>IF($B33="","",COUNTIF(Penalties!$AD34:$AL34,L$2))</f>
        <v>0</v>
      </c>
      <c r="M34" s="733">
        <f>IF($B33="","",COUNTIF(Penalties!$AD34:$AL34,M$2))</f>
        <v>0</v>
      </c>
      <c r="N34" s="733">
        <f>IF($B33="","",COUNTIF(Penalties!$AD34:$AL34,N$2))</f>
        <v>0</v>
      </c>
      <c r="O34" s="733">
        <f>IF($B33="","",COUNTIF(Penalties!$AD34:$AL34,O$2))</f>
        <v>0</v>
      </c>
      <c r="P34" s="733">
        <f>IF($B33="","",COUNTIF(Penalties!$AD34:$AL34,P$2))</f>
        <v>0</v>
      </c>
      <c r="Q34" s="733">
        <f>IF($B33="","",COUNTIF(Penalties!$AD34:$AL34,Q$2))</f>
        <v>0</v>
      </c>
      <c r="R34" s="733">
        <f>IF($B33="","",COUNTIF(Penalties!$AD34:$AL34,R$2))</f>
        <v>0</v>
      </c>
      <c r="S34" s="733">
        <f>IF($B33="","",COUNTIF(Penalties!$AD34:$AL34,S$2))</f>
        <v>0</v>
      </c>
      <c r="T34" s="733">
        <f>IF($B33="","",COUNTIF(Penalties!$AD34:$AL34,T$2))</f>
        <v>0</v>
      </c>
      <c r="U34" s="745">
        <f>IF(B33="","",SUM(E34:T34))</f>
        <v>0</v>
      </c>
      <c r="V34" s="746">
        <f t="shared" ref="V34" si="23">IF(B33="","",SUM(E34:T34)*0.5)</f>
        <v>0</v>
      </c>
      <c r="W34" s="747" t="str">
        <f>IF($B33="","",IF(Penalties!$AM34=W$2,1,""))</f>
        <v/>
      </c>
      <c r="X34" s="747" t="str">
        <f>IF($B33="","",IF(Penalties!$AM34=X$2,1,""))</f>
        <v/>
      </c>
      <c r="Y34" s="747" t="str">
        <f>IF($B33="","",IF(Penalties!$AM34=Y$2,1,""))</f>
        <v/>
      </c>
      <c r="Z34" s="747" t="str">
        <f>IF($B33="","",IF(Penalties!$AM34=Z$2,1,""))</f>
        <v/>
      </c>
      <c r="AA34" s="747" t="str">
        <f>IF($B33="","",IF(Penalties!$AM34=AA$2,1,""))</f>
        <v/>
      </c>
      <c r="AB34" s="747" t="str">
        <f>IF($B33="","",IF(Penalties!$AM34=AB$2,1,""))</f>
        <v/>
      </c>
      <c r="AC34" s="747" t="str">
        <f>IF($B33="","",IF(Penalties!$AM34=AC$2,1,""))</f>
        <v/>
      </c>
      <c r="AD34" s="747" t="str">
        <f>IF($B33="","",IF(Penalties!$AM34=AD$2,1,""))</f>
        <v/>
      </c>
      <c r="AE34" s="747" t="str">
        <f>IF($B33="","",IF(Penalties!$AM34=AE$2,1,""))</f>
        <v/>
      </c>
      <c r="AF34" s="747" t="str">
        <f>IF($B33="","",IF(Penalties!$AM34=AF$2,1,""))</f>
        <v/>
      </c>
      <c r="AG34" s="747" t="str">
        <f>IF($B33="","",IF(Penalties!$AM34=AG$2,1,""))</f>
        <v/>
      </c>
      <c r="AH34" s="747" t="str">
        <f>IF($B33="","",IF(Penalties!$AM34=AH$2,1,""))</f>
        <v/>
      </c>
      <c r="AI34" s="747" t="str">
        <f>IF($B33="","",IF(Penalties!$AM34=AI$2,1,""))</f>
        <v/>
      </c>
      <c r="AJ34" s="749" t="str">
        <f>IF(SUM(X33:AI34)=0, "", IF(SUM(X33:AI33)=1, LOOKUP(1, X33:AI33, $X$2:$AI$2), LOOKUP(1, X34:AI34, $X$2:$AI$2)))</f>
        <v/>
      </c>
      <c r="AK34" s="182"/>
      <c r="AL34" s="182"/>
      <c r="AM34" s="182"/>
      <c r="AN34" s="182"/>
      <c r="AO34" s="182"/>
      <c r="AP34" s="182"/>
      <c r="AQ34" s="182"/>
      <c r="AR34" s="182"/>
      <c r="AS34" s="182"/>
      <c r="AT34" s="182"/>
      <c r="AU34" s="182"/>
      <c r="AV34" s="182"/>
      <c r="AW34" s="182"/>
      <c r="AX34" s="182"/>
    </row>
    <row r="35" spans="1:50" x14ac:dyDescent="0.3">
      <c r="A35" s="1367">
        <f>A33+1</f>
        <v>17</v>
      </c>
      <c r="B35" s="1368" t="str">
        <f>IF(IGRF!B27="","",IGRF!B27)</f>
        <v/>
      </c>
      <c r="C35" s="1369" t="str">
        <f>IF(IGRF!C27="","",IGRF!C27)</f>
        <v/>
      </c>
      <c r="D35" s="739" t="s">
        <v>17</v>
      </c>
      <c r="E35" s="732" t="str">
        <f>IF($B35="","",COUNTIF(Penalties!$B36:$J36,E$2))</f>
        <v/>
      </c>
      <c r="F35" s="732" t="str">
        <f>IF($B35="","",COUNTIF(Penalties!$B36:$J36,F$2))</f>
        <v/>
      </c>
      <c r="G35" s="732" t="str">
        <f>IF($B35="","",COUNTIF(Penalties!$B36:$J36,G$2))</f>
        <v/>
      </c>
      <c r="H35" s="732" t="str">
        <f>IF($B35="","",COUNTIF(Penalties!$B36:$J36,H$2))</f>
        <v/>
      </c>
      <c r="I35" s="732" t="str">
        <f>IF($B35="","",COUNTIF(Penalties!$B36:$J36,I$2))</f>
        <v/>
      </c>
      <c r="J35" s="732" t="str">
        <f>IF($B35="","",COUNTIF(Penalties!$B36:$J36,J$2))</f>
        <v/>
      </c>
      <c r="K35" s="732" t="str">
        <f>IF($B35="","",COUNTIF(Penalties!$B36:$J36,K$2))</f>
        <v/>
      </c>
      <c r="L35" s="732" t="str">
        <f>IF($B35="","",COUNTIF(Penalties!$B36:$J36,L$2))</f>
        <v/>
      </c>
      <c r="M35" s="732" t="str">
        <f>IF($B35="","",COUNTIF(Penalties!$B36:$J36,M$2))</f>
        <v/>
      </c>
      <c r="N35" s="732" t="str">
        <f>IF($B35="","",COUNTIF(Penalties!$B36:$J36,N$2))</f>
        <v/>
      </c>
      <c r="O35" s="732" t="str">
        <f>IF($B35="","",COUNTIF(Penalties!$B36:$J36,O$2))</f>
        <v/>
      </c>
      <c r="P35" s="732" t="str">
        <f>IF($B35="","",COUNTIF(Penalties!$B36:$J36,P$2))</f>
        <v/>
      </c>
      <c r="Q35" s="732" t="str">
        <f>IF($B35="","",COUNTIF(Penalties!$B36:$J36,Q$2))</f>
        <v/>
      </c>
      <c r="R35" s="732" t="str">
        <f>IF($B35="","",COUNTIF(Penalties!$B36:$J36,R$2))</f>
        <v/>
      </c>
      <c r="S35" s="732" t="str">
        <f>IF($B35="","",COUNTIF(Penalties!$B36:$J36,S$2))</f>
        <v/>
      </c>
      <c r="T35" s="732" t="str">
        <f>IF($B35="","",COUNTIF(Penalties!$B36:$J36,T$2))</f>
        <v/>
      </c>
      <c r="U35" s="740" t="str">
        <f>IF(B35="","",SUM(E35:T35))</f>
        <v/>
      </c>
      <c r="V35" s="741" t="str">
        <f t="shared" ref="V35" si="24">IF(B35="","",SUM(E35:T35)*0.5)</f>
        <v/>
      </c>
      <c r="W35" s="742" t="str">
        <f>IF($B35="","",IF(Penalties!$K36=W$2,1,""))</f>
        <v/>
      </c>
      <c r="X35" s="742" t="str">
        <f>IF($B35="","",IF(Penalties!$K36=X$2,1,""))</f>
        <v/>
      </c>
      <c r="Y35" s="742" t="str">
        <f>IF($B35="","",IF(Penalties!$K36=Y$2,1,""))</f>
        <v/>
      </c>
      <c r="Z35" s="742" t="str">
        <f>IF($B35="","",IF(Penalties!$K36=Z$2,1,""))</f>
        <v/>
      </c>
      <c r="AA35" s="742" t="str">
        <f>IF($B35="","",IF(Penalties!$K36=AA$2,1,""))</f>
        <v/>
      </c>
      <c r="AB35" s="742" t="str">
        <f>IF($B35="","",IF(Penalties!$K36=AB$2,1,""))</f>
        <v/>
      </c>
      <c r="AC35" s="742" t="str">
        <f>IF($B35="","",IF(Penalties!$K36=AC$2,1,""))</f>
        <v/>
      </c>
      <c r="AD35" s="742" t="str">
        <f>IF($B35="","",IF(Penalties!$K36=AD$2,1,""))</f>
        <v/>
      </c>
      <c r="AE35" s="742" t="str">
        <f>IF($B35="","",IF(Penalties!$K36=AE$2,1,""))</f>
        <v/>
      </c>
      <c r="AF35" s="742" t="str">
        <f>IF($B35="","",IF(Penalties!$K36=AF$2,1,""))</f>
        <v/>
      </c>
      <c r="AG35" s="742" t="str">
        <f>IF($B35="","",IF(Penalties!$K36=AG$2,1,""))</f>
        <v/>
      </c>
      <c r="AH35" s="742" t="str">
        <f>IF($B35="","",IF(Penalties!$K36=AH$2,1,""))</f>
        <v/>
      </c>
      <c r="AI35" s="742" t="str">
        <f>IF($B35="","",IF(Penalties!$K36=AI$2,1,""))</f>
        <v/>
      </c>
      <c r="AJ35" s="743"/>
      <c r="AK35" s="182"/>
      <c r="AL35" s="182"/>
      <c r="AM35" s="182"/>
      <c r="AN35" s="182"/>
      <c r="AO35" s="182"/>
      <c r="AP35" s="182"/>
      <c r="AQ35" s="182"/>
      <c r="AR35" s="182"/>
      <c r="AS35" s="182"/>
      <c r="AT35" s="182"/>
      <c r="AU35" s="182"/>
      <c r="AV35" s="182"/>
      <c r="AW35" s="182"/>
      <c r="AX35" s="182"/>
    </row>
    <row r="36" spans="1:50" x14ac:dyDescent="0.3">
      <c r="A36" s="1367"/>
      <c r="B36" s="1368"/>
      <c r="C36" s="1369"/>
      <c r="D36" s="739" t="s">
        <v>33</v>
      </c>
      <c r="E36" s="732" t="str">
        <f>IF($B35="","",COUNTIF(Penalties!$AD36:$AL36,E$2))</f>
        <v/>
      </c>
      <c r="F36" s="732" t="str">
        <f>IF($B35="","",COUNTIF(Penalties!$AD36:$AL36,F$2))</f>
        <v/>
      </c>
      <c r="G36" s="732" t="str">
        <f>IF($B35="","",COUNTIF(Penalties!$AD36:$AL36,G$2))</f>
        <v/>
      </c>
      <c r="H36" s="732" t="str">
        <f>IF($B35="","",COUNTIF(Penalties!$AD36:$AL36,H$2))</f>
        <v/>
      </c>
      <c r="I36" s="732" t="str">
        <f>IF($B35="","",COUNTIF(Penalties!$AD36:$AL36,I$2))</f>
        <v/>
      </c>
      <c r="J36" s="732" t="str">
        <f>IF($B35="","",COUNTIF(Penalties!$AD36:$AL36,J$2))</f>
        <v/>
      </c>
      <c r="K36" s="732" t="str">
        <f>IF($B35="","",COUNTIF(Penalties!$AD36:$AL36,K$2))</f>
        <v/>
      </c>
      <c r="L36" s="732" t="str">
        <f>IF($B35="","",COUNTIF(Penalties!$AD36:$AL36,L$2))</f>
        <v/>
      </c>
      <c r="M36" s="732" t="str">
        <f>IF($B35="","",COUNTIF(Penalties!$AD36:$AL36,M$2))</f>
        <v/>
      </c>
      <c r="N36" s="732" t="str">
        <f>IF($B35="","",COUNTIF(Penalties!$AD36:$AL36,N$2))</f>
        <v/>
      </c>
      <c r="O36" s="732" t="str">
        <f>IF($B35="","",COUNTIF(Penalties!$AD36:$AL36,O$2))</f>
        <v/>
      </c>
      <c r="P36" s="732" t="str">
        <f>IF($B35="","",COUNTIF(Penalties!$AD36:$AL36,P$2))</f>
        <v/>
      </c>
      <c r="Q36" s="732" t="str">
        <f>IF($B35="","",COUNTIF(Penalties!$AD36:$AL36,Q$2))</f>
        <v/>
      </c>
      <c r="R36" s="732" t="str">
        <f>IF($B35="","",COUNTIF(Penalties!$AD36:$AL36,R$2))</f>
        <v/>
      </c>
      <c r="S36" s="732" t="str">
        <f>IF($B35="","",COUNTIF(Penalties!$AD36:$AL36,S$2))</f>
        <v/>
      </c>
      <c r="T36" s="732" t="str">
        <f>IF($B35="","",COUNTIF(Penalties!$AD36:$AL36,T$2))</f>
        <v/>
      </c>
      <c r="U36" s="740" t="str">
        <f>IF(B35="","",SUM(E36:T36))</f>
        <v/>
      </c>
      <c r="V36" s="741" t="str">
        <f t="shared" ref="V36" si="25">IF(B35="","",SUM(E36:T36)*0.5)</f>
        <v/>
      </c>
      <c r="W36" s="742" t="str">
        <f>IF($B35="","",IF(Penalties!$AM36=W$2,1,""))</f>
        <v/>
      </c>
      <c r="X36" s="742" t="str">
        <f>IF($B35="","",IF(Penalties!$AM36=X$2,1,""))</f>
        <v/>
      </c>
      <c r="Y36" s="742" t="str">
        <f>IF($B35="","",IF(Penalties!$AM36=Y$2,1,""))</f>
        <v/>
      </c>
      <c r="Z36" s="742" t="str">
        <f>IF($B35="","",IF(Penalties!$AM36=Z$2,1,""))</f>
        <v/>
      </c>
      <c r="AA36" s="742" t="str">
        <f>IF($B35="","",IF(Penalties!$AM36=AA$2,1,""))</f>
        <v/>
      </c>
      <c r="AB36" s="742" t="str">
        <f>IF($B35="","",IF(Penalties!$AM36=AB$2,1,""))</f>
        <v/>
      </c>
      <c r="AC36" s="742" t="str">
        <f>IF($B35="","",IF(Penalties!$AM36=AC$2,1,""))</f>
        <v/>
      </c>
      <c r="AD36" s="742" t="str">
        <f>IF($B35="","",IF(Penalties!$AM36=AD$2,1,""))</f>
        <v/>
      </c>
      <c r="AE36" s="742" t="str">
        <f>IF($B35="","",IF(Penalties!$AM36=AE$2,1,""))</f>
        <v/>
      </c>
      <c r="AF36" s="742" t="str">
        <f>IF($B35="","",IF(Penalties!$AM36=AF$2,1,""))</f>
        <v/>
      </c>
      <c r="AG36" s="742" t="str">
        <f>IF($B35="","",IF(Penalties!$AM36=AG$2,1,""))</f>
        <v/>
      </c>
      <c r="AH36" s="742" t="str">
        <f>IF($B35="","",IF(Penalties!$AM36=AH$2,1,""))</f>
        <v/>
      </c>
      <c r="AI36" s="742" t="str">
        <f>IF($B35="","",IF(Penalties!$AM36=AI$2,1,""))</f>
        <v/>
      </c>
      <c r="AJ36" s="744" t="str">
        <f>IF(SUM(X35:AI36)=0, "", IF(SUM(X35:AI35)=1, LOOKUP(1, X35:AI35, $X$2:$AI$2), LOOKUP(1, X36:AI36, $X$2:$AI$2)))</f>
        <v/>
      </c>
      <c r="AK36" s="182"/>
      <c r="AL36" s="182"/>
      <c r="AM36" s="182"/>
      <c r="AN36" s="182"/>
      <c r="AO36" s="182"/>
      <c r="AP36" s="182"/>
      <c r="AQ36" s="182"/>
      <c r="AR36" s="182"/>
      <c r="AS36" s="182"/>
      <c r="AT36" s="182"/>
      <c r="AU36" s="182"/>
      <c r="AV36" s="182"/>
      <c r="AW36" s="182"/>
      <c r="AX36" s="182"/>
    </row>
    <row r="37" spans="1:50" x14ac:dyDescent="0.3">
      <c r="A37" s="1364">
        <f>A35+1</f>
        <v>18</v>
      </c>
      <c r="B37" s="1365" t="str">
        <f>IF(IGRF!B28="","",IGRF!B28)</f>
        <v/>
      </c>
      <c r="C37" s="1366" t="str">
        <f>IF(IGRF!C28="","",IGRF!C28)</f>
        <v/>
      </c>
      <c r="D37" s="733" t="s">
        <v>17</v>
      </c>
      <c r="E37" s="733" t="str">
        <f>IF($B37="","",COUNTIF(Penalties!$B38:$J38,E$2))</f>
        <v/>
      </c>
      <c r="F37" s="733" t="str">
        <f>IF($B37="","",COUNTIF(Penalties!$B38:$J38,F$2))</f>
        <v/>
      </c>
      <c r="G37" s="733" t="str">
        <f>IF($B37="","",COUNTIF(Penalties!$B38:$J38,G$2))</f>
        <v/>
      </c>
      <c r="H37" s="733" t="str">
        <f>IF($B37="","",COUNTIF(Penalties!$B38:$J38,H$2))</f>
        <v/>
      </c>
      <c r="I37" s="733" t="str">
        <f>IF($B37="","",COUNTIF(Penalties!$B38:$J38,I$2))</f>
        <v/>
      </c>
      <c r="J37" s="733" t="str">
        <f>IF($B37="","",COUNTIF(Penalties!$B38:$J38,J$2))</f>
        <v/>
      </c>
      <c r="K37" s="733" t="str">
        <f>IF($B37="","",COUNTIF(Penalties!$B38:$J38,K$2))</f>
        <v/>
      </c>
      <c r="L37" s="733" t="str">
        <f>IF($B37="","",COUNTIF(Penalties!$B38:$J38,L$2))</f>
        <v/>
      </c>
      <c r="M37" s="733" t="str">
        <f>IF($B37="","",COUNTIF(Penalties!$B38:$J38,M$2))</f>
        <v/>
      </c>
      <c r="N37" s="733" t="str">
        <f>IF($B37="","",COUNTIF(Penalties!$B38:$J38,N$2))</f>
        <v/>
      </c>
      <c r="O37" s="733" t="str">
        <f>IF($B37="","",COUNTIF(Penalties!$B38:$J38,O$2))</f>
        <v/>
      </c>
      <c r="P37" s="733" t="str">
        <f>IF($B37="","",COUNTIF(Penalties!$B38:$J38,P$2))</f>
        <v/>
      </c>
      <c r="Q37" s="733" t="str">
        <f>IF($B37="","",COUNTIF(Penalties!$B38:$J38,Q$2))</f>
        <v/>
      </c>
      <c r="R37" s="733" t="str">
        <f>IF($B37="","",COUNTIF(Penalties!$B38:$J38,R$2))</f>
        <v/>
      </c>
      <c r="S37" s="733" t="str">
        <f>IF($B37="","",COUNTIF(Penalties!$B38:$J38,S$2))</f>
        <v/>
      </c>
      <c r="T37" s="733" t="str">
        <f>IF($B37="","",COUNTIF(Penalties!$B38:$J38,T$2))</f>
        <v/>
      </c>
      <c r="U37" s="745" t="str">
        <f>IF(B37="","",SUM(E37:T37))</f>
        <v/>
      </c>
      <c r="V37" s="746" t="str">
        <f t="shared" ref="V37" si="26">IF(B37="","",SUM(E37:T37)*0.5)</f>
        <v/>
      </c>
      <c r="W37" s="747" t="str">
        <f>IF($B37="","",IF(Penalties!$K38=W$2,1,""))</f>
        <v/>
      </c>
      <c r="X37" s="747" t="str">
        <f>IF($B37="","",IF(Penalties!$K38=X$2,1,""))</f>
        <v/>
      </c>
      <c r="Y37" s="747" t="str">
        <f>IF($B37="","",IF(Penalties!$K38=Y$2,1,""))</f>
        <v/>
      </c>
      <c r="Z37" s="747" t="str">
        <f>IF($B37="","",IF(Penalties!$K38=Z$2,1,""))</f>
        <v/>
      </c>
      <c r="AA37" s="747" t="str">
        <f>IF($B37="","",IF(Penalties!$K38=AA$2,1,""))</f>
        <v/>
      </c>
      <c r="AB37" s="747" t="str">
        <f>IF($B37="","",IF(Penalties!$K38=AB$2,1,""))</f>
        <v/>
      </c>
      <c r="AC37" s="747" t="str">
        <f>IF($B37="","",IF(Penalties!$K38=AC$2,1,""))</f>
        <v/>
      </c>
      <c r="AD37" s="747" t="str">
        <f>IF($B37="","",IF(Penalties!$K38=AD$2,1,""))</f>
        <v/>
      </c>
      <c r="AE37" s="747" t="str">
        <f>IF($B37="","",IF(Penalties!$K38=AE$2,1,""))</f>
        <v/>
      </c>
      <c r="AF37" s="747" t="str">
        <f>IF($B37="","",IF(Penalties!$K38=AF$2,1,""))</f>
        <v/>
      </c>
      <c r="AG37" s="747" t="str">
        <f>IF($B37="","",IF(Penalties!$K38=AG$2,1,""))</f>
        <v/>
      </c>
      <c r="AH37" s="747" t="str">
        <f>IF($B37="","",IF(Penalties!$K38=AH$2,1,""))</f>
        <v/>
      </c>
      <c r="AI37" s="747" t="str">
        <f>IF($B37="","",IF(Penalties!$K38=AI$2,1,""))</f>
        <v/>
      </c>
      <c r="AJ37" s="748"/>
      <c r="AK37" s="182"/>
      <c r="AL37" s="182"/>
      <c r="AM37" s="182"/>
      <c r="AN37" s="182"/>
      <c r="AO37" s="182"/>
      <c r="AP37" s="182"/>
      <c r="AQ37" s="182"/>
      <c r="AR37" s="182"/>
      <c r="AS37" s="182"/>
      <c r="AT37" s="182"/>
      <c r="AU37" s="182"/>
      <c r="AV37" s="182"/>
      <c r="AW37" s="182"/>
      <c r="AX37" s="182"/>
    </row>
    <row r="38" spans="1:50" ht="14.4" thickBot="1" x14ac:dyDescent="0.35">
      <c r="A38" s="1364"/>
      <c r="B38" s="1365"/>
      <c r="C38" s="1366"/>
      <c r="D38" s="733" t="s">
        <v>33</v>
      </c>
      <c r="E38" s="733" t="str">
        <f>IF($B37="","",COUNTIF(Penalties!$AD38:$AL38,E$2))</f>
        <v/>
      </c>
      <c r="F38" s="733" t="str">
        <f>IF($B37="","",COUNTIF(Penalties!$AD38:$AL38,F$2))</f>
        <v/>
      </c>
      <c r="G38" s="733" t="str">
        <f>IF($B37="","",COUNTIF(Penalties!$AD38:$AL38,G$2))</f>
        <v/>
      </c>
      <c r="H38" s="733" t="str">
        <f>IF($B37="","",COUNTIF(Penalties!$AD38:$AL38,H$2))</f>
        <v/>
      </c>
      <c r="I38" s="733" t="str">
        <f>IF($B37="","",COUNTIF(Penalties!$AD38:$AL38,I$2))</f>
        <v/>
      </c>
      <c r="J38" s="733" t="str">
        <f>IF($B37="","",COUNTIF(Penalties!$AD38:$AL38,J$2))</f>
        <v/>
      </c>
      <c r="K38" s="733" t="str">
        <f>IF($B37="","",COUNTIF(Penalties!$AD38:$AL38,K$2))</f>
        <v/>
      </c>
      <c r="L38" s="733" t="str">
        <f>IF($B37="","",COUNTIF(Penalties!$AD38:$AL38,L$2))</f>
        <v/>
      </c>
      <c r="M38" s="733" t="str">
        <f>IF($B37="","",COUNTIF(Penalties!$AD38:$AL38,M$2))</f>
        <v/>
      </c>
      <c r="N38" s="733" t="str">
        <f>IF($B37="","",COUNTIF(Penalties!$AD38:$AL38,N$2))</f>
        <v/>
      </c>
      <c r="O38" s="733" t="str">
        <f>IF($B37="","",COUNTIF(Penalties!$AD38:$AL38,O$2))</f>
        <v/>
      </c>
      <c r="P38" s="733" t="str">
        <f>IF($B37="","",COUNTIF(Penalties!$AD38:$AL38,P$2))</f>
        <v/>
      </c>
      <c r="Q38" s="733" t="str">
        <f>IF($B37="","",COUNTIF(Penalties!$AD38:$AL38,Q$2))</f>
        <v/>
      </c>
      <c r="R38" s="733" t="str">
        <f>IF($B37="","",COUNTIF(Penalties!$AD38:$AL38,R$2))</f>
        <v/>
      </c>
      <c r="S38" s="733" t="str">
        <f>IF($B37="","",COUNTIF(Penalties!$AD38:$AL38,S$2))</f>
        <v/>
      </c>
      <c r="T38" s="733" t="str">
        <f>IF($B37="","",COUNTIF(Penalties!$AD38:$AL38,T$2))</f>
        <v/>
      </c>
      <c r="U38" s="745" t="str">
        <f>IF(B37="","",SUM(E38:T38))</f>
        <v/>
      </c>
      <c r="V38" s="746" t="str">
        <f t="shared" ref="V38" si="27">IF(B37="","",SUM(E38:T38)*0.5)</f>
        <v/>
      </c>
      <c r="W38" s="747" t="str">
        <f>IF($B37="","",IF(Penalties!$AM38=W$2,1,""))</f>
        <v/>
      </c>
      <c r="X38" s="747" t="str">
        <f>IF($B37="","",IF(Penalties!$AM38=X$2,1,""))</f>
        <v/>
      </c>
      <c r="Y38" s="747" t="str">
        <f>IF($B37="","",IF(Penalties!$AM38=Y$2,1,""))</f>
        <v/>
      </c>
      <c r="Z38" s="747" t="str">
        <f>IF($B37="","",IF(Penalties!$AM38=Z$2,1,""))</f>
        <v/>
      </c>
      <c r="AA38" s="747" t="str">
        <f>IF($B37="","",IF(Penalties!$AM38=AA$2,1,""))</f>
        <v/>
      </c>
      <c r="AB38" s="747" t="str">
        <f>IF($B37="","",IF(Penalties!$AM38=AB$2,1,""))</f>
        <v/>
      </c>
      <c r="AC38" s="747" t="str">
        <f>IF($B37="","",IF(Penalties!$AM38=AC$2,1,""))</f>
        <v/>
      </c>
      <c r="AD38" s="747" t="str">
        <f>IF($B37="","",IF(Penalties!$AM38=AD$2,1,""))</f>
        <v/>
      </c>
      <c r="AE38" s="747" t="str">
        <f>IF($B37="","",IF(Penalties!$AM38=AE$2,1,""))</f>
        <v/>
      </c>
      <c r="AF38" s="747" t="str">
        <f>IF($B37="","",IF(Penalties!$AM38=AF$2,1,""))</f>
        <v/>
      </c>
      <c r="AG38" s="747" t="str">
        <f>IF($B37="","",IF(Penalties!$AM38=AG$2,1,""))</f>
        <v/>
      </c>
      <c r="AH38" s="747" t="str">
        <f>IF($B37="","",IF(Penalties!$AM38=AH$2,1,""))</f>
        <v/>
      </c>
      <c r="AI38" s="747" t="str">
        <f>IF($B37="","",IF(Penalties!$AM38=AI$2,1,""))</f>
        <v/>
      </c>
      <c r="AJ38" s="749" t="str">
        <f>IF(SUM(X37:AI38)=0, "", IF(SUM(X37:AI37)=1, LOOKUP(1, X37:AI37, $X$2:$AI$2), LOOKUP(1, X38:AI38, $X$2:$AI$2)))</f>
        <v/>
      </c>
      <c r="AK38" s="182"/>
      <c r="AL38" s="182"/>
      <c r="AM38" s="182"/>
      <c r="AN38" s="182"/>
      <c r="AO38" s="182"/>
      <c r="AP38" s="182"/>
      <c r="AQ38" s="182"/>
      <c r="AR38" s="182"/>
      <c r="AS38" s="182"/>
      <c r="AT38" s="182"/>
      <c r="AU38" s="182"/>
      <c r="AV38" s="182"/>
      <c r="AW38" s="182"/>
      <c r="AX38" s="182"/>
    </row>
    <row r="39" spans="1:50" x14ac:dyDescent="0.3">
      <c r="A39" s="1367">
        <f>A37+1</f>
        <v>19</v>
      </c>
      <c r="B39" s="1368" t="str">
        <f>IF(IGRF!B29="","",IGRF!B29)</f>
        <v/>
      </c>
      <c r="C39" s="1369" t="str">
        <f>IF(IGRF!C29="","",IGRF!C29)</f>
        <v/>
      </c>
      <c r="D39" s="739" t="s">
        <v>17</v>
      </c>
      <c r="E39" s="732" t="str">
        <f>IF($B39="","",COUNTIF(Penalties!$B40:$J40,E$2))</f>
        <v/>
      </c>
      <c r="F39" s="732" t="str">
        <f>IF($B39="","",COUNTIF(Penalties!$B40:$J40,F$2))</f>
        <v/>
      </c>
      <c r="G39" s="732" t="str">
        <f>IF($B39="","",COUNTIF(Penalties!$B40:$J40,G$2))</f>
        <v/>
      </c>
      <c r="H39" s="732" t="str">
        <f>IF($B39="","",COUNTIF(Penalties!$B40:$J40,H$2))</f>
        <v/>
      </c>
      <c r="I39" s="732" t="str">
        <f>IF($B39="","",COUNTIF(Penalties!$B40:$J40,I$2))</f>
        <v/>
      </c>
      <c r="J39" s="732" t="str">
        <f>IF($B39="","",COUNTIF(Penalties!$B40:$J40,J$2))</f>
        <v/>
      </c>
      <c r="K39" s="732" t="str">
        <f>IF($B39="","",COUNTIF(Penalties!$B40:$J40,K$2))</f>
        <v/>
      </c>
      <c r="L39" s="732" t="str">
        <f>IF($B39="","",COUNTIF(Penalties!$B40:$J40,L$2))</f>
        <v/>
      </c>
      <c r="M39" s="732" t="str">
        <f>IF($B39="","",COUNTIF(Penalties!$B40:$J40,M$2))</f>
        <v/>
      </c>
      <c r="N39" s="732" t="str">
        <f>IF($B39="","",COUNTIF(Penalties!$B40:$J40,N$2))</f>
        <v/>
      </c>
      <c r="O39" s="732" t="str">
        <f>IF($B39="","",COUNTIF(Penalties!$B40:$J40,O$2))</f>
        <v/>
      </c>
      <c r="P39" s="732" t="str">
        <f>IF($B39="","",COUNTIF(Penalties!$B40:$J40,P$2))</f>
        <v/>
      </c>
      <c r="Q39" s="732" t="str">
        <f>IF($B39="","",COUNTIF(Penalties!$B40:$J40,Q$2))</f>
        <v/>
      </c>
      <c r="R39" s="732" t="str">
        <f>IF($B39="","",COUNTIF(Penalties!$B40:$J40,R$2))</f>
        <v/>
      </c>
      <c r="S39" s="732" t="str">
        <f>IF($B39="","",COUNTIF(Penalties!$B40:$J40,S$2))</f>
        <v/>
      </c>
      <c r="T39" s="732" t="str">
        <f>IF($B39="","",COUNTIF(Penalties!$B40:$J40,T$2))</f>
        <v/>
      </c>
      <c r="U39" s="740" t="str">
        <f>IF(B39="","",SUM(E39:T39))</f>
        <v/>
      </c>
      <c r="V39" s="741" t="str">
        <f t="shared" ref="V39" si="28">IF(B39="","",SUM(E39:T39)*0.5)</f>
        <v/>
      </c>
      <c r="W39" s="742" t="str">
        <f>IF($B39="","",IF(Penalties!$K40=W$2,1,""))</f>
        <v/>
      </c>
      <c r="X39" s="742" t="str">
        <f>IF($B39="","",IF(Penalties!$K40=X$2,1,""))</f>
        <v/>
      </c>
      <c r="Y39" s="742" t="str">
        <f>IF($B39="","",IF(Penalties!$K40=Y$2,1,""))</f>
        <v/>
      </c>
      <c r="Z39" s="742" t="str">
        <f>IF($B39="","",IF(Penalties!$K40=Z$2,1,""))</f>
        <v/>
      </c>
      <c r="AA39" s="742" t="str">
        <f>IF($B39="","",IF(Penalties!$K40=AA$2,1,""))</f>
        <v/>
      </c>
      <c r="AB39" s="742" t="str">
        <f>IF($B39="","",IF(Penalties!$K40=AB$2,1,""))</f>
        <v/>
      </c>
      <c r="AC39" s="742" t="str">
        <f>IF($B39="","",IF(Penalties!$K40=AC$2,1,""))</f>
        <v/>
      </c>
      <c r="AD39" s="742" t="str">
        <f>IF($B39="","",IF(Penalties!$K40=AD$2,1,""))</f>
        <v/>
      </c>
      <c r="AE39" s="742" t="str">
        <f>IF($B39="","",IF(Penalties!$K40=AE$2,1,""))</f>
        <v/>
      </c>
      <c r="AF39" s="742" t="str">
        <f>IF($B39="","",IF(Penalties!$K40=AF$2,1,""))</f>
        <v/>
      </c>
      <c r="AG39" s="742" t="str">
        <f>IF($B39="","",IF(Penalties!$K40=AG$2,1,""))</f>
        <v/>
      </c>
      <c r="AH39" s="742" t="str">
        <f>IF($B39="","",IF(Penalties!$K40=AH$2,1,""))</f>
        <v/>
      </c>
      <c r="AI39" s="742" t="str">
        <f>IF($B39="","",IF(Penalties!$K40=AI$2,1,""))</f>
        <v/>
      </c>
      <c r="AJ39" s="743"/>
      <c r="AK39" s="182"/>
      <c r="AL39" s="182"/>
      <c r="AM39" s="182"/>
      <c r="AN39" s="182"/>
      <c r="AO39" s="182"/>
      <c r="AP39" s="182"/>
      <c r="AQ39" s="182"/>
      <c r="AR39" s="182"/>
      <c r="AS39" s="182"/>
      <c r="AT39" s="182"/>
      <c r="AU39" s="182"/>
      <c r="AV39" s="182"/>
      <c r="AW39" s="182"/>
      <c r="AX39" s="182"/>
    </row>
    <row r="40" spans="1:50" x14ac:dyDescent="0.3">
      <c r="A40" s="1367"/>
      <c r="B40" s="1368"/>
      <c r="C40" s="1369"/>
      <c r="D40" s="739" t="s">
        <v>33</v>
      </c>
      <c r="E40" s="732" t="str">
        <f>IF($B39="","",COUNTIF(Penalties!$AD40:$AL40,E$2))</f>
        <v/>
      </c>
      <c r="F40" s="732" t="str">
        <f>IF($B39="","",COUNTIF(Penalties!$AD40:$AL40,F$2))</f>
        <v/>
      </c>
      <c r="G40" s="732" t="str">
        <f>IF($B39="","",COUNTIF(Penalties!$AD40:$AL40,G$2))</f>
        <v/>
      </c>
      <c r="H40" s="732" t="str">
        <f>IF($B39="","",COUNTIF(Penalties!$AD40:$AL40,H$2))</f>
        <v/>
      </c>
      <c r="I40" s="732" t="str">
        <f>IF($B39="","",COUNTIF(Penalties!$AD40:$AL40,I$2))</f>
        <v/>
      </c>
      <c r="J40" s="732" t="str">
        <f>IF($B39="","",COUNTIF(Penalties!$AD40:$AL40,J$2))</f>
        <v/>
      </c>
      <c r="K40" s="732" t="str">
        <f>IF($B39="","",COUNTIF(Penalties!$AD40:$AL40,K$2))</f>
        <v/>
      </c>
      <c r="L40" s="732" t="str">
        <f>IF($B39="","",COUNTIF(Penalties!$AD40:$AL40,L$2))</f>
        <v/>
      </c>
      <c r="M40" s="732" t="str">
        <f>IF($B39="","",COUNTIF(Penalties!$AD40:$AL40,M$2))</f>
        <v/>
      </c>
      <c r="N40" s="732" t="str">
        <f>IF($B39="","",COUNTIF(Penalties!$AD40:$AL40,N$2))</f>
        <v/>
      </c>
      <c r="O40" s="732" t="str">
        <f>IF($B39="","",COUNTIF(Penalties!$AD40:$AL40,O$2))</f>
        <v/>
      </c>
      <c r="P40" s="732" t="str">
        <f>IF($B39="","",COUNTIF(Penalties!$AD40:$AL40,P$2))</f>
        <v/>
      </c>
      <c r="Q40" s="732" t="str">
        <f>IF($B39="","",COUNTIF(Penalties!$AD40:$AL40,Q$2))</f>
        <v/>
      </c>
      <c r="R40" s="732" t="str">
        <f>IF($B39="","",COUNTIF(Penalties!$AD40:$AL40,R$2))</f>
        <v/>
      </c>
      <c r="S40" s="732" t="str">
        <f>IF($B39="","",COUNTIF(Penalties!$AD40:$AL40,S$2))</f>
        <v/>
      </c>
      <c r="T40" s="732" t="str">
        <f>IF($B39="","",COUNTIF(Penalties!$AD40:$AL40,T$2))</f>
        <v/>
      </c>
      <c r="U40" s="740" t="str">
        <f>IF(B39="","",SUM(E40:T40))</f>
        <v/>
      </c>
      <c r="V40" s="741" t="str">
        <f t="shared" ref="V40" si="29">IF(B39="","",SUM(E40:T40)*0.5)</f>
        <v/>
      </c>
      <c r="W40" s="742" t="str">
        <f>IF($B39="","",IF(Penalties!$AM40=W$2,1,""))</f>
        <v/>
      </c>
      <c r="X40" s="742" t="str">
        <f>IF($B39="","",IF(Penalties!$AM40=X$2,1,""))</f>
        <v/>
      </c>
      <c r="Y40" s="742" t="str">
        <f>IF($B39="","",IF(Penalties!$AM40=Y$2,1,""))</f>
        <v/>
      </c>
      <c r="Z40" s="742" t="str">
        <f>IF($B39="","",IF(Penalties!$AM40=Z$2,1,""))</f>
        <v/>
      </c>
      <c r="AA40" s="742" t="str">
        <f>IF($B39="","",IF(Penalties!$AM40=AA$2,1,""))</f>
        <v/>
      </c>
      <c r="AB40" s="742" t="str">
        <f>IF($B39="","",IF(Penalties!$AM40=AB$2,1,""))</f>
        <v/>
      </c>
      <c r="AC40" s="742" t="str">
        <f>IF($B39="","",IF(Penalties!$AM40=AC$2,1,""))</f>
        <v/>
      </c>
      <c r="AD40" s="742" t="str">
        <f>IF($B39="","",IF(Penalties!$AM40=AD$2,1,""))</f>
        <v/>
      </c>
      <c r="AE40" s="742" t="str">
        <f>IF($B39="","",IF(Penalties!$AM40=AE$2,1,""))</f>
        <v/>
      </c>
      <c r="AF40" s="742" t="str">
        <f>IF($B39="","",IF(Penalties!$AM40=AF$2,1,""))</f>
        <v/>
      </c>
      <c r="AG40" s="742" t="str">
        <f>IF($B39="","",IF(Penalties!$AM40=AG$2,1,""))</f>
        <v/>
      </c>
      <c r="AH40" s="742" t="str">
        <f>IF($B39="","",IF(Penalties!$AM40=AH$2,1,""))</f>
        <v/>
      </c>
      <c r="AI40" s="742" t="str">
        <f>IF($B39="","",IF(Penalties!$AM40=AI$2,1,""))</f>
        <v/>
      </c>
      <c r="AJ40" s="744" t="str">
        <f>IF(SUM(X39:AI40)=0, "", IF(SUM(X39:AI39)=1, LOOKUP(1, X39:AI39, $X$2:$AI$2), LOOKUP(1, X40:AI40, $X$2:$AI$2)))</f>
        <v/>
      </c>
      <c r="AK40" s="182"/>
      <c r="AL40" s="182"/>
      <c r="AM40" s="182"/>
      <c r="AN40" s="182"/>
      <c r="AO40" s="182"/>
      <c r="AP40" s="182"/>
      <c r="AQ40" s="182"/>
      <c r="AR40" s="182"/>
      <c r="AS40" s="182"/>
      <c r="AT40" s="182"/>
      <c r="AU40" s="182"/>
      <c r="AV40" s="182"/>
      <c r="AW40" s="182"/>
      <c r="AX40" s="182"/>
    </row>
    <row r="41" spans="1:50" x14ac:dyDescent="0.3">
      <c r="A41" s="1364">
        <f>A39+1</f>
        <v>20</v>
      </c>
      <c r="B41" s="1365" t="str">
        <f>IF(IGRF!B30="","",IGRF!B30)</f>
        <v/>
      </c>
      <c r="C41" s="1366" t="str">
        <f>IF(IGRF!C30="","",IGRF!C30)</f>
        <v/>
      </c>
      <c r="D41" s="733" t="s">
        <v>17</v>
      </c>
      <c r="E41" s="733" t="str">
        <f>IF($B41="","",COUNTIF(Penalties!$B42:$J42,E$2))</f>
        <v/>
      </c>
      <c r="F41" s="733" t="str">
        <f>IF($B41="","",COUNTIF(Penalties!$B42:$J42,F$2))</f>
        <v/>
      </c>
      <c r="G41" s="733" t="str">
        <f>IF($B41="","",COUNTIF(Penalties!$B42:$J42,G$2))</f>
        <v/>
      </c>
      <c r="H41" s="733" t="str">
        <f>IF($B41="","",COUNTIF(Penalties!$B42:$J42,H$2))</f>
        <v/>
      </c>
      <c r="I41" s="733" t="str">
        <f>IF($B41="","",COUNTIF(Penalties!$B42:$J42,I$2))</f>
        <v/>
      </c>
      <c r="J41" s="733" t="str">
        <f>IF($B41="","",COUNTIF(Penalties!$B42:$J42,J$2))</f>
        <v/>
      </c>
      <c r="K41" s="733" t="str">
        <f>IF($B41="","",COUNTIF(Penalties!$B42:$J42,K$2))</f>
        <v/>
      </c>
      <c r="L41" s="733" t="str">
        <f>IF($B41="","",COUNTIF(Penalties!$B42:$J42,L$2))</f>
        <v/>
      </c>
      <c r="M41" s="733" t="str">
        <f>IF($B41="","",COUNTIF(Penalties!$B42:$J42,M$2))</f>
        <v/>
      </c>
      <c r="N41" s="733" t="str">
        <f>IF($B41="","",COUNTIF(Penalties!$B42:$J42,N$2))</f>
        <v/>
      </c>
      <c r="O41" s="733" t="str">
        <f>IF($B41="","",COUNTIF(Penalties!$B42:$J42,O$2))</f>
        <v/>
      </c>
      <c r="P41" s="733" t="str">
        <f>IF($B41="","",COUNTIF(Penalties!$B42:$J42,P$2))</f>
        <v/>
      </c>
      <c r="Q41" s="733" t="str">
        <f>IF($B41="","",COUNTIF(Penalties!$B42:$J42,Q$2))</f>
        <v/>
      </c>
      <c r="R41" s="733" t="str">
        <f>IF($B41="","",COUNTIF(Penalties!$B42:$J42,R$2))</f>
        <v/>
      </c>
      <c r="S41" s="733" t="str">
        <f>IF($B41="","",COUNTIF(Penalties!$B42:$J42,S$2))</f>
        <v/>
      </c>
      <c r="T41" s="733" t="str">
        <f>IF($B41="","",COUNTIF(Penalties!$B42:$J42,T$2))</f>
        <v/>
      </c>
      <c r="U41" s="745" t="str">
        <f>IF(B41="","",SUM(E41:T41))</f>
        <v/>
      </c>
      <c r="V41" s="746" t="str">
        <f t="shared" ref="V41" si="30">IF(B41="","",SUM(E41:T41)*0.5)</f>
        <v/>
      </c>
      <c r="W41" s="747" t="str">
        <f>IF($B41="","",IF(Penalties!$K42=W$2,1,""))</f>
        <v/>
      </c>
      <c r="X41" s="747" t="str">
        <f>IF($B41="","",IF(Penalties!$K42=X$2,1,""))</f>
        <v/>
      </c>
      <c r="Y41" s="747" t="str">
        <f>IF($B41="","",IF(Penalties!$K42=Y$2,1,""))</f>
        <v/>
      </c>
      <c r="Z41" s="747" t="str">
        <f>IF($B41="","",IF(Penalties!$K42=Z$2,1,""))</f>
        <v/>
      </c>
      <c r="AA41" s="747" t="str">
        <f>IF($B41="","",IF(Penalties!$K42=AA$2,1,""))</f>
        <v/>
      </c>
      <c r="AB41" s="747" t="str">
        <f>IF($B41="","",IF(Penalties!$K42=AB$2,1,""))</f>
        <v/>
      </c>
      <c r="AC41" s="747" t="str">
        <f>IF($B41="","",IF(Penalties!$K42=AC$2,1,""))</f>
        <v/>
      </c>
      <c r="AD41" s="747" t="str">
        <f>IF($B41="","",IF(Penalties!$K42=AD$2,1,""))</f>
        <v/>
      </c>
      <c r="AE41" s="747" t="str">
        <f>IF($B41="","",IF(Penalties!$K42=AE$2,1,""))</f>
        <v/>
      </c>
      <c r="AF41" s="747" t="str">
        <f>IF($B41="","",IF(Penalties!$K42=AF$2,1,""))</f>
        <v/>
      </c>
      <c r="AG41" s="747" t="str">
        <f>IF($B41="","",IF(Penalties!$K42=AG$2,1,""))</f>
        <v/>
      </c>
      <c r="AH41" s="747" t="str">
        <f>IF($B41="","",IF(Penalties!$K42=AH$2,1,""))</f>
        <v/>
      </c>
      <c r="AI41" s="747" t="str">
        <f>IF($B41="","",IF(Penalties!$K42=AI$2,1,""))</f>
        <v/>
      </c>
      <c r="AJ41" s="748"/>
      <c r="AK41" s="182"/>
      <c r="AL41" s="182"/>
      <c r="AM41" s="182"/>
      <c r="AN41" s="182"/>
      <c r="AO41" s="182"/>
      <c r="AP41" s="182"/>
      <c r="AQ41" s="182"/>
      <c r="AR41" s="182"/>
      <c r="AS41" s="182"/>
      <c r="AT41" s="182"/>
      <c r="AU41" s="182"/>
      <c r="AV41" s="182"/>
      <c r="AW41" s="182"/>
      <c r="AX41" s="182"/>
    </row>
    <row r="42" spans="1:50" ht="12.75" customHeight="1" thickBot="1" x14ac:dyDescent="0.35">
      <c r="A42" s="1364"/>
      <c r="B42" s="1365"/>
      <c r="C42" s="1366"/>
      <c r="D42" s="733" t="s">
        <v>33</v>
      </c>
      <c r="E42" s="733" t="str">
        <f>IF($B41="","",COUNTIF(Penalties!$AD42:$AL42,E$2))</f>
        <v/>
      </c>
      <c r="F42" s="733" t="str">
        <f>IF($B41="","",COUNTIF(Penalties!$AD42:$AL42,F$2))</f>
        <v/>
      </c>
      <c r="G42" s="733" t="str">
        <f>IF($B41="","",COUNTIF(Penalties!$AD42:$AL42,G$2))</f>
        <v/>
      </c>
      <c r="H42" s="733" t="str">
        <f>IF($B41="","",COUNTIF(Penalties!$AD42:$AL42,H$2))</f>
        <v/>
      </c>
      <c r="I42" s="733" t="str">
        <f>IF($B41="","",COUNTIF(Penalties!$AD42:$AL42,I$2))</f>
        <v/>
      </c>
      <c r="J42" s="733" t="str">
        <f>IF($B41="","",COUNTIF(Penalties!$AD42:$AL42,J$2))</f>
        <v/>
      </c>
      <c r="K42" s="733" t="str">
        <f>IF($B41="","",COUNTIF(Penalties!$AD42:$AL42,K$2))</f>
        <v/>
      </c>
      <c r="L42" s="733" t="str">
        <f>IF($B41="","",COUNTIF(Penalties!$AD42:$AL42,L$2))</f>
        <v/>
      </c>
      <c r="M42" s="733" t="str">
        <f>IF($B41="","",COUNTIF(Penalties!$AD42:$AL42,M$2))</f>
        <v/>
      </c>
      <c r="N42" s="733" t="str">
        <f>IF($B41="","",COUNTIF(Penalties!$AD42:$AL42,N$2))</f>
        <v/>
      </c>
      <c r="O42" s="733" t="str">
        <f>IF($B41="","",COUNTIF(Penalties!$AD42:$AL42,O$2))</f>
        <v/>
      </c>
      <c r="P42" s="733" t="str">
        <f>IF($B41="","",COUNTIF(Penalties!$AD42:$AL42,P$2))</f>
        <v/>
      </c>
      <c r="Q42" s="733" t="str">
        <f>IF($B41="","",COUNTIF(Penalties!$AD42:$AL42,Q$2))</f>
        <v/>
      </c>
      <c r="R42" s="733" t="str">
        <f>IF($B41="","",COUNTIF(Penalties!$AD42:$AL42,R$2))</f>
        <v/>
      </c>
      <c r="S42" s="733" t="str">
        <f>IF($B41="","",COUNTIF(Penalties!$AD42:$AL42,S$2))</f>
        <v/>
      </c>
      <c r="T42" s="733" t="str">
        <f>IF($B41="","",COUNTIF(Penalties!$AD42:$AL42,T$2))</f>
        <v/>
      </c>
      <c r="U42" s="745" t="str">
        <f>IF(B41="","",SUM(E42:T42))</f>
        <v/>
      </c>
      <c r="V42" s="746" t="str">
        <f t="shared" ref="V42" si="31">IF(B41="","",SUM(E42:T42)*0.5)</f>
        <v/>
      </c>
      <c r="W42" s="747" t="str">
        <f>IF($B41="","",IF(Penalties!$AM42=W$2,1,""))</f>
        <v/>
      </c>
      <c r="X42" s="747" t="str">
        <f>IF($B41="","",IF(Penalties!$AM42=X$2,1,""))</f>
        <v/>
      </c>
      <c r="Y42" s="747" t="str">
        <f>IF($B41="","",IF(Penalties!$AM42=Y$2,1,""))</f>
        <v/>
      </c>
      <c r="Z42" s="747" t="str">
        <f>IF($B41="","",IF(Penalties!$AM42=Z$2,1,""))</f>
        <v/>
      </c>
      <c r="AA42" s="747" t="str">
        <f>IF($B41="","",IF(Penalties!$AM42=AA$2,1,""))</f>
        <v/>
      </c>
      <c r="AB42" s="747" t="str">
        <f>IF($B41="","",IF(Penalties!$AM42=AB$2,1,""))</f>
        <v/>
      </c>
      <c r="AC42" s="747" t="str">
        <f>IF($B41="","",IF(Penalties!$AM42=AC$2,1,""))</f>
        <v/>
      </c>
      <c r="AD42" s="747" t="str">
        <f>IF($B41="","",IF(Penalties!$AM42=AD$2,1,""))</f>
        <v/>
      </c>
      <c r="AE42" s="747" t="str">
        <f>IF($B41="","",IF(Penalties!$AM42=AE$2,1,""))</f>
        <v/>
      </c>
      <c r="AF42" s="747" t="str">
        <f>IF($B41="","",IF(Penalties!$AM42=AF$2,1,""))</f>
        <v/>
      </c>
      <c r="AG42" s="747" t="str">
        <f>IF($B41="","",IF(Penalties!$AM42=AG$2,1,""))</f>
        <v/>
      </c>
      <c r="AH42" s="747" t="str">
        <f>IF($B41="","",IF(Penalties!$AM42=AH$2,1,""))</f>
        <v/>
      </c>
      <c r="AI42" s="747" t="str">
        <f>IF($B41="","",IF(Penalties!$AM42=AI$2,1,""))</f>
        <v/>
      </c>
      <c r="AJ42" s="750" t="str">
        <f>IF(SUM(X41:AI42)=0, "", IF(SUM(X41:AI41)=1, LOOKUP(1, X41:AI41, $X$2:$AI$2), LOOKUP(1, X42:AI42, $X$2:$AI$2)))</f>
        <v/>
      </c>
      <c r="AK42" s="182"/>
      <c r="AL42" s="182"/>
      <c r="AM42" s="182"/>
      <c r="AN42" s="182"/>
      <c r="AO42" s="182"/>
      <c r="AP42" s="182"/>
      <c r="AQ42" s="182"/>
      <c r="AR42" s="182"/>
      <c r="AS42" s="182"/>
      <c r="AT42" s="182"/>
      <c r="AU42" s="182"/>
      <c r="AV42" s="182"/>
      <c r="AW42" s="182"/>
      <c r="AX42" s="182"/>
    </row>
    <row r="43" spans="1:50" ht="12.75" customHeight="1" x14ac:dyDescent="0.3">
      <c r="A43" s="1372" t="s">
        <v>544</v>
      </c>
      <c r="B43" s="1372"/>
      <c r="C43" s="1372"/>
      <c r="D43" s="751" t="s">
        <v>17</v>
      </c>
      <c r="E43" s="752"/>
      <c r="F43" s="752"/>
      <c r="G43" s="752"/>
      <c r="H43" s="752"/>
      <c r="I43" s="752"/>
      <c r="J43" s="752"/>
      <c r="K43" s="752"/>
      <c r="L43" s="752"/>
      <c r="M43" s="752"/>
      <c r="N43" s="752"/>
      <c r="O43" s="752"/>
      <c r="P43" s="752"/>
      <c r="Q43" s="752"/>
      <c r="R43" s="752"/>
      <c r="S43" s="752"/>
      <c r="T43" s="752"/>
      <c r="U43" s="745"/>
      <c r="V43" s="746"/>
      <c r="W43" s="742"/>
      <c r="X43" s="742"/>
      <c r="Y43" s="742"/>
      <c r="Z43" s="742"/>
      <c r="AA43" s="742"/>
      <c r="AB43" s="742"/>
      <c r="AC43" s="742"/>
      <c r="AD43" s="742"/>
      <c r="AE43" s="742"/>
      <c r="AF43" s="742"/>
      <c r="AG43" s="742"/>
      <c r="AH43" s="742" t="str">
        <f>IF(Penalties!$C44=AH$2,1,"")</f>
        <v/>
      </c>
      <c r="AI43" s="742" t="str">
        <f>IF(Penalties!$C44=AI$2,1,"")</f>
        <v/>
      </c>
      <c r="AJ43" s="743"/>
      <c r="AK43" s="182"/>
      <c r="AL43" s="182"/>
      <c r="AM43" s="182"/>
      <c r="AN43" s="182"/>
      <c r="AO43" s="182"/>
      <c r="AP43" s="182"/>
      <c r="AQ43" s="182"/>
      <c r="AR43" s="182"/>
      <c r="AS43" s="182"/>
      <c r="AT43" s="182"/>
      <c r="AU43" s="182"/>
      <c r="AV43" s="182"/>
      <c r="AW43" s="182"/>
      <c r="AX43" s="182"/>
    </row>
    <row r="44" spans="1:50" ht="12.75" customHeight="1" x14ac:dyDescent="0.3">
      <c r="A44" s="1372"/>
      <c r="B44" s="1372"/>
      <c r="C44" s="1372"/>
      <c r="D44" s="751" t="s">
        <v>33</v>
      </c>
      <c r="E44" s="752"/>
      <c r="F44" s="752"/>
      <c r="G44" s="752"/>
      <c r="H44" s="752"/>
      <c r="I44" s="752"/>
      <c r="J44" s="752"/>
      <c r="K44" s="752"/>
      <c r="L44" s="752"/>
      <c r="M44" s="752"/>
      <c r="N44" s="752"/>
      <c r="O44" s="752"/>
      <c r="P44" s="752"/>
      <c r="Q44" s="752"/>
      <c r="R44" s="752"/>
      <c r="S44" s="752"/>
      <c r="T44" s="752"/>
      <c r="U44" s="745"/>
      <c r="V44" s="746"/>
      <c r="W44" s="742"/>
      <c r="X44" s="742"/>
      <c r="Y44" s="742"/>
      <c r="Z44" s="742"/>
      <c r="AA44" s="742"/>
      <c r="AB44" s="742"/>
      <c r="AC44" s="742"/>
      <c r="AD44" s="742"/>
      <c r="AE44" s="742"/>
      <c r="AF44" s="742"/>
      <c r="AG44" s="742"/>
      <c r="AH44" s="742" t="str">
        <f>IF(Penalties!$AE44=AH$2,1,"")</f>
        <v/>
      </c>
      <c r="AI44" s="742" t="str">
        <f>IF(Penalties!$AE44=AI$2,1,"")</f>
        <v/>
      </c>
      <c r="AJ44" s="744" t="str">
        <f>IF(SUM(X43:AI44)=0, "", IF(SUM(X43:AI43)=1, LOOKUP(1, X43:AI43, $X$2:$AI$2), LOOKUP(1, X44:AI44, $X$2:$AI$2)))</f>
        <v/>
      </c>
      <c r="AK44" s="182"/>
      <c r="AL44" s="182"/>
      <c r="AM44" s="182"/>
      <c r="AN44" s="182"/>
      <c r="AO44" s="182"/>
      <c r="AP44" s="182"/>
      <c r="AQ44" s="182"/>
      <c r="AR44" s="182"/>
      <c r="AS44" s="182"/>
      <c r="AT44" s="182"/>
      <c r="AU44" s="182"/>
      <c r="AV44" s="182"/>
      <c r="AW44" s="182"/>
      <c r="AX44" s="182"/>
    </row>
    <row r="45" spans="1:50" ht="12.75" customHeight="1" x14ac:dyDescent="0.3">
      <c r="A45" s="1373" t="s">
        <v>544</v>
      </c>
      <c r="B45" s="1373"/>
      <c r="C45" s="1373"/>
      <c r="D45" s="733" t="s">
        <v>17</v>
      </c>
      <c r="E45" s="752"/>
      <c r="F45" s="752"/>
      <c r="G45" s="752"/>
      <c r="H45" s="752"/>
      <c r="I45" s="752"/>
      <c r="J45" s="752"/>
      <c r="K45" s="752"/>
      <c r="L45" s="752"/>
      <c r="M45" s="752"/>
      <c r="N45" s="752"/>
      <c r="O45" s="752"/>
      <c r="P45" s="752"/>
      <c r="Q45" s="752"/>
      <c r="R45" s="752"/>
      <c r="S45" s="752"/>
      <c r="T45" s="752"/>
      <c r="U45" s="745"/>
      <c r="V45" s="746"/>
      <c r="W45" s="747"/>
      <c r="X45" s="747"/>
      <c r="Y45" s="747"/>
      <c r="Z45" s="747"/>
      <c r="AA45" s="747"/>
      <c r="AB45" s="747"/>
      <c r="AC45" s="747"/>
      <c r="AD45" s="747"/>
      <c r="AE45" s="747"/>
      <c r="AF45" s="747"/>
      <c r="AG45" s="747"/>
      <c r="AH45" s="747" t="str">
        <f>IF(Penalties!$D44=AH$2,1,"")</f>
        <v/>
      </c>
      <c r="AI45" s="747" t="str">
        <f>IF(Penalties!$D44=AI$2,1,"")</f>
        <v/>
      </c>
      <c r="AJ45" s="748"/>
      <c r="AK45" s="182"/>
      <c r="AL45" s="182"/>
      <c r="AM45" s="182"/>
      <c r="AN45" s="182"/>
      <c r="AO45" s="182"/>
      <c r="AP45" s="182"/>
      <c r="AQ45" s="182"/>
      <c r="AR45" s="182"/>
      <c r="AS45" s="182"/>
      <c r="AT45" s="182"/>
      <c r="AU45" s="182"/>
      <c r="AV45" s="182"/>
      <c r="AW45" s="182"/>
      <c r="AX45" s="182"/>
    </row>
    <row r="46" spans="1:50" ht="12.75" customHeight="1" thickBot="1" x14ac:dyDescent="0.35">
      <c r="A46" s="1373"/>
      <c r="B46" s="1373"/>
      <c r="C46" s="1373"/>
      <c r="D46" s="733" t="s">
        <v>33</v>
      </c>
      <c r="E46" s="752"/>
      <c r="F46" s="752"/>
      <c r="G46" s="752"/>
      <c r="H46" s="752"/>
      <c r="I46" s="752"/>
      <c r="J46" s="752"/>
      <c r="K46" s="752"/>
      <c r="L46" s="752"/>
      <c r="M46" s="752"/>
      <c r="N46" s="752"/>
      <c r="O46" s="752"/>
      <c r="P46" s="752"/>
      <c r="Q46" s="752"/>
      <c r="R46" s="752"/>
      <c r="S46" s="752"/>
      <c r="T46" s="752"/>
      <c r="U46" s="745"/>
      <c r="V46" s="746"/>
      <c r="W46" s="747"/>
      <c r="X46" s="747"/>
      <c r="Y46" s="747"/>
      <c r="Z46" s="747"/>
      <c r="AA46" s="747"/>
      <c r="AB46" s="747"/>
      <c r="AC46" s="747"/>
      <c r="AD46" s="747"/>
      <c r="AE46" s="747"/>
      <c r="AF46" s="747"/>
      <c r="AG46" s="747"/>
      <c r="AH46" s="747" t="str">
        <f>IF(Penalties!$AF44=AH$2,1,"")</f>
        <v/>
      </c>
      <c r="AI46" s="747" t="str">
        <f>IF(Penalties!$AF44=AI$2,1,"")</f>
        <v/>
      </c>
      <c r="AJ46" s="750" t="str">
        <f>IF(SUM(X45:AI46)=0, "", IF(SUM(X45:AI45)=1, LOOKUP(1, X45:AI45, $X$2:$AI$2), LOOKUP(1, X46:AI46, $X$2:$AI$2)))</f>
        <v/>
      </c>
      <c r="AK46" s="182"/>
      <c r="AL46" s="182"/>
      <c r="AM46" s="182"/>
      <c r="AN46" s="182"/>
      <c r="AO46" s="182"/>
      <c r="AP46" s="182"/>
      <c r="AQ46" s="182"/>
      <c r="AR46" s="182"/>
      <c r="AS46" s="182"/>
      <c r="AT46" s="182"/>
      <c r="AU46" s="182"/>
      <c r="AV46" s="182"/>
      <c r="AW46" s="182"/>
      <c r="AX46" s="182"/>
    </row>
    <row r="47" spans="1:50" ht="12.75" customHeight="1" x14ac:dyDescent="0.3">
      <c r="A47" s="1374" t="s">
        <v>18</v>
      </c>
      <c r="B47" s="1374"/>
      <c r="C47" s="1374" t="s">
        <v>38</v>
      </c>
      <c r="D47" s="753" t="s">
        <v>17</v>
      </c>
      <c r="E47" s="753">
        <f t="shared" ref="E47:AG48" si="32">SUM(E3,E5,E7,E9,E11,E13,E15,E17,E19,E21,E23,E25,E27,E29,E31,E33,E35,E37,E39,E41)</f>
        <v>1</v>
      </c>
      <c r="F47" s="753">
        <f t="shared" si="32"/>
        <v>3</v>
      </c>
      <c r="G47" s="753">
        <f t="shared" si="32"/>
        <v>2</v>
      </c>
      <c r="H47" s="753">
        <f t="shared" si="32"/>
        <v>1</v>
      </c>
      <c r="I47" s="753">
        <f t="shared" si="32"/>
        <v>1</v>
      </c>
      <c r="J47" s="753">
        <f t="shared" si="32"/>
        <v>0</v>
      </c>
      <c r="K47" s="753">
        <f t="shared" si="32"/>
        <v>2</v>
      </c>
      <c r="L47" s="753">
        <f t="shared" si="32"/>
        <v>0</v>
      </c>
      <c r="M47" s="753">
        <f t="shared" si="32"/>
        <v>0</v>
      </c>
      <c r="N47" s="753">
        <f t="shared" si="32"/>
        <v>3</v>
      </c>
      <c r="O47" s="753">
        <f t="shared" si="32"/>
        <v>4</v>
      </c>
      <c r="P47" s="753">
        <f t="shared" si="32"/>
        <v>0</v>
      </c>
      <c r="Q47" s="753">
        <f t="shared" si="32"/>
        <v>1</v>
      </c>
      <c r="R47" s="753">
        <f>SUM(R3,R5,R7,R9,R11,R13,R15,R17,R19,R21,R23,R25,R27,R29,R31,R33,R35,R37,R39,R41)</f>
        <v>0</v>
      </c>
      <c r="S47" s="753">
        <f t="shared" si="32"/>
        <v>0</v>
      </c>
      <c r="T47" s="753">
        <f t="shared" si="32"/>
        <v>0</v>
      </c>
      <c r="U47" s="737">
        <f t="shared" si="32"/>
        <v>18</v>
      </c>
      <c r="V47" s="754">
        <f t="shared" si="32"/>
        <v>9</v>
      </c>
      <c r="W47" s="755">
        <f t="shared" si="32"/>
        <v>0</v>
      </c>
      <c r="X47" s="755">
        <f t="shared" si="32"/>
        <v>0</v>
      </c>
      <c r="Y47" s="755">
        <f t="shared" si="32"/>
        <v>0</v>
      </c>
      <c r="Z47" s="755">
        <f t="shared" si="32"/>
        <v>0</v>
      </c>
      <c r="AA47" s="755">
        <f t="shared" si="32"/>
        <v>0</v>
      </c>
      <c r="AB47" s="755">
        <f t="shared" si="32"/>
        <v>0</v>
      </c>
      <c r="AC47" s="755">
        <f t="shared" si="32"/>
        <v>0</v>
      </c>
      <c r="AD47" s="755">
        <f t="shared" si="32"/>
        <v>0</v>
      </c>
      <c r="AE47" s="755">
        <f t="shared" si="32"/>
        <v>0</v>
      </c>
      <c r="AF47" s="755">
        <f t="shared" si="32"/>
        <v>0</v>
      </c>
      <c r="AG47" s="755">
        <f t="shared" si="32"/>
        <v>0</v>
      </c>
      <c r="AH47" s="755">
        <f>SUM(AH3,AH5,AH7,AH9,AH11,AH13,AH15,AH17,AH19,AH21,AH23,AH25,AH27,AH29,AH31,AH33,AH35,AH37,AH39,AH41,AH43,AH45)</f>
        <v>0</v>
      </c>
      <c r="AI47" s="755">
        <f>SUM(AI3,AI5,AI7,AI9,AI11,AI13,AI15,AI17,AI19,AI21,AI23,AI25,AI27,AI29,AI31,AI33,AI35,AI37,AI39,AI41,AI43,AI45)</f>
        <v>0</v>
      </c>
      <c r="AJ47" s="756"/>
      <c r="AN47" s="182"/>
      <c r="AO47" s="182"/>
      <c r="AP47" s="182"/>
      <c r="AQ47" s="182"/>
      <c r="AR47" s="182"/>
      <c r="AS47" s="182"/>
      <c r="AT47" s="182"/>
      <c r="AU47" s="182"/>
      <c r="AV47" s="182"/>
      <c r="AW47" s="182"/>
      <c r="AX47" s="182"/>
    </row>
    <row r="48" spans="1:50" x14ac:dyDescent="0.3">
      <c r="A48" s="1374"/>
      <c r="B48" s="1374"/>
      <c r="C48" s="1374"/>
      <c r="D48" s="753" t="s">
        <v>33</v>
      </c>
      <c r="E48" s="753">
        <f t="shared" si="32"/>
        <v>1</v>
      </c>
      <c r="F48" s="753">
        <f t="shared" si="32"/>
        <v>0</v>
      </c>
      <c r="G48" s="753">
        <f t="shared" si="32"/>
        <v>1</v>
      </c>
      <c r="H48" s="753">
        <f t="shared" si="32"/>
        <v>1</v>
      </c>
      <c r="I48" s="753">
        <f t="shared" si="32"/>
        <v>3</v>
      </c>
      <c r="J48" s="753">
        <f t="shared" si="32"/>
        <v>0</v>
      </c>
      <c r="K48" s="753">
        <f t="shared" si="32"/>
        <v>3</v>
      </c>
      <c r="L48" s="753">
        <f t="shared" si="32"/>
        <v>1</v>
      </c>
      <c r="M48" s="753">
        <f t="shared" si="32"/>
        <v>1</v>
      </c>
      <c r="N48" s="753">
        <f t="shared" si="32"/>
        <v>0</v>
      </c>
      <c r="O48" s="753">
        <f t="shared" si="32"/>
        <v>1</v>
      </c>
      <c r="P48" s="753">
        <f t="shared" si="32"/>
        <v>0</v>
      </c>
      <c r="Q48" s="753">
        <f t="shared" si="32"/>
        <v>0</v>
      </c>
      <c r="R48" s="753">
        <f>SUM(R4,R6,R8,R10,R12,R14,R16,R18,R20,R22,R24,R26,R28,R30,R32,R34,R36,R38,R40,R42)</f>
        <v>0</v>
      </c>
      <c r="S48" s="753">
        <f t="shared" si="32"/>
        <v>0</v>
      </c>
      <c r="T48" s="753">
        <f t="shared" si="32"/>
        <v>1</v>
      </c>
      <c r="U48" s="737">
        <f t="shared" si="32"/>
        <v>13</v>
      </c>
      <c r="V48" s="754">
        <f t="shared" si="32"/>
        <v>6.5</v>
      </c>
      <c r="W48" s="755">
        <f t="shared" si="32"/>
        <v>0</v>
      </c>
      <c r="X48" s="755">
        <f t="shared" si="32"/>
        <v>0</v>
      </c>
      <c r="Y48" s="755">
        <f t="shared" si="32"/>
        <v>0</v>
      </c>
      <c r="Z48" s="755">
        <f t="shared" si="32"/>
        <v>0</v>
      </c>
      <c r="AA48" s="755">
        <f t="shared" si="32"/>
        <v>0</v>
      </c>
      <c r="AB48" s="755">
        <f t="shared" si="32"/>
        <v>0</v>
      </c>
      <c r="AC48" s="755">
        <f t="shared" si="32"/>
        <v>0</v>
      </c>
      <c r="AD48" s="755">
        <f t="shared" si="32"/>
        <v>0</v>
      </c>
      <c r="AE48" s="755">
        <f t="shared" si="32"/>
        <v>0</v>
      </c>
      <c r="AF48" s="755">
        <f t="shared" si="32"/>
        <v>0</v>
      </c>
      <c r="AG48" s="755">
        <f t="shared" si="32"/>
        <v>0</v>
      </c>
      <c r="AH48" s="755">
        <f>SUM(AH4,AH6,AH8,AH10,AH12,AH14,AH16,AH18,AH20,AH22,AH24,AH26,AH28,AH30,AH32,AH34,AH36,AH38,AH40,AH42,AH44,AH46)</f>
        <v>0</v>
      </c>
      <c r="AI48" s="755">
        <f>SUM(AI4,AI6,AI8,AI10,AI12,AI14,AI16,AI18,AI20,AI22,AI24,AI26,AI28,AI30,AI32,AI34,AI36,AI38,AI40,AI42,AI44,AI46)</f>
        <v>0</v>
      </c>
      <c r="AJ48" s="182"/>
      <c r="AK48" s="182"/>
      <c r="AL48" s="182"/>
      <c r="AM48" s="182"/>
      <c r="AN48" s="182"/>
      <c r="AO48" s="182"/>
      <c r="AP48" s="182"/>
      <c r="AQ48" s="182"/>
      <c r="AR48" s="182"/>
      <c r="AS48" s="182"/>
      <c r="AT48" s="182"/>
      <c r="AU48" s="182"/>
      <c r="AV48" s="182"/>
      <c r="AW48" s="182"/>
      <c r="AX48" s="182"/>
    </row>
    <row r="49" spans="1:50" x14ac:dyDescent="0.3">
      <c r="A49" s="1374"/>
      <c r="B49" s="1374"/>
      <c r="C49" s="1374"/>
      <c r="D49" s="737" t="s">
        <v>19</v>
      </c>
      <c r="E49" s="737">
        <f t="shared" ref="E49:AI49" si="33">SUM(E47,E48)</f>
        <v>2</v>
      </c>
      <c r="F49" s="737">
        <f t="shared" si="33"/>
        <v>3</v>
      </c>
      <c r="G49" s="737">
        <f t="shared" si="33"/>
        <v>3</v>
      </c>
      <c r="H49" s="737">
        <f t="shared" si="33"/>
        <v>2</v>
      </c>
      <c r="I49" s="737">
        <f t="shared" si="33"/>
        <v>4</v>
      </c>
      <c r="J49" s="737">
        <f t="shared" si="33"/>
        <v>0</v>
      </c>
      <c r="K49" s="737">
        <f t="shared" si="33"/>
        <v>5</v>
      </c>
      <c r="L49" s="737">
        <f t="shared" si="33"/>
        <v>1</v>
      </c>
      <c r="M49" s="737">
        <f t="shared" si="33"/>
        <v>1</v>
      </c>
      <c r="N49" s="737">
        <f t="shared" si="33"/>
        <v>3</v>
      </c>
      <c r="O49" s="737">
        <f t="shared" si="33"/>
        <v>5</v>
      </c>
      <c r="P49" s="737">
        <f t="shared" si="33"/>
        <v>0</v>
      </c>
      <c r="Q49" s="737">
        <f t="shared" si="33"/>
        <v>1</v>
      </c>
      <c r="R49" s="737">
        <f>SUM(R47,R48)</f>
        <v>0</v>
      </c>
      <c r="S49" s="737">
        <f t="shared" si="33"/>
        <v>0</v>
      </c>
      <c r="T49" s="737">
        <f t="shared" si="33"/>
        <v>1</v>
      </c>
      <c r="U49" s="757">
        <f t="shared" si="33"/>
        <v>31</v>
      </c>
      <c r="V49" s="758">
        <f t="shared" si="33"/>
        <v>15.5</v>
      </c>
      <c r="W49" s="755">
        <f t="shared" si="33"/>
        <v>0</v>
      </c>
      <c r="X49" s="755">
        <f t="shared" si="33"/>
        <v>0</v>
      </c>
      <c r="Y49" s="755">
        <f t="shared" si="33"/>
        <v>0</v>
      </c>
      <c r="Z49" s="755">
        <f t="shared" si="33"/>
        <v>0</v>
      </c>
      <c r="AA49" s="755">
        <f t="shared" si="33"/>
        <v>0</v>
      </c>
      <c r="AB49" s="755">
        <f t="shared" si="33"/>
        <v>0</v>
      </c>
      <c r="AC49" s="755">
        <f t="shared" si="33"/>
        <v>0</v>
      </c>
      <c r="AD49" s="755">
        <f t="shared" si="33"/>
        <v>0</v>
      </c>
      <c r="AE49" s="755">
        <f t="shared" si="33"/>
        <v>0</v>
      </c>
      <c r="AF49" s="755">
        <f t="shared" si="33"/>
        <v>0</v>
      </c>
      <c r="AG49" s="755">
        <f t="shared" si="33"/>
        <v>0</v>
      </c>
      <c r="AH49" s="755">
        <f>SUM(AH47,AH48)</f>
        <v>0</v>
      </c>
      <c r="AI49" s="755">
        <f t="shared" si="33"/>
        <v>0</v>
      </c>
      <c r="AJ49" s="182"/>
      <c r="AK49" s="182"/>
      <c r="AL49" s="182"/>
      <c r="AM49" s="182"/>
      <c r="AN49" s="182"/>
      <c r="AO49" s="182"/>
      <c r="AP49" s="182"/>
      <c r="AQ49" s="182"/>
      <c r="AR49" s="182"/>
      <c r="AS49" s="182"/>
      <c r="AT49" s="182"/>
      <c r="AU49" s="182"/>
      <c r="AV49" s="182"/>
      <c r="AW49" s="182"/>
      <c r="AX49" s="182"/>
    </row>
    <row r="53" spans="1:50" ht="14.4" thickBot="1" x14ac:dyDescent="0.35"/>
    <row r="54" spans="1:50" ht="12.75" customHeight="1" x14ac:dyDescent="0.3">
      <c r="A54" s="734"/>
      <c r="B54" s="734"/>
      <c r="C54" s="734"/>
      <c r="D54" s="732"/>
      <c r="E54" s="846" t="s">
        <v>605</v>
      </c>
      <c r="F54" s="847"/>
      <c r="G54" s="848"/>
      <c r="H54" s="848"/>
      <c r="I54" s="848"/>
      <c r="J54" s="735"/>
      <c r="K54" s="735"/>
      <c r="L54" s="735"/>
      <c r="M54" s="735"/>
      <c r="N54" s="735"/>
      <c r="O54" s="735"/>
      <c r="P54" s="735"/>
      <c r="Q54" s="735"/>
      <c r="R54" s="735"/>
      <c r="S54" s="735"/>
      <c r="T54" s="735"/>
      <c r="U54" s="735"/>
      <c r="V54" s="1370" t="s">
        <v>476</v>
      </c>
      <c r="W54" s="1371" t="s">
        <v>298</v>
      </c>
      <c r="X54" s="1371"/>
      <c r="Y54" s="1371"/>
      <c r="Z54" s="1371"/>
      <c r="AA54" s="1371"/>
      <c r="AB54" s="1371"/>
      <c r="AC54" s="1371"/>
      <c r="AD54" s="1371"/>
      <c r="AE54" s="1371"/>
      <c r="AF54" s="1371"/>
      <c r="AG54" s="1371"/>
      <c r="AH54" s="1371"/>
      <c r="AI54" s="1371"/>
      <c r="AJ54" s="1371"/>
      <c r="AK54" s="182"/>
      <c r="AL54" s="182"/>
      <c r="AM54" s="182"/>
      <c r="AN54" s="182"/>
      <c r="AO54" s="182"/>
      <c r="AP54" s="182"/>
      <c r="AQ54" s="182"/>
      <c r="AR54" s="182"/>
      <c r="AS54" s="182"/>
      <c r="AT54" s="182"/>
      <c r="AU54" s="182"/>
      <c r="AV54" s="182"/>
      <c r="AW54" s="182"/>
      <c r="AX54" s="182"/>
    </row>
    <row r="55" spans="1:50" ht="14.4" thickBot="1" x14ac:dyDescent="0.35">
      <c r="A55" s="736" t="s">
        <v>20</v>
      </c>
      <c r="B55" s="736" t="s">
        <v>36</v>
      </c>
      <c r="C55" s="736" t="s">
        <v>37</v>
      </c>
      <c r="D55" s="736"/>
      <c r="E55" s="736" t="s">
        <v>189</v>
      </c>
      <c r="F55" s="736" t="s">
        <v>201</v>
      </c>
      <c r="G55" s="736" t="s">
        <v>204</v>
      </c>
      <c r="H55" s="736" t="s">
        <v>197</v>
      </c>
      <c r="I55" s="736" t="s">
        <v>199</v>
      </c>
      <c r="J55" s="736" t="s">
        <v>191</v>
      </c>
      <c r="K55" s="736" t="s">
        <v>206</v>
      </c>
      <c r="L55" s="736" t="s">
        <v>208</v>
      </c>
      <c r="M55" s="736" t="s">
        <v>195</v>
      </c>
      <c r="N55" s="736" t="s">
        <v>210</v>
      </c>
      <c r="O55" s="736" t="s">
        <v>193</v>
      </c>
      <c r="P55" s="736" t="s">
        <v>212</v>
      </c>
      <c r="Q55" s="736" t="s">
        <v>203</v>
      </c>
      <c r="R55" s="736" t="s">
        <v>215</v>
      </c>
      <c r="S55" s="736" t="s">
        <v>313</v>
      </c>
      <c r="T55" s="736" t="s">
        <v>217</v>
      </c>
      <c r="U55" s="737" t="s">
        <v>19</v>
      </c>
      <c r="V55" s="1370"/>
      <c r="W55" s="738" t="s">
        <v>543</v>
      </c>
      <c r="X55" s="738" t="s">
        <v>189</v>
      </c>
      <c r="Y55" s="738" t="s">
        <v>201</v>
      </c>
      <c r="Z55" s="738" t="s">
        <v>204</v>
      </c>
      <c r="AA55" s="738" t="s">
        <v>197</v>
      </c>
      <c r="AB55" s="738" t="s">
        <v>199</v>
      </c>
      <c r="AC55" s="738" t="s">
        <v>191</v>
      </c>
      <c r="AD55" s="738" t="s">
        <v>206</v>
      </c>
      <c r="AE55" s="738" t="s">
        <v>208</v>
      </c>
      <c r="AF55" s="738" t="s">
        <v>195</v>
      </c>
      <c r="AG55" s="738" t="s">
        <v>210</v>
      </c>
      <c r="AH55" s="738" t="s">
        <v>215</v>
      </c>
      <c r="AI55" s="738" t="s">
        <v>217</v>
      </c>
      <c r="AJ55" s="738"/>
      <c r="AK55" s="182"/>
      <c r="AL55" s="182"/>
      <c r="AM55" s="182"/>
      <c r="AN55" s="182"/>
      <c r="AO55" s="182"/>
      <c r="AP55" s="182"/>
      <c r="AQ55" s="182"/>
      <c r="AR55" s="182"/>
      <c r="AS55" s="182"/>
      <c r="AT55" s="182"/>
      <c r="AU55" s="182"/>
      <c r="AV55" s="182"/>
      <c r="AW55" s="182"/>
      <c r="AX55" s="182"/>
    </row>
    <row r="56" spans="1:50" x14ac:dyDescent="0.3">
      <c r="A56" s="1367">
        <v>1</v>
      </c>
      <c r="B56" s="1368" t="str">
        <f>IF(IGRF!H11="","",IGRF!H11)</f>
        <v>112</v>
      </c>
      <c r="C56" s="1369" t="str">
        <f>IF(IGRF!I11="","",IGRF!I11)</f>
        <v>Singapore Rogue</v>
      </c>
      <c r="D56" s="739" t="s">
        <v>17</v>
      </c>
      <c r="E56" s="732">
        <f>IF($B56="","",COUNTIF(Penalties!$Q4:$Y4,E$55))</f>
        <v>0</v>
      </c>
      <c r="F56" s="732">
        <f>IF($B56="","",COUNTIF(Penalties!$Q4:$Y4,F$55))</f>
        <v>0</v>
      </c>
      <c r="G56" s="732">
        <f>IF($B56="","",COUNTIF(Penalties!$Q4:$Y4,G$55))</f>
        <v>0</v>
      </c>
      <c r="H56" s="732">
        <f>IF($B56="","",COUNTIF(Penalties!$Q4:$Y4,H$55))</f>
        <v>0</v>
      </c>
      <c r="I56" s="732">
        <f>IF($B56="","",COUNTIF(Penalties!$Q4:$Y4,I$55))</f>
        <v>0</v>
      </c>
      <c r="J56" s="732">
        <f>IF($B56="","",COUNTIF(Penalties!$Q4:$Y4,J$55))</f>
        <v>0</v>
      </c>
      <c r="K56" s="732">
        <f>IF($B56="","",COUNTIF(Penalties!$Q4:$Y4,K$55))</f>
        <v>0</v>
      </c>
      <c r="L56" s="732">
        <f>IF($B56="","",COUNTIF(Penalties!$Q4:$Y4,L$55))</f>
        <v>0</v>
      </c>
      <c r="M56" s="732">
        <f>IF($B56="","",COUNTIF(Penalties!$Q4:$Y4,M$55))</f>
        <v>0</v>
      </c>
      <c r="N56" s="732">
        <f>IF($B56="","",COUNTIF(Penalties!$Q4:$Y4,N$55))</f>
        <v>0</v>
      </c>
      <c r="O56" s="732">
        <f>IF($B56="","",COUNTIF(Penalties!$Q4:$Y4,O$55))</f>
        <v>0</v>
      </c>
      <c r="P56" s="732">
        <f>IF($B56="","",COUNTIF(Penalties!$Q4:$Y4,P$55))</f>
        <v>0</v>
      </c>
      <c r="Q56" s="732">
        <f>IF($B56="","",COUNTIF(Penalties!$Q4:$Y4,Q$55))</f>
        <v>0</v>
      </c>
      <c r="R56" s="732">
        <f>IF($B56="","",COUNTIF(Penalties!$Q4:$Y4,R$55))</f>
        <v>0</v>
      </c>
      <c r="S56" s="732">
        <f>IF($B56="","",COUNTIF(Penalties!$Q4:$Y4,S$55))</f>
        <v>0</v>
      </c>
      <c r="T56" s="732">
        <f>IF($B56="","",COUNTIF(Penalties!$Q4:$Y4,T$55))</f>
        <v>0</v>
      </c>
      <c r="U56" s="740">
        <f>IF(B56="","",SUM(E56:T56))</f>
        <v>0</v>
      </c>
      <c r="V56" s="741">
        <f>IF(B56="","",SUM(E56:T56)*0.5)</f>
        <v>0</v>
      </c>
      <c r="W56" s="742" t="str">
        <f>IF($B56="","",IF(Penalties!$Z4=W$55,1,""))</f>
        <v/>
      </c>
      <c r="X56" s="742" t="str">
        <f>IF($B56="","",IF(Penalties!$Z4=X$55,1,""))</f>
        <v/>
      </c>
      <c r="Y56" s="742" t="str">
        <f>IF($B56="","",IF(Penalties!$Z4=Y$55,1,""))</f>
        <v/>
      </c>
      <c r="Z56" s="742" t="str">
        <f>IF($B56="","",IF(Penalties!$Z4=Z$55,1,""))</f>
        <v/>
      </c>
      <c r="AA56" s="742" t="str">
        <f>IF($B56="","",IF(Penalties!$Z4=AA$55,1,""))</f>
        <v/>
      </c>
      <c r="AB56" s="742" t="str">
        <f>IF($B56="","",IF(Penalties!$Z4=AB$55,1,""))</f>
        <v/>
      </c>
      <c r="AC56" s="742" t="str">
        <f>IF($B56="","",IF(Penalties!$Z4=AC$55,1,""))</f>
        <v/>
      </c>
      <c r="AD56" s="742" t="str">
        <f>IF($B56="","",IF(Penalties!$Z4=AD$55,1,""))</f>
        <v/>
      </c>
      <c r="AE56" s="742" t="str">
        <f>IF($B56="","",IF(Penalties!$Z4=AE$55,1,""))</f>
        <v/>
      </c>
      <c r="AF56" s="742" t="str">
        <f>IF($B56="","",IF(Penalties!$Z4=AF$55,1,""))</f>
        <v/>
      </c>
      <c r="AG56" s="742" t="str">
        <f>IF($B56="","",IF(Penalties!$Z4=AG$55,1,""))</f>
        <v/>
      </c>
      <c r="AH56" s="742" t="str">
        <f>IF($B56="","",IF(Penalties!$Z4=AH$55,1,""))</f>
        <v/>
      </c>
      <c r="AI56" s="742" t="str">
        <f>IF($B56="","",IF(Penalties!$Z4=AI$55,1,""))</f>
        <v/>
      </c>
      <c r="AJ56" s="743"/>
      <c r="AK56" s="182"/>
      <c r="AL56" s="182"/>
      <c r="AM56" s="182"/>
      <c r="AN56" s="182"/>
      <c r="AO56" s="182"/>
      <c r="AP56" s="182"/>
      <c r="AQ56" s="182"/>
      <c r="AR56" s="182"/>
      <c r="AS56" s="182"/>
      <c r="AT56" s="182"/>
      <c r="AU56" s="182"/>
      <c r="AV56" s="182"/>
      <c r="AW56" s="182"/>
      <c r="AX56" s="182"/>
    </row>
    <row r="57" spans="1:50" x14ac:dyDescent="0.3">
      <c r="A57" s="1367"/>
      <c r="B57" s="1368"/>
      <c r="C57" s="1369"/>
      <c r="D57" s="739" t="s">
        <v>33</v>
      </c>
      <c r="E57" s="732">
        <f>IF($B56="","",COUNTIF(Penalties!$AS4:$BA4,E$55))</f>
        <v>0</v>
      </c>
      <c r="F57" s="732">
        <f>IF($B56="","",COUNTIF(Penalties!$AS4:$BA4,F$55))</f>
        <v>0</v>
      </c>
      <c r="G57" s="732">
        <f>IF($B56="","",COUNTIF(Penalties!$AS4:$BA4,G$55))</f>
        <v>0</v>
      </c>
      <c r="H57" s="732">
        <f>IF($B56="","",COUNTIF(Penalties!$AS4:$BA4,H$55))</f>
        <v>0</v>
      </c>
      <c r="I57" s="732">
        <f>IF($B56="","",COUNTIF(Penalties!$AS4:$BA4,I$55))</f>
        <v>0</v>
      </c>
      <c r="J57" s="732">
        <f>IF($B56="","",COUNTIF(Penalties!$AS4:$BA4,J$55))</f>
        <v>0</v>
      </c>
      <c r="K57" s="732">
        <f>IF($B56="","",COUNTIF(Penalties!$AS4:$BA4,K$55))</f>
        <v>0</v>
      </c>
      <c r="L57" s="732">
        <f>IF($B56="","",COUNTIF(Penalties!$AS4:$BA4,L$55))</f>
        <v>0</v>
      </c>
      <c r="M57" s="732">
        <f>IF($B56="","",COUNTIF(Penalties!$AS4:$BA4,M$55))</f>
        <v>0</v>
      </c>
      <c r="N57" s="732">
        <f>IF($B56="","",COUNTIF(Penalties!$AS4:$BA4,N$55))</f>
        <v>1</v>
      </c>
      <c r="O57" s="732">
        <f>IF($B56="","",COUNTIF(Penalties!$AS4:$BA4,O$55))</f>
        <v>2</v>
      </c>
      <c r="P57" s="732">
        <f>IF($B56="","",COUNTIF(Penalties!$AS4:$BA4,P$55))</f>
        <v>0</v>
      </c>
      <c r="Q57" s="732">
        <f>IF($B56="","",COUNTIF(Penalties!$AS4:$BA4,Q$55))</f>
        <v>0</v>
      </c>
      <c r="R57" s="732">
        <f>IF($B56="","",COUNTIF(Penalties!$AS4:$BA4,R$55))</f>
        <v>0</v>
      </c>
      <c r="S57" s="732">
        <f>IF($B56="","",COUNTIF(Penalties!$AS4:$BA4,S$55))</f>
        <v>0</v>
      </c>
      <c r="T57" s="732">
        <f>IF($B56="","",COUNTIF(Penalties!$AS4:$BA4,T$55))</f>
        <v>0</v>
      </c>
      <c r="U57" s="740">
        <f>IF(B56="","",SUM(E57:T57))</f>
        <v>3</v>
      </c>
      <c r="V57" s="741">
        <f>IF(B56="","",SUM(E57:T57)*0.5)</f>
        <v>1.5</v>
      </c>
      <c r="W57" s="742" t="str">
        <f>IF($B56="","",IF(Penalties!$BB4=W$55,1,""))</f>
        <v/>
      </c>
      <c r="X57" s="742" t="str">
        <f>IF($B56="","",IF(Penalties!$BB4=X$55,1,""))</f>
        <v/>
      </c>
      <c r="Y57" s="742" t="str">
        <f>IF($B56="","",IF(Penalties!$BB4=Y$55,1,""))</f>
        <v/>
      </c>
      <c r="Z57" s="742" t="str">
        <f>IF($B56="","",IF(Penalties!$BB4=Z$55,1,""))</f>
        <v/>
      </c>
      <c r="AA57" s="742" t="str">
        <f>IF($B56="","",IF(Penalties!$BB4=AA$55,1,""))</f>
        <v/>
      </c>
      <c r="AB57" s="742" t="str">
        <f>IF($B56="","",IF(Penalties!$BB4=AB$55,1,""))</f>
        <v/>
      </c>
      <c r="AC57" s="742" t="str">
        <f>IF($B56="","",IF(Penalties!$BB4=AC$55,1,""))</f>
        <v/>
      </c>
      <c r="AD57" s="742" t="str">
        <f>IF($B56="","",IF(Penalties!$BB4=AD$55,1,""))</f>
        <v/>
      </c>
      <c r="AE57" s="742" t="str">
        <f>IF($B56="","",IF(Penalties!$BB4=AE$55,1,""))</f>
        <v/>
      </c>
      <c r="AF57" s="742" t="str">
        <f>IF($B56="","",IF(Penalties!$BB4=AF$55,1,""))</f>
        <v/>
      </c>
      <c r="AG57" s="742" t="str">
        <f>IF($B56="","",IF(Penalties!$BB4=AG$55,1,""))</f>
        <v/>
      </c>
      <c r="AH57" s="742" t="str">
        <f>IF($B56="","",IF(Penalties!$BB4=AH$55,1,""))</f>
        <v/>
      </c>
      <c r="AI57" s="742" t="str">
        <f>IF($B56="","",IF(Penalties!$BB4=AI$55,1,""))</f>
        <v/>
      </c>
      <c r="AJ57" s="744" t="str">
        <f>IF(SUM(X56:AI57)=0, "", IF(SUM(X56:AI56)=1, LOOKUP(1, X56:AI56, $X$55:$AI$55), LOOKUP(1, X57:AI57, $X$55:$AI$55)))</f>
        <v/>
      </c>
      <c r="AK57" s="182"/>
      <c r="AL57" s="182"/>
      <c r="AM57" s="182"/>
      <c r="AN57" s="182"/>
      <c r="AO57" s="182"/>
      <c r="AP57" s="182"/>
      <c r="AQ57" s="182"/>
      <c r="AR57" s="182"/>
      <c r="AS57" s="182"/>
      <c r="AT57" s="182"/>
      <c r="AU57" s="182"/>
      <c r="AV57" s="182"/>
      <c r="AW57" s="182"/>
      <c r="AX57" s="182"/>
    </row>
    <row r="58" spans="1:50" x14ac:dyDescent="0.3">
      <c r="A58" s="1364">
        <f>A56+1</f>
        <v>2</v>
      </c>
      <c r="B58" s="1365" t="str">
        <f>IF(IGRF!H12="","",IGRF!H12)</f>
        <v>1542</v>
      </c>
      <c r="C58" s="1366" t="str">
        <f>IF(IGRF!I12="","",IGRF!I12)</f>
        <v>Mary Queen of Skates</v>
      </c>
      <c r="D58" s="733" t="s">
        <v>17</v>
      </c>
      <c r="E58" s="733">
        <f>IF($B58="","",COUNTIF(Penalties!$Q6:$Y6,E$55))</f>
        <v>0</v>
      </c>
      <c r="F58" s="733">
        <f>IF($B58="","",COUNTIF(Penalties!$Q6:$Y6,F$55))</f>
        <v>0</v>
      </c>
      <c r="G58" s="733">
        <f>IF($B58="","",COUNTIF(Penalties!$Q6:$Y6,G$55))</f>
        <v>0</v>
      </c>
      <c r="H58" s="733">
        <f>IF($B58="","",COUNTIF(Penalties!$Q6:$Y6,H$55))</f>
        <v>0</v>
      </c>
      <c r="I58" s="733">
        <f>IF($B58="","",COUNTIF(Penalties!$Q6:$Y6,I$55))</f>
        <v>0</v>
      </c>
      <c r="J58" s="733">
        <f>IF($B58="","",COUNTIF(Penalties!$Q6:$Y6,J$55))</f>
        <v>0</v>
      </c>
      <c r="K58" s="733">
        <f>IF($B58="","",COUNTIF(Penalties!$Q6:$Y6,K$55))</f>
        <v>1</v>
      </c>
      <c r="L58" s="733">
        <f>IF($B58="","",COUNTIF(Penalties!$Q6:$Y6,L$55))</f>
        <v>0</v>
      </c>
      <c r="M58" s="733">
        <f>IF($B58="","",COUNTIF(Penalties!$Q6:$Y6,M$55))</f>
        <v>0</v>
      </c>
      <c r="N58" s="733">
        <f>IF($B58="","",COUNTIF(Penalties!$Q6:$Y6,N$55))</f>
        <v>0</v>
      </c>
      <c r="O58" s="733">
        <f>IF($B58="","",COUNTIF(Penalties!$Q6:$Y6,O$55))</f>
        <v>0</v>
      </c>
      <c r="P58" s="733">
        <f>IF($B58="","",COUNTIF(Penalties!$Q6:$Y6,P$55))</f>
        <v>0</v>
      </c>
      <c r="Q58" s="733">
        <f>IF($B58="","",COUNTIF(Penalties!$Q6:$Y6,Q$55))</f>
        <v>0</v>
      </c>
      <c r="R58" s="733">
        <f>IF($B58="","",COUNTIF(Penalties!$Q6:$Y6,R$55))</f>
        <v>0</v>
      </c>
      <c r="S58" s="733">
        <f>IF($B58="","",COUNTIF(Penalties!$Q6:$Y6,S$55))</f>
        <v>0</v>
      </c>
      <c r="T58" s="733">
        <f>IF($B58="","",COUNTIF(Penalties!$Q6:$Y6,T$55))</f>
        <v>0</v>
      </c>
      <c r="U58" s="745">
        <f>IF(B58="","",SUM(E58:T58))</f>
        <v>1</v>
      </c>
      <c r="V58" s="746">
        <f>IF(B58="","",SUM(E58:T58)*0.5)</f>
        <v>0.5</v>
      </c>
      <c r="W58" s="747" t="str">
        <f>IF($B58="","",IF(Penalties!$Z6=W$55,1,""))</f>
        <v/>
      </c>
      <c r="X58" s="747" t="str">
        <f>IF($B58="","",IF(Penalties!$Z6=X$55,1,""))</f>
        <v/>
      </c>
      <c r="Y58" s="747" t="str">
        <f>IF($B58="","",IF(Penalties!$Z6=Y$55,1,""))</f>
        <v/>
      </c>
      <c r="Z58" s="747" t="str">
        <f>IF($B58="","",IF(Penalties!$Z6=Z$55,1,""))</f>
        <v/>
      </c>
      <c r="AA58" s="747" t="str">
        <f>IF($B58="","",IF(Penalties!$Z6=AA$55,1,""))</f>
        <v/>
      </c>
      <c r="AB58" s="747" t="str">
        <f>IF($B58="","",IF(Penalties!$Z6=AB$55,1,""))</f>
        <v/>
      </c>
      <c r="AC58" s="747" t="str">
        <f>IF($B58="","",IF(Penalties!$Z6=AC$55,1,""))</f>
        <v/>
      </c>
      <c r="AD58" s="747" t="str">
        <f>IF($B58="","",IF(Penalties!$Z6=AD$55,1,""))</f>
        <v/>
      </c>
      <c r="AE58" s="747" t="str">
        <f>IF($B58="","",IF(Penalties!$Z6=AE$55,1,""))</f>
        <v/>
      </c>
      <c r="AF58" s="747" t="str">
        <f>IF($B58="","",IF(Penalties!$Z6=AF$55,1,""))</f>
        <v/>
      </c>
      <c r="AG58" s="747" t="str">
        <f>IF($B58="","",IF(Penalties!$Z6=AG$55,1,""))</f>
        <v/>
      </c>
      <c r="AH58" s="747" t="str">
        <f>IF($B58="","",IF(Penalties!$Z6=AH$55,1,""))</f>
        <v/>
      </c>
      <c r="AI58" s="747" t="str">
        <f>IF($B58="","",IF(Penalties!$Z6=AI$55,1,""))</f>
        <v/>
      </c>
      <c r="AJ58" s="748"/>
      <c r="AK58" s="182"/>
      <c r="AL58" s="182"/>
      <c r="AM58" s="182"/>
      <c r="AN58" s="182"/>
      <c r="AO58" s="182"/>
      <c r="AP58" s="182"/>
      <c r="AQ58" s="182"/>
      <c r="AR58" s="182"/>
      <c r="AS58" s="182"/>
      <c r="AT58" s="182"/>
      <c r="AU58" s="182"/>
      <c r="AV58" s="182"/>
      <c r="AW58" s="182"/>
      <c r="AX58" s="182"/>
    </row>
    <row r="59" spans="1:50" ht="14.4" thickBot="1" x14ac:dyDescent="0.35">
      <c r="A59" s="1364"/>
      <c r="B59" s="1365"/>
      <c r="C59" s="1366"/>
      <c r="D59" s="733" t="s">
        <v>33</v>
      </c>
      <c r="E59" s="733">
        <f>IF($B58="","",COUNTIF(Penalties!$AS6:$BA6,E$55))</f>
        <v>0</v>
      </c>
      <c r="F59" s="733">
        <f>IF($B58="","",COUNTIF(Penalties!$AS6:$BA6,F$55))</f>
        <v>0</v>
      </c>
      <c r="G59" s="733">
        <f>IF($B58="","",COUNTIF(Penalties!$AS6:$BA6,G$55))</f>
        <v>0</v>
      </c>
      <c r="H59" s="733">
        <f>IF($B58="","",COUNTIF(Penalties!$AS6:$BA6,H$55))</f>
        <v>0</v>
      </c>
      <c r="I59" s="733">
        <f>IF($B58="","",COUNTIF(Penalties!$AS6:$BA6,I$55))</f>
        <v>0</v>
      </c>
      <c r="J59" s="733">
        <f>IF($B58="","",COUNTIF(Penalties!$AS6:$BA6,J$55))</f>
        <v>0</v>
      </c>
      <c r="K59" s="733">
        <f>IF($B58="","",COUNTIF(Penalties!$AS6:$BA6,K$55))</f>
        <v>0</v>
      </c>
      <c r="L59" s="733">
        <f>IF($B58="","",COUNTIF(Penalties!$AS6:$BA6,L$55))</f>
        <v>0</v>
      </c>
      <c r="M59" s="733">
        <f>IF($B58="","",COUNTIF(Penalties!$AS6:$BA6,M$55))</f>
        <v>0</v>
      </c>
      <c r="N59" s="733">
        <f>IF($B58="","",COUNTIF(Penalties!$AS6:$BA6,N$55))</f>
        <v>0</v>
      </c>
      <c r="O59" s="733">
        <f>IF($B58="","",COUNTIF(Penalties!$AS6:$BA6,O$55))</f>
        <v>0</v>
      </c>
      <c r="P59" s="733">
        <f>IF($B58="","",COUNTIF(Penalties!$AS6:$BA6,P$55))</f>
        <v>0</v>
      </c>
      <c r="Q59" s="733">
        <f>IF($B58="","",COUNTIF(Penalties!$AS6:$BA6,Q$55))</f>
        <v>0</v>
      </c>
      <c r="R59" s="733">
        <f>IF($B58="","",COUNTIF(Penalties!$AS6:$BA6,R$55))</f>
        <v>0</v>
      </c>
      <c r="S59" s="733">
        <f>IF($B58="","",COUNTIF(Penalties!$AS6:$BA6,S$55))</f>
        <v>0</v>
      </c>
      <c r="T59" s="733">
        <f>IF($B58="","",COUNTIF(Penalties!$AS6:$BA6,T$55))</f>
        <v>0</v>
      </c>
      <c r="U59" s="745">
        <f>IF(B58="","",SUM(E59:T59))</f>
        <v>0</v>
      </c>
      <c r="V59" s="746">
        <f>IF(B58="","",SUM(E59:T59)*0.5)</f>
        <v>0</v>
      </c>
      <c r="W59" s="747" t="str">
        <f>IF($B58="","",IF(Penalties!$BB6=W$55,1,""))</f>
        <v/>
      </c>
      <c r="X59" s="747" t="str">
        <f>IF($B58="","",IF(Penalties!$BB6=X$55,1,""))</f>
        <v/>
      </c>
      <c r="Y59" s="747" t="str">
        <f>IF($B58="","",IF(Penalties!$BB6=Y$55,1,""))</f>
        <v/>
      </c>
      <c r="Z59" s="747" t="str">
        <f>IF($B58="","",IF(Penalties!$BB6=Z$55,1,""))</f>
        <v/>
      </c>
      <c r="AA59" s="747" t="str">
        <f>IF($B58="","",IF(Penalties!$BB6=AA$55,1,""))</f>
        <v/>
      </c>
      <c r="AB59" s="747" t="str">
        <f>IF($B58="","",IF(Penalties!$BB6=AB$55,1,""))</f>
        <v/>
      </c>
      <c r="AC59" s="747" t="str">
        <f>IF($B58="","",IF(Penalties!$BB6=AC$55,1,""))</f>
        <v/>
      </c>
      <c r="AD59" s="747" t="str">
        <f>IF($B58="","",IF(Penalties!$BB6=AD$55,1,""))</f>
        <v/>
      </c>
      <c r="AE59" s="747" t="str">
        <f>IF($B58="","",IF(Penalties!$BB6=AE$55,1,""))</f>
        <v/>
      </c>
      <c r="AF59" s="747" t="str">
        <f>IF($B58="","",IF(Penalties!$BB6=AF$55,1,""))</f>
        <v/>
      </c>
      <c r="AG59" s="747" t="str">
        <f>IF($B58="","",IF(Penalties!$BB6=AG$55,1,""))</f>
        <v/>
      </c>
      <c r="AH59" s="747" t="str">
        <f>IF($B58="","",IF(Penalties!$BB6=AH$55,1,""))</f>
        <v/>
      </c>
      <c r="AI59" s="747" t="str">
        <f>IF($B58="","",IF(Penalties!$BB6=AI$55,1,""))</f>
        <v/>
      </c>
      <c r="AJ59" s="749" t="str">
        <f>IF(SUM(X58:AI59)=0, "", IF(SUM(X58:AI58)=1, LOOKUP(1, X58:AI58, $X$55:$AI$55), LOOKUP(1, X59:AI59, $X$55:$AI$55)))</f>
        <v/>
      </c>
      <c r="AK59" s="182"/>
      <c r="AL59" s="182"/>
      <c r="AM59" s="182"/>
      <c r="AN59" s="182"/>
      <c r="AO59" s="182"/>
      <c r="AP59" s="182"/>
      <c r="AQ59" s="182"/>
      <c r="AR59" s="182"/>
      <c r="AS59" s="182"/>
      <c r="AT59" s="182"/>
      <c r="AU59" s="182"/>
      <c r="AV59" s="182"/>
      <c r="AW59" s="182"/>
      <c r="AX59" s="182"/>
    </row>
    <row r="60" spans="1:50" x14ac:dyDescent="0.3">
      <c r="A60" s="1367">
        <f>A58+1</f>
        <v>3</v>
      </c>
      <c r="B60" s="1368" t="str">
        <f>IF(IGRF!H13="","",IGRF!H13)</f>
        <v>16</v>
      </c>
      <c r="C60" s="1369" t="str">
        <f>IF(IGRF!I13="","",IGRF!I13)</f>
        <v>Mistilla</v>
      </c>
      <c r="D60" s="739" t="s">
        <v>17</v>
      </c>
      <c r="E60" s="732">
        <f>IF($B60="","",COUNTIF(Penalties!$Q8:$Y8,E$55))</f>
        <v>0</v>
      </c>
      <c r="F60" s="732">
        <f>IF($B60="","",COUNTIF(Penalties!$Q8:$Y8,F$55))</f>
        <v>0</v>
      </c>
      <c r="G60" s="732">
        <f>IF($B60="","",COUNTIF(Penalties!$Q8:$Y8,G$55))</f>
        <v>0</v>
      </c>
      <c r="H60" s="732">
        <f>IF($B60="","",COUNTIF(Penalties!$Q8:$Y8,H$55))</f>
        <v>0</v>
      </c>
      <c r="I60" s="732">
        <f>IF($B60="","",COUNTIF(Penalties!$Q8:$Y8,I$55))</f>
        <v>0</v>
      </c>
      <c r="J60" s="732">
        <f>IF($B60="","",COUNTIF(Penalties!$Q8:$Y8,J$55))</f>
        <v>0</v>
      </c>
      <c r="K60" s="732">
        <f>IF($B60="","",COUNTIF(Penalties!$Q8:$Y8,K$55))</f>
        <v>0</v>
      </c>
      <c r="L60" s="732">
        <f>IF($B60="","",COUNTIF(Penalties!$Q8:$Y8,L$55))</f>
        <v>0</v>
      </c>
      <c r="M60" s="732">
        <f>IF($B60="","",COUNTIF(Penalties!$Q8:$Y8,M$55))</f>
        <v>0</v>
      </c>
      <c r="N60" s="732">
        <f>IF($B60="","",COUNTIF(Penalties!$Q8:$Y8,N$55))</f>
        <v>0</v>
      </c>
      <c r="O60" s="732">
        <f>IF($B60="","",COUNTIF(Penalties!$Q8:$Y8,O$55))</f>
        <v>1</v>
      </c>
      <c r="P60" s="732">
        <f>IF($B60="","",COUNTIF(Penalties!$Q8:$Y8,P$55))</f>
        <v>0</v>
      </c>
      <c r="Q60" s="732">
        <f>IF($B60="","",COUNTIF(Penalties!$Q8:$Y8,Q$55))</f>
        <v>0</v>
      </c>
      <c r="R60" s="732">
        <f>IF($B60="","",COUNTIF(Penalties!$Q8:$Y8,R$55))</f>
        <v>0</v>
      </c>
      <c r="S60" s="732">
        <f>IF($B60="","",COUNTIF(Penalties!$Q8:$Y8,S$55))</f>
        <v>0</v>
      </c>
      <c r="T60" s="732">
        <f>IF($B60="","",COUNTIF(Penalties!$Q8:$Y8,T$55))</f>
        <v>0</v>
      </c>
      <c r="U60" s="740">
        <f>IF(B60="","",SUM(E60:T60))</f>
        <v>1</v>
      </c>
      <c r="V60" s="741">
        <f t="shared" ref="V60" si="34">IF(B60="","",SUM(E60:T60)*0.5)</f>
        <v>0.5</v>
      </c>
      <c r="W60" s="742" t="str">
        <f>IF($B60="","",IF(Penalties!$Z8=W$55,1,""))</f>
        <v/>
      </c>
      <c r="X60" s="742" t="str">
        <f>IF($B60="","",IF(Penalties!$Z8=X$55,1,""))</f>
        <v/>
      </c>
      <c r="Y60" s="742" t="str">
        <f>IF($B60="","",IF(Penalties!$Z8=Y$55,1,""))</f>
        <v/>
      </c>
      <c r="Z60" s="742" t="str">
        <f>IF($B60="","",IF(Penalties!$Z8=Z$55,1,""))</f>
        <v/>
      </c>
      <c r="AA60" s="742" t="str">
        <f>IF($B60="","",IF(Penalties!$Z8=AA$55,1,""))</f>
        <v/>
      </c>
      <c r="AB60" s="742" t="str">
        <f>IF($B60="","",IF(Penalties!$Z8=AB$55,1,""))</f>
        <v/>
      </c>
      <c r="AC60" s="742" t="str">
        <f>IF($B60="","",IF(Penalties!$Z8=AC$55,1,""))</f>
        <v/>
      </c>
      <c r="AD60" s="742" t="str">
        <f>IF($B60="","",IF(Penalties!$Z8=AD$55,1,""))</f>
        <v/>
      </c>
      <c r="AE60" s="742" t="str">
        <f>IF($B60="","",IF(Penalties!$Z8=AE$55,1,""))</f>
        <v/>
      </c>
      <c r="AF60" s="742" t="str">
        <f>IF($B60="","",IF(Penalties!$Z8=AF$55,1,""))</f>
        <v/>
      </c>
      <c r="AG60" s="742" t="str">
        <f>IF($B60="","",IF(Penalties!$Z8=AG$55,1,""))</f>
        <v/>
      </c>
      <c r="AH60" s="742" t="str">
        <f>IF($B60="","",IF(Penalties!$Z8=AH$55,1,""))</f>
        <v/>
      </c>
      <c r="AI60" s="742" t="str">
        <f>IF($B60="","",IF(Penalties!$Z8=AI$55,1,""))</f>
        <v/>
      </c>
      <c r="AJ60" s="743"/>
      <c r="AK60" s="182"/>
      <c r="AL60" s="182"/>
      <c r="AM60" s="182"/>
      <c r="AN60" s="182"/>
      <c r="AO60" s="182"/>
      <c r="AP60" s="182"/>
      <c r="AQ60" s="182"/>
      <c r="AR60" s="182"/>
      <c r="AS60" s="182"/>
      <c r="AT60" s="182"/>
      <c r="AU60" s="182"/>
      <c r="AV60" s="182"/>
      <c r="AW60" s="182"/>
      <c r="AX60" s="182"/>
    </row>
    <row r="61" spans="1:50" x14ac:dyDescent="0.3">
      <c r="A61" s="1367"/>
      <c r="B61" s="1368"/>
      <c r="C61" s="1369"/>
      <c r="D61" s="739" t="s">
        <v>33</v>
      </c>
      <c r="E61" s="732">
        <f>IF($B60="","",COUNTIF(Penalties!$AS8:$BA8,E$55))</f>
        <v>0</v>
      </c>
      <c r="F61" s="732">
        <f>IF($B60="","",COUNTIF(Penalties!$AS8:$BA8,F$55))</f>
        <v>0</v>
      </c>
      <c r="G61" s="732">
        <f>IF($B60="","",COUNTIF(Penalties!$AS8:$BA8,G$55))</f>
        <v>0</v>
      </c>
      <c r="H61" s="732">
        <f>IF($B60="","",COUNTIF(Penalties!$AS8:$BA8,H$55))</f>
        <v>0</v>
      </c>
      <c r="I61" s="732">
        <f>IF($B60="","",COUNTIF(Penalties!$AS8:$BA8,I$55))</f>
        <v>0</v>
      </c>
      <c r="J61" s="732">
        <f>IF($B60="","",COUNTIF(Penalties!$AS8:$BA8,J$55))</f>
        <v>0</v>
      </c>
      <c r="K61" s="732">
        <f>IF($B60="","",COUNTIF(Penalties!$AS8:$BA8,K$55))</f>
        <v>0</v>
      </c>
      <c r="L61" s="732">
        <f>IF($B60="","",COUNTIF(Penalties!$AS8:$BA8,L$55))</f>
        <v>0</v>
      </c>
      <c r="M61" s="732">
        <f>IF($B60="","",COUNTIF(Penalties!$AS8:$BA8,M$55))</f>
        <v>0</v>
      </c>
      <c r="N61" s="732">
        <f>IF($B60="","",COUNTIF(Penalties!$AS8:$BA8,N$55))</f>
        <v>1</v>
      </c>
      <c r="O61" s="732">
        <f>IF($B60="","",COUNTIF(Penalties!$AS8:$BA8,O$55))</f>
        <v>1</v>
      </c>
      <c r="P61" s="732">
        <f>IF($B60="","",COUNTIF(Penalties!$AS8:$BA8,P$55))</f>
        <v>0</v>
      </c>
      <c r="Q61" s="732">
        <f>IF($B60="","",COUNTIF(Penalties!$AS8:$BA8,Q$55))</f>
        <v>0</v>
      </c>
      <c r="R61" s="732">
        <f>IF($B60="","",COUNTIF(Penalties!$AS8:$BA8,R$55))</f>
        <v>0</v>
      </c>
      <c r="S61" s="732">
        <f>IF($B60="","",COUNTIF(Penalties!$AS8:$BA8,S$55))</f>
        <v>0</v>
      </c>
      <c r="T61" s="732">
        <f>IF($B60="","",COUNTIF(Penalties!$AS8:$BA8,T$55))</f>
        <v>0</v>
      </c>
      <c r="U61" s="740">
        <f>IF(B60="","",SUM(E61:T61))</f>
        <v>2</v>
      </c>
      <c r="V61" s="741">
        <f t="shared" ref="V61" si="35">IF(B60="","",SUM(E61:T61)*0.5)</f>
        <v>1</v>
      </c>
      <c r="W61" s="742" t="str">
        <f>IF($B60="","",IF(Penalties!$BB8=W$55,1,""))</f>
        <v/>
      </c>
      <c r="X61" s="742" t="str">
        <f>IF($B60="","",IF(Penalties!$BB8=X$55,1,""))</f>
        <v/>
      </c>
      <c r="Y61" s="742" t="str">
        <f>IF($B60="","",IF(Penalties!$BB8=Y$55,1,""))</f>
        <v/>
      </c>
      <c r="Z61" s="742" t="str">
        <f>IF($B60="","",IF(Penalties!$BB8=Z$55,1,""))</f>
        <v/>
      </c>
      <c r="AA61" s="742" t="str">
        <f>IF($B60="","",IF(Penalties!$BB8=AA$55,1,""))</f>
        <v/>
      </c>
      <c r="AB61" s="742" t="str">
        <f>IF($B60="","",IF(Penalties!$BB8=AB$55,1,""))</f>
        <v/>
      </c>
      <c r="AC61" s="742" t="str">
        <f>IF($B60="","",IF(Penalties!$BB8=AC$55,1,""))</f>
        <v/>
      </c>
      <c r="AD61" s="742" t="str">
        <f>IF($B60="","",IF(Penalties!$BB8=AD$55,1,""))</f>
        <v/>
      </c>
      <c r="AE61" s="742" t="str">
        <f>IF($B60="","",IF(Penalties!$BB8=AE$55,1,""))</f>
        <v/>
      </c>
      <c r="AF61" s="742" t="str">
        <f>IF($B60="","",IF(Penalties!$BB8=AF$55,1,""))</f>
        <v/>
      </c>
      <c r="AG61" s="742" t="str">
        <f>IF($B60="","",IF(Penalties!$BB8=AG$55,1,""))</f>
        <v/>
      </c>
      <c r="AH61" s="742" t="str">
        <f>IF($B60="","",IF(Penalties!$BB8=AH$55,1,""))</f>
        <v/>
      </c>
      <c r="AI61" s="742" t="str">
        <f>IF($B60="","",IF(Penalties!$BB8=AI$55,1,""))</f>
        <v/>
      </c>
      <c r="AJ61" s="744" t="str">
        <f>IF(SUM(X60:AI61)=0, "", IF(SUM(X60:AI60)=1, LOOKUP(1, X60:AI60, $X$55:$AI$55), LOOKUP(1, X61:AI61, $X$55:$AI$55)))</f>
        <v/>
      </c>
      <c r="AK61" s="182"/>
      <c r="AL61" s="182"/>
      <c r="AM61" s="182"/>
      <c r="AN61" s="182"/>
      <c r="AO61" s="182"/>
      <c r="AP61" s="182"/>
      <c r="AQ61" s="182"/>
      <c r="AR61" s="182"/>
      <c r="AS61" s="182"/>
      <c r="AT61" s="182"/>
      <c r="AU61" s="182"/>
      <c r="AV61" s="182"/>
      <c r="AW61" s="182"/>
      <c r="AX61" s="182"/>
    </row>
    <row r="62" spans="1:50" x14ac:dyDescent="0.3">
      <c r="A62" s="1364">
        <f>A60+1</f>
        <v>4</v>
      </c>
      <c r="B62" s="1365" t="str">
        <f>IF(IGRF!H14="","",IGRF!H14)</f>
        <v>19</v>
      </c>
      <c r="C62" s="1366" t="str">
        <f>IF(IGRF!I14="","",IGRF!I14)</f>
        <v>Betty Watchett</v>
      </c>
      <c r="D62" s="733" t="s">
        <v>17</v>
      </c>
      <c r="E62" s="733">
        <f>IF($B62="","",COUNTIF(Penalties!$Q10:$Y10,E$55))</f>
        <v>1</v>
      </c>
      <c r="F62" s="733">
        <f>IF($B62="","",COUNTIF(Penalties!$Q10:$Y10,F$55))</f>
        <v>0</v>
      </c>
      <c r="G62" s="733">
        <f>IF($B62="","",COUNTIF(Penalties!$Q10:$Y10,G$55))</f>
        <v>0</v>
      </c>
      <c r="H62" s="733">
        <f>IF($B62="","",COUNTIF(Penalties!$Q10:$Y10,H$55))</f>
        <v>0</v>
      </c>
      <c r="I62" s="733">
        <f>IF($B62="","",COUNTIF(Penalties!$Q10:$Y10,I$55))</f>
        <v>0</v>
      </c>
      <c r="J62" s="733">
        <f>IF($B62="","",COUNTIF(Penalties!$Q10:$Y10,J$55))</f>
        <v>0</v>
      </c>
      <c r="K62" s="733">
        <f>IF($B62="","",COUNTIF(Penalties!$Q10:$Y10,K$55))</f>
        <v>1</v>
      </c>
      <c r="L62" s="733">
        <f>IF($B62="","",COUNTIF(Penalties!$Q10:$Y10,L$55))</f>
        <v>0</v>
      </c>
      <c r="M62" s="733">
        <f>IF($B62="","",COUNTIF(Penalties!$Q10:$Y10,M$55))</f>
        <v>0</v>
      </c>
      <c r="N62" s="733">
        <f>IF($B62="","",COUNTIF(Penalties!$Q10:$Y10,N$55))</f>
        <v>0</v>
      </c>
      <c r="O62" s="733">
        <f>IF($B62="","",COUNTIF(Penalties!$Q10:$Y10,O$55))</f>
        <v>1</v>
      </c>
      <c r="P62" s="733">
        <f>IF($B62="","",COUNTIF(Penalties!$Q10:$Y10,P$55))</f>
        <v>0</v>
      </c>
      <c r="Q62" s="733">
        <f>IF($B62="","",COUNTIF(Penalties!$Q10:$Y10,Q$55))</f>
        <v>0</v>
      </c>
      <c r="R62" s="733">
        <f>IF($B62="","",COUNTIF(Penalties!$Q10:$Y10,R$55))</f>
        <v>0</v>
      </c>
      <c r="S62" s="733">
        <f>IF($B62="","",COUNTIF(Penalties!$Q10:$Y10,S$55))</f>
        <v>0</v>
      </c>
      <c r="T62" s="733">
        <f>IF($B62="","",COUNTIF(Penalties!$Q10:$Y10,T$55))</f>
        <v>0</v>
      </c>
      <c r="U62" s="745">
        <f>IF(B62="","",SUM(E62:T62))</f>
        <v>3</v>
      </c>
      <c r="V62" s="746">
        <f t="shared" ref="V62" si="36">IF(B62="","",SUM(E62:T62)*0.5)</f>
        <v>1.5</v>
      </c>
      <c r="W62" s="747" t="str">
        <f>IF($B62="","",IF(Penalties!$Z10=W$55,1,""))</f>
        <v/>
      </c>
      <c r="X62" s="747" t="str">
        <f>IF($B62="","",IF(Penalties!$Z10=X$55,1,""))</f>
        <v/>
      </c>
      <c r="Y62" s="747" t="str">
        <f>IF($B62="","",IF(Penalties!$Z10=Y$55,1,""))</f>
        <v/>
      </c>
      <c r="Z62" s="747" t="str">
        <f>IF($B62="","",IF(Penalties!$Z10=Z$55,1,""))</f>
        <v/>
      </c>
      <c r="AA62" s="747" t="str">
        <f>IF($B62="","",IF(Penalties!$Z10=AA$55,1,""))</f>
        <v/>
      </c>
      <c r="AB62" s="747" t="str">
        <f>IF($B62="","",IF(Penalties!$Z10=AB$55,1,""))</f>
        <v/>
      </c>
      <c r="AC62" s="747" t="str">
        <f>IF($B62="","",IF(Penalties!$Z10=AC$55,1,""))</f>
        <v/>
      </c>
      <c r="AD62" s="747" t="str">
        <f>IF($B62="","",IF(Penalties!$Z10=AD$55,1,""))</f>
        <v/>
      </c>
      <c r="AE62" s="747" t="str">
        <f>IF($B62="","",IF(Penalties!$Z10=AE$55,1,""))</f>
        <v/>
      </c>
      <c r="AF62" s="747" t="str">
        <f>IF($B62="","",IF(Penalties!$Z10=AF$55,1,""))</f>
        <v/>
      </c>
      <c r="AG62" s="747" t="str">
        <f>IF($B62="","",IF(Penalties!$Z10=AG$55,1,""))</f>
        <v/>
      </c>
      <c r="AH62" s="747" t="str">
        <f>IF($B62="","",IF(Penalties!$Z10=AH$55,1,""))</f>
        <v/>
      </c>
      <c r="AI62" s="747" t="str">
        <f>IF($B62="","",IF(Penalties!$Z10=AI$55,1,""))</f>
        <v/>
      </c>
      <c r="AJ62" s="748"/>
      <c r="AK62" s="182"/>
      <c r="AL62" s="182"/>
      <c r="AM62" s="182"/>
      <c r="AN62" s="182"/>
      <c r="AO62" s="182"/>
      <c r="AP62" s="182"/>
      <c r="AQ62" s="182"/>
      <c r="AR62" s="182"/>
      <c r="AS62" s="182"/>
      <c r="AT62" s="182"/>
      <c r="AU62" s="182"/>
      <c r="AV62" s="182"/>
      <c r="AW62" s="182"/>
      <c r="AX62" s="182"/>
    </row>
    <row r="63" spans="1:50" ht="14.4" thickBot="1" x14ac:dyDescent="0.35">
      <c r="A63" s="1364"/>
      <c r="B63" s="1365"/>
      <c r="C63" s="1366"/>
      <c r="D63" s="733" t="s">
        <v>33</v>
      </c>
      <c r="E63" s="733">
        <f>IF($B62="","",COUNTIF(Penalties!$AS10:$BA10,E$55))</f>
        <v>0</v>
      </c>
      <c r="F63" s="733">
        <f>IF($B62="","",COUNTIF(Penalties!$AS10:$BA10,F$55))</f>
        <v>0</v>
      </c>
      <c r="G63" s="733">
        <f>IF($B62="","",COUNTIF(Penalties!$AS10:$BA10,G$55))</f>
        <v>0</v>
      </c>
      <c r="H63" s="733">
        <f>IF($B62="","",COUNTIF(Penalties!$AS10:$BA10,H$55))</f>
        <v>0</v>
      </c>
      <c r="I63" s="733">
        <f>IF($B62="","",COUNTIF(Penalties!$AS10:$BA10,I$55))</f>
        <v>0</v>
      </c>
      <c r="J63" s="733">
        <f>IF($B62="","",COUNTIF(Penalties!$AS10:$BA10,J$55))</f>
        <v>0</v>
      </c>
      <c r="K63" s="733">
        <f>IF($B62="","",COUNTIF(Penalties!$AS10:$BA10,K$55))</f>
        <v>0</v>
      </c>
      <c r="L63" s="733">
        <f>IF($B62="","",COUNTIF(Penalties!$AS10:$BA10,L$55))</f>
        <v>0</v>
      </c>
      <c r="M63" s="733">
        <f>IF($B62="","",COUNTIF(Penalties!$AS10:$BA10,M$55))</f>
        <v>0</v>
      </c>
      <c r="N63" s="733">
        <f>IF($B62="","",COUNTIF(Penalties!$AS10:$BA10,N$55))</f>
        <v>1</v>
      </c>
      <c r="O63" s="733">
        <f>IF($B62="","",COUNTIF(Penalties!$AS10:$BA10,O$55))</f>
        <v>1</v>
      </c>
      <c r="P63" s="733">
        <f>IF($B62="","",COUNTIF(Penalties!$AS10:$BA10,P$55))</f>
        <v>0</v>
      </c>
      <c r="Q63" s="733">
        <f>IF($B62="","",COUNTIF(Penalties!$AS10:$BA10,Q$55))</f>
        <v>0</v>
      </c>
      <c r="R63" s="733">
        <f>IF($B62="","",COUNTIF(Penalties!$AS10:$BA10,R$55))</f>
        <v>0</v>
      </c>
      <c r="S63" s="733">
        <f>IF($B62="","",COUNTIF(Penalties!$AS10:$BA10,S$55))</f>
        <v>0</v>
      </c>
      <c r="T63" s="733">
        <f>IF($B62="","",COUNTIF(Penalties!$AS10:$BA10,T$55))</f>
        <v>0</v>
      </c>
      <c r="U63" s="745">
        <f>IF(B62="","",SUM(E63:T63))</f>
        <v>2</v>
      </c>
      <c r="V63" s="746">
        <f t="shared" ref="V63" si="37">IF(B62="","",SUM(E63:T63)*0.5)</f>
        <v>1</v>
      </c>
      <c r="W63" s="747" t="str">
        <f>IF($B62="","",IF(Penalties!$BB10=W$55,1,""))</f>
        <v/>
      </c>
      <c r="X63" s="747" t="str">
        <f>IF($B62="","",IF(Penalties!$BB10=X$55,1,""))</f>
        <v/>
      </c>
      <c r="Y63" s="747" t="str">
        <f>IF($B62="","",IF(Penalties!$BB10=Y$55,1,""))</f>
        <v/>
      </c>
      <c r="Z63" s="747" t="str">
        <f>IF($B62="","",IF(Penalties!$BB10=Z$55,1,""))</f>
        <v/>
      </c>
      <c r="AA63" s="747" t="str">
        <f>IF($B62="","",IF(Penalties!$BB10=AA$55,1,""))</f>
        <v/>
      </c>
      <c r="AB63" s="747" t="str">
        <f>IF($B62="","",IF(Penalties!$BB10=AB$55,1,""))</f>
        <v/>
      </c>
      <c r="AC63" s="747" t="str">
        <f>IF($B62="","",IF(Penalties!$BB10=AC$55,1,""))</f>
        <v/>
      </c>
      <c r="AD63" s="747" t="str">
        <f>IF($B62="","",IF(Penalties!$BB10=AD$55,1,""))</f>
        <v/>
      </c>
      <c r="AE63" s="747" t="str">
        <f>IF($B62="","",IF(Penalties!$BB10=AE$55,1,""))</f>
        <v/>
      </c>
      <c r="AF63" s="747" t="str">
        <f>IF($B62="","",IF(Penalties!$BB10=AF$55,1,""))</f>
        <v/>
      </c>
      <c r="AG63" s="747" t="str">
        <f>IF($B62="","",IF(Penalties!$BB10=AG$55,1,""))</f>
        <v/>
      </c>
      <c r="AH63" s="747" t="str">
        <f>IF($B62="","",IF(Penalties!$BB10=AH$55,1,""))</f>
        <v/>
      </c>
      <c r="AI63" s="747" t="str">
        <f>IF($B62="","",IF(Penalties!$BB10=AI$55,1,""))</f>
        <v/>
      </c>
      <c r="AJ63" s="749" t="str">
        <f>IF(SUM(X62:AI63)=0, "", IF(SUM(X62:AI62)=1, LOOKUP(1, X62:AI62, $X$55:$AI$55), LOOKUP(1, X63:AI63, $X$55:$AI$55)))</f>
        <v/>
      </c>
      <c r="AK63" s="182"/>
      <c r="AL63" s="182"/>
      <c r="AM63" s="182"/>
      <c r="AN63" s="182"/>
      <c r="AO63" s="182"/>
      <c r="AP63" s="182"/>
      <c r="AQ63" s="182"/>
      <c r="AR63" s="182"/>
      <c r="AS63" s="182"/>
      <c r="AT63" s="182"/>
      <c r="AU63" s="182"/>
      <c r="AV63" s="182"/>
      <c r="AW63" s="182"/>
      <c r="AX63" s="182"/>
    </row>
    <row r="64" spans="1:50" x14ac:dyDescent="0.3">
      <c r="A64" s="1367">
        <f>A62+1</f>
        <v>5</v>
      </c>
      <c r="B64" s="1368" t="str">
        <f>IF(IGRF!H15="","",IGRF!H15)</f>
        <v>2000</v>
      </c>
      <c r="C64" s="1369" t="str">
        <f>IF(IGRF!I15="","",IGRF!I15)</f>
        <v>Lisa Lava</v>
      </c>
      <c r="D64" s="739" t="s">
        <v>17</v>
      </c>
      <c r="E64" s="732">
        <f>IF($B64="","",COUNTIF(Penalties!$Q12:$Y12,E$55))</f>
        <v>0</v>
      </c>
      <c r="F64" s="732">
        <f>IF($B64="","",COUNTIF(Penalties!$Q12:$Y12,F$55))</f>
        <v>0</v>
      </c>
      <c r="G64" s="732">
        <f>IF($B64="","",COUNTIF(Penalties!$Q12:$Y12,G$55))</f>
        <v>0</v>
      </c>
      <c r="H64" s="732">
        <f>IF($B64="","",COUNTIF(Penalties!$Q12:$Y12,H$55))</f>
        <v>0</v>
      </c>
      <c r="I64" s="732">
        <f>IF($B64="","",COUNTIF(Penalties!$Q12:$Y12,I$55))</f>
        <v>0</v>
      </c>
      <c r="J64" s="732">
        <f>IF($B64="","",COUNTIF(Penalties!$Q12:$Y12,J$55))</f>
        <v>0</v>
      </c>
      <c r="K64" s="732">
        <f>IF($B64="","",COUNTIF(Penalties!$Q12:$Y12,K$55))</f>
        <v>0</v>
      </c>
      <c r="L64" s="732">
        <f>IF($B64="","",COUNTIF(Penalties!$Q12:$Y12,L$55))</f>
        <v>0</v>
      </c>
      <c r="M64" s="732">
        <f>IF($B64="","",COUNTIF(Penalties!$Q12:$Y12,M$55))</f>
        <v>0</v>
      </c>
      <c r="N64" s="732">
        <f>IF($B64="","",COUNTIF(Penalties!$Q12:$Y12,N$55))</f>
        <v>0</v>
      </c>
      <c r="O64" s="732">
        <f>IF($B64="","",COUNTIF(Penalties!$Q12:$Y12,O$55))</f>
        <v>0</v>
      </c>
      <c r="P64" s="732">
        <f>IF($B64="","",COUNTIF(Penalties!$Q12:$Y12,P$55))</f>
        <v>0</v>
      </c>
      <c r="Q64" s="732">
        <f>IF($B64="","",COUNTIF(Penalties!$Q12:$Y12,Q$55))</f>
        <v>0</v>
      </c>
      <c r="R64" s="732">
        <f>IF($B64="","",COUNTIF(Penalties!$Q12:$Y12,R$55))</f>
        <v>0</v>
      </c>
      <c r="S64" s="732">
        <f>IF($B64="","",COUNTIF(Penalties!$Q12:$Y12,S$55))</f>
        <v>0</v>
      </c>
      <c r="T64" s="732">
        <f>IF($B64="","",COUNTIF(Penalties!$Q12:$Y12,T$55))</f>
        <v>0</v>
      </c>
      <c r="U64" s="740">
        <f>IF(B64="","",SUM(E64:T64))</f>
        <v>0</v>
      </c>
      <c r="V64" s="741">
        <f t="shared" ref="V64" si="38">IF(B64="","",SUM(E64:T64)*0.5)</f>
        <v>0</v>
      </c>
      <c r="W64" s="742" t="str">
        <f>IF($B64="","",IF(Penalties!$Z12=W$55,1,""))</f>
        <v/>
      </c>
      <c r="X64" s="742" t="str">
        <f>IF($B64="","",IF(Penalties!$Z12=X$55,1,""))</f>
        <v/>
      </c>
      <c r="Y64" s="742" t="str">
        <f>IF($B64="","",IF(Penalties!$Z12=Y$55,1,""))</f>
        <v/>
      </c>
      <c r="Z64" s="742" t="str">
        <f>IF($B64="","",IF(Penalties!$Z12=Z$55,1,""))</f>
        <v/>
      </c>
      <c r="AA64" s="742" t="str">
        <f>IF($B64="","",IF(Penalties!$Z12=AA$55,1,""))</f>
        <v/>
      </c>
      <c r="AB64" s="742" t="str">
        <f>IF($B64="","",IF(Penalties!$Z12=AB$55,1,""))</f>
        <v/>
      </c>
      <c r="AC64" s="742" t="str">
        <f>IF($B64="","",IF(Penalties!$Z12=AC$55,1,""))</f>
        <v/>
      </c>
      <c r="AD64" s="742" t="str">
        <f>IF($B64="","",IF(Penalties!$Z12=AD$55,1,""))</f>
        <v/>
      </c>
      <c r="AE64" s="742" t="str">
        <f>IF($B64="","",IF(Penalties!$Z12=AE$55,1,""))</f>
        <v/>
      </c>
      <c r="AF64" s="742" t="str">
        <f>IF($B64="","",IF(Penalties!$Z12=AF$55,1,""))</f>
        <v/>
      </c>
      <c r="AG64" s="742" t="str">
        <f>IF($B64="","",IF(Penalties!$Z12=AG$55,1,""))</f>
        <v/>
      </c>
      <c r="AH64" s="742" t="str">
        <f>IF($B64="","",IF(Penalties!$Z12=AH$55,1,""))</f>
        <v/>
      </c>
      <c r="AI64" s="742" t="str">
        <f>IF($B64="","",IF(Penalties!$Z12=AI$55,1,""))</f>
        <v/>
      </c>
      <c r="AJ64" s="743"/>
      <c r="AK64" s="182"/>
      <c r="AL64" s="182"/>
      <c r="AM64" s="182"/>
      <c r="AN64" s="182"/>
      <c r="AO64" s="182"/>
      <c r="AP64" s="182"/>
      <c r="AQ64" s="182"/>
      <c r="AR64" s="182"/>
      <c r="AS64" s="182"/>
      <c r="AT64" s="182"/>
      <c r="AU64" s="182"/>
      <c r="AV64" s="182"/>
      <c r="AW64" s="182"/>
      <c r="AX64" s="182"/>
    </row>
    <row r="65" spans="1:50" x14ac:dyDescent="0.3">
      <c r="A65" s="1367"/>
      <c r="B65" s="1368"/>
      <c r="C65" s="1369"/>
      <c r="D65" s="739" t="s">
        <v>33</v>
      </c>
      <c r="E65" s="732">
        <f>IF($B64="","",COUNTIF(Penalties!$AS12:$BA12,E$55))</f>
        <v>0</v>
      </c>
      <c r="F65" s="732">
        <f>IF($B64="","",COUNTIF(Penalties!$AS12:$BA12,F$55))</f>
        <v>0</v>
      </c>
      <c r="G65" s="732">
        <f>IF($B64="","",COUNTIF(Penalties!$AS12:$BA12,G$55))</f>
        <v>0</v>
      </c>
      <c r="H65" s="732">
        <f>IF($B64="","",COUNTIF(Penalties!$AS12:$BA12,H$55))</f>
        <v>0</v>
      </c>
      <c r="I65" s="732">
        <f>IF($B64="","",COUNTIF(Penalties!$AS12:$BA12,I$55))</f>
        <v>0</v>
      </c>
      <c r="J65" s="732">
        <f>IF($B64="","",COUNTIF(Penalties!$AS12:$BA12,J$55))</f>
        <v>0</v>
      </c>
      <c r="K65" s="732">
        <f>IF($B64="","",COUNTIF(Penalties!$AS12:$BA12,K$55))</f>
        <v>0</v>
      </c>
      <c r="L65" s="732">
        <f>IF($B64="","",COUNTIF(Penalties!$AS12:$BA12,L$55))</f>
        <v>0</v>
      </c>
      <c r="M65" s="732">
        <f>IF($B64="","",COUNTIF(Penalties!$AS12:$BA12,M$55))</f>
        <v>0</v>
      </c>
      <c r="N65" s="732">
        <f>IF($B64="","",COUNTIF(Penalties!$AS12:$BA12,N$55))</f>
        <v>0</v>
      </c>
      <c r="O65" s="732">
        <f>IF($B64="","",COUNTIF(Penalties!$AS12:$BA12,O$55))</f>
        <v>0</v>
      </c>
      <c r="P65" s="732">
        <f>IF($B64="","",COUNTIF(Penalties!$AS12:$BA12,P$55))</f>
        <v>0</v>
      </c>
      <c r="Q65" s="732">
        <f>IF($B64="","",COUNTIF(Penalties!$AS12:$BA12,Q$55))</f>
        <v>0</v>
      </c>
      <c r="R65" s="732">
        <f>IF($B64="","",COUNTIF(Penalties!$AS12:$BA12,R$55))</f>
        <v>0</v>
      </c>
      <c r="S65" s="732">
        <f>IF($B64="","",COUNTIF(Penalties!$AS12:$BA12,S$55))</f>
        <v>0</v>
      </c>
      <c r="T65" s="732">
        <f>IF($B64="","",COUNTIF(Penalties!$AS12:$BA12,T$55))</f>
        <v>0</v>
      </c>
      <c r="U65" s="740">
        <f>IF(B64="","",SUM(E65:T65))</f>
        <v>0</v>
      </c>
      <c r="V65" s="741">
        <f t="shared" ref="V65" si="39">IF(B64="","",SUM(E65:T65)*0.5)</f>
        <v>0</v>
      </c>
      <c r="W65" s="742" t="str">
        <f>IF($B64="","",IF(Penalties!$BB12=W$55,1,""))</f>
        <v/>
      </c>
      <c r="X65" s="742" t="str">
        <f>IF($B64="","",IF(Penalties!$BB12=X$55,1,""))</f>
        <v/>
      </c>
      <c r="Y65" s="742" t="str">
        <f>IF($B64="","",IF(Penalties!$BB12=Y$55,1,""))</f>
        <v/>
      </c>
      <c r="Z65" s="742" t="str">
        <f>IF($B64="","",IF(Penalties!$BB12=Z$55,1,""))</f>
        <v/>
      </c>
      <c r="AA65" s="742" t="str">
        <f>IF($B64="","",IF(Penalties!$BB12=AA$55,1,""))</f>
        <v/>
      </c>
      <c r="AB65" s="742" t="str">
        <f>IF($B64="","",IF(Penalties!$BB12=AB$55,1,""))</f>
        <v/>
      </c>
      <c r="AC65" s="742" t="str">
        <f>IF($B64="","",IF(Penalties!$BB12=AC$55,1,""))</f>
        <v/>
      </c>
      <c r="AD65" s="742" t="str">
        <f>IF($B64="","",IF(Penalties!$BB12=AD$55,1,""))</f>
        <v/>
      </c>
      <c r="AE65" s="742" t="str">
        <f>IF($B64="","",IF(Penalties!$BB12=AE$55,1,""))</f>
        <v/>
      </c>
      <c r="AF65" s="742" t="str">
        <f>IF($B64="","",IF(Penalties!$BB12=AF$55,1,""))</f>
        <v/>
      </c>
      <c r="AG65" s="742" t="str">
        <f>IF($B64="","",IF(Penalties!$BB12=AG$55,1,""))</f>
        <v/>
      </c>
      <c r="AH65" s="742" t="str">
        <f>IF($B64="","",IF(Penalties!$BB12=AH$55,1,""))</f>
        <v/>
      </c>
      <c r="AI65" s="742" t="str">
        <f>IF($B64="","",IF(Penalties!$BB12=AI$55,1,""))</f>
        <v/>
      </c>
      <c r="AJ65" s="744" t="str">
        <f>IF(SUM(X64:AI65)=0, "", IF(SUM(X64:AI64)=1, LOOKUP(1, X64:AI64, $X$55:$AI$55), LOOKUP(1, X65:AI65, $X$55:$AI$55)))</f>
        <v/>
      </c>
      <c r="AK65" s="182"/>
      <c r="AL65" s="182"/>
      <c r="AM65" s="182"/>
      <c r="AN65" s="182"/>
      <c r="AO65" s="182"/>
      <c r="AP65" s="182"/>
      <c r="AQ65" s="182"/>
      <c r="AR65" s="182"/>
      <c r="AS65" s="182"/>
      <c r="AT65" s="182"/>
      <c r="AU65" s="182"/>
      <c r="AV65" s="182"/>
      <c r="AW65" s="182"/>
      <c r="AX65" s="182"/>
    </row>
    <row r="66" spans="1:50" x14ac:dyDescent="0.3">
      <c r="A66" s="1364">
        <f>A64+1</f>
        <v>6</v>
      </c>
      <c r="B66" s="1365" t="str">
        <f>IF(IGRF!H16="","",IGRF!H16)</f>
        <v>201</v>
      </c>
      <c r="C66" s="1366" t="str">
        <f>IF(IGRF!I16="","",IGRF!I16)</f>
        <v>Dutch Destroyer</v>
      </c>
      <c r="D66" s="733" t="s">
        <v>17</v>
      </c>
      <c r="E66" s="733">
        <f>IF($B66="","",COUNTIF(Penalties!$Q14:$Y14,E$55))</f>
        <v>0</v>
      </c>
      <c r="F66" s="733">
        <f>IF($B66="","",COUNTIF(Penalties!$Q14:$Y14,F$55))</f>
        <v>0</v>
      </c>
      <c r="G66" s="733">
        <f>IF($B66="","",COUNTIF(Penalties!$Q14:$Y14,G$55))</f>
        <v>1</v>
      </c>
      <c r="H66" s="733">
        <f>IF($B66="","",COUNTIF(Penalties!$Q14:$Y14,H$55))</f>
        <v>0</v>
      </c>
      <c r="I66" s="733">
        <f>IF($B66="","",COUNTIF(Penalties!$Q14:$Y14,I$55))</f>
        <v>0</v>
      </c>
      <c r="J66" s="733">
        <f>IF($B66="","",COUNTIF(Penalties!$Q14:$Y14,J$55))</f>
        <v>0</v>
      </c>
      <c r="K66" s="733">
        <f>IF($B66="","",COUNTIF(Penalties!$Q14:$Y14,K$55))</f>
        <v>0</v>
      </c>
      <c r="L66" s="733">
        <f>IF($B66="","",COUNTIF(Penalties!$Q14:$Y14,L$55))</f>
        <v>0</v>
      </c>
      <c r="M66" s="733">
        <f>IF($B66="","",COUNTIF(Penalties!$Q14:$Y14,M$55))</f>
        <v>0</v>
      </c>
      <c r="N66" s="733">
        <f>IF($B66="","",COUNTIF(Penalties!$Q14:$Y14,N$55))</f>
        <v>0</v>
      </c>
      <c r="O66" s="733">
        <f>IF($B66="","",COUNTIF(Penalties!$Q14:$Y14,O$55))</f>
        <v>0</v>
      </c>
      <c r="P66" s="733">
        <f>IF($B66="","",COUNTIF(Penalties!$Q14:$Y14,P$55))</f>
        <v>0</v>
      </c>
      <c r="Q66" s="733">
        <f>IF($B66="","",COUNTIF(Penalties!$Q14:$Y14,Q$55))</f>
        <v>0</v>
      </c>
      <c r="R66" s="733">
        <f>IF($B66="","",COUNTIF(Penalties!$Q14:$Y14,R$55))</f>
        <v>0</v>
      </c>
      <c r="S66" s="733">
        <f>IF($B66="","",COUNTIF(Penalties!$Q14:$Y14,S$55))</f>
        <v>0</v>
      </c>
      <c r="T66" s="733">
        <f>IF($B66="","",COUNTIF(Penalties!$Q14:$Y14,T$55))</f>
        <v>0</v>
      </c>
      <c r="U66" s="745">
        <f>IF(B66="","",SUM(E66:T66))</f>
        <v>1</v>
      </c>
      <c r="V66" s="746">
        <f t="shared" ref="V66" si="40">IF(B66="","",SUM(E66:T66)*0.5)</f>
        <v>0.5</v>
      </c>
      <c r="W66" s="747" t="str">
        <f>IF($B66="","",IF(Penalties!$Z14=W$55,1,""))</f>
        <v/>
      </c>
      <c r="X66" s="747" t="str">
        <f>IF($B66="","",IF(Penalties!$Z14=X$55,1,""))</f>
        <v/>
      </c>
      <c r="Y66" s="747" t="str">
        <f>IF($B66="","",IF(Penalties!$Z14=Y$55,1,""))</f>
        <v/>
      </c>
      <c r="Z66" s="747" t="str">
        <f>IF($B66="","",IF(Penalties!$Z14=Z$55,1,""))</f>
        <v/>
      </c>
      <c r="AA66" s="747" t="str">
        <f>IF($B66="","",IF(Penalties!$Z14=AA$55,1,""))</f>
        <v/>
      </c>
      <c r="AB66" s="747" t="str">
        <f>IF($B66="","",IF(Penalties!$Z14=AB$55,1,""))</f>
        <v/>
      </c>
      <c r="AC66" s="747" t="str">
        <f>IF($B66="","",IF(Penalties!$Z14=AC$55,1,""))</f>
        <v/>
      </c>
      <c r="AD66" s="747" t="str">
        <f>IF($B66="","",IF(Penalties!$Z14=AD$55,1,""))</f>
        <v/>
      </c>
      <c r="AE66" s="747" t="str">
        <f>IF($B66="","",IF(Penalties!$Z14=AE$55,1,""))</f>
        <v/>
      </c>
      <c r="AF66" s="747" t="str">
        <f>IF($B66="","",IF(Penalties!$Z14=AF$55,1,""))</f>
        <v/>
      </c>
      <c r="AG66" s="747" t="str">
        <f>IF($B66="","",IF(Penalties!$Z14=AG$55,1,""))</f>
        <v/>
      </c>
      <c r="AH66" s="747" t="str">
        <f>IF($B66="","",IF(Penalties!$Z14=AH$55,1,""))</f>
        <v/>
      </c>
      <c r="AI66" s="747" t="str">
        <f>IF($B66="","",IF(Penalties!$Z14=AI$55,1,""))</f>
        <v/>
      </c>
      <c r="AJ66" s="748"/>
      <c r="AK66" s="182"/>
      <c r="AL66" s="182"/>
      <c r="AM66" s="182"/>
      <c r="AN66" s="182"/>
      <c r="AO66" s="182"/>
      <c r="AP66" s="182"/>
      <c r="AQ66" s="182"/>
      <c r="AR66" s="182"/>
      <c r="AS66" s="182"/>
      <c r="AT66" s="182"/>
      <c r="AU66" s="182"/>
      <c r="AV66" s="182"/>
      <c r="AW66" s="182"/>
      <c r="AX66" s="182"/>
    </row>
    <row r="67" spans="1:50" ht="14.4" thickBot="1" x14ac:dyDescent="0.35">
      <c r="A67" s="1364"/>
      <c r="B67" s="1365"/>
      <c r="C67" s="1366"/>
      <c r="D67" s="733" t="s">
        <v>33</v>
      </c>
      <c r="E67" s="733">
        <f>IF($B66="","",COUNTIF(Penalties!$AS14:$BA14,E$55))</f>
        <v>0</v>
      </c>
      <c r="F67" s="733">
        <f>IF($B66="","",COUNTIF(Penalties!$AS14:$BA14,F$55))</f>
        <v>0</v>
      </c>
      <c r="G67" s="733">
        <f>IF($B66="","",COUNTIF(Penalties!$AS14:$BA14,G$55))</f>
        <v>0</v>
      </c>
      <c r="H67" s="733">
        <f>IF($B66="","",COUNTIF(Penalties!$AS14:$BA14,H$55))</f>
        <v>0</v>
      </c>
      <c r="I67" s="733">
        <f>IF($B66="","",COUNTIF(Penalties!$AS14:$BA14,I$55))</f>
        <v>0</v>
      </c>
      <c r="J67" s="733">
        <f>IF($B66="","",COUNTIF(Penalties!$AS14:$BA14,J$55))</f>
        <v>0</v>
      </c>
      <c r="K67" s="733">
        <f>IF($B66="","",COUNTIF(Penalties!$AS14:$BA14,K$55))</f>
        <v>0</v>
      </c>
      <c r="L67" s="733">
        <f>IF($B66="","",COUNTIF(Penalties!$AS14:$BA14,L$55))</f>
        <v>0</v>
      </c>
      <c r="M67" s="733">
        <f>IF($B66="","",COUNTIF(Penalties!$AS14:$BA14,M$55))</f>
        <v>0</v>
      </c>
      <c r="N67" s="733">
        <f>IF($B66="","",COUNTIF(Penalties!$AS14:$BA14,N$55))</f>
        <v>0</v>
      </c>
      <c r="O67" s="733">
        <f>IF($B66="","",COUNTIF(Penalties!$AS14:$BA14,O$55))</f>
        <v>0</v>
      </c>
      <c r="P67" s="733">
        <f>IF($B66="","",COUNTIF(Penalties!$AS14:$BA14,P$55))</f>
        <v>0</v>
      </c>
      <c r="Q67" s="733">
        <f>IF($B66="","",COUNTIF(Penalties!$AS14:$BA14,Q$55))</f>
        <v>0</v>
      </c>
      <c r="R67" s="733">
        <f>IF($B66="","",COUNTIF(Penalties!$AS14:$BA14,R$55))</f>
        <v>0</v>
      </c>
      <c r="S67" s="733">
        <f>IF($B66="","",COUNTIF(Penalties!$AS14:$BA14,S$55))</f>
        <v>0</v>
      </c>
      <c r="T67" s="733">
        <f>IF($B66="","",COUNTIF(Penalties!$AS14:$BA14,T$55))</f>
        <v>0</v>
      </c>
      <c r="U67" s="745">
        <f>IF(B66="","",SUM(E67:T67))</f>
        <v>0</v>
      </c>
      <c r="V67" s="746">
        <f t="shared" ref="V67" si="41">IF(B66="","",SUM(E67:T67)*0.5)</f>
        <v>0</v>
      </c>
      <c r="W67" s="747" t="str">
        <f>IF($B66="","",IF(Penalties!$BB14=W$55,1,""))</f>
        <v/>
      </c>
      <c r="X67" s="747" t="str">
        <f>IF($B66="","",IF(Penalties!$BB14=X$55,1,""))</f>
        <v/>
      </c>
      <c r="Y67" s="747" t="str">
        <f>IF($B66="","",IF(Penalties!$BB14=Y$55,1,""))</f>
        <v/>
      </c>
      <c r="Z67" s="747" t="str">
        <f>IF($B66="","",IF(Penalties!$BB14=Z$55,1,""))</f>
        <v/>
      </c>
      <c r="AA67" s="747" t="str">
        <f>IF($B66="","",IF(Penalties!$BB14=AA$55,1,""))</f>
        <v/>
      </c>
      <c r="AB67" s="747" t="str">
        <f>IF($B66="","",IF(Penalties!$BB14=AB$55,1,""))</f>
        <v/>
      </c>
      <c r="AC67" s="747" t="str">
        <f>IF($B66="","",IF(Penalties!$BB14=AC$55,1,""))</f>
        <v/>
      </c>
      <c r="AD67" s="747" t="str">
        <f>IF($B66="","",IF(Penalties!$BB14=AD$55,1,""))</f>
        <v/>
      </c>
      <c r="AE67" s="747" t="str">
        <f>IF($B66="","",IF(Penalties!$BB14=AE$55,1,""))</f>
        <v/>
      </c>
      <c r="AF67" s="747" t="str">
        <f>IF($B66="","",IF(Penalties!$BB14=AF$55,1,""))</f>
        <v/>
      </c>
      <c r="AG67" s="747" t="str">
        <f>IF($B66="","",IF(Penalties!$BB14=AG$55,1,""))</f>
        <v/>
      </c>
      <c r="AH67" s="747" t="str">
        <f>IF($B66="","",IF(Penalties!$BB14=AH$55,1,""))</f>
        <v/>
      </c>
      <c r="AI67" s="747" t="str">
        <f>IF($B66="","",IF(Penalties!$BB14=AI$55,1,""))</f>
        <v/>
      </c>
      <c r="AJ67" s="749" t="str">
        <f>IF(SUM(X66:AI67)=0, "", IF(SUM(X66:AI66)=1, LOOKUP(1, X66:AI66, $X$55:$AI$55), LOOKUP(1, X67:AI67, $X$55:$AI$55)))</f>
        <v/>
      </c>
      <c r="AK67" s="182"/>
      <c r="AL67" s="182"/>
      <c r="AM67" s="182"/>
      <c r="AN67" s="182"/>
      <c r="AO67" s="182"/>
      <c r="AP67" s="182"/>
      <c r="AQ67" s="182"/>
      <c r="AR67" s="182"/>
      <c r="AS67" s="182"/>
      <c r="AT67" s="182"/>
      <c r="AU67" s="182"/>
      <c r="AV67" s="182"/>
      <c r="AW67" s="182"/>
      <c r="AX67" s="182"/>
    </row>
    <row r="68" spans="1:50" x14ac:dyDescent="0.3">
      <c r="A68" s="1367">
        <f>A66+1</f>
        <v>7</v>
      </c>
      <c r="B68" s="1368" t="str">
        <f>IF(IGRF!H17="","",IGRF!H17)</f>
        <v>21</v>
      </c>
      <c r="C68" s="1369" t="str">
        <f>IF(IGRF!I17="","",IGRF!I17)</f>
        <v>Jekyll &amp; Heidi</v>
      </c>
      <c r="D68" s="739" t="s">
        <v>17</v>
      </c>
      <c r="E68" s="732">
        <f>IF($B68="","",COUNTIF(Penalties!$Q16:$Y16,E$55))</f>
        <v>0</v>
      </c>
      <c r="F68" s="732">
        <f>IF($B68="","",COUNTIF(Penalties!$Q16:$Y16,F$55))</f>
        <v>0</v>
      </c>
      <c r="G68" s="732">
        <f>IF($B68="","",COUNTIF(Penalties!$Q16:$Y16,G$55))</f>
        <v>0</v>
      </c>
      <c r="H68" s="732">
        <f>IF($B68="","",COUNTIF(Penalties!$Q16:$Y16,H$55))</f>
        <v>0</v>
      </c>
      <c r="I68" s="732">
        <f>IF($B68="","",COUNTIF(Penalties!$Q16:$Y16,I$55))</f>
        <v>1</v>
      </c>
      <c r="J68" s="732">
        <f>IF($B68="","",COUNTIF(Penalties!$Q16:$Y16,J$55))</f>
        <v>0</v>
      </c>
      <c r="K68" s="732">
        <f>IF($B68="","",COUNTIF(Penalties!$Q16:$Y16,K$55))</f>
        <v>0</v>
      </c>
      <c r="L68" s="732">
        <f>IF($B68="","",COUNTIF(Penalties!$Q16:$Y16,L$55))</f>
        <v>1</v>
      </c>
      <c r="M68" s="732">
        <f>IF($B68="","",COUNTIF(Penalties!$Q16:$Y16,M$55))</f>
        <v>1</v>
      </c>
      <c r="N68" s="732">
        <f>IF($B68="","",COUNTIF(Penalties!$Q16:$Y16,N$55))</f>
        <v>0</v>
      </c>
      <c r="O68" s="732">
        <f>IF($B68="","",COUNTIF(Penalties!$Q16:$Y16,O$55))</f>
        <v>1</v>
      </c>
      <c r="P68" s="732">
        <f>IF($B68="","",COUNTIF(Penalties!$Q16:$Y16,P$55))</f>
        <v>0</v>
      </c>
      <c r="Q68" s="732">
        <f>IF($B68="","",COUNTIF(Penalties!$Q16:$Y16,Q$55))</f>
        <v>0</v>
      </c>
      <c r="R68" s="732">
        <f>IF($B68="","",COUNTIF(Penalties!$Q16:$Y16,R$55))</f>
        <v>0</v>
      </c>
      <c r="S68" s="732">
        <f>IF($B68="","",COUNTIF(Penalties!$Q16:$Y16,S$55))</f>
        <v>0</v>
      </c>
      <c r="T68" s="732">
        <f>IF($B68="","",COUNTIF(Penalties!$Q16:$Y16,T$55))</f>
        <v>0</v>
      </c>
      <c r="U68" s="740">
        <f>IF(B68="","",SUM(E68:T68))</f>
        <v>4</v>
      </c>
      <c r="V68" s="741">
        <f t="shared" ref="V68" si="42">IF(B68="","",SUM(E68:T68)*0.5)</f>
        <v>2</v>
      </c>
      <c r="W68" s="742" t="str">
        <f>IF($B68="","",IF(Penalties!$Z16=W$55,1,""))</f>
        <v/>
      </c>
      <c r="X68" s="742" t="str">
        <f>IF($B68="","",IF(Penalties!$Z16=X$55,1,""))</f>
        <v/>
      </c>
      <c r="Y68" s="742" t="str">
        <f>IF($B68="","",IF(Penalties!$Z16=Y$55,1,""))</f>
        <v/>
      </c>
      <c r="Z68" s="742" t="str">
        <f>IF($B68="","",IF(Penalties!$Z16=Z$55,1,""))</f>
        <v/>
      </c>
      <c r="AA68" s="742" t="str">
        <f>IF($B68="","",IF(Penalties!$Z16=AA$55,1,""))</f>
        <v/>
      </c>
      <c r="AB68" s="742" t="str">
        <f>IF($B68="","",IF(Penalties!$Z16=AB$55,1,""))</f>
        <v/>
      </c>
      <c r="AC68" s="742" t="str">
        <f>IF($B68="","",IF(Penalties!$Z16=AC$55,1,""))</f>
        <v/>
      </c>
      <c r="AD68" s="742" t="str">
        <f>IF($B68="","",IF(Penalties!$Z16=AD$55,1,""))</f>
        <v/>
      </c>
      <c r="AE68" s="742" t="str">
        <f>IF($B68="","",IF(Penalties!$Z16=AE$55,1,""))</f>
        <v/>
      </c>
      <c r="AF68" s="742" t="str">
        <f>IF($B68="","",IF(Penalties!$Z16=AF$55,1,""))</f>
        <v/>
      </c>
      <c r="AG68" s="742" t="str">
        <f>IF($B68="","",IF(Penalties!$Z16=AG$55,1,""))</f>
        <v/>
      </c>
      <c r="AH68" s="742" t="str">
        <f>IF($B68="","",IF(Penalties!$Z16=AH$55,1,""))</f>
        <v/>
      </c>
      <c r="AI68" s="742" t="str">
        <f>IF($B68="","",IF(Penalties!$Z16=AI$55,1,""))</f>
        <v/>
      </c>
      <c r="AJ68" s="743"/>
      <c r="AK68" s="182"/>
      <c r="AL68" s="182"/>
      <c r="AM68" s="182"/>
      <c r="AN68" s="182"/>
      <c r="AO68" s="182"/>
      <c r="AP68" s="182"/>
      <c r="AQ68" s="182"/>
      <c r="AR68" s="182"/>
      <c r="AS68" s="182"/>
      <c r="AT68" s="182"/>
      <c r="AU68" s="182"/>
      <c r="AV68" s="182"/>
      <c r="AW68" s="182"/>
      <c r="AX68" s="182"/>
    </row>
    <row r="69" spans="1:50" x14ac:dyDescent="0.3">
      <c r="A69" s="1367"/>
      <c r="B69" s="1368"/>
      <c r="C69" s="1369"/>
      <c r="D69" s="739" t="s">
        <v>33</v>
      </c>
      <c r="E69" s="732">
        <f>IF($B68="","",COUNTIF(Penalties!$AS16:$BA16,E$55))</f>
        <v>1</v>
      </c>
      <c r="F69" s="732">
        <f>IF($B68="","",COUNTIF(Penalties!$AS16:$BA16,F$55))</f>
        <v>0</v>
      </c>
      <c r="G69" s="732">
        <f>IF($B68="","",COUNTIF(Penalties!$AS16:$BA16,G$55))</f>
        <v>0</v>
      </c>
      <c r="H69" s="732">
        <f>IF($B68="","",COUNTIF(Penalties!$AS16:$BA16,H$55))</f>
        <v>0</v>
      </c>
      <c r="I69" s="732">
        <f>IF($B68="","",COUNTIF(Penalties!$AS16:$BA16,I$55))</f>
        <v>0</v>
      </c>
      <c r="J69" s="732">
        <f>IF($B68="","",COUNTIF(Penalties!$AS16:$BA16,J$55))</f>
        <v>0</v>
      </c>
      <c r="K69" s="732">
        <f>IF($B68="","",COUNTIF(Penalties!$AS16:$BA16,K$55))</f>
        <v>0</v>
      </c>
      <c r="L69" s="732">
        <f>IF($B68="","",COUNTIF(Penalties!$AS16:$BA16,L$55))</f>
        <v>0</v>
      </c>
      <c r="M69" s="732">
        <f>IF($B68="","",COUNTIF(Penalties!$AS16:$BA16,M$55))</f>
        <v>0</v>
      </c>
      <c r="N69" s="732">
        <f>IF($B68="","",COUNTIF(Penalties!$AS16:$BA16,N$55))</f>
        <v>0</v>
      </c>
      <c r="O69" s="732">
        <f>IF($B68="","",COUNTIF(Penalties!$AS16:$BA16,O$55))</f>
        <v>0</v>
      </c>
      <c r="P69" s="732">
        <f>IF($B68="","",COUNTIF(Penalties!$AS16:$BA16,P$55))</f>
        <v>0</v>
      </c>
      <c r="Q69" s="732">
        <f>IF($B68="","",COUNTIF(Penalties!$AS16:$BA16,Q$55))</f>
        <v>0</v>
      </c>
      <c r="R69" s="732">
        <f>IF($B68="","",COUNTIF(Penalties!$AS16:$BA16,R$55))</f>
        <v>0</v>
      </c>
      <c r="S69" s="732">
        <f>IF($B68="","",COUNTIF(Penalties!$AS16:$BA16,S$55))</f>
        <v>0</v>
      </c>
      <c r="T69" s="732">
        <f>IF($B68="","",COUNTIF(Penalties!$AS16:$BA16,T$55))</f>
        <v>0</v>
      </c>
      <c r="U69" s="740">
        <f>IF(B68="","",SUM(E69:T69))</f>
        <v>1</v>
      </c>
      <c r="V69" s="741">
        <f t="shared" ref="V69" si="43">IF(B68="","",SUM(E69:T69)*0.5)</f>
        <v>0.5</v>
      </c>
      <c r="W69" s="742" t="str">
        <f>IF($B68="","",IF(Penalties!$BB16=W$55,1,""))</f>
        <v/>
      </c>
      <c r="X69" s="742" t="str">
        <f>IF($B68="","",IF(Penalties!$BB16=X$55,1,""))</f>
        <v/>
      </c>
      <c r="Y69" s="742" t="str">
        <f>IF($B68="","",IF(Penalties!$BB16=Y$55,1,""))</f>
        <v/>
      </c>
      <c r="Z69" s="742" t="str">
        <f>IF($B68="","",IF(Penalties!$BB16=Z$55,1,""))</f>
        <v/>
      </c>
      <c r="AA69" s="742" t="str">
        <f>IF($B68="","",IF(Penalties!$BB16=AA$55,1,""))</f>
        <v/>
      </c>
      <c r="AB69" s="742" t="str">
        <f>IF($B68="","",IF(Penalties!$BB16=AB$55,1,""))</f>
        <v/>
      </c>
      <c r="AC69" s="742" t="str">
        <f>IF($B68="","",IF(Penalties!$BB16=AC$55,1,""))</f>
        <v/>
      </c>
      <c r="AD69" s="742" t="str">
        <f>IF($B68="","",IF(Penalties!$BB16=AD$55,1,""))</f>
        <v/>
      </c>
      <c r="AE69" s="742" t="str">
        <f>IF($B68="","",IF(Penalties!$BB16=AE$55,1,""))</f>
        <v/>
      </c>
      <c r="AF69" s="742" t="str">
        <f>IF($B68="","",IF(Penalties!$BB16=AF$55,1,""))</f>
        <v/>
      </c>
      <c r="AG69" s="742" t="str">
        <f>IF($B68="","",IF(Penalties!$BB16=AG$55,1,""))</f>
        <v/>
      </c>
      <c r="AH69" s="742" t="str">
        <f>IF($B68="","",IF(Penalties!$BB16=AH$55,1,""))</f>
        <v/>
      </c>
      <c r="AI69" s="742" t="str">
        <f>IF($B68="","",IF(Penalties!$BB16=AI$55,1,""))</f>
        <v/>
      </c>
      <c r="AJ69" s="744" t="str">
        <f>IF(SUM(X68:AI69)=0, "", IF(SUM(X68:AI68)=1, LOOKUP(1, X68:AI68, $X$55:$AI$55), LOOKUP(1, X69:AI69, $X$55:$AI$55)))</f>
        <v/>
      </c>
      <c r="AK69" s="182"/>
      <c r="AL69" s="182"/>
      <c r="AM69" s="182"/>
      <c r="AN69" s="182"/>
      <c r="AO69" s="182"/>
      <c r="AP69" s="182"/>
      <c r="AQ69" s="182"/>
      <c r="AR69" s="182"/>
      <c r="AS69" s="182"/>
      <c r="AT69" s="182"/>
      <c r="AU69" s="182"/>
      <c r="AV69" s="182"/>
      <c r="AW69" s="182"/>
      <c r="AX69" s="182"/>
    </row>
    <row r="70" spans="1:50" x14ac:dyDescent="0.3">
      <c r="A70" s="1364">
        <f>A68+1</f>
        <v>8</v>
      </c>
      <c r="B70" s="1365" t="str">
        <f>IF(IGRF!H18="","",IGRF!H18)</f>
        <v>22</v>
      </c>
      <c r="C70" s="1366" t="str">
        <f>IF(IGRF!I18="","",IGRF!I18)</f>
        <v>Freight Train</v>
      </c>
      <c r="D70" s="733" t="s">
        <v>17</v>
      </c>
      <c r="E70" s="733">
        <f>IF($B70="","",COUNTIF(Penalties!$Q18:$Y18,E$55))</f>
        <v>0</v>
      </c>
      <c r="F70" s="733">
        <f>IF($B70="","",COUNTIF(Penalties!$Q18:$Y18,F$55))</f>
        <v>0</v>
      </c>
      <c r="G70" s="733">
        <f>IF($B70="","",COUNTIF(Penalties!$Q18:$Y18,G$55))</f>
        <v>0</v>
      </c>
      <c r="H70" s="733">
        <f>IF($B70="","",COUNTIF(Penalties!$Q18:$Y18,H$55))</f>
        <v>0</v>
      </c>
      <c r="I70" s="733">
        <f>IF($B70="","",COUNTIF(Penalties!$Q18:$Y18,I$55))</f>
        <v>0</v>
      </c>
      <c r="J70" s="733">
        <f>IF($B70="","",COUNTIF(Penalties!$Q18:$Y18,J$55))</f>
        <v>0</v>
      </c>
      <c r="K70" s="733">
        <f>IF($B70="","",COUNTIF(Penalties!$Q18:$Y18,K$55))</f>
        <v>0</v>
      </c>
      <c r="L70" s="733">
        <f>IF($B70="","",COUNTIF(Penalties!$Q18:$Y18,L$55))</f>
        <v>0</v>
      </c>
      <c r="M70" s="733">
        <f>IF($B70="","",COUNTIF(Penalties!$Q18:$Y18,M$55))</f>
        <v>0</v>
      </c>
      <c r="N70" s="733">
        <f>IF($B70="","",COUNTIF(Penalties!$Q18:$Y18,N$55))</f>
        <v>0</v>
      </c>
      <c r="O70" s="733">
        <f>IF($B70="","",COUNTIF(Penalties!$Q18:$Y18,O$55))</f>
        <v>1</v>
      </c>
      <c r="P70" s="733">
        <f>IF($B70="","",COUNTIF(Penalties!$Q18:$Y18,P$55))</f>
        <v>0</v>
      </c>
      <c r="Q70" s="733">
        <f>IF($B70="","",COUNTIF(Penalties!$Q18:$Y18,Q$55))</f>
        <v>0</v>
      </c>
      <c r="R70" s="733">
        <f>IF($B70="","",COUNTIF(Penalties!$Q18:$Y18,R$55))</f>
        <v>0</v>
      </c>
      <c r="S70" s="733">
        <f>IF($B70="","",COUNTIF(Penalties!$Q18:$Y18,S$55))</f>
        <v>0</v>
      </c>
      <c r="T70" s="733">
        <f>IF($B70="","",COUNTIF(Penalties!$Q18:$Y18,T$55))</f>
        <v>0</v>
      </c>
      <c r="U70" s="745">
        <f>IF(B70="","",SUM(E70:T70))</f>
        <v>1</v>
      </c>
      <c r="V70" s="746">
        <f t="shared" ref="V70" si="44">IF(B70="","",SUM(E70:T70)*0.5)</f>
        <v>0.5</v>
      </c>
      <c r="W70" s="747" t="str">
        <f>IF($B70="","",IF(Penalties!$Z18=W$55,1,""))</f>
        <v/>
      </c>
      <c r="X70" s="747" t="str">
        <f>IF($B70="","",IF(Penalties!$Z18=X$55,1,""))</f>
        <v/>
      </c>
      <c r="Y70" s="747" t="str">
        <f>IF($B70="","",IF(Penalties!$Z18=Y$55,1,""))</f>
        <v/>
      </c>
      <c r="Z70" s="747" t="str">
        <f>IF($B70="","",IF(Penalties!$Z18=Z$55,1,""))</f>
        <v/>
      </c>
      <c r="AA70" s="747" t="str">
        <f>IF($B70="","",IF(Penalties!$Z18=AA$55,1,""))</f>
        <v/>
      </c>
      <c r="AB70" s="747" t="str">
        <f>IF($B70="","",IF(Penalties!$Z18=AB$55,1,""))</f>
        <v/>
      </c>
      <c r="AC70" s="747" t="str">
        <f>IF($B70="","",IF(Penalties!$Z18=AC$55,1,""))</f>
        <v/>
      </c>
      <c r="AD70" s="747" t="str">
        <f>IF($B70="","",IF(Penalties!$Z18=AD$55,1,""))</f>
        <v/>
      </c>
      <c r="AE70" s="747" t="str">
        <f>IF($B70="","",IF(Penalties!$Z18=AE$55,1,""))</f>
        <v/>
      </c>
      <c r="AF70" s="747" t="str">
        <f>IF($B70="","",IF(Penalties!$Z18=AF$55,1,""))</f>
        <v/>
      </c>
      <c r="AG70" s="747" t="str">
        <f>IF($B70="","",IF(Penalties!$Z18=AG$55,1,""))</f>
        <v/>
      </c>
      <c r="AH70" s="747" t="str">
        <f>IF($B70="","",IF(Penalties!$Z18=AH$55,1,""))</f>
        <v/>
      </c>
      <c r="AI70" s="747" t="str">
        <f>IF($B70="","",IF(Penalties!$Z18=AI$55,1,""))</f>
        <v/>
      </c>
      <c r="AJ70" s="748"/>
      <c r="AK70" s="182"/>
      <c r="AL70" s="182"/>
      <c r="AM70" s="182"/>
      <c r="AN70" s="182"/>
      <c r="AO70" s="182"/>
      <c r="AP70" s="182"/>
      <c r="AQ70" s="182"/>
      <c r="AR70" s="182"/>
      <c r="AS70" s="182"/>
      <c r="AT70" s="182"/>
      <c r="AU70" s="182"/>
      <c r="AV70" s="182"/>
      <c r="AW70" s="182"/>
      <c r="AX70" s="182"/>
    </row>
    <row r="71" spans="1:50" ht="14.4" thickBot="1" x14ac:dyDescent="0.35">
      <c r="A71" s="1364"/>
      <c r="B71" s="1365"/>
      <c r="C71" s="1366"/>
      <c r="D71" s="733" t="s">
        <v>33</v>
      </c>
      <c r="E71" s="733">
        <f>IF($B70="","",COUNTIF(Penalties!$AS18:$BA18,E$55))</f>
        <v>1</v>
      </c>
      <c r="F71" s="733">
        <f>IF($B70="","",COUNTIF(Penalties!$AS18:$BA18,F$55))</f>
        <v>0</v>
      </c>
      <c r="G71" s="733">
        <f>IF($B70="","",COUNTIF(Penalties!$AS18:$BA18,G$55))</f>
        <v>0</v>
      </c>
      <c r="H71" s="733">
        <f>IF($B70="","",COUNTIF(Penalties!$AS18:$BA18,H$55))</f>
        <v>0</v>
      </c>
      <c r="I71" s="733">
        <f>IF($B70="","",COUNTIF(Penalties!$AS18:$BA18,I$55))</f>
        <v>0</v>
      </c>
      <c r="J71" s="733">
        <f>IF($B70="","",COUNTIF(Penalties!$AS18:$BA18,J$55))</f>
        <v>0</v>
      </c>
      <c r="K71" s="733">
        <f>IF($B70="","",COUNTIF(Penalties!$AS18:$BA18,K$55))</f>
        <v>0</v>
      </c>
      <c r="L71" s="733">
        <f>IF($B70="","",COUNTIF(Penalties!$AS18:$BA18,L$55))</f>
        <v>0</v>
      </c>
      <c r="M71" s="733">
        <f>IF($B70="","",COUNTIF(Penalties!$AS18:$BA18,M$55))</f>
        <v>0</v>
      </c>
      <c r="N71" s="733">
        <f>IF($B70="","",COUNTIF(Penalties!$AS18:$BA18,N$55))</f>
        <v>0</v>
      </c>
      <c r="O71" s="733">
        <f>IF($B70="","",COUNTIF(Penalties!$AS18:$BA18,O$55))</f>
        <v>0</v>
      </c>
      <c r="P71" s="733">
        <f>IF($B70="","",COUNTIF(Penalties!$AS18:$BA18,P$55))</f>
        <v>0</v>
      </c>
      <c r="Q71" s="733">
        <f>IF($B70="","",COUNTIF(Penalties!$AS18:$BA18,Q$55))</f>
        <v>0</v>
      </c>
      <c r="R71" s="733">
        <f>IF($B70="","",COUNTIF(Penalties!$AS18:$BA18,R$55))</f>
        <v>0</v>
      </c>
      <c r="S71" s="733">
        <f>IF($B70="","",COUNTIF(Penalties!$AS18:$BA18,S$55))</f>
        <v>0</v>
      </c>
      <c r="T71" s="733">
        <f>IF($B70="","",COUNTIF(Penalties!$AS18:$BA18,T$55))</f>
        <v>0</v>
      </c>
      <c r="U71" s="745">
        <f>IF(B70="","",SUM(E71:T71))</f>
        <v>1</v>
      </c>
      <c r="V71" s="746">
        <f t="shared" ref="V71" si="45">IF(B70="","",SUM(E71:T71)*0.5)</f>
        <v>0.5</v>
      </c>
      <c r="W71" s="747" t="str">
        <f>IF($B70="","",IF(Penalties!$BB18=W$55,1,""))</f>
        <v/>
      </c>
      <c r="X71" s="747" t="str">
        <f>IF($B70="","",IF(Penalties!$BB18=X$55,1,""))</f>
        <v/>
      </c>
      <c r="Y71" s="747" t="str">
        <f>IF($B70="","",IF(Penalties!$BB18=Y$55,1,""))</f>
        <v/>
      </c>
      <c r="Z71" s="747" t="str">
        <f>IF($B70="","",IF(Penalties!$BB18=Z$55,1,""))</f>
        <v/>
      </c>
      <c r="AA71" s="747" t="str">
        <f>IF($B70="","",IF(Penalties!$BB18=AA$55,1,""))</f>
        <v/>
      </c>
      <c r="AB71" s="747" t="str">
        <f>IF($B70="","",IF(Penalties!$BB18=AB$55,1,""))</f>
        <v/>
      </c>
      <c r="AC71" s="747" t="str">
        <f>IF($B70="","",IF(Penalties!$BB18=AC$55,1,""))</f>
        <v/>
      </c>
      <c r="AD71" s="747" t="str">
        <f>IF($B70="","",IF(Penalties!$BB18=AD$55,1,""))</f>
        <v/>
      </c>
      <c r="AE71" s="747" t="str">
        <f>IF($B70="","",IF(Penalties!$BB18=AE$55,1,""))</f>
        <v/>
      </c>
      <c r="AF71" s="747" t="str">
        <f>IF($B70="","",IF(Penalties!$BB18=AF$55,1,""))</f>
        <v/>
      </c>
      <c r="AG71" s="747" t="str">
        <f>IF($B70="","",IF(Penalties!$BB18=AG$55,1,""))</f>
        <v/>
      </c>
      <c r="AH71" s="747" t="str">
        <f>IF($B70="","",IF(Penalties!$BB18=AH$55,1,""))</f>
        <v/>
      </c>
      <c r="AI71" s="747" t="str">
        <f>IF($B70="","",IF(Penalties!$BB18=AI$55,1,""))</f>
        <v/>
      </c>
      <c r="AJ71" s="749" t="str">
        <f>IF(SUM(X70:AI71)=0, "", IF(SUM(X70:AI70)=1, LOOKUP(1, X70:AI70, $X$55:$AI$55), LOOKUP(1, X71:AI71, $X$55:$AI$55)))</f>
        <v/>
      </c>
      <c r="AK71" s="182"/>
      <c r="AL71" s="182"/>
      <c r="AM71" s="182"/>
      <c r="AN71" s="182"/>
      <c r="AO71" s="182"/>
      <c r="AP71" s="182"/>
      <c r="AQ71" s="182"/>
      <c r="AR71" s="182"/>
      <c r="AS71" s="182"/>
      <c r="AT71" s="182"/>
      <c r="AU71" s="182"/>
      <c r="AV71" s="182"/>
      <c r="AW71" s="182"/>
      <c r="AX71" s="182"/>
    </row>
    <row r="72" spans="1:50" x14ac:dyDescent="0.3">
      <c r="A72" s="1367">
        <f>A70+1</f>
        <v>9</v>
      </c>
      <c r="B72" s="1368" t="str">
        <f>IF(IGRF!H19="","",IGRF!H19)</f>
        <v>312</v>
      </c>
      <c r="C72" s="1369" t="str">
        <f>IF(IGRF!I19="","",IGRF!I19)</f>
        <v>2x Force</v>
      </c>
      <c r="D72" s="739" t="s">
        <v>17</v>
      </c>
      <c r="E72" s="732">
        <f>IF($B72="","",COUNTIF(Penalties!$Q20:$Y20,E$55))</f>
        <v>0</v>
      </c>
      <c r="F72" s="732">
        <f>IF($B72="","",COUNTIF(Penalties!$Q20:$Y20,F$55))</f>
        <v>0</v>
      </c>
      <c r="G72" s="732">
        <f>IF($B72="","",COUNTIF(Penalties!$Q20:$Y20,G$55))</f>
        <v>0</v>
      </c>
      <c r="H72" s="732">
        <f>IF($B72="","",COUNTIF(Penalties!$Q20:$Y20,H$55))</f>
        <v>0</v>
      </c>
      <c r="I72" s="732">
        <f>IF($B72="","",COUNTIF(Penalties!$Q20:$Y20,I$55))</f>
        <v>1</v>
      </c>
      <c r="J72" s="732">
        <f>IF($B72="","",COUNTIF(Penalties!$Q20:$Y20,J$55))</f>
        <v>0</v>
      </c>
      <c r="K72" s="732">
        <f>IF($B72="","",COUNTIF(Penalties!$Q20:$Y20,K$55))</f>
        <v>0</v>
      </c>
      <c r="L72" s="732">
        <f>IF($B72="","",COUNTIF(Penalties!$Q20:$Y20,L$55))</f>
        <v>0</v>
      </c>
      <c r="M72" s="732">
        <f>IF($B72="","",COUNTIF(Penalties!$Q20:$Y20,M$55))</f>
        <v>0</v>
      </c>
      <c r="N72" s="732">
        <f>IF($B72="","",COUNTIF(Penalties!$Q20:$Y20,N$55))</f>
        <v>0</v>
      </c>
      <c r="O72" s="732">
        <f>IF($B72="","",COUNTIF(Penalties!$Q20:$Y20,O$55))</f>
        <v>0</v>
      </c>
      <c r="P72" s="732">
        <f>IF($B72="","",COUNTIF(Penalties!$Q20:$Y20,P$55))</f>
        <v>0</v>
      </c>
      <c r="Q72" s="732">
        <f>IF($B72="","",COUNTIF(Penalties!$Q20:$Y20,Q$55))</f>
        <v>0</v>
      </c>
      <c r="R72" s="732">
        <f>IF($B72="","",COUNTIF(Penalties!$Q20:$Y20,R$55))</f>
        <v>0</v>
      </c>
      <c r="S72" s="732">
        <f>IF($B72="","",COUNTIF(Penalties!$Q20:$Y20,S$55))</f>
        <v>0</v>
      </c>
      <c r="T72" s="732">
        <f>IF($B72="","",COUNTIF(Penalties!$Q20:$Y20,T$55))</f>
        <v>0</v>
      </c>
      <c r="U72" s="740">
        <f>IF(B72="","",SUM(E72:T72))</f>
        <v>1</v>
      </c>
      <c r="V72" s="741">
        <f t="shared" ref="V72" si="46">IF(B72="","",SUM(E72:T72)*0.5)</f>
        <v>0.5</v>
      </c>
      <c r="W72" s="742" t="str">
        <f>IF($B72="","",IF(Penalties!$Z20=W$55,1,""))</f>
        <v/>
      </c>
      <c r="X72" s="742" t="str">
        <f>IF($B72="","",IF(Penalties!$Z20=X$55,1,""))</f>
        <v/>
      </c>
      <c r="Y72" s="742" t="str">
        <f>IF($B72="","",IF(Penalties!$Z20=Y$55,1,""))</f>
        <v/>
      </c>
      <c r="Z72" s="742" t="str">
        <f>IF($B72="","",IF(Penalties!$Z20=Z$55,1,""))</f>
        <v/>
      </c>
      <c r="AA72" s="742" t="str">
        <f>IF($B72="","",IF(Penalties!$Z20=AA$55,1,""))</f>
        <v/>
      </c>
      <c r="AB72" s="742" t="str">
        <f>IF($B72="","",IF(Penalties!$Z20=AB$55,1,""))</f>
        <v/>
      </c>
      <c r="AC72" s="742" t="str">
        <f>IF($B72="","",IF(Penalties!$Z20=AC$55,1,""))</f>
        <v/>
      </c>
      <c r="AD72" s="742" t="str">
        <f>IF($B72="","",IF(Penalties!$Z20=AD$55,1,""))</f>
        <v/>
      </c>
      <c r="AE72" s="742" t="str">
        <f>IF($B72="","",IF(Penalties!$Z20=AE$55,1,""))</f>
        <v/>
      </c>
      <c r="AF72" s="742" t="str">
        <f>IF($B72="","",IF(Penalties!$Z20=AF$55,1,""))</f>
        <v/>
      </c>
      <c r="AG72" s="742" t="str">
        <f>IF($B72="","",IF(Penalties!$Z20=AG$55,1,""))</f>
        <v/>
      </c>
      <c r="AH72" s="742" t="str">
        <f>IF($B72="","",IF(Penalties!$Z20=AH$55,1,""))</f>
        <v/>
      </c>
      <c r="AI72" s="742" t="str">
        <f>IF($B72="","",IF(Penalties!$Z20=AI$55,1,""))</f>
        <v/>
      </c>
      <c r="AJ72" s="743"/>
      <c r="AK72" s="182"/>
      <c r="AL72" s="182"/>
      <c r="AM72" s="182"/>
      <c r="AN72" s="182"/>
      <c r="AO72" s="182"/>
      <c r="AP72" s="182"/>
      <c r="AQ72" s="182"/>
      <c r="AR72" s="182"/>
      <c r="AS72" s="182"/>
      <c r="AT72" s="182"/>
      <c r="AU72" s="182"/>
      <c r="AV72" s="182"/>
      <c r="AW72" s="182"/>
      <c r="AX72" s="182"/>
    </row>
    <row r="73" spans="1:50" x14ac:dyDescent="0.3">
      <c r="A73" s="1367"/>
      <c r="B73" s="1368"/>
      <c r="C73" s="1369"/>
      <c r="D73" s="739" t="s">
        <v>33</v>
      </c>
      <c r="E73" s="732">
        <f>IF($B72="","",COUNTIF(Penalties!$AS20:$BA20,E$55))</f>
        <v>0</v>
      </c>
      <c r="F73" s="732">
        <f>IF($B72="","",COUNTIF(Penalties!$AS20:$BA20,F$55))</f>
        <v>0</v>
      </c>
      <c r="G73" s="732">
        <f>IF($B72="","",COUNTIF(Penalties!$AS20:$BA20,G$55))</f>
        <v>0</v>
      </c>
      <c r="H73" s="732">
        <f>IF($B72="","",COUNTIF(Penalties!$AS20:$BA20,H$55))</f>
        <v>0</v>
      </c>
      <c r="I73" s="732">
        <f>IF($B72="","",COUNTIF(Penalties!$AS20:$BA20,I$55))</f>
        <v>1</v>
      </c>
      <c r="J73" s="732">
        <f>IF($B72="","",COUNTIF(Penalties!$AS20:$BA20,J$55))</f>
        <v>0</v>
      </c>
      <c r="K73" s="732">
        <f>IF($B72="","",COUNTIF(Penalties!$AS20:$BA20,K$55))</f>
        <v>0</v>
      </c>
      <c r="L73" s="732">
        <f>IF($B72="","",COUNTIF(Penalties!$AS20:$BA20,L$55))</f>
        <v>0</v>
      </c>
      <c r="M73" s="732">
        <f>IF($B72="","",COUNTIF(Penalties!$AS20:$BA20,M$55))</f>
        <v>0</v>
      </c>
      <c r="N73" s="732">
        <f>IF($B72="","",COUNTIF(Penalties!$AS20:$BA20,N$55))</f>
        <v>0</v>
      </c>
      <c r="O73" s="732">
        <f>IF($B72="","",COUNTIF(Penalties!$AS20:$BA20,O$55))</f>
        <v>0</v>
      </c>
      <c r="P73" s="732">
        <f>IF($B72="","",COUNTIF(Penalties!$AS20:$BA20,P$55))</f>
        <v>0</v>
      </c>
      <c r="Q73" s="732">
        <f>IF($B72="","",COUNTIF(Penalties!$AS20:$BA20,Q$55))</f>
        <v>0</v>
      </c>
      <c r="R73" s="732">
        <f>IF($B72="","",COUNTIF(Penalties!$AS20:$BA20,R$55))</f>
        <v>0</v>
      </c>
      <c r="S73" s="732">
        <f>IF($B72="","",COUNTIF(Penalties!$AS20:$BA20,S$55))</f>
        <v>0</v>
      </c>
      <c r="T73" s="732">
        <f>IF($B72="","",COUNTIF(Penalties!$AS20:$BA20,T$55))</f>
        <v>0</v>
      </c>
      <c r="U73" s="740">
        <f>IF(B72="","",SUM(E73:T73))</f>
        <v>1</v>
      </c>
      <c r="V73" s="741">
        <f t="shared" ref="V73" si="47">IF(B72="","",SUM(E73:T73)*0.5)</f>
        <v>0.5</v>
      </c>
      <c r="W73" s="742" t="str">
        <f>IF($B72="","",IF(Penalties!$BB20=W$55,1,""))</f>
        <v/>
      </c>
      <c r="X73" s="742" t="str">
        <f>IF($B72="","",IF(Penalties!$BB20=X$55,1,""))</f>
        <v/>
      </c>
      <c r="Y73" s="742" t="str">
        <f>IF($B72="","",IF(Penalties!$BB20=Y$55,1,""))</f>
        <v/>
      </c>
      <c r="Z73" s="742" t="str">
        <f>IF($B72="","",IF(Penalties!$BB20=Z$55,1,""))</f>
        <v/>
      </c>
      <c r="AA73" s="742" t="str">
        <f>IF($B72="","",IF(Penalties!$BB20=AA$55,1,""))</f>
        <v/>
      </c>
      <c r="AB73" s="742" t="str">
        <f>IF($B72="","",IF(Penalties!$BB20=AB$55,1,""))</f>
        <v/>
      </c>
      <c r="AC73" s="742" t="str">
        <f>IF($B72="","",IF(Penalties!$BB20=AC$55,1,""))</f>
        <v/>
      </c>
      <c r="AD73" s="742" t="str">
        <f>IF($B72="","",IF(Penalties!$BB20=AD$55,1,""))</f>
        <v/>
      </c>
      <c r="AE73" s="742" t="str">
        <f>IF($B72="","",IF(Penalties!$BB20=AE$55,1,""))</f>
        <v/>
      </c>
      <c r="AF73" s="742" t="str">
        <f>IF($B72="","",IF(Penalties!$BB20=AF$55,1,""))</f>
        <v/>
      </c>
      <c r="AG73" s="742" t="str">
        <f>IF($B72="","",IF(Penalties!$BB20=AG$55,1,""))</f>
        <v/>
      </c>
      <c r="AH73" s="742" t="str">
        <f>IF($B72="","",IF(Penalties!$BB20=AH$55,1,""))</f>
        <v/>
      </c>
      <c r="AI73" s="742" t="str">
        <f>IF($B72="","",IF(Penalties!$BB20=AI$55,1,""))</f>
        <v/>
      </c>
      <c r="AJ73" s="744" t="str">
        <f>IF(SUM(X72:AI73)=0, "", IF(SUM(X72:AI72)=1, LOOKUP(1, X72:AI72, $X$55:$AI$55), LOOKUP(1, X73:AI73, $X$55:$AI$55)))</f>
        <v/>
      </c>
      <c r="AK73" s="182"/>
      <c r="AL73" s="182"/>
      <c r="AM73" s="182"/>
      <c r="AN73" s="182"/>
      <c r="AO73" s="182"/>
      <c r="AP73" s="182"/>
      <c r="AQ73" s="182"/>
      <c r="AR73" s="182"/>
      <c r="AS73" s="182"/>
      <c r="AT73" s="182"/>
      <c r="AU73" s="182"/>
      <c r="AV73" s="182"/>
      <c r="AW73" s="182"/>
      <c r="AX73" s="182"/>
    </row>
    <row r="74" spans="1:50" x14ac:dyDescent="0.3">
      <c r="A74" s="1364">
        <f>A72+1</f>
        <v>10</v>
      </c>
      <c r="B74" s="1365" t="str">
        <f>IF(IGRF!H20="","",IGRF!H20)</f>
        <v>51</v>
      </c>
      <c r="C74" s="1366" t="str">
        <f>IF(IGRF!I20="","",IGRF!I20)</f>
        <v>Bustin’ Beaver</v>
      </c>
      <c r="D74" s="733" t="s">
        <v>17</v>
      </c>
      <c r="E74" s="733">
        <f>IF($B74="","",COUNTIF(Penalties!$Q22:$Y22,E$55))</f>
        <v>0</v>
      </c>
      <c r="F74" s="733">
        <f>IF($B74="","",COUNTIF(Penalties!$Q22:$Y22,F$55))</f>
        <v>0</v>
      </c>
      <c r="G74" s="733">
        <f>IF($B74="","",COUNTIF(Penalties!$Q22:$Y22,G$55))</f>
        <v>0</v>
      </c>
      <c r="H74" s="733">
        <f>IF($B74="","",COUNTIF(Penalties!$Q22:$Y22,H$55))</f>
        <v>0</v>
      </c>
      <c r="I74" s="733">
        <f>IF($B74="","",COUNTIF(Penalties!$Q22:$Y22,I$55))</f>
        <v>0</v>
      </c>
      <c r="J74" s="733">
        <f>IF($B74="","",COUNTIF(Penalties!$Q22:$Y22,J$55))</f>
        <v>0</v>
      </c>
      <c r="K74" s="733">
        <f>IF($B74="","",COUNTIF(Penalties!$Q22:$Y22,K$55))</f>
        <v>0</v>
      </c>
      <c r="L74" s="733">
        <f>IF($B74="","",COUNTIF(Penalties!$Q22:$Y22,L$55))</f>
        <v>0</v>
      </c>
      <c r="M74" s="733">
        <f>IF($B74="","",COUNTIF(Penalties!$Q22:$Y22,M$55))</f>
        <v>0</v>
      </c>
      <c r="N74" s="733">
        <f>IF($B74="","",COUNTIF(Penalties!$Q22:$Y22,N$55))</f>
        <v>0</v>
      </c>
      <c r="O74" s="733">
        <f>IF($B74="","",COUNTIF(Penalties!$Q22:$Y22,O$55))</f>
        <v>0</v>
      </c>
      <c r="P74" s="733">
        <f>IF($B74="","",COUNTIF(Penalties!$Q22:$Y22,P$55))</f>
        <v>0</v>
      </c>
      <c r="Q74" s="733">
        <f>IF($B74="","",COUNTIF(Penalties!$Q22:$Y22,Q$55))</f>
        <v>0</v>
      </c>
      <c r="R74" s="733">
        <f>IF($B74="","",COUNTIF(Penalties!$Q22:$Y22,R$55))</f>
        <v>0</v>
      </c>
      <c r="S74" s="733">
        <f>IF($B74="","",COUNTIF(Penalties!$Q22:$Y22,S$55))</f>
        <v>0</v>
      </c>
      <c r="T74" s="733">
        <f>IF($B74="","",COUNTIF(Penalties!$Q22:$Y22,T$55))</f>
        <v>0</v>
      </c>
      <c r="U74" s="745">
        <f>IF(B74="","",SUM(E74:T74))</f>
        <v>0</v>
      </c>
      <c r="V74" s="746">
        <f t="shared" ref="V74" si="48">IF(B74="","",SUM(E74:T74)*0.5)</f>
        <v>0</v>
      </c>
      <c r="W74" s="747" t="str">
        <f>IF($B74="","",IF(Penalties!$Z22=W$55,1,""))</f>
        <v/>
      </c>
      <c r="X74" s="747" t="str">
        <f>IF($B74="","",IF(Penalties!$Z22=X$55,1,""))</f>
        <v/>
      </c>
      <c r="Y74" s="747" t="str">
        <f>IF($B74="","",IF(Penalties!$Z22=Y$55,1,""))</f>
        <v/>
      </c>
      <c r="Z74" s="747" t="str">
        <f>IF($B74="","",IF(Penalties!$Z22=Z$55,1,""))</f>
        <v/>
      </c>
      <c r="AA74" s="747" t="str">
        <f>IF($B74="","",IF(Penalties!$Z22=AA$55,1,""))</f>
        <v/>
      </c>
      <c r="AB74" s="747" t="str">
        <f>IF($B74="","",IF(Penalties!$Z22=AB$55,1,""))</f>
        <v/>
      </c>
      <c r="AC74" s="747" t="str">
        <f>IF($B74="","",IF(Penalties!$Z22=AC$55,1,""))</f>
        <v/>
      </c>
      <c r="AD74" s="747" t="str">
        <f>IF($B74="","",IF(Penalties!$Z22=AD$55,1,""))</f>
        <v/>
      </c>
      <c r="AE74" s="747" t="str">
        <f>IF($B74="","",IF(Penalties!$Z22=AE$55,1,""))</f>
        <v/>
      </c>
      <c r="AF74" s="747" t="str">
        <f>IF($B74="","",IF(Penalties!$Z22=AF$55,1,""))</f>
        <v/>
      </c>
      <c r="AG74" s="747" t="str">
        <f>IF($B74="","",IF(Penalties!$Z22=AG$55,1,""))</f>
        <v/>
      </c>
      <c r="AH74" s="747" t="str">
        <f>IF($B74="","",IF(Penalties!$Z22=AH$55,1,""))</f>
        <v/>
      </c>
      <c r="AI74" s="747" t="str">
        <f>IF($B74="","",IF(Penalties!$Z22=AI$55,1,""))</f>
        <v/>
      </c>
      <c r="AJ74" s="748"/>
      <c r="AK74" s="182"/>
      <c r="AL74" s="182"/>
      <c r="AM74" s="182"/>
      <c r="AN74" s="182"/>
      <c r="AO74" s="182"/>
      <c r="AP74" s="182"/>
      <c r="AQ74" s="182"/>
      <c r="AR74" s="182"/>
      <c r="AS74" s="182"/>
      <c r="AT74" s="182"/>
      <c r="AU74" s="182"/>
      <c r="AV74" s="182"/>
      <c r="AW74" s="182"/>
      <c r="AX74" s="182"/>
    </row>
    <row r="75" spans="1:50" ht="14.4" thickBot="1" x14ac:dyDescent="0.35">
      <c r="A75" s="1364"/>
      <c r="B75" s="1365"/>
      <c r="C75" s="1366"/>
      <c r="D75" s="733" t="s">
        <v>33</v>
      </c>
      <c r="E75" s="733">
        <f>IF($B74="","",COUNTIF(Penalties!$AS22:$BA22,E$55))</f>
        <v>0</v>
      </c>
      <c r="F75" s="733">
        <f>IF($B74="","",COUNTIF(Penalties!$AS22:$BA22,F$55))</f>
        <v>0</v>
      </c>
      <c r="G75" s="733">
        <f>IF($B74="","",COUNTIF(Penalties!$AS22:$BA22,G$55))</f>
        <v>0</v>
      </c>
      <c r="H75" s="733">
        <f>IF($B74="","",COUNTIF(Penalties!$AS22:$BA22,H$55))</f>
        <v>0</v>
      </c>
      <c r="I75" s="733">
        <f>IF($B74="","",COUNTIF(Penalties!$AS22:$BA22,I$55))</f>
        <v>0</v>
      </c>
      <c r="J75" s="733">
        <f>IF($B74="","",COUNTIF(Penalties!$AS22:$BA22,J$55))</f>
        <v>0</v>
      </c>
      <c r="K75" s="733">
        <f>IF($B74="","",COUNTIF(Penalties!$AS22:$BA22,K$55))</f>
        <v>0</v>
      </c>
      <c r="L75" s="733">
        <f>IF($B74="","",COUNTIF(Penalties!$AS22:$BA22,L$55))</f>
        <v>0</v>
      </c>
      <c r="M75" s="733">
        <f>IF($B74="","",COUNTIF(Penalties!$AS22:$BA22,M$55))</f>
        <v>0</v>
      </c>
      <c r="N75" s="733">
        <f>IF($B74="","",COUNTIF(Penalties!$AS22:$BA22,N$55))</f>
        <v>0</v>
      </c>
      <c r="O75" s="733">
        <f>IF($B74="","",COUNTIF(Penalties!$AS22:$BA22,O$55))</f>
        <v>2</v>
      </c>
      <c r="P75" s="733">
        <f>IF($B74="","",COUNTIF(Penalties!$AS22:$BA22,P$55))</f>
        <v>0</v>
      </c>
      <c r="Q75" s="733">
        <f>IF($B74="","",COUNTIF(Penalties!$AS22:$BA22,Q$55))</f>
        <v>0</v>
      </c>
      <c r="R75" s="733">
        <f>IF($B74="","",COUNTIF(Penalties!$AS22:$BA22,R$55))</f>
        <v>0</v>
      </c>
      <c r="S75" s="733">
        <f>IF($B74="","",COUNTIF(Penalties!$AS22:$BA22,S$55))</f>
        <v>0</v>
      </c>
      <c r="T75" s="733">
        <f>IF($B74="","",COUNTIF(Penalties!$AS22:$BA22,T$55))</f>
        <v>0</v>
      </c>
      <c r="U75" s="745">
        <f>IF(B74="","",SUM(E75:T75))</f>
        <v>2</v>
      </c>
      <c r="V75" s="746">
        <f t="shared" ref="V75" si="49">IF(B74="","",SUM(E75:T75)*0.5)</f>
        <v>1</v>
      </c>
      <c r="W75" s="747" t="str">
        <f>IF($B74="","",IF(Penalties!$BB22=W$55,1,""))</f>
        <v/>
      </c>
      <c r="X75" s="747" t="str">
        <f>IF($B74="","",IF(Penalties!$BB22=X$55,1,""))</f>
        <v/>
      </c>
      <c r="Y75" s="747" t="str">
        <f>IF($B74="","",IF(Penalties!$BB22=Y$55,1,""))</f>
        <v/>
      </c>
      <c r="Z75" s="747" t="str">
        <f>IF($B74="","",IF(Penalties!$BB22=Z$55,1,""))</f>
        <v/>
      </c>
      <c r="AA75" s="747" t="str">
        <f>IF($B74="","",IF(Penalties!$BB22=AA$55,1,""))</f>
        <v/>
      </c>
      <c r="AB75" s="747" t="str">
        <f>IF($B74="","",IF(Penalties!$BB22=AB$55,1,""))</f>
        <v/>
      </c>
      <c r="AC75" s="747" t="str">
        <f>IF($B74="","",IF(Penalties!$BB22=AC$55,1,""))</f>
        <v/>
      </c>
      <c r="AD75" s="747" t="str">
        <f>IF($B74="","",IF(Penalties!$BB22=AD$55,1,""))</f>
        <v/>
      </c>
      <c r="AE75" s="747" t="str">
        <f>IF($B74="","",IF(Penalties!$BB22=AE$55,1,""))</f>
        <v/>
      </c>
      <c r="AF75" s="747" t="str">
        <f>IF($B74="","",IF(Penalties!$BB22=AF$55,1,""))</f>
        <v/>
      </c>
      <c r="AG75" s="747" t="str">
        <f>IF($B74="","",IF(Penalties!$BB22=AG$55,1,""))</f>
        <v/>
      </c>
      <c r="AH75" s="747" t="str">
        <f>IF($B74="","",IF(Penalties!$BB22=AH$55,1,""))</f>
        <v/>
      </c>
      <c r="AI75" s="747" t="str">
        <f>IF($B74="","",IF(Penalties!$BB22=AI$55,1,""))</f>
        <v/>
      </c>
      <c r="AJ75" s="749" t="str">
        <f>IF(SUM(X74:AI75)=0, "", IF(SUM(X74:AI74)=1, LOOKUP(1, X74:AI74, $X$55:$AI$55), LOOKUP(1, X75:AI75, $X$55:$AI$55)))</f>
        <v/>
      </c>
      <c r="AK75" s="182"/>
      <c r="AL75" s="182"/>
      <c r="AM75" s="182"/>
      <c r="AN75" s="182"/>
      <c r="AO75" s="182"/>
      <c r="AP75" s="182"/>
      <c r="AQ75" s="182"/>
      <c r="AR75" s="182"/>
      <c r="AS75" s="182"/>
      <c r="AT75" s="182"/>
      <c r="AU75" s="182"/>
      <c r="AV75" s="182"/>
      <c r="AW75" s="182"/>
      <c r="AX75" s="182"/>
    </row>
    <row r="76" spans="1:50" x14ac:dyDescent="0.3">
      <c r="A76" s="1367">
        <f>A74+1</f>
        <v>11</v>
      </c>
      <c r="B76" s="1368" t="str">
        <f>IF(IGRF!H21="","",IGRF!H21)</f>
        <v>5309</v>
      </c>
      <c r="C76" s="1369" t="str">
        <f>IF(IGRF!I21="","",IGRF!I21)</f>
        <v>Toxic Assets</v>
      </c>
      <c r="D76" s="739" t="s">
        <v>17</v>
      </c>
      <c r="E76" s="732">
        <f>IF($B76="","",COUNTIF(Penalties!$Q24:$Y24,E$55))</f>
        <v>0</v>
      </c>
      <c r="F76" s="732">
        <f>IF($B76="","",COUNTIF(Penalties!$Q24:$Y24,F$55))</f>
        <v>0</v>
      </c>
      <c r="G76" s="732">
        <f>IF($B76="","",COUNTIF(Penalties!$Q24:$Y24,G$55))</f>
        <v>0</v>
      </c>
      <c r="H76" s="732">
        <f>IF($B76="","",COUNTIF(Penalties!$Q24:$Y24,H$55))</f>
        <v>0</v>
      </c>
      <c r="I76" s="732">
        <f>IF($B76="","",COUNTIF(Penalties!$Q24:$Y24,I$55))</f>
        <v>0</v>
      </c>
      <c r="J76" s="732">
        <f>IF($B76="","",COUNTIF(Penalties!$Q24:$Y24,J$55))</f>
        <v>0</v>
      </c>
      <c r="K76" s="732">
        <f>IF($B76="","",COUNTIF(Penalties!$Q24:$Y24,K$55))</f>
        <v>0</v>
      </c>
      <c r="L76" s="732">
        <f>IF($B76="","",COUNTIF(Penalties!$Q24:$Y24,L$55))</f>
        <v>0</v>
      </c>
      <c r="M76" s="732">
        <f>IF($B76="","",COUNTIF(Penalties!$Q24:$Y24,M$55))</f>
        <v>0</v>
      </c>
      <c r="N76" s="732">
        <f>IF($B76="","",COUNTIF(Penalties!$Q24:$Y24,N$55))</f>
        <v>0</v>
      </c>
      <c r="O76" s="732">
        <f>IF($B76="","",COUNTIF(Penalties!$Q24:$Y24,O$55))</f>
        <v>0</v>
      </c>
      <c r="P76" s="732">
        <f>IF($B76="","",COUNTIF(Penalties!$Q24:$Y24,P$55))</f>
        <v>0</v>
      </c>
      <c r="Q76" s="732">
        <f>IF($B76="","",COUNTIF(Penalties!$Q24:$Y24,Q$55))</f>
        <v>0</v>
      </c>
      <c r="R76" s="732">
        <f>IF($B76="","",COUNTIF(Penalties!$Q24:$Y24,R$55))</f>
        <v>0</v>
      </c>
      <c r="S76" s="732">
        <f>IF($B76="","",COUNTIF(Penalties!$Q24:$Y24,S$55))</f>
        <v>0</v>
      </c>
      <c r="T76" s="732">
        <f>IF($B76="","",COUNTIF(Penalties!$Q24:$Y24,T$55))</f>
        <v>0</v>
      </c>
      <c r="U76" s="740">
        <f>IF(B76="","",SUM(E76:T76))</f>
        <v>0</v>
      </c>
      <c r="V76" s="741">
        <f t="shared" ref="V76" si="50">IF(B76="","",SUM(E76:T76)*0.5)</f>
        <v>0</v>
      </c>
      <c r="W76" s="742" t="str">
        <f>IF($B76="","",IF(Penalties!$Z24=W$55,1,""))</f>
        <v/>
      </c>
      <c r="X76" s="742" t="str">
        <f>IF($B76="","",IF(Penalties!$Z24=X$55,1,""))</f>
        <v/>
      </c>
      <c r="Y76" s="742" t="str">
        <f>IF($B76="","",IF(Penalties!$Z24=Y$55,1,""))</f>
        <v/>
      </c>
      <c r="Z76" s="742" t="str">
        <f>IF($B76="","",IF(Penalties!$Z24=Z$55,1,""))</f>
        <v/>
      </c>
      <c r="AA76" s="742" t="str">
        <f>IF($B76="","",IF(Penalties!$Z24=AA$55,1,""))</f>
        <v/>
      </c>
      <c r="AB76" s="742" t="str">
        <f>IF($B76="","",IF(Penalties!$Z24=AB$55,1,""))</f>
        <v/>
      </c>
      <c r="AC76" s="742" t="str">
        <f>IF($B76="","",IF(Penalties!$Z24=AC$55,1,""))</f>
        <v/>
      </c>
      <c r="AD76" s="742" t="str">
        <f>IF($B76="","",IF(Penalties!$Z24=AD$55,1,""))</f>
        <v/>
      </c>
      <c r="AE76" s="742" t="str">
        <f>IF($B76="","",IF(Penalties!$Z24=AE$55,1,""))</f>
        <v/>
      </c>
      <c r="AF76" s="742" t="str">
        <f>IF($B76="","",IF(Penalties!$Z24=AF$55,1,""))</f>
        <v/>
      </c>
      <c r="AG76" s="742" t="str">
        <f>IF($B76="","",IF(Penalties!$Z24=AG$55,1,""))</f>
        <v/>
      </c>
      <c r="AH76" s="742" t="str">
        <f>IF($B76="","",IF(Penalties!$Z24=AH$55,1,""))</f>
        <v/>
      </c>
      <c r="AI76" s="742" t="str">
        <f>IF($B76="","",IF(Penalties!$Z24=AI$55,1,""))</f>
        <v/>
      </c>
      <c r="AJ76" s="743"/>
      <c r="AK76" s="182"/>
      <c r="AL76" s="182"/>
      <c r="AM76" s="182"/>
      <c r="AN76" s="182"/>
      <c r="AO76" s="182"/>
      <c r="AP76" s="182"/>
      <c r="AQ76" s="182"/>
      <c r="AR76" s="182"/>
      <c r="AS76" s="182"/>
      <c r="AT76" s="182"/>
      <c r="AU76" s="182"/>
      <c r="AV76" s="182"/>
      <c r="AW76" s="182"/>
      <c r="AX76" s="182"/>
    </row>
    <row r="77" spans="1:50" x14ac:dyDescent="0.3">
      <c r="A77" s="1367"/>
      <c r="B77" s="1368"/>
      <c r="C77" s="1369"/>
      <c r="D77" s="739" t="s">
        <v>33</v>
      </c>
      <c r="E77" s="732">
        <f>IF($B76="","",COUNTIF(Penalties!$AS24:$BA24,E$55))</f>
        <v>0</v>
      </c>
      <c r="F77" s="732">
        <f>IF($B76="","",COUNTIF(Penalties!$AS24:$BA24,F$55))</f>
        <v>0</v>
      </c>
      <c r="G77" s="732">
        <f>IF($B76="","",COUNTIF(Penalties!$AS24:$BA24,G$55))</f>
        <v>0</v>
      </c>
      <c r="H77" s="732">
        <f>IF($B76="","",COUNTIF(Penalties!$AS24:$BA24,H$55))</f>
        <v>0</v>
      </c>
      <c r="I77" s="732">
        <f>IF($B76="","",COUNTIF(Penalties!$AS24:$BA24,I$55))</f>
        <v>0</v>
      </c>
      <c r="J77" s="732">
        <f>IF($B76="","",COUNTIF(Penalties!$AS24:$BA24,J$55))</f>
        <v>0</v>
      </c>
      <c r="K77" s="732">
        <f>IF($B76="","",COUNTIF(Penalties!$AS24:$BA24,K$55))</f>
        <v>0</v>
      </c>
      <c r="L77" s="732">
        <f>IF($B76="","",COUNTIF(Penalties!$AS24:$BA24,L$55))</f>
        <v>0</v>
      </c>
      <c r="M77" s="732">
        <f>IF($B76="","",COUNTIF(Penalties!$AS24:$BA24,M$55))</f>
        <v>0</v>
      </c>
      <c r="N77" s="732">
        <f>IF($B76="","",COUNTIF(Penalties!$AS24:$BA24,N$55))</f>
        <v>0</v>
      </c>
      <c r="O77" s="732">
        <f>IF($B76="","",COUNTIF(Penalties!$AS24:$BA24,O$55))</f>
        <v>0</v>
      </c>
      <c r="P77" s="732">
        <f>IF($B76="","",COUNTIF(Penalties!$AS24:$BA24,P$55))</f>
        <v>0</v>
      </c>
      <c r="Q77" s="732">
        <f>IF($B76="","",COUNTIF(Penalties!$AS24:$BA24,Q$55))</f>
        <v>0</v>
      </c>
      <c r="R77" s="732">
        <f>IF($B76="","",COUNTIF(Penalties!$AS24:$BA24,R$55))</f>
        <v>0</v>
      </c>
      <c r="S77" s="732">
        <f>IF($B76="","",COUNTIF(Penalties!$AS24:$BA24,S$55))</f>
        <v>0</v>
      </c>
      <c r="T77" s="732">
        <f>IF($B76="","",COUNTIF(Penalties!$AS24:$BA24,T$55))</f>
        <v>0</v>
      </c>
      <c r="U77" s="740">
        <f>IF(B76="","",SUM(E77:T77))</f>
        <v>0</v>
      </c>
      <c r="V77" s="741">
        <f t="shared" ref="V77" si="51">IF(B76="","",SUM(E77:T77)*0.5)</f>
        <v>0</v>
      </c>
      <c r="W77" s="742" t="str">
        <f>IF($B76="","",IF(Penalties!$BB24=W$55,1,""))</f>
        <v/>
      </c>
      <c r="X77" s="742" t="str">
        <f>IF($B76="","",IF(Penalties!$BB24=X$55,1,""))</f>
        <v/>
      </c>
      <c r="Y77" s="742" t="str">
        <f>IF($B76="","",IF(Penalties!$BB24=Y$55,1,""))</f>
        <v/>
      </c>
      <c r="Z77" s="742" t="str">
        <f>IF($B76="","",IF(Penalties!$BB24=Z$55,1,""))</f>
        <v/>
      </c>
      <c r="AA77" s="742" t="str">
        <f>IF($B76="","",IF(Penalties!$BB24=AA$55,1,""))</f>
        <v/>
      </c>
      <c r="AB77" s="742" t="str">
        <f>IF($B76="","",IF(Penalties!$BB24=AB$55,1,""))</f>
        <v/>
      </c>
      <c r="AC77" s="742" t="str">
        <f>IF($B76="","",IF(Penalties!$BB24=AC$55,1,""))</f>
        <v/>
      </c>
      <c r="AD77" s="742" t="str">
        <f>IF($B76="","",IF(Penalties!$BB24=AD$55,1,""))</f>
        <v/>
      </c>
      <c r="AE77" s="742" t="str">
        <f>IF($B76="","",IF(Penalties!$BB24=AE$55,1,""))</f>
        <v/>
      </c>
      <c r="AF77" s="742" t="str">
        <f>IF($B76="","",IF(Penalties!$BB24=AF$55,1,""))</f>
        <v/>
      </c>
      <c r="AG77" s="742" t="str">
        <f>IF($B76="","",IF(Penalties!$BB24=AG$55,1,""))</f>
        <v/>
      </c>
      <c r="AH77" s="742" t="str">
        <f>IF($B76="","",IF(Penalties!$BB24=AH$55,1,""))</f>
        <v/>
      </c>
      <c r="AI77" s="742" t="str">
        <f>IF($B76="","",IF(Penalties!$BB24=AI$55,1,""))</f>
        <v/>
      </c>
      <c r="AJ77" s="744" t="str">
        <f>IF(SUM(X76:AI77)=0, "", IF(SUM(X76:AI76)=1, LOOKUP(1, X76:AI76, $X$55:$AI$55), LOOKUP(1, X77:AI77, $X$55:$AI$55)))</f>
        <v/>
      </c>
      <c r="AK77" s="182"/>
      <c r="AL77" s="182"/>
      <c r="AM77" s="182"/>
      <c r="AN77" s="182"/>
      <c r="AO77" s="182"/>
      <c r="AP77" s="182"/>
      <c r="AQ77" s="182"/>
      <c r="AR77" s="182"/>
      <c r="AS77" s="182"/>
      <c r="AT77" s="182"/>
      <c r="AU77" s="182"/>
      <c r="AV77" s="182"/>
      <c r="AW77" s="182"/>
      <c r="AX77" s="182"/>
    </row>
    <row r="78" spans="1:50" x14ac:dyDescent="0.3">
      <c r="A78" s="1364">
        <f>A76+1</f>
        <v>12</v>
      </c>
      <c r="B78" s="1365" t="str">
        <f>IF(IGRF!H22="","",IGRF!H22)</f>
        <v>69</v>
      </c>
      <c r="C78" s="1366" t="str">
        <f>IF(IGRF!I22="","",IGRF!I22)</f>
        <v>Death By Chocolate</v>
      </c>
      <c r="D78" s="733" t="s">
        <v>17</v>
      </c>
      <c r="E78" s="733">
        <f>IF($B78="","",COUNTIF(Penalties!$Q26:$Y26,E$55))</f>
        <v>0</v>
      </c>
      <c r="F78" s="733">
        <f>IF($B78="","",COUNTIF(Penalties!$Q26:$Y26,F$55))</f>
        <v>0</v>
      </c>
      <c r="G78" s="733">
        <f>IF($B78="","",COUNTIF(Penalties!$Q26:$Y26,G$55))</f>
        <v>0</v>
      </c>
      <c r="H78" s="733">
        <f>IF($B78="","",COUNTIF(Penalties!$Q26:$Y26,H$55))</f>
        <v>0</v>
      </c>
      <c r="I78" s="733">
        <f>IF($B78="","",COUNTIF(Penalties!$Q26:$Y26,I$55))</f>
        <v>1</v>
      </c>
      <c r="J78" s="733">
        <f>IF($B78="","",COUNTIF(Penalties!$Q26:$Y26,J$55))</f>
        <v>0</v>
      </c>
      <c r="K78" s="733">
        <f>IF($B78="","",COUNTIF(Penalties!$Q26:$Y26,K$55))</f>
        <v>0</v>
      </c>
      <c r="L78" s="733">
        <f>IF($B78="","",COUNTIF(Penalties!$Q26:$Y26,L$55))</f>
        <v>0</v>
      </c>
      <c r="M78" s="733">
        <f>IF($B78="","",COUNTIF(Penalties!$Q26:$Y26,M$55))</f>
        <v>0</v>
      </c>
      <c r="N78" s="733">
        <f>IF($B78="","",COUNTIF(Penalties!$Q26:$Y26,N$55))</f>
        <v>0</v>
      </c>
      <c r="O78" s="733">
        <f>IF($B78="","",COUNTIF(Penalties!$Q26:$Y26,O$55))</f>
        <v>0</v>
      </c>
      <c r="P78" s="733">
        <f>IF($B78="","",COUNTIF(Penalties!$Q26:$Y26,P$55))</f>
        <v>0</v>
      </c>
      <c r="Q78" s="733">
        <f>IF($B78="","",COUNTIF(Penalties!$Q26:$Y26,Q$55))</f>
        <v>0</v>
      </c>
      <c r="R78" s="733">
        <f>IF($B78="","",COUNTIF(Penalties!$Q26:$Y26,R$55))</f>
        <v>0</v>
      </c>
      <c r="S78" s="733">
        <f>IF($B78="","",COUNTIF(Penalties!$Q26:$Y26,S$55))</f>
        <v>0</v>
      </c>
      <c r="T78" s="733">
        <f>IF($B78="","",COUNTIF(Penalties!$Q26:$Y26,T$55))</f>
        <v>0</v>
      </c>
      <c r="U78" s="745">
        <f>IF(B78="","",SUM(E78:T78))</f>
        <v>1</v>
      </c>
      <c r="V78" s="746">
        <f t="shared" ref="V78" si="52">IF(B78="","",SUM(E78:T78)*0.5)</f>
        <v>0.5</v>
      </c>
      <c r="W78" s="747" t="str">
        <f>IF($B78="","",IF(Penalties!$Z26=W$55,1,""))</f>
        <v/>
      </c>
      <c r="X78" s="747" t="str">
        <f>IF($B78="","",IF(Penalties!$Z26=X$55,1,""))</f>
        <v/>
      </c>
      <c r="Y78" s="747" t="str">
        <f>IF($B78="","",IF(Penalties!$Z26=Y$55,1,""))</f>
        <v/>
      </c>
      <c r="Z78" s="747" t="str">
        <f>IF($B78="","",IF(Penalties!$Z26=Z$55,1,""))</f>
        <v/>
      </c>
      <c r="AA78" s="747" t="str">
        <f>IF($B78="","",IF(Penalties!$Z26=AA$55,1,""))</f>
        <v/>
      </c>
      <c r="AB78" s="747" t="str">
        <f>IF($B78="","",IF(Penalties!$Z26=AB$55,1,""))</f>
        <v/>
      </c>
      <c r="AC78" s="747" t="str">
        <f>IF($B78="","",IF(Penalties!$Z26=AC$55,1,""))</f>
        <v/>
      </c>
      <c r="AD78" s="747" t="str">
        <f>IF($B78="","",IF(Penalties!$Z26=AD$55,1,""))</f>
        <v/>
      </c>
      <c r="AE78" s="747" t="str">
        <f>IF($B78="","",IF(Penalties!$Z26=AE$55,1,""))</f>
        <v/>
      </c>
      <c r="AF78" s="747" t="str">
        <f>IF($B78="","",IF(Penalties!$Z26=AF$55,1,""))</f>
        <v/>
      </c>
      <c r="AG78" s="747" t="str">
        <f>IF($B78="","",IF(Penalties!$Z26=AG$55,1,""))</f>
        <v/>
      </c>
      <c r="AH78" s="747" t="str">
        <f>IF($B78="","",IF(Penalties!$Z26=AH$55,1,""))</f>
        <v/>
      </c>
      <c r="AI78" s="747" t="str">
        <f>IF($B78="","",IF(Penalties!$Z26=AI$55,1,""))</f>
        <v/>
      </c>
      <c r="AJ78" s="748"/>
      <c r="AK78" s="182"/>
      <c r="AL78" s="182"/>
      <c r="AM78" s="182"/>
      <c r="AN78" s="182"/>
      <c r="AO78" s="182"/>
      <c r="AP78" s="182"/>
      <c r="AQ78" s="182"/>
      <c r="AR78" s="182"/>
      <c r="AS78" s="182"/>
      <c r="AT78" s="182"/>
      <c r="AU78" s="182"/>
      <c r="AV78" s="182"/>
      <c r="AW78" s="182"/>
      <c r="AX78" s="182"/>
    </row>
    <row r="79" spans="1:50" ht="14.4" thickBot="1" x14ac:dyDescent="0.35">
      <c r="A79" s="1364"/>
      <c r="B79" s="1365"/>
      <c r="C79" s="1366"/>
      <c r="D79" s="733" t="s">
        <v>33</v>
      </c>
      <c r="E79" s="733">
        <f>IF($B78="","",COUNTIF(Penalties!$AS26:$BA26,E$55))</f>
        <v>0</v>
      </c>
      <c r="F79" s="733">
        <f>IF($B78="","",COUNTIF(Penalties!$AS26:$BA26,F$55))</f>
        <v>0</v>
      </c>
      <c r="G79" s="733">
        <f>IF($B78="","",COUNTIF(Penalties!$AS26:$BA26,G$55))</f>
        <v>0</v>
      </c>
      <c r="H79" s="733">
        <f>IF($B78="","",COUNTIF(Penalties!$AS26:$BA26,H$55))</f>
        <v>0</v>
      </c>
      <c r="I79" s="733">
        <f>IF($B78="","",COUNTIF(Penalties!$AS26:$BA26,I$55))</f>
        <v>0</v>
      </c>
      <c r="J79" s="733">
        <f>IF($B78="","",COUNTIF(Penalties!$AS26:$BA26,J$55))</f>
        <v>0</v>
      </c>
      <c r="K79" s="733">
        <f>IF($B78="","",COUNTIF(Penalties!$AS26:$BA26,K$55))</f>
        <v>0</v>
      </c>
      <c r="L79" s="733">
        <f>IF($B78="","",COUNTIF(Penalties!$AS26:$BA26,L$55))</f>
        <v>0</v>
      </c>
      <c r="M79" s="733">
        <f>IF($B78="","",COUNTIF(Penalties!$AS26:$BA26,M$55))</f>
        <v>0</v>
      </c>
      <c r="N79" s="733">
        <f>IF($B78="","",COUNTIF(Penalties!$AS26:$BA26,N$55))</f>
        <v>0</v>
      </c>
      <c r="O79" s="733">
        <f>IF($B78="","",COUNTIF(Penalties!$AS26:$BA26,O$55))</f>
        <v>2</v>
      </c>
      <c r="P79" s="733">
        <f>IF($B78="","",COUNTIF(Penalties!$AS26:$BA26,P$55))</f>
        <v>0</v>
      </c>
      <c r="Q79" s="733">
        <f>IF($B78="","",COUNTIF(Penalties!$AS26:$BA26,Q$55))</f>
        <v>0</v>
      </c>
      <c r="R79" s="733">
        <f>IF($B78="","",COUNTIF(Penalties!$AS26:$BA26,R$55))</f>
        <v>0</v>
      </c>
      <c r="S79" s="733">
        <f>IF($B78="","",COUNTIF(Penalties!$AS26:$BA26,S$55))</f>
        <v>0</v>
      </c>
      <c r="T79" s="733">
        <f>IF($B78="","",COUNTIF(Penalties!$AS26:$BA26,T$55))</f>
        <v>0</v>
      </c>
      <c r="U79" s="745">
        <f>IF(B78="","",SUM(E79:T79))</f>
        <v>2</v>
      </c>
      <c r="V79" s="746">
        <f t="shared" ref="V79" si="53">IF(B78="","",SUM(E79:T79)*0.5)</f>
        <v>1</v>
      </c>
      <c r="W79" s="747" t="str">
        <f>IF($B78="","",IF(Penalties!$BB26=W$55,1,""))</f>
        <v/>
      </c>
      <c r="X79" s="747" t="str">
        <f>IF($B78="","",IF(Penalties!$BB26=X$55,1,""))</f>
        <v/>
      </c>
      <c r="Y79" s="747" t="str">
        <f>IF($B78="","",IF(Penalties!$BB26=Y$55,1,""))</f>
        <v/>
      </c>
      <c r="Z79" s="747" t="str">
        <f>IF($B78="","",IF(Penalties!$BB26=Z$55,1,""))</f>
        <v/>
      </c>
      <c r="AA79" s="747" t="str">
        <f>IF($B78="","",IF(Penalties!$BB26=AA$55,1,""))</f>
        <v/>
      </c>
      <c r="AB79" s="747" t="str">
        <f>IF($B78="","",IF(Penalties!$BB26=AB$55,1,""))</f>
        <v/>
      </c>
      <c r="AC79" s="747" t="str">
        <f>IF($B78="","",IF(Penalties!$BB26=AC$55,1,""))</f>
        <v/>
      </c>
      <c r="AD79" s="747" t="str">
        <f>IF($B78="","",IF(Penalties!$BB26=AD$55,1,""))</f>
        <v/>
      </c>
      <c r="AE79" s="747" t="str">
        <f>IF($B78="","",IF(Penalties!$BB26=AE$55,1,""))</f>
        <v/>
      </c>
      <c r="AF79" s="747" t="str">
        <f>IF($B78="","",IF(Penalties!$BB26=AF$55,1,""))</f>
        <v/>
      </c>
      <c r="AG79" s="747" t="str">
        <f>IF($B78="","",IF(Penalties!$BB26=AG$55,1,""))</f>
        <v/>
      </c>
      <c r="AH79" s="747" t="str">
        <f>IF($B78="","",IF(Penalties!$BB26=AH$55,1,""))</f>
        <v/>
      </c>
      <c r="AI79" s="747" t="str">
        <f>IF($B78="","",IF(Penalties!$BB26=AI$55,1,""))</f>
        <v/>
      </c>
      <c r="AJ79" s="749" t="str">
        <f>IF(SUM(X78:AI79)=0, "", IF(SUM(X78:AI78)=1, LOOKUP(1, X78:AI78, $X$55:$AI$55), LOOKUP(1, X79:AI79, $X$55:$AI$55)))</f>
        <v/>
      </c>
      <c r="AK79" s="182"/>
      <c r="AL79" s="182"/>
      <c r="AM79" s="182"/>
      <c r="AN79" s="182"/>
      <c r="AO79" s="182"/>
      <c r="AP79" s="182"/>
      <c r="AQ79" s="182"/>
      <c r="AR79" s="182"/>
      <c r="AS79" s="182"/>
      <c r="AT79" s="182"/>
      <c r="AU79" s="182"/>
      <c r="AV79" s="182"/>
      <c r="AW79" s="182"/>
      <c r="AX79" s="182"/>
    </row>
    <row r="80" spans="1:50" x14ac:dyDescent="0.3">
      <c r="A80" s="1367">
        <f>A78+1</f>
        <v>13</v>
      </c>
      <c r="B80" s="1368" t="str">
        <f>IF(IGRF!H23="","",IGRF!H23)</f>
        <v>9</v>
      </c>
      <c r="C80" s="1369" t="str">
        <f>IF(IGRF!I23="","",IGRF!I23)</f>
        <v>Big Bad Voodoo Dollie</v>
      </c>
      <c r="D80" s="739" t="s">
        <v>17</v>
      </c>
      <c r="E80" s="732">
        <f>IF($B80="","",COUNTIF(Penalties!$Q28:$Y28,E$55))</f>
        <v>0</v>
      </c>
      <c r="F80" s="732">
        <f>IF($B80="","",COUNTIF(Penalties!$Q28:$Y28,F$55))</f>
        <v>0</v>
      </c>
      <c r="G80" s="732">
        <f>IF($B80="","",COUNTIF(Penalties!$Q28:$Y28,G$55))</f>
        <v>0</v>
      </c>
      <c r="H80" s="732">
        <f>IF($B80="","",COUNTIF(Penalties!$Q28:$Y28,H$55))</f>
        <v>0</v>
      </c>
      <c r="I80" s="732">
        <f>IF($B80="","",COUNTIF(Penalties!$Q28:$Y28,I$55))</f>
        <v>0</v>
      </c>
      <c r="J80" s="732">
        <f>IF($B80="","",COUNTIF(Penalties!$Q28:$Y28,J$55))</f>
        <v>0</v>
      </c>
      <c r="K80" s="732">
        <f>IF($B80="","",COUNTIF(Penalties!$Q28:$Y28,K$55))</f>
        <v>0</v>
      </c>
      <c r="L80" s="732">
        <f>IF($B80="","",COUNTIF(Penalties!$Q28:$Y28,L$55))</f>
        <v>0</v>
      </c>
      <c r="M80" s="732">
        <f>IF($B80="","",COUNTIF(Penalties!$Q28:$Y28,M$55))</f>
        <v>0</v>
      </c>
      <c r="N80" s="732">
        <f>IF($B80="","",COUNTIF(Penalties!$Q28:$Y28,N$55))</f>
        <v>0</v>
      </c>
      <c r="O80" s="732">
        <f>IF($B80="","",COUNTIF(Penalties!$Q28:$Y28,O$55))</f>
        <v>0</v>
      </c>
      <c r="P80" s="732">
        <f>IF($B80="","",COUNTIF(Penalties!$Q28:$Y28,P$55))</f>
        <v>0</v>
      </c>
      <c r="Q80" s="732">
        <f>IF($B80="","",COUNTIF(Penalties!$Q28:$Y28,Q$55))</f>
        <v>0</v>
      </c>
      <c r="R80" s="732">
        <f>IF($B80="","",COUNTIF(Penalties!$Q28:$Y28,R$55))</f>
        <v>0</v>
      </c>
      <c r="S80" s="732">
        <f>IF($B80="","",COUNTIF(Penalties!$Q28:$Y28,S$55))</f>
        <v>0</v>
      </c>
      <c r="T80" s="732">
        <f>IF($B80="","",COUNTIF(Penalties!$Q28:$Y28,T$55))</f>
        <v>0</v>
      </c>
      <c r="U80" s="740">
        <f>IF(B80="","",SUM(E80:T80))</f>
        <v>0</v>
      </c>
      <c r="V80" s="741">
        <f t="shared" ref="V80" si="54">IF(B80="","",SUM(E80:T80)*0.5)</f>
        <v>0</v>
      </c>
      <c r="W80" s="742" t="str">
        <f>IF($B80="","",IF(Penalties!$Z28=W$55,1,""))</f>
        <v/>
      </c>
      <c r="X80" s="742" t="str">
        <f>IF($B80="","",IF(Penalties!$Z28=X$55,1,""))</f>
        <v/>
      </c>
      <c r="Y80" s="742" t="str">
        <f>IF($B80="","",IF(Penalties!$Z28=Y$55,1,""))</f>
        <v/>
      </c>
      <c r="Z80" s="742" t="str">
        <f>IF($B80="","",IF(Penalties!$Z28=Z$55,1,""))</f>
        <v/>
      </c>
      <c r="AA80" s="742" t="str">
        <f>IF($B80="","",IF(Penalties!$Z28=AA$55,1,""))</f>
        <v/>
      </c>
      <c r="AB80" s="742" t="str">
        <f>IF($B80="","",IF(Penalties!$Z28=AB$55,1,""))</f>
        <v/>
      </c>
      <c r="AC80" s="742" t="str">
        <f>IF($B80="","",IF(Penalties!$Z28=AC$55,1,""))</f>
        <v/>
      </c>
      <c r="AD80" s="742" t="str">
        <f>IF($B80="","",IF(Penalties!$Z28=AD$55,1,""))</f>
        <v/>
      </c>
      <c r="AE80" s="742" t="str">
        <f>IF($B80="","",IF(Penalties!$Z28=AE$55,1,""))</f>
        <v/>
      </c>
      <c r="AF80" s="742" t="str">
        <f>IF($B80="","",IF(Penalties!$Z28=AF$55,1,""))</f>
        <v/>
      </c>
      <c r="AG80" s="742" t="str">
        <f>IF($B80="","",IF(Penalties!$Z28=AG$55,1,""))</f>
        <v/>
      </c>
      <c r="AH80" s="742" t="str">
        <f>IF($B80="","",IF(Penalties!$Z28=AH$55,1,""))</f>
        <v/>
      </c>
      <c r="AI80" s="742" t="str">
        <f>IF($B80="","",IF(Penalties!$Z28=AI$55,1,""))</f>
        <v/>
      </c>
      <c r="AJ80" s="743"/>
      <c r="AK80" s="182"/>
      <c r="AL80" s="182"/>
      <c r="AM80" s="182"/>
      <c r="AN80" s="182"/>
      <c r="AO80" s="182"/>
      <c r="AP80" s="182"/>
      <c r="AQ80" s="182"/>
      <c r="AR80" s="182"/>
      <c r="AS80" s="182"/>
      <c r="AT80" s="182"/>
      <c r="AU80" s="182"/>
      <c r="AV80" s="182"/>
      <c r="AW80" s="182"/>
      <c r="AX80" s="182"/>
    </row>
    <row r="81" spans="1:50" x14ac:dyDescent="0.3">
      <c r="A81" s="1367"/>
      <c r="B81" s="1368"/>
      <c r="C81" s="1369"/>
      <c r="D81" s="739" t="s">
        <v>33</v>
      </c>
      <c r="E81" s="732">
        <f>IF($B80="","",COUNTIF(Penalties!$AS28:$BA28,E$55))</f>
        <v>0</v>
      </c>
      <c r="F81" s="732">
        <f>IF($B80="","",COUNTIF(Penalties!$AS28:$BA28,F$55))</f>
        <v>0</v>
      </c>
      <c r="G81" s="732">
        <f>IF($B80="","",COUNTIF(Penalties!$AS28:$BA28,G$55))</f>
        <v>0</v>
      </c>
      <c r="H81" s="732">
        <f>IF($B80="","",COUNTIF(Penalties!$AS28:$BA28,H$55))</f>
        <v>0</v>
      </c>
      <c r="I81" s="732">
        <f>IF($B80="","",COUNTIF(Penalties!$AS28:$BA28,I$55))</f>
        <v>0</v>
      </c>
      <c r="J81" s="732">
        <f>IF($B80="","",COUNTIF(Penalties!$AS28:$BA28,J$55))</f>
        <v>0</v>
      </c>
      <c r="K81" s="732">
        <f>IF($B80="","",COUNTIF(Penalties!$AS28:$BA28,K$55))</f>
        <v>0</v>
      </c>
      <c r="L81" s="732">
        <f>IF($B80="","",COUNTIF(Penalties!$AS28:$BA28,L$55))</f>
        <v>0</v>
      </c>
      <c r="M81" s="732">
        <f>IF($B80="","",COUNTIF(Penalties!$AS28:$BA28,M$55))</f>
        <v>0</v>
      </c>
      <c r="N81" s="732">
        <f>IF($B80="","",COUNTIF(Penalties!$AS28:$BA28,N$55))</f>
        <v>0</v>
      </c>
      <c r="O81" s="732">
        <f>IF($B80="","",COUNTIF(Penalties!$AS28:$BA28,O$55))</f>
        <v>0</v>
      </c>
      <c r="P81" s="732">
        <f>IF($B80="","",COUNTIF(Penalties!$AS28:$BA28,P$55))</f>
        <v>0</v>
      </c>
      <c r="Q81" s="732">
        <f>IF($B80="","",COUNTIF(Penalties!$AS28:$BA28,Q$55))</f>
        <v>0</v>
      </c>
      <c r="R81" s="732">
        <f>IF($B80="","",COUNTIF(Penalties!$AS28:$BA28,R$55))</f>
        <v>0</v>
      </c>
      <c r="S81" s="732">
        <f>IF($B80="","",COUNTIF(Penalties!$AS28:$BA28,S$55))</f>
        <v>0</v>
      </c>
      <c r="T81" s="732">
        <f>IF($B80="","",COUNTIF(Penalties!$AS28:$BA28,T$55))</f>
        <v>0</v>
      </c>
      <c r="U81" s="740">
        <f>IF(B80="","",SUM(E81:T81))</f>
        <v>0</v>
      </c>
      <c r="V81" s="741">
        <f t="shared" ref="V81" si="55">IF(B80="","",SUM(E81:T81)*0.5)</f>
        <v>0</v>
      </c>
      <c r="W81" s="742" t="str">
        <f>IF($B80="","",IF(Penalties!$BB28=W$55,1,""))</f>
        <v/>
      </c>
      <c r="X81" s="742" t="str">
        <f>IF($B80="","",IF(Penalties!$BB28=X$55,1,""))</f>
        <v/>
      </c>
      <c r="Y81" s="742" t="str">
        <f>IF($B80="","",IF(Penalties!$BB28=Y$55,1,""))</f>
        <v/>
      </c>
      <c r="Z81" s="742" t="str">
        <f>IF($B80="","",IF(Penalties!$BB28=Z$55,1,""))</f>
        <v/>
      </c>
      <c r="AA81" s="742" t="str">
        <f>IF($B80="","",IF(Penalties!$BB28=AA$55,1,""))</f>
        <v/>
      </c>
      <c r="AB81" s="742" t="str">
        <f>IF($B80="","",IF(Penalties!$BB28=AB$55,1,""))</f>
        <v/>
      </c>
      <c r="AC81" s="742" t="str">
        <f>IF($B80="","",IF(Penalties!$BB28=AC$55,1,""))</f>
        <v/>
      </c>
      <c r="AD81" s="742" t="str">
        <f>IF($B80="","",IF(Penalties!$BB28=AD$55,1,""))</f>
        <v/>
      </c>
      <c r="AE81" s="742" t="str">
        <f>IF($B80="","",IF(Penalties!$BB28=AE$55,1,""))</f>
        <v/>
      </c>
      <c r="AF81" s="742" t="str">
        <f>IF($B80="","",IF(Penalties!$BB28=AF$55,1,""))</f>
        <v/>
      </c>
      <c r="AG81" s="742" t="str">
        <f>IF($B80="","",IF(Penalties!$BB28=AG$55,1,""))</f>
        <v/>
      </c>
      <c r="AH81" s="742" t="str">
        <f>IF($B80="","",IF(Penalties!$BB28=AH$55,1,""))</f>
        <v/>
      </c>
      <c r="AI81" s="742" t="str">
        <f>IF($B80="","",IF(Penalties!$BB28=AI$55,1,""))</f>
        <v/>
      </c>
      <c r="AJ81" s="744" t="str">
        <f>IF(SUM(X80:AI81)=0, "", IF(SUM(X80:AI80)=1, LOOKUP(1, X80:AI80, $X$55:$AI$55), LOOKUP(1, X81:AI81, $X$55:$AI$55)))</f>
        <v/>
      </c>
      <c r="AK81" s="182"/>
      <c r="AL81" s="182"/>
      <c r="AM81" s="182"/>
      <c r="AN81" s="182"/>
      <c r="AO81" s="182"/>
      <c r="AP81" s="182"/>
      <c r="AQ81" s="182"/>
      <c r="AR81" s="182"/>
      <c r="AS81" s="182"/>
      <c r="AT81" s="182"/>
      <c r="AU81" s="182"/>
      <c r="AV81" s="182"/>
      <c r="AW81" s="182"/>
      <c r="AX81" s="182"/>
    </row>
    <row r="82" spans="1:50" x14ac:dyDescent="0.3">
      <c r="A82" s="1364">
        <f>A80+1</f>
        <v>14</v>
      </c>
      <c r="B82" s="1365" t="str">
        <f>IF(IGRF!H24="","",IGRF!H24)</f>
        <v>93</v>
      </c>
      <c r="C82" s="1366" t="str">
        <f>IF(IGRF!I24="","",IGRF!I24)</f>
        <v>Erma Gerd</v>
      </c>
      <c r="D82" s="733" t="s">
        <v>17</v>
      </c>
      <c r="E82" s="733">
        <f>IF($B82="","",COUNTIF(Penalties!$Q30:$Y30,E$55))</f>
        <v>1</v>
      </c>
      <c r="F82" s="733">
        <f>IF($B82="","",COUNTIF(Penalties!$Q30:$Y30,F$55))</f>
        <v>0</v>
      </c>
      <c r="G82" s="733">
        <f>IF($B82="","",COUNTIF(Penalties!$Q30:$Y30,G$55))</f>
        <v>0</v>
      </c>
      <c r="H82" s="733">
        <f>IF($B82="","",COUNTIF(Penalties!$Q30:$Y30,H$55))</f>
        <v>0</v>
      </c>
      <c r="I82" s="733">
        <f>IF($B82="","",COUNTIF(Penalties!$Q30:$Y30,I$55))</f>
        <v>0</v>
      </c>
      <c r="J82" s="733">
        <f>IF($B82="","",COUNTIF(Penalties!$Q30:$Y30,J$55))</f>
        <v>0</v>
      </c>
      <c r="K82" s="733">
        <f>IF($B82="","",COUNTIF(Penalties!$Q30:$Y30,K$55))</f>
        <v>0</v>
      </c>
      <c r="L82" s="733">
        <f>IF($B82="","",COUNTIF(Penalties!$Q30:$Y30,L$55))</f>
        <v>0</v>
      </c>
      <c r="M82" s="733">
        <f>IF($B82="","",COUNTIF(Penalties!$Q30:$Y30,M$55))</f>
        <v>0</v>
      </c>
      <c r="N82" s="733">
        <f>IF($B82="","",COUNTIF(Penalties!$Q30:$Y30,N$55))</f>
        <v>0</v>
      </c>
      <c r="O82" s="733">
        <f>IF($B82="","",COUNTIF(Penalties!$Q30:$Y30,O$55))</f>
        <v>0</v>
      </c>
      <c r="P82" s="733">
        <f>IF($B82="","",COUNTIF(Penalties!$Q30:$Y30,P$55))</f>
        <v>0</v>
      </c>
      <c r="Q82" s="733">
        <f>IF($B82="","",COUNTIF(Penalties!$Q30:$Y30,Q$55))</f>
        <v>0</v>
      </c>
      <c r="R82" s="733">
        <f>IF($B82="","",COUNTIF(Penalties!$Q30:$Y30,R$55))</f>
        <v>0</v>
      </c>
      <c r="S82" s="733">
        <f>IF($B82="","",COUNTIF(Penalties!$Q30:$Y30,S$55))</f>
        <v>0</v>
      </c>
      <c r="T82" s="733">
        <f>IF($B82="","",COUNTIF(Penalties!$Q30:$Y30,T$55))</f>
        <v>0</v>
      </c>
      <c r="U82" s="745">
        <f>IF(B82="","",SUM(E82:T82))</f>
        <v>1</v>
      </c>
      <c r="V82" s="746">
        <f t="shared" ref="V82" si="56">IF(B82="","",SUM(E82:T82)*0.5)</f>
        <v>0.5</v>
      </c>
      <c r="W82" s="747" t="str">
        <f>IF($B82="","",IF(Penalties!$Z30=W$55,1,""))</f>
        <v/>
      </c>
      <c r="X82" s="747" t="str">
        <f>IF($B82="","",IF(Penalties!$Z30=X$55,1,""))</f>
        <v/>
      </c>
      <c r="Y82" s="747" t="str">
        <f>IF($B82="","",IF(Penalties!$Z30=Y$55,1,""))</f>
        <v/>
      </c>
      <c r="Z82" s="747" t="str">
        <f>IF($B82="","",IF(Penalties!$Z30=Z$55,1,""))</f>
        <v/>
      </c>
      <c r="AA82" s="747" t="str">
        <f>IF($B82="","",IF(Penalties!$Z30=AA$55,1,""))</f>
        <v/>
      </c>
      <c r="AB82" s="747" t="str">
        <f>IF($B82="","",IF(Penalties!$Z30=AB$55,1,""))</f>
        <v/>
      </c>
      <c r="AC82" s="747" t="str">
        <f>IF($B82="","",IF(Penalties!$Z30=AC$55,1,""))</f>
        <v/>
      </c>
      <c r="AD82" s="747" t="str">
        <f>IF($B82="","",IF(Penalties!$Z30=AD$55,1,""))</f>
        <v/>
      </c>
      <c r="AE82" s="747" t="str">
        <f>IF($B82="","",IF(Penalties!$Z30=AE$55,1,""))</f>
        <v/>
      </c>
      <c r="AF82" s="747" t="str">
        <f>IF($B82="","",IF(Penalties!$Z30=AF$55,1,""))</f>
        <v/>
      </c>
      <c r="AG82" s="747" t="str">
        <f>IF($B82="","",IF(Penalties!$Z30=AG$55,1,""))</f>
        <v/>
      </c>
      <c r="AH82" s="747" t="str">
        <f>IF($B82="","",IF(Penalties!$Z30=AH$55,1,""))</f>
        <v/>
      </c>
      <c r="AI82" s="747" t="str">
        <f>IF($B82="","",IF(Penalties!$Z30=AI$55,1,""))</f>
        <v/>
      </c>
      <c r="AJ82" s="748"/>
      <c r="AK82" s="182"/>
      <c r="AL82" s="182"/>
      <c r="AM82" s="182"/>
      <c r="AN82" s="182"/>
      <c r="AO82" s="182"/>
      <c r="AP82" s="182"/>
      <c r="AQ82" s="182"/>
      <c r="AR82" s="182"/>
      <c r="AS82" s="182"/>
      <c r="AT82" s="182"/>
      <c r="AU82" s="182"/>
      <c r="AV82" s="182"/>
      <c r="AW82" s="182"/>
      <c r="AX82" s="182"/>
    </row>
    <row r="83" spans="1:50" ht="14.4" thickBot="1" x14ac:dyDescent="0.35">
      <c r="A83" s="1364"/>
      <c r="B83" s="1365"/>
      <c r="C83" s="1366"/>
      <c r="D83" s="733" t="s">
        <v>33</v>
      </c>
      <c r="E83" s="733">
        <f>IF($B82="","",COUNTIF(Penalties!$AS30:$BA30,E$55))</f>
        <v>0</v>
      </c>
      <c r="F83" s="733">
        <f>IF($B82="","",COUNTIF(Penalties!$AS30:$BA30,F$55))</f>
        <v>0</v>
      </c>
      <c r="G83" s="733">
        <f>IF($B82="","",COUNTIF(Penalties!$AS30:$BA30,G$55))</f>
        <v>0</v>
      </c>
      <c r="H83" s="733">
        <f>IF($B82="","",COUNTIF(Penalties!$AS30:$BA30,H$55))</f>
        <v>0</v>
      </c>
      <c r="I83" s="733">
        <f>IF($B82="","",COUNTIF(Penalties!$AS30:$BA30,I$55))</f>
        <v>0</v>
      </c>
      <c r="J83" s="733">
        <f>IF($B82="","",COUNTIF(Penalties!$AS30:$BA30,J$55))</f>
        <v>0</v>
      </c>
      <c r="K83" s="733">
        <f>IF($B82="","",COUNTIF(Penalties!$AS30:$BA30,K$55))</f>
        <v>0</v>
      </c>
      <c r="L83" s="733">
        <f>IF($B82="","",COUNTIF(Penalties!$AS30:$BA30,L$55))</f>
        <v>0</v>
      </c>
      <c r="M83" s="733">
        <f>IF($B82="","",COUNTIF(Penalties!$AS30:$BA30,M$55))</f>
        <v>1</v>
      </c>
      <c r="N83" s="733">
        <f>IF($B82="","",COUNTIF(Penalties!$AS30:$BA30,N$55))</f>
        <v>0</v>
      </c>
      <c r="O83" s="733">
        <f>IF($B82="","",COUNTIF(Penalties!$AS30:$BA30,O$55))</f>
        <v>1</v>
      </c>
      <c r="P83" s="733">
        <f>IF($B82="","",COUNTIF(Penalties!$AS30:$BA30,P$55))</f>
        <v>0</v>
      </c>
      <c r="Q83" s="733">
        <f>IF($B82="","",COUNTIF(Penalties!$AS30:$BA30,Q$55))</f>
        <v>0</v>
      </c>
      <c r="R83" s="733">
        <f>IF($B82="","",COUNTIF(Penalties!$AS30:$BA30,R$55))</f>
        <v>0</v>
      </c>
      <c r="S83" s="733">
        <f>IF($B82="","",COUNTIF(Penalties!$AS30:$BA30,S$55))</f>
        <v>0</v>
      </c>
      <c r="T83" s="733">
        <f>IF($B82="","",COUNTIF(Penalties!$AS30:$BA30,T$55))</f>
        <v>0</v>
      </c>
      <c r="U83" s="745">
        <f>IF(B82="","",SUM(E83:T83))</f>
        <v>2</v>
      </c>
      <c r="V83" s="746">
        <f t="shared" ref="V83" si="57">IF(B82="","",SUM(E83:T83)*0.5)</f>
        <v>1</v>
      </c>
      <c r="W83" s="747" t="str">
        <f>IF($B82="","",IF(Penalties!$BB30=W$55,1,""))</f>
        <v/>
      </c>
      <c r="X83" s="747" t="str">
        <f>IF($B82="","",IF(Penalties!$BB30=X$55,1,""))</f>
        <v/>
      </c>
      <c r="Y83" s="747" t="str">
        <f>IF($B82="","",IF(Penalties!$BB30=Y$55,1,""))</f>
        <v/>
      </c>
      <c r="Z83" s="747" t="str">
        <f>IF($B82="","",IF(Penalties!$BB30=Z$55,1,""))</f>
        <v/>
      </c>
      <c r="AA83" s="747" t="str">
        <f>IF($B82="","",IF(Penalties!$BB30=AA$55,1,""))</f>
        <v/>
      </c>
      <c r="AB83" s="747" t="str">
        <f>IF($B82="","",IF(Penalties!$BB30=AB$55,1,""))</f>
        <v/>
      </c>
      <c r="AC83" s="747" t="str">
        <f>IF($B82="","",IF(Penalties!$BB30=AC$55,1,""))</f>
        <v/>
      </c>
      <c r="AD83" s="747" t="str">
        <f>IF($B82="","",IF(Penalties!$BB30=AD$55,1,""))</f>
        <v/>
      </c>
      <c r="AE83" s="747" t="str">
        <f>IF($B82="","",IF(Penalties!$BB30=AE$55,1,""))</f>
        <v/>
      </c>
      <c r="AF83" s="747" t="str">
        <f>IF($B82="","",IF(Penalties!$BB30=AF$55,1,""))</f>
        <v/>
      </c>
      <c r="AG83" s="747" t="str">
        <f>IF($B82="","",IF(Penalties!$BB30=AG$55,1,""))</f>
        <v/>
      </c>
      <c r="AH83" s="747" t="str">
        <f>IF($B82="","",IF(Penalties!$BB30=AH$55,1,""))</f>
        <v/>
      </c>
      <c r="AI83" s="747" t="str">
        <f>IF($B82="","",IF(Penalties!$BB30=AI$55,1,""))</f>
        <v/>
      </c>
      <c r="AJ83" s="749" t="str">
        <f>IF(SUM(X82:AI83)=0, "", IF(SUM(X82:AI82)=1, LOOKUP(1, X82:AI82, $X$55:$AI$55), LOOKUP(1, X83:AI83, $X$55:$AI$55)))</f>
        <v/>
      </c>
      <c r="AK83" s="182"/>
      <c r="AL83" s="182"/>
      <c r="AM83" s="182"/>
      <c r="AN83" s="182"/>
      <c r="AO83" s="182"/>
      <c r="AP83" s="182"/>
      <c r="AQ83" s="182"/>
      <c r="AR83" s="182"/>
      <c r="AS83" s="182"/>
      <c r="AT83" s="182"/>
      <c r="AU83" s="182"/>
      <c r="AV83" s="182"/>
      <c r="AW83" s="182"/>
      <c r="AX83" s="182"/>
    </row>
    <row r="84" spans="1:50" x14ac:dyDescent="0.3">
      <c r="A84" s="1367">
        <f>A82+1</f>
        <v>15</v>
      </c>
      <c r="B84" s="1368" t="str">
        <f>IF(IGRF!H25="","",IGRF!H25)</f>
        <v/>
      </c>
      <c r="C84" s="1369" t="str">
        <f>IF(IGRF!I25="","",IGRF!I25)</f>
        <v/>
      </c>
      <c r="D84" s="739" t="s">
        <v>17</v>
      </c>
      <c r="E84" s="732" t="str">
        <f>IF($B84="","",COUNTIF(Penalties!$Q32:$Y32,E$55))</f>
        <v/>
      </c>
      <c r="F84" s="732" t="str">
        <f>IF($B84="","",COUNTIF(Penalties!$Q32:$Y32,F$55))</f>
        <v/>
      </c>
      <c r="G84" s="732" t="str">
        <f>IF($B84="","",COUNTIF(Penalties!$Q32:$Y32,G$55))</f>
        <v/>
      </c>
      <c r="H84" s="732" t="str">
        <f>IF($B84="","",COUNTIF(Penalties!$Q32:$Y32,H$55))</f>
        <v/>
      </c>
      <c r="I84" s="732" t="str">
        <f>IF($B84="","",COUNTIF(Penalties!$Q32:$Y32,I$55))</f>
        <v/>
      </c>
      <c r="J84" s="732" t="str">
        <f>IF($B84="","",COUNTIF(Penalties!$Q32:$Y32,J$55))</f>
        <v/>
      </c>
      <c r="K84" s="732" t="str">
        <f>IF($B84="","",COUNTIF(Penalties!$Q32:$Y32,K$55))</f>
        <v/>
      </c>
      <c r="L84" s="732" t="str">
        <f>IF($B84="","",COUNTIF(Penalties!$Q32:$Y32,L$55))</f>
        <v/>
      </c>
      <c r="M84" s="732" t="str">
        <f>IF($B84="","",COUNTIF(Penalties!$Q32:$Y32,M$55))</f>
        <v/>
      </c>
      <c r="N84" s="732" t="str">
        <f>IF($B84="","",COUNTIF(Penalties!$Q32:$Y32,N$55))</f>
        <v/>
      </c>
      <c r="O84" s="732" t="str">
        <f>IF($B84="","",COUNTIF(Penalties!$Q32:$Y32,O$55))</f>
        <v/>
      </c>
      <c r="P84" s="732" t="str">
        <f>IF($B84="","",COUNTIF(Penalties!$Q32:$Y32,P$55))</f>
        <v/>
      </c>
      <c r="Q84" s="732" t="str">
        <f>IF($B84="","",COUNTIF(Penalties!$Q32:$Y32,Q$55))</f>
        <v/>
      </c>
      <c r="R84" s="732" t="str">
        <f>IF($B84="","",COUNTIF(Penalties!$Q32:$Y32,R$55))</f>
        <v/>
      </c>
      <c r="S84" s="732" t="str">
        <f>IF($B84="","",COUNTIF(Penalties!$Q32:$Y32,S$55))</f>
        <v/>
      </c>
      <c r="T84" s="732" t="str">
        <f>IF($B84="","",COUNTIF(Penalties!$Q32:$Y32,T$55))</f>
        <v/>
      </c>
      <c r="U84" s="740" t="str">
        <f>IF(B84="","",SUM(E84:T84))</f>
        <v/>
      </c>
      <c r="V84" s="741" t="str">
        <f t="shared" ref="V84" si="58">IF(B84="","",SUM(E84:T84)*0.5)</f>
        <v/>
      </c>
      <c r="W84" s="742" t="str">
        <f>IF($B84="","",IF(Penalties!$Z32=W$55,1,""))</f>
        <v/>
      </c>
      <c r="X84" s="742" t="str">
        <f>IF($B84="","",IF(Penalties!$Z32=X$55,1,""))</f>
        <v/>
      </c>
      <c r="Y84" s="742" t="str">
        <f>IF($B84="","",IF(Penalties!$Z32=Y$55,1,""))</f>
        <v/>
      </c>
      <c r="Z84" s="742" t="str">
        <f>IF($B84="","",IF(Penalties!$Z32=Z$55,1,""))</f>
        <v/>
      </c>
      <c r="AA84" s="742" t="str">
        <f>IF($B84="","",IF(Penalties!$Z32=AA$55,1,""))</f>
        <v/>
      </c>
      <c r="AB84" s="742" t="str">
        <f>IF($B84="","",IF(Penalties!$Z32=AB$55,1,""))</f>
        <v/>
      </c>
      <c r="AC84" s="742" t="str">
        <f>IF($B84="","",IF(Penalties!$Z32=AC$55,1,""))</f>
        <v/>
      </c>
      <c r="AD84" s="742" t="str">
        <f>IF($B84="","",IF(Penalties!$Z32=AD$55,1,""))</f>
        <v/>
      </c>
      <c r="AE84" s="742" t="str">
        <f>IF($B84="","",IF(Penalties!$Z32=AE$55,1,""))</f>
        <v/>
      </c>
      <c r="AF84" s="742" t="str">
        <f>IF($B84="","",IF(Penalties!$Z32=AF$55,1,""))</f>
        <v/>
      </c>
      <c r="AG84" s="742" t="str">
        <f>IF($B84="","",IF(Penalties!$Z32=AG$55,1,""))</f>
        <v/>
      </c>
      <c r="AH84" s="742" t="str">
        <f>IF($B84="","",IF(Penalties!$Z32=AH$55,1,""))</f>
        <v/>
      </c>
      <c r="AI84" s="742" t="str">
        <f>IF($B84="","",IF(Penalties!$Z32=AI$55,1,""))</f>
        <v/>
      </c>
      <c r="AJ84" s="743"/>
      <c r="AK84" s="182"/>
      <c r="AL84" s="182"/>
      <c r="AM84" s="182"/>
      <c r="AN84" s="182"/>
      <c r="AO84" s="182"/>
      <c r="AP84" s="182"/>
      <c r="AQ84" s="182"/>
      <c r="AR84" s="182"/>
      <c r="AS84" s="182"/>
      <c r="AT84" s="182"/>
      <c r="AU84" s="182"/>
      <c r="AV84" s="182"/>
      <c r="AW84" s="182"/>
      <c r="AX84" s="182"/>
    </row>
    <row r="85" spans="1:50" x14ac:dyDescent="0.3">
      <c r="A85" s="1367"/>
      <c r="B85" s="1368"/>
      <c r="C85" s="1369"/>
      <c r="D85" s="739" t="s">
        <v>33</v>
      </c>
      <c r="E85" s="732" t="str">
        <f>IF($B84="","",COUNTIF(Penalties!$AS32:$BA32,E$55))</f>
        <v/>
      </c>
      <c r="F85" s="732" t="str">
        <f>IF($B84="","",COUNTIF(Penalties!$AS32:$BA32,F$55))</f>
        <v/>
      </c>
      <c r="G85" s="732" t="str">
        <f>IF($B84="","",COUNTIF(Penalties!$AS32:$BA32,G$55))</f>
        <v/>
      </c>
      <c r="H85" s="732" t="str">
        <f>IF($B84="","",COUNTIF(Penalties!$AS32:$BA32,H$55))</f>
        <v/>
      </c>
      <c r="I85" s="732" t="str">
        <f>IF($B84="","",COUNTIF(Penalties!$AS32:$BA32,I$55))</f>
        <v/>
      </c>
      <c r="J85" s="732" t="str">
        <f>IF($B84="","",COUNTIF(Penalties!$AS32:$BA32,J$55))</f>
        <v/>
      </c>
      <c r="K85" s="732" t="str">
        <f>IF($B84="","",COUNTIF(Penalties!$AS32:$BA32,K$55))</f>
        <v/>
      </c>
      <c r="L85" s="732" t="str">
        <f>IF($B84="","",COUNTIF(Penalties!$AS32:$BA32,L$55))</f>
        <v/>
      </c>
      <c r="M85" s="732" t="str">
        <f>IF($B84="","",COUNTIF(Penalties!$AS32:$BA32,M$55))</f>
        <v/>
      </c>
      <c r="N85" s="732" t="str">
        <f>IF($B84="","",COUNTIF(Penalties!$AS32:$BA32,N$55))</f>
        <v/>
      </c>
      <c r="O85" s="732" t="str">
        <f>IF($B84="","",COUNTIF(Penalties!$AS32:$BA32,O$55))</f>
        <v/>
      </c>
      <c r="P85" s="732" t="str">
        <f>IF($B84="","",COUNTIF(Penalties!$AS32:$BA32,P$55))</f>
        <v/>
      </c>
      <c r="Q85" s="732" t="str">
        <f>IF($B84="","",COUNTIF(Penalties!$AS32:$BA32,Q$55))</f>
        <v/>
      </c>
      <c r="R85" s="732" t="str">
        <f>IF($B84="","",COUNTIF(Penalties!$AS32:$BA32,R$55))</f>
        <v/>
      </c>
      <c r="S85" s="732" t="str">
        <f>IF($B84="","",COUNTIF(Penalties!$AS32:$BA32,S$55))</f>
        <v/>
      </c>
      <c r="T85" s="732" t="str">
        <f>IF($B84="","",COUNTIF(Penalties!$AS32:$BA32,T$55))</f>
        <v/>
      </c>
      <c r="U85" s="740" t="str">
        <f>IF(B84="","",SUM(E85:T85))</f>
        <v/>
      </c>
      <c r="V85" s="741" t="str">
        <f t="shared" ref="V85" si="59">IF(B84="","",SUM(E85:T85)*0.5)</f>
        <v/>
      </c>
      <c r="W85" s="742" t="str">
        <f>IF($B84="","",IF(Penalties!$BB32=W$55,1,""))</f>
        <v/>
      </c>
      <c r="X85" s="742" t="str">
        <f>IF($B84="","",IF(Penalties!$BB32=X$55,1,""))</f>
        <v/>
      </c>
      <c r="Y85" s="742" t="str">
        <f>IF($B84="","",IF(Penalties!$BB32=Y$55,1,""))</f>
        <v/>
      </c>
      <c r="Z85" s="742" t="str">
        <f>IF($B84="","",IF(Penalties!$BB32=Z$55,1,""))</f>
        <v/>
      </c>
      <c r="AA85" s="742" t="str">
        <f>IF($B84="","",IF(Penalties!$BB32=AA$55,1,""))</f>
        <v/>
      </c>
      <c r="AB85" s="742" t="str">
        <f>IF($B84="","",IF(Penalties!$BB32=AB$55,1,""))</f>
        <v/>
      </c>
      <c r="AC85" s="742" t="str">
        <f>IF($B84="","",IF(Penalties!$BB32=AC$55,1,""))</f>
        <v/>
      </c>
      <c r="AD85" s="742" t="str">
        <f>IF($B84="","",IF(Penalties!$BB32=AD$55,1,""))</f>
        <v/>
      </c>
      <c r="AE85" s="742" t="str">
        <f>IF($B84="","",IF(Penalties!$BB32=AE$55,1,""))</f>
        <v/>
      </c>
      <c r="AF85" s="742" t="str">
        <f>IF($B84="","",IF(Penalties!$BB32=AF$55,1,""))</f>
        <v/>
      </c>
      <c r="AG85" s="742" t="str">
        <f>IF($B84="","",IF(Penalties!$BB32=AG$55,1,""))</f>
        <v/>
      </c>
      <c r="AH85" s="742" t="str">
        <f>IF($B84="","",IF(Penalties!$BB32=AH$55,1,""))</f>
        <v/>
      </c>
      <c r="AI85" s="742" t="str">
        <f>IF($B84="","",IF(Penalties!$BB32=AI$55,1,""))</f>
        <v/>
      </c>
      <c r="AJ85" s="744" t="str">
        <f>IF(SUM(X84:AI85)=0, "", IF(SUM(X84:AI84)=1, LOOKUP(1, X84:AI84, $X$55:$AI$55), LOOKUP(1, X85:AI85, $X$55:$AI$55)))</f>
        <v/>
      </c>
      <c r="AK85" s="182"/>
      <c r="AL85" s="182"/>
      <c r="AM85" s="182"/>
      <c r="AN85" s="182"/>
      <c r="AO85" s="182"/>
      <c r="AP85" s="182"/>
      <c r="AQ85" s="182"/>
      <c r="AR85" s="182"/>
      <c r="AS85" s="182"/>
      <c r="AT85" s="182"/>
      <c r="AU85" s="182"/>
      <c r="AV85" s="182"/>
      <c r="AW85" s="182"/>
      <c r="AX85" s="182"/>
    </row>
    <row r="86" spans="1:50" x14ac:dyDescent="0.3">
      <c r="A86" s="1364">
        <f>A84+1</f>
        <v>16</v>
      </c>
      <c r="B86" s="1365" t="str">
        <f>IF(IGRF!H26="","",IGRF!H26)</f>
        <v/>
      </c>
      <c r="C86" s="1366" t="str">
        <f>IF(IGRF!I26="","",IGRF!I26)</f>
        <v/>
      </c>
      <c r="D86" s="733" t="s">
        <v>17</v>
      </c>
      <c r="E86" s="733" t="str">
        <f>IF($B86="","",COUNTIF(Penalties!$Q34:$Y34,E$55))</f>
        <v/>
      </c>
      <c r="F86" s="733" t="str">
        <f>IF($B86="","",COUNTIF(Penalties!$Q34:$Y34,F$55))</f>
        <v/>
      </c>
      <c r="G86" s="733" t="str">
        <f>IF($B86="","",COUNTIF(Penalties!$Q34:$Y34,G$55))</f>
        <v/>
      </c>
      <c r="H86" s="733" t="str">
        <f>IF($B86="","",COUNTIF(Penalties!$Q34:$Y34,H$55))</f>
        <v/>
      </c>
      <c r="I86" s="733" t="str">
        <f>IF($B86="","",COUNTIF(Penalties!$Q34:$Y34,I$55))</f>
        <v/>
      </c>
      <c r="J86" s="733" t="str">
        <f>IF($B86="","",COUNTIF(Penalties!$Q34:$Y34,J$55))</f>
        <v/>
      </c>
      <c r="K86" s="733" t="str">
        <f>IF($B86="","",COUNTIF(Penalties!$Q34:$Y34,K$55))</f>
        <v/>
      </c>
      <c r="L86" s="733" t="str">
        <f>IF($B86="","",COUNTIF(Penalties!$Q34:$Y34,L$55))</f>
        <v/>
      </c>
      <c r="M86" s="733" t="str">
        <f>IF($B86="","",COUNTIF(Penalties!$Q34:$Y34,M$55))</f>
        <v/>
      </c>
      <c r="N86" s="733" t="str">
        <f>IF($B86="","",COUNTIF(Penalties!$Q34:$Y34,N$55))</f>
        <v/>
      </c>
      <c r="O86" s="733" t="str">
        <f>IF($B86="","",COUNTIF(Penalties!$Q34:$Y34,O$55))</f>
        <v/>
      </c>
      <c r="P86" s="733" t="str">
        <f>IF($B86="","",COUNTIF(Penalties!$Q34:$Y34,P$55))</f>
        <v/>
      </c>
      <c r="Q86" s="733" t="str">
        <f>IF($B86="","",COUNTIF(Penalties!$Q34:$Y34,Q$55))</f>
        <v/>
      </c>
      <c r="R86" s="733" t="str">
        <f>IF($B86="","",COUNTIF(Penalties!$Q34:$Y34,R$55))</f>
        <v/>
      </c>
      <c r="S86" s="733" t="str">
        <f>IF($B86="","",COUNTIF(Penalties!$Q34:$Y34,S$55))</f>
        <v/>
      </c>
      <c r="T86" s="733" t="str">
        <f>IF($B86="","",COUNTIF(Penalties!$Q34:$Y34,T$55))</f>
        <v/>
      </c>
      <c r="U86" s="745" t="str">
        <f>IF(B86="","",SUM(E86:T86))</f>
        <v/>
      </c>
      <c r="V86" s="746" t="str">
        <f t="shared" ref="V86" si="60">IF(B86="","",SUM(E86:T86)*0.5)</f>
        <v/>
      </c>
      <c r="W86" s="747" t="str">
        <f>IF($B86="","",IF(Penalties!$Z34=W$55,1,""))</f>
        <v/>
      </c>
      <c r="X86" s="747" t="str">
        <f>IF($B86="","",IF(Penalties!$Z34=X$55,1,""))</f>
        <v/>
      </c>
      <c r="Y86" s="747" t="str">
        <f>IF($B86="","",IF(Penalties!$Z34=Y$55,1,""))</f>
        <v/>
      </c>
      <c r="Z86" s="747" t="str">
        <f>IF($B86="","",IF(Penalties!$Z34=Z$55,1,""))</f>
        <v/>
      </c>
      <c r="AA86" s="747" t="str">
        <f>IF($B86="","",IF(Penalties!$Z34=AA$55,1,""))</f>
        <v/>
      </c>
      <c r="AB86" s="747" t="str">
        <f>IF($B86="","",IF(Penalties!$Z34=AB$55,1,""))</f>
        <v/>
      </c>
      <c r="AC86" s="747" t="str">
        <f>IF($B86="","",IF(Penalties!$Z34=AC$55,1,""))</f>
        <v/>
      </c>
      <c r="AD86" s="747" t="str">
        <f>IF($B86="","",IF(Penalties!$Z34=AD$55,1,""))</f>
        <v/>
      </c>
      <c r="AE86" s="747" t="str">
        <f>IF($B86="","",IF(Penalties!$Z34=AE$55,1,""))</f>
        <v/>
      </c>
      <c r="AF86" s="747" t="str">
        <f>IF($B86="","",IF(Penalties!$Z34=AF$55,1,""))</f>
        <v/>
      </c>
      <c r="AG86" s="747" t="str">
        <f>IF($B86="","",IF(Penalties!$Z34=AG$55,1,""))</f>
        <v/>
      </c>
      <c r="AH86" s="747" t="str">
        <f>IF($B86="","",IF(Penalties!$Z34=AH$55,1,""))</f>
        <v/>
      </c>
      <c r="AI86" s="747" t="str">
        <f>IF($B86="","",IF(Penalties!$Z34=AI$55,1,""))</f>
        <v/>
      </c>
      <c r="AJ86" s="748"/>
      <c r="AK86" s="182"/>
      <c r="AL86" s="182"/>
      <c r="AM86" s="182"/>
      <c r="AN86" s="182"/>
      <c r="AO86" s="182"/>
      <c r="AP86" s="182"/>
      <c r="AQ86" s="182"/>
      <c r="AR86" s="182"/>
      <c r="AS86" s="182"/>
      <c r="AT86" s="182"/>
      <c r="AU86" s="182"/>
      <c r="AV86" s="182"/>
      <c r="AW86" s="182"/>
      <c r="AX86" s="182"/>
    </row>
    <row r="87" spans="1:50" ht="14.4" thickBot="1" x14ac:dyDescent="0.35">
      <c r="A87" s="1364"/>
      <c r="B87" s="1365"/>
      <c r="C87" s="1366"/>
      <c r="D87" s="733" t="s">
        <v>33</v>
      </c>
      <c r="E87" s="733" t="str">
        <f>IF($B86="","",COUNTIF(Penalties!$AS34:$BA34,E$55))</f>
        <v/>
      </c>
      <c r="F87" s="733" t="str">
        <f>IF($B86="","",COUNTIF(Penalties!$AS34:$BA34,F$55))</f>
        <v/>
      </c>
      <c r="G87" s="733" t="str">
        <f>IF($B86="","",COUNTIF(Penalties!$AS34:$BA34,G$55))</f>
        <v/>
      </c>
      <c r="H87" s="733" t="str">
        <f>IF($B86="","",COUNTIF(Penalties!$AS34:$BA34,H$55))</f>
        <v/>
      </c>
      <c r="I87" s="733" t="str">
        <f>IF($B86="","",COUNTIF(Penalties!$AS34:$BA34,I$55))</f>
        <v/>
      </c>
      <c r="J87" s="733" t="str">
        <f>IF($B86="","",COUNTIF(Penalties!$AS34:$BA34,J$55))</f>
        <v/>
      </c>
      <c r="K87" s="733" t="str">
        <f>IF($B86="","",COUNTIF(Penalties!$AS34:$BA34,K$55))</f>
        <v/>
      </c>
      <c r="L87" s="733" t="str">
        <f>IF($B86="","",COUNTIF(Penalties!$AS34:$BA34,L$55))</f>
        <v/>
      </c>
      <c r="M87" s="733" t="str">
        <f>IF($B86="","",COUNTIF(Penalties!$AS34:$BA34,M$55))</f>
        <v/>
      </c>
      <c r="N87" s="733" t="str">
        <f>IF($B86="","",COUNTIF(Penalties!$AS34:$BA34,N$55))</f>
        <v/>
      </c>
      <c r="O87" s="733" t="str">
        <f>IF($B86="","",COUNTIF(Penalties!$AS34:$BA34,O$55))</f>
        <v/>
      </c>
      <c r="P87" s="733" t="str">
        <f>IF($B86="","",COUNTIF(Penalties!$AS34:$BA34,P$55))</f>
        <v/>
      </c>
      <c r="Q87" s="733" t="str">
        <f>IF($B86="","",COUNTIF(Penalties!$AS34:$BA34,Q$55))</f>
        <v/>
      </c>
      <c r="R87" s="733" t="str">
        <f>IF($B86="","",COUNTIF(Penalties!$AS34:$BA34,R$55))</f>
        <v/>
      </c>
      <c r="S87" s="733" t="str">
        <f>IF($B86="","",COUNTIF(Penalties!$AS34:$BA34,S$55))</f>
        <v/>
      </c>
      <c r="T87" s="733" t="str">
        <f>IF($B86="","",COUNTIF(Penalties!$AS34:$BA34,T$55))</f>
        <v/>
      </c>
      <c r="U87" s="745" t="str">
        <f>IF(B86="","",SUM(E87:T87))</f>
        <v/>
      </c>
      <c r="V87" s="746" t="str">
        <f t="shared" ref="V87" si="61">IF(B86="","",SUM(E87:T87)*0.5)</f>
        <v/>
      </c>
      <c r="W87" s="747" t="str">
        <f>IF($B86="","",IF(Penalties!$BB34=W$55,1,""))</f>
        <v/>
      </c>
      <c r="X87" s="747" t="str">
        <f>IF($B86="","",IF(Penalties!$BB34=X$55,1,""))</f>
        <v/>
      </c>
      <c r="Y87" s="747" t="str">
        <f>IF($B86="","",IF(Penalties!$BB34=Y$55,1,""))</f>
        <v/>
      </c>
      <c r="Z87" s="747" t="str">
        <f>IF($B86="","",IF(Penalties!$BB34=Z$55,1,""))</f>
        <v/>
      </c>
      <c r="AA87" s="747" t="str">
        <f>IF($B86="","",IF(Penalties!$BB34=AA$55,1,""))</f>
        <v/>
      </c>
      <c r="AB87" s="747" t="str">
        <f>IF($B86="","",IF(Penalties!$BB34=AB$55,1,""))</f>
        <v/>
      </c>
      <c r="AC87" s="747" t="str">
        <f>IF($B86="","",IF(Penalties!$BB34=AC$55,1,""))</f>
        <v/>
      </c>
      <c r="AD87" s="747" t="str">
        <f>IF($B86="","",IF(Penalties!$BB34=AD$55,1,""))</f>
        <v/>
      </c>
      <c r="AE87" s="747" t="str">
        <f>IF($B86="","",IF(Penalties!$BB34=AE$55,1,""))</f>
        <v/>
      </c>
      <c r="AF87" s="747" t="str">
        <f>IF($B86="","",IF(Penalties!$BB34=AF$55,1,""))</f>
        <v/>
      </c>
      <c r="AG87" s="747" t="str">
        <f>IF($B86="","",IF(Penalties!$BB34=AG$55,1,""))</f>
        <v/>
      </c>
      <c r="AH87" s="747" t="str">
        <f>IF($B86="","",IF(Penalties!$BB34=AH$55,1,""))</f>
        <v/>
      </c>
      <c r="AI87" s="747" t="str">
        <f>IF($B86="","",IF(Penalties!$BB34=AI$55,1,""))</f>
        <v/>
      </c>
      <c r="AJ87" s="749" t="str">
        <f>IF(SUM(X86:AI87)=0, "", IF(SUM(X86:AI86)=1, LOOKUP(1, X86:AI86, $X$55:$AI$55), LOOKUP(1, X87:AI87, $X$55:$AI$55)))</f>
        <v/>
      </c>
      <c r="AK87" s="182"/>
      <c r="AL87" s="182"/>
      <c r="AM87" s="182"/>
      <c r="AN87" s="182"/>
      <c r="AO87" s="182"/>
      <c r="AP87" s="182"/>
      <c r="AQ87" s="182"/>
      <c r="AR87" s="182"/>
      <c r="AS87" s="182"/>
      <c r="AT87" s="182"/>
      <c r="AU87" s="182"/>
      <c r="AV87" s="182"/>
      <c r="AW87" s="182"/>
      <c r="AX87" s="182"/>
    </row>
    <row r="88" spans="1:50" x14ac:dyDescent="0.3">
      <c r="A88" s="1367">
        <f>A86+1</f>
        <v>17</v>
      </c>
      <c r="B88" s="1368" t="str">
        <f>IF(IGRF!H27="","",IGRF!H27)</f>
        <v/>
      </c>
      <c r="C88" s="1369" t="str">
        <f>IF(IGRF!I27="","",IGRF!I27)</f>
        <v/>
      </c>
      <c r="D88" s="739" t="s">
        <v>17</v>
      </c>
      <c r="E88" s="732" t="str">
        <f>IF($B88="","",COUNTIF(Penalties!$Q36:$Y36,E$55))</f>
        <v/>
      </c>
      <c r="F88" s="732" t="str">
        <f>IF($B88="","",COUNTIF(Penalties!$Q36:$Y36,F$55))</f>
        <v/>
      </c>
      <c r="G88" s="732" t="str">
        <f>IF($B88="","",COUNTIF(Penalties!$Q36:$Y36,G$55))</f>
        <v/>
      </c>
      <c r="H88" s="732" t="str">
        <f>IF($B88="","",COUNTIF(Penalties!$Q36:$Y36,H$55))</f>
        <v/>
      </c>
      <c r="I88" s="732" t="str">
        <f>IF($B88="","",COUNTIF(Penalties!$Q36:$Y36,I$55))</f>
        <v/>
      </c>
      <c r="J88" s="732" t="str">
        <f>IF($B88="","",COUNTIF(Penalties!$Q36:$Y36,J$55))</f>
        <v/>
      </c>
      <c r="K88" s="732" t="str">
        <f>IF($B88="","",COUNTIF(Penalties!$Q36:$Y36,K$55))</f>
        <v/>
      </c>
      <c r="L88" s="732" t="str">
        <f>IF($B88="","",COUNTIF(Penalties!$Q36:$Y36,L$55))</f>
        <v/>
      </c>
      <c r="M88" s="732" t="str">
        <f>IF($B88="","",COUNTIF(Penalties!$Q36:$Y36,M$55))</f>
        <v/>
      </c>
      <c r="N88" s="732" t="str">
        <f>IF($B88="","",COUNTIF(Penalties!$Q36:$Y36,N$55))</f>
        <v/>
      </c>
      <c r="O88" s="732" t="str">
        <f>IF($B88="","",COUNTIF(Penalties!$Q36:$Y36,O$55))</f>
        <v/>
      </c>
      <c r="P88" s="732" t="str">
        <f>IF($B88="","",COUNTIF(Penalties!$Q36:$Y36,P$55))</f>
        <v/>
      </c>
      <c r="Q88" s="732" t="str">
        <f>IF($B88="","",COUNTIF(Penalties!$Q36:$Y36,Q$55))</f>
        <v/>
      </c>
      <c r="R88" s="732" t="str">
        <f>IF($B88="","",COUNTIF(Penalties!$Q36:$Y36,R$55))</f>
        <v/>
      </c>
      <c r="S88" s="732" t="str">
        <f>IF($B88="","",COUNTIF(Penalties!$Q36:$Y36,S$55))</f>
        <v/>
      </c>
      <c r="T88" s="732" t="str">
        <f>IF($B88="","",COUNTIF(Penalties!$Q36:$Y36,T$55))</f>
        <v/>
      </c>
      <c r="U88" s="740" t="str">
        <f>IF(B88="","",SUM(E88:T88))</f>
        <v/>
      </c>
      <c r="V88" s="741" t="str">
        <f t="shared" ref="V88" si="62">IF(B88="","",SUM(E88:T88)*0.5)</f>
        <v/>
      </c>
      <c r="W88" s="742" t="str">
        <f>IF($B88="","",IF(Penalties!$Z36=W$55,1,""))</f>
        <v/>
      </c>
      <c r="X88" s="742" t="str">
        <f>IF($B88="","",IF(Penalties!$Z36=X$55,1,""))</f>
        <v/>
      </c>
      <c r="Y88" s="742" t="str">
        <f>IF($B88="","",IF(Penalties!$Z36=Y$55,1,""))</f>
        <v/>
      </c>
      <c r="Z88" s="742" t="str">
        <f>IF($B88="","",IF(Penalties!$Z36=Z$55,1,""))</f>
        <v/>
      </c>
      <c r="AA88" s="742" t="str">
        <f>IF($B88="","",IF(Penalties!$Z36=AA$55,1,""))</f>
        <v/>
      </c>
      <c r="AB88" s="742" t="str">
        <f>IF($B88="","",IF(Penalties!$Z36=AB$55,1,""))</f>
        <v/>
      </c>
      <c r="AC88" s="742" t="str">
        <f>IF($B88="","",IF(Penalties!$Z36=AC$55,1,""))</f>
        <v/>
      </c>
      <c r="AD88" s="742" t="str">
        <f>IF($B88="","",IF(Penalties!$Z36=AD$55,1,""))</f>
        <v/>
      </c>
      <c r="AE88" s="742" t="str">
        <f>IF($B88="","",IF(Penalties!$Z36=AE$55,1,""))</f>
        <v/>
      </c>
      <c r="AF88" s="742" t="str">
        <f>IF($B88="","",IF(Penalties!$Z36=AF$55,1,""))</f>
        <v/>
      </c>
      <c r="AG88" s="742" t="str">
        <f>IF($B88="","",IF(Penalties!$Z36=AG$55,1,""))</f>
        <v/>
      </c>
      <c r="AH88" s="742" t="str">
        <f>IF($B88="","",IF(Penalties!$Z36=AH$55,1,""))</f>
        <v/>
      </c>
      <c r="AI88" s="742" t="str">
        <f>IF($B88="","",IF(Penalties!$Z36=AI$55,1,""))</f>
        <v/>
      </c>
      <c r="AJ88" s="743"/>
      <c r="AK88" s="182"/>
      <c r="AL88" s="182"/>
      <c r="AM88" s="182"/>
      <c r="AN88" s="182"/>
      <c r="AO88" s="182"/>
      <c r="AP88" s="182"/>
      <c r="AQ88" s="182"/>
      <c r="AR88" s="182"/>
      <c r="AS88" s="182"/>
      <c r="AT88" s="182"/>
      <c r="AU88" s="182"/>
      <c r="AV88" s="182"/>
      <c r="AW88" s="182"/>
      <c r="AX88" s="182"/>
    </row>
    <row r="89" spans="1:50" x14ac:dyDescent="0.3">
      <c r="A89" s="1367"/>
      <c r="B89" s="1368"/>
      <c r="C89" s="1369"/>
      <c r="D89" s="739" t="s">
        <v>33</v>
      </c>
      <c r="E89" s="732" t="str">
        <f>IF($B88="","",COUNTIF(Penalties!$AS36:$BA36,E$55))</f>
        <v/>
      </c>
      <c r="F89" s="732" t="str">
        <f>IF($B88="","",COUNTIF(Penalties!$AS36:$BA36,F$55))</f>
        <v/>
      </c>
      <c r="G89" s="732" t="str">
        <f>IF($B88="","",COUNTIF(Penalties!$AS36:$BA36,G$55))</f>
        <v/>
      </c>
      <c r="H89" s="732" t="str">
        <f>IF($B88="","",COUNTIF(Penalties!$AS36:$BA36,H$55))</f>
        <v/>
      </c>
      <c r="I89" s="732" t="str">
        <f>IF($B88="","",COUNTIF(Penalties!$AS36:$BA36,I$55))</f>
        <v/>
      </c>
      <c r="J89" s="732" t="str">
        <f>IF($B88="","",COUNTIF(Penalties!$AS36:$BA36,J$55))</f>
        <v/>
      </c>
      <c r="K89" s="732" t="str">
        <f>IF($B88="","",COUNTIF(Penalties!$AS36:$BA36,K$55))</f>
        <v/>
      </c>
      <c r="L89" s="732" t="str">
        <f>IF($B88="","",COUNTIF(Penalties!$AS36:$BA36,L$55))</f>
        <v/>
      </c>
      <c r="M89" s="732" t="str">
        <f>IF($B88="","",COUNTIF(Penalties!$AS36:$BA36,M$55))</f>
        <v/>
      </c>
      <c r="N89" s="732" t="str">
        <f>IF($B88="","",COUNTIF(Penalties!$AS36:$BA36,N$55))</f>
        <v/>
      </c>
      <c r="O89" s="732" t="str">
        <f>IF($B88="","",COUNTIF(Penalties!$AS36:$BA36,O$55))</f>
        <v/>
      </c>
      <c r="P89" s="732" t="str">
        <f>IF($B88="","",COUNTIF(Penalties!$AS36:$BA36,P$55))</f>
        <v/>
      </c>
      <c r="Q89" s="732" t="str">
        <f>IF($B88="","",COUNTIF(Penalties!$AS36:$BA36,Q$55))</f>
        <v/>
      </c>
      <c r="R89" s="732" t="str">
        <f>IF($B88="","",COUNTIF(Penalties!$AS36:$BA36,R$55))</f>
        <v/>
      </c>
      <c r="S89" s="732" t="str">
        <f>IF($B88="","",COUNTIF(Penalties!$AS36:$BA36,S$55))</f>
        <v/>
      </c>
      <c r="T89" s="732" t="str">
        <f>IF($B88="","",COUNTIF(Penalties!$AS36:$BA36,T$55))</f>
        <v/>
      </c>
      <c r="U89" s="740" t="str">
        <f>IF(B88="","",SUM(E89:T89))</f>
        <v/>
      </c>
      <c r="V89" s="741" t="str">
        <f t="shared" ref="V89" si="63">IF(B88="","",SUM(E89:T89)*0.5)</f>
        <v/>
      </c>
      <c r="W89" s="742" t="str">
        <f>IF($B88="","",IF(Penalties!$BB36=W$55,1,""))</f>
        <v/>
      </c>
      <c r="X89" s="742" t="str">
        <f>IF($B88="","",IF(Penalties!$BB36=X$55,1,""))</f>
        <v/>
      </c>
      <c r="Y89" s="742" t="str">
        <f>IF($B88="","",IF(Penalties!$BB36=Y$55,1,""))</f>
        <v/>
      </c>
      <c r="Z89" s="742" t="str">
        <f>IF($B88="","",IF(Penalties!$BB36=Z$55,1,""))</f>
        <v/>
      </c>
      <c r="AA89" s="742" t="str">
        <f>IF($B88="","",IF(Penalties!$BB36=AA$55,1,""))</f>
        <v/>
      </c>
      <c r="AB89" s="742" t="str">
        <f>IF($B88="","",IF(Penalties!$BB36=AB$55,1,""))</f>
        <v/>
      </c>
      <c r="AC89" s="742" t="str">
        <f>IF($B88="","",IF(Penalties!$BB36=AC$55,1,""))</f>
        <v/>
      </c>
      <c r="AD89" s="742" t="str">
        <f>IF($B88="","",IF(Penalties!$BB36=AD$55,1,""))</f>
        <v/>
      </c>
      <c r="AE89" s="742" t="str">
        <f>IF($B88="","",IF(Penalties!$BB36=AE$55,1,""))</f>
        <v/>
      </c>
      <c r="AF89" s="742" t="str">
        <f>IF($B88="","",IF(Penalties!$BB36=AF$55,1,""))</f>
        <v/>
      </c>
      <c r="AG89" s="742" t="str">
        <f>IF($B88="","",IF(Penalties!$BB36=AG$55,1,""))</f>
        <v/>
      </c>
      <c r="AH89" s="742" t="str">
        <f>IF($B88="","",IF(Penalties!$BB36=AH$55,1,""))</f>
        <v/>
      </c>
      <c r="AI89" s="742" t="str">
        <f>IF($B88="","",IF(Penalties!$BB36=AI$55,1,""))</f>
        <v/>
      </c>
      <c r="AJ89" s="744" t="str">
        <f>IF(SUM(X88:AI89)=0, "", IF(SUM(X88:AI88)=1, LOOKUP(1, X88:AI88, $X$55:$AI$55), LOOKUP(1, X89:AI89, $X$55:$AI$55)))</f>
        <v/>
      </c>
      <c r="AK89" s="182"/>
      <c r="AL89" s="182"/>
      <c r="AM89" s="182"/>
      <c r="AN89" s="182"/>
      <c r="AO89" s="182"/>
      <c r="AP89" s="182"/>
      <c r="AQ89" s="182"/>
      <c r="AR89" s="182"/>
      <c r="AS89" s="182"/>
      <c r="AT89" s="182"/>
      <c r="AU89" s="182"/>
      <c r="AV89" s="182"/>
      <c r="AW89" s="182"/>
      <c r="AX89" s="182"/>
    </row>
    <row r="90" spans="1:50" x14ac:dyDescent="0.3">
      <c r="A90" s="1364">
        <f>A88+1</f>
        <v>18</v>
      </c>
      <c r="B90" s="1365" t="str">
        <f>IF(IGRF!H28="","",IGRF!H28)</f>
        <v/>
      </c>
      <c r="C90" s="1366" t="str">
        <f>IF(IGRF!I28="","",IGRF!I28)</f>
        <v/>
      </c>
      <c r="D90" s="733" t="s">
        <v>17</v>
      </c>
      <c r="E90" s="733" t="str">
        <f>IF($B90="","",COUNTIF(Penalties!$Q38:$Y38,E$55))</f>
        <v/>
      </c>
      <c r="F90" s="733" t="str">
        <f>IF($B90="","",COUNTIF(Penalties!$Q38:$Y38,F$55))</f>
        <v/>
      </c>
      <c r="G90" s="733" t="str">
        <f>IF($B90="","",COUNTIF(Penalties!$Q38:$Y38,G$55))</f>
        <v/>
      </c>
      <c r="H90" s="733" t="str">
        <f>IF($B90="","",COUNTIF(Penalties!$Q38:$Y38,H$55))</f>
        <v/>
      </c>
      <c r="I90" s="733" t="str">
        <f>IF($B90="","",COUNTIF(Penalties!$Q38:$Y38,I$55))</f>
        <v/>
      </c>
      <c r="J90" s="733" t="str">
        <f>IF($B90="","",COUNTIF(Penalties!$Q38:$Y38,J$55))</f>
        <v/>
      </c>
      <c r="K90" s="733" t="str">
        <f>IF($B90="","",COUNTIF(Penalties!$Q38:$Y38,K$55))</f>
        <v/>
      </c>
      <c r="L90" s="733" t="str">
        <f>IF($B90="","",COUNTIF(Penalties!$Q38:$Y38,L$55))</f>
        <v/>
      </c>
      <c r="M90" s="733" t="str">
        <f>IF($B90="","",COUNTIF(Penalties!$Q38:$Y38,M$55))</f>
        <v/>
      </c>
      <c r="N90" s="733" t="str">
        <f>IF($B90="","",COUNTIF(Penalties!$Q38:$Y38,N$55))</f>
        <v/>
      </c>
      <c r="O90" s="733" t="str">
        <f>IF($B90="","",COUNTIF(Penalties!$Q38:$Y38,O$55))</f>
        <v/>
      </c>
      <c r="P90" s="733" t="str">
        <f>IF($B90="","",COUNTIF(Penalties!$Q38:$Y38,P$55))</f>
        <v/>
      </c>
      <c r="Q90" s="733" t="str">
        <f>IF($B90="","",COUNTIF(Penalties!$Q38:$Y38,Q$55))</f>
        <v/>
      </c>
      <c r="R90" s="733" t="str">
        <f>IF($B90="","",COUNTIF(Penalties!$Q38:$Y38,R$55))</f>
        <v/>
      </c>
      <c r="S90" s="733" t="str">
        <f>IF($B90="","",COUNTIF(Penalties!$Q38:$Y38,S$55))</f>
        <v/>
      </c>
      <c r="T90" s="733" t="str">
        <f>IF($B90="","",COUNTIF(Penalties!$Q38:$Y38,T$55))</f>
        <v/>
      </c>
      <c r="U90" s="745" t="str">
        <f>IF(B90="","",SUM(E90:T90))</f>
        <v/>
      </c>
      <c r="V90" s="746" t="str">
        <f t="shared" ref="V90" si="64">IF(B90="","",SUM(E90:T90)*0.5)</f>
        <v/>
      </c>
      <c r="W90" s="747" t="str">
        <f>IF($B90="","",IF(Penalties!$Z38=W$55,1,""))</f>
        <v/>
      </c>
      <c r="X90" s="747" t="str">
        <f>IF($B90="","",IF(Penalties!$Z38=X$55,1,""))</f>
        <v/>
      </c>
      <c r="Y90" s="747" t="str">
        <f>IF($B90="","",IF(Penalties!$Z38=Y$55,1,""))</f>
        <v/>
      </c>
      <c r="Z90" s="747" t="str">
        <f>IF($B90="","",IF(Penalties!$Z38=Z$55,1,""))</f>
        <v/>
      </c>
      <c r="AA90" s="747" t="str">
        <f>IF($B90="","",IF(Penalties!$Z38=AA$55,1,""))</f>
        <v/>
      </c>
      <c r="AB90" s="747" t="str">
        <f>IF($B90="","",IF(Penalties!$Z38=AB$55,1,""))</f>
        <v/>
      </c>
      <c r="AC90" s="747" t="str">
        <f>IF($B90="","",IF(Penalties!$Z38=AC$55,1,""))</f>
        <v/>
      </c>
      <c r="AD90" s="747" t="str">
        <f>IF($B90="","",IF(Penalties!$Z38=AD$55,1,""))</f>
        <v/>
      </c>
      <c r="AE90" s="747" t="str">
        <f>IF($B90="","",IF(Penalties!$Z38=AE$55,1,""))</f>
        <v/>
      </c>
      <c r="AF90" s="747" t="str">
        <f>IF($B90="","",IF(Penalties!$Z38=AF$55,1,""))</f>
        <v/>
      </c>
      <c r="AG90" s="747" t="str">
        <f>IF($B90="","",IF(Penalties!$Z38=AG$55,1,""))</f>
        <v/>
      </c>
      <c r="AH90" s="747" t="str">
        <f>IF($B90="","",IF(Penalties!$Z38=AH$55,1,""))</f>
        <v/>
      </c>
      <c r="AI90" s="747" t="str">
        <f>IF($B90="","",IF(Penalties!$Z38=AI$55,1,""))</f>
        <v/>
      </c>
      <c r="AJ90" s="748"/>
      <c r="AK90" s="182"/>
      <c r="AL90" s="182"/>
      <c r="AM90" s="182"/>
      <c r="AN90" s="182"/>
      <c r="AO90" s="182"/>
      <c r="AP90" s="182"/>
      <c r="AQ90" s="182"/>
      <c r="AR90" s="182"/>
      <c r="AS90" s="182"/>
      <c r="AT90" s="182"/>
      <c r="AU90" s="182"/>
      <c r="AV90" s="182"/>
      <c r="AW90" s="182"/>
      <c r="AX90" s="182"/>
    </row>
    <row r="91" spans="1:50" ht="14.4" thickBot="1" x14ac:dyDescent="0.35">
      <c r="A91" s="1364"/>
      <c r="B91" s="1365"/>
      <c r="C91" s="1366"/>
      <c r="D91" s="733" t="s">
        <v>33</v>
      </c>
      <c r="E91" s="733" t="str">
        <f>IF($B90="","",COUNTIF(Penalties!$AS38:$BA38,E$55))</f>
        <v/>
      </c>
      <c r="F91" s="733" t="str">
        <f>IF($B90="","",COUNTIF(Penalties!$AS38:$BA38,F$55))</f>
        <v/>
      </c>
      <c r="G91" s="733" t="str">
        <f>IF($B90="","",COUNTIF(Penalties!$AS38:$BA38,G$55))</f>
        <v/>
      </c>
      <c r="H91" s="733" t="str">
        <f>IF($B90="","",COUNTIF(Penalties!$AS38:$BA38,H$55))</f>
        <v/>
      </c>
      <c r="I91" s="733" t="str">
        <f>IF($B90="","",COUNTIF(Penalties!$AS38:$BA38,I$55))</f>
        <v/>
      </c>
      <c r="J91" s="733" t="str">
        <f>IF($B90="","",COUNTIF(Penalties!$AS38:$BA38,J$55))</f>
        <v/>
      </c>
      <c r="K91" s="733" t="str">
        <f>IF($B90="","",COUNTIF(Penalties!$AS38:$BA38,K$55))</f>
        <v/>
      </c>
      <c r="L91" s="733" t="str">
        <f>IF($B90="","",COUNTIF(Penalties!$AS38:$BA38,L$55))</f>
        <v/>
      </c>
      <c r="M91" s="733" t="str">
        <f>IF($B90="","",COUNTIF(Penalties!$AS38:$BA38,M$55))</f>
        <v/>
      </c>
      <c r="N91" s="733" t="str">
        <f>IF($B90="","",COUNTIF(Penalties!$AS38:$BA38,N$55))</f>
        <v/>
      </c>
      <c r="O91" s="733" t="str">
        <f>IF($B90="","",COUNTIF(Penalties!$AS38:$BA38,O$55))</f>
        <v/>
      </c>
      <c r="P91" s="733" t="str">
        <f>IF($B90="","",COUNTIF(Penalties!$AS38:$BA38,P$55))</f>
        <v/>
      </c>
      <c r="Q91" s="733" t="str">
        <f>IF($B90="","",COUNTIF(Penalties!$AS38:$BA38,Q$55))</f>
        <v/>
      </c>
      <c r="R91" s="733" t="str">
        <f>IF($B90="","",COUNTIF(Penalties!$AS38:$BA38,R$55))</f>
        <v/>
      </c>
      <c r="S91" s="733" t="str">
        <f>IF($B90="","",COUNTIF(Penalties!$AS38:$BA38,S$55))</f>
        <v/>
      </c>
      <c r="T91" s="733" t="str">
        <f>IF($B90="","",COUNTIF(Penalties!$AS38:$BA38,T$55))</f>
        <v/>
      </c>
      <c r="U91" s="745" t="str">
        <f>IF(B90="","",SUM(E91:T91))</f>
        <v/>
      </c>
      <c r="V91" s="746" t="str">
        <f t="shared" ref="V91" si="65">IF(B90="","",SUM(E91:T91)*0.5)</f>
        <v/>
      </c>
      <c r="W91" s="747" t="str">
        <f>IF($B90="","",IF(Penalties!$BB38=W$55,1,""))</f>
        <v/>
      </c>
      <c r="X91" s="747" t="str">
        <f>IF($B90="","",IF(Penalties!$BB38=X$55,1,""))</f>
        <v/>
      </c>
      <c r="Y91" s="747" t="str">
        <f>IF($B90="","",IF(Penalties!$BB38=Y$55,1,""))</f>
        <v/>
      </c>
      <c r="Z91" s="747" t="str">
        <f>IF($B90="","",IF(Penalties!$BB38=Z$55,1,""))</f>
        <v/>
      </c>
      <c r="AA91" s="747" t="str">
        <f>IF($B90="","",IF(Penalties!$BB38=AA$55,1,""))</f>
        <v/>
      </c>
      <c r="AB91" s="747" t="str">
        <f>IF($B90="","",IF(Penalties!$BB38=AB$55,1,""))</f>
        <v/>
      </c>
      <c r="AC91" s="747" t="str">
        <f>IF($B90="","",IF(Penalties!$BB38=AC$55,1,""))</f>
        <v/>
      </c>
      <c r="AD91" s="747" t="str">
        <f>IF($B90="","",IF(Penalties!$BB38=AD$55,1,""))</f>
        <v/>
      </c>
      <c r="AE91" s="747" t="str">
        <f>IF($B90="","",IF(Penalties!$BB38=AE$55,1,""))</f>
        <v/>
      </c>
      <c r="AF91" s="747" t="str">
        <f>IF($B90="","",IF(Penalties!$BB38=AF$55,1,""))</f>
        <v/>
      </c>
      <c r="AG91" s="747" t="str">
        <f>IF($B90="","",IF(Penalties!$BB38=AG$55,1,""))</f>
        <v/>
      </c>
      <c r="AH91" s="747" t="str">
        <f>IF($B90="","",IF(Penalties!$BB38=AH$55,1,""))</f>
        <v/>
      </c>
      <c r="AI91" s="747" t="str">
        <f>IF($B90="","",IF(Penalties!$BB38=AI$55,1,""))</f>
        <v/>
      </c>
      <c r="AJ91" s="749" t="str">
        <f>IF(SUM(X90:AI91)=0, "", IF(SUM(X90:AI90)=1, LOOKUP(1, X90:AI90, $X$55:$AI$55), LOOKUP(1, X91:AI91, $X$55:$AI$55)))</f>
        <v/>
      </c>
      <c r="AK91" s="182"/>
      <c r="AL91" s="182"/>
      <c r="AM91" s="182"/>
      <c r="AN91" s="182"/>
      <c r="AO91" s="182"/>
      <c r="AP91" s="182"/>
      <c r="AQ91" s="182"/>
      <c r="AR91" s="182"/>
      <c r="AS91" s="182"/>
      <c r="AT91" s="182"/>
      <c r="AU91" s="182"/>
      <c r="AV91" s="182"/>
      <c r="AW91" s="182"/>
      <c r="AX91" s="182"/>
    </row>
    <row r="92" spans="1:50" x14ac:dyDescent="0.3">
      <c r="A92" s="1367">
        <f>A90+1</f>
        <v>19</v>
      </c>
      <c r="B92" s="1368" t="str">
        <f>IF(IGRF!H29="","",IGRF!H29)</f>
        <v/>
      </c>
      <c r="C92" s="1369" t="str">
        <f>IF(IGRF!I29="","",IGRF!I29)</f>
        <v/>
      </c>
      <c r="D92" s="739" t="s">
        <v>17</v>
      </c>
      <c r="E92" s="732" t="str">
        <f>IF($B92="","",COUNTIF(Penalties!$Q40:$Y40,E$55))</f>
        <v/>
      </c>
      <c r="F92" s="732" t="str">
        <f>IF($B92="","",COUNTIF(Penalties!$Q40:$Y40,F$55))</f>
        <v/>
      </c>
      <c r="G92" s="732" t="str">
        <f>IF($B92="","",COUNTIF(Penalties!$Q40:$Y40,G$55))</f>
        <v/>
      </c>
      <c r="H92" s="732" t="str">
        <f>IF($B92="","",COUNTIF(Penalties!$Q40:$Y40,H$55))</f>
        <v/>
      </c>
      <c r="I92" s="732" t="str">
        <f>IF($B92="","",COUNTIF(Penalties!$Q40:$Y40,I$55))</f>
        <v/>
      </c>
      <c r="J92" s="732" t="str">
        <f>IF($B92="","",COUNTIF(Penalties!$Q40:$Y40,J$55))</f>
        <v/>
      </c>
      <c r="K92" s="732" t="str">
        <f>IF($B92="","",COUNTIF(Penalties!$Q40:$Y40,K$55))</f>
        <v/>
      </c>
      <c r="L92" s="732" t="str">
        <f>IF($B92="","",COUNTIF(Penalties!$Q40:$Y40,L$55))</f>
        <v/>
      </c>
      <c r="M92" s="732" t="str">
        <f>IF($B92="","",COUNTIF(Penalties!$Q40:$Y40,M$55))</f>
        <v/>
      </c>
      <c r="N92" s="732" t="str">
        <f>IF($B92="","",COUNTIF(Penalties!$Q40:$Y40,N$55))</f>
        <v/>
      </c>
      <c r="O92" s="732" t="str">
        <f>IF($B92="","",COUNTIF(Penalties!$Q40:$Y40,O$55))</f>
        <v/>
      </c>
      <c r="P92" s="732" t="str">
        <f>IF($B92="","",COUNTIF(Penalties!$Q40:$Y40,P$55))</f>
        <v/>
      </c>
      <c r="Q92" s="732" t="str">
        <f>IF($B92="","",COUNTIF(Penalties!$Q40:$Y40,Q$55))</f>
        <v/>
      </c>
      <c r="R92" s="732" t="str">
        <f>IF($B92="","",COUNTIF(Penalties!$Q40:$Y40,R$55))</f>
        <v/>
      </c>
      <c r="S92" s="732" t="str">
        <f>IF($B92="","",COUNTIF(Penalties!$Q40:$Y40,S$55))</f>
        <v/>
      </c>
      <c r="T92" s="732" t="str">
        <f>IF($B92="","",COUNTIF(Penalties!$Q40:$Y40,T$55))</f>
        <v/>
      </c>
      <c r="U92" s="740" t="str">
        <f>IF(B92="","",SUM(E92:T92))</f>
        <v/>
      </c>
      <c r="V92" s="741" t="str">
        <f t="shared" ref="V92" si="66">IF(B92="","",SUM(E92:T92)*0.5)</f>
        <v/>
      </c>
      <c r="W92" s="742" t="str">
        <f>IF($B92="","",IF(Penalties!$Z40=W$55,1,""))</f>
        <v/>
      </c>
      <c r="X92" s="742" t="str">
        <f>IF($B92="","",IF(Penalties!$Z40=X$55,1,""))</f>
        <v/>
      </c>
      <c r="Y92" s="742" t="str">
        <f>IF($B92="","",IF(Penalties!$Z40=Y$55,1,""))</f>
        <v/>
      </c>
      <c r="Z92" s="742" t="str">
        <f>IF($B92="","",IF(Penalties!$Z40=Z$55,1,""))</f>
        <v/>
      </c>
      <c r="AA92" s="742" t="str">
        <f>IF($B92="","",IF(Penalties!$Z40=AA$55,1,""))</f>
        <v/>
      </c>
      <c r="AB92" s="742" t="str">
        <f>IF($B92="","",IF(Penalties!$Z40=AB$55,1,""))</f>
        <v/>
      </c>
      <c r="AC92" s="742" t="str">
        <f>IF($B92="","",IF(Penalties!$Z40=AC$55,1,""))</f>
        <v/>
      </c>
      <c r="AD92" s="742" t="str">
        <f>IF($B92="","",IF(Penalties!$Z40=AD$55,1,""))</f>
        <v/>
      </c>
      <c r="AE92" s="742" t="str">
        <f>IF($B92="","",IF(Penalties!$Z40=AE$55,1,""))</f>
        <v/>
      </c>
      <c r="AF92" s="742" t="str">
        <f>IF($B92="","",IF(Penalties!$Z40=AF$55,1,""))</f>
        <v/>
      </c>
      <c r="AG92" s="742" t="str">
        <f>IF($B92="","",IF(Penalties!$Z40=AG$55,1,""))</f>
        <v/>
      </c>
      <c r="AH92" s="742" t="str">
        <f>IF($B92="","",IF(Penalties!$Z40=AH$55,1,""))</f>
        <v/>
      </c>
      <c r="AI92" s="742" t="str">
        <f>IF($B92="","",IF(Penalties!$Z40=AI$55,1,""))</f>
        <v/>
      </c>
      <c r="AJ92" s="743"/>
      <c r="AK92" s="182"/>
      <c r="AL92" s="182"/>
      <c r="AM92" s="182"/>
      <c r="AN92" s="182"/>
      <c r="AO92" s="182"/>
      <c r="AP92" s="182"/>
      <c r="AQ92" s="182"/>
      <c r="AR92" s="182"/>
      <c r="AS92" s="182"/>
      <c r="AT92" s="182"/>
      <c r="AU92" s="182"/>
      <c r="AV92" s="182"/>
      <c r="AW92" s="182"/>
      <c r="AX92" s="182"/>
    </row>
    <row r="93" spans="1:50" x14ac:dyDescent="0.3">
      <c r="A93" s="1367"/>
      <c r="B93" s="1368"/>
      <c r="C93" s="1369"/>
      <c r="D93" s="739" t="s">
        <v>33</v>
      </c>
      <c r="E93" s="732" t="str">
        <f>IF($B92="","",COUNTIF(Penalties!$AS40:$BA40,E$55))</f>
        <v/>
      </c>
      <c r="F93" s="732" t="str">
        <f>IF($B92="","",COUNTIF(Penalties!$AS40:$BA40,F$55))</f>
        <v/>
      </c>
      <c r="G93" s="732" t="str">
        <f>IF($B92="","",COUNTIF(Penalties!$AS40:$BA40,G$55))</f>
        <v/>
      </c>
      <c r="H93" s="732" t="str">
        <f>IF($B92="","",COUNTIF(Penalties!$AS40:$BA40,H$55))</f>
        <v/>
      </c>
      <c r="I93" s="732" t="str">
        <f>IF($B92="","",COUNTIF(Penalties!$AS40:$BA40,I$55))</f>
        <v/>
      </c>
      <c r="J93" s="732" t="str">
        <f>IF($B92="","",COUNTIF(Penalties!$AS40:$BA40,J$55))</f>
        <v/>
      </c>
      <c r="K93" s="732" t="str">
        <f>IF($B92="","",COUNTIF(Penalties!$AS40:$BA40,K$55))</f>
        <v/>
      </c>
      <c r="L93" s="732" t="str">
        <f>IF($B92="","",COUNTIF(Penalties!$AS40:$BA40,L$55))</f>
        <v/>
      </c>
      <c r="M93" s="732" t="str">
        <f>IF($B92="","",COUNTIF(Penalties!$AS40:$BA40,M$55))</f>
        <v/>
      </c>
      <c r="N93" s="732" t="str">
        <f>IF($B92="","",COUNTIF(Penalties!$AS40:$BA40,N$55))</f>
        <v/>
      </c>
      <c r="O93" s="732" t="str">
        <f>IF($B92="","",COUNTIF(Penalties!$AS40:$BA40,O$55))</f>
        <v/>
      </c>
      <c r="P93" s="732" t="str">
        <f>IF($B92="","",COUNTIF(Penalties!$AS40:$BA40,P$55))</f>
        <v/>
      </c>
      <c r="Q93" s="732" t="str">
        <f>IF($B92="","",COUNTIF(Penalties!$AS40:$BA40,Q$55))</f>
        <v/>
      </c>
      <c r="R93" s="732" t="str">
        <f>IF($B92="","",COUNTIF(Penalties!$AS40:$BA40,R$55))</f>
        <v/>
      </c>
      <c r="S93" s="732" t="str">
        <f>IF($B92="","",COUNTIF(Penalties!$AS40:$BA40,S$55))</f>
        <v/>
      </c>
      <c r="T93" s="732" t="str">
        <f>IF($B92="","",COUNTIF(Penalties!$AS40:$BA40,T$55))</f>
        <v/>
      </c>
      <c r="U93" s="740" t="str">
        <f>IF(B92="","",SUM(E93:T93))</f>
        <v/>
      </c>
      <c r="V93" s="741" t="str">
        <f t="shared" ref="V93" si="67">IF(B92="","",SUM(E93:T93)*0.5)</f>
        <v/>
      </c>
      <c r="W93" s="742" t="str">
        <f>IF($B92="","",IF(Penalties!$BB40=W$55,1,""))</f>
        <v/>
      </c>
      <c r="X93" s="742" t="str">
        <f>IF($B92="","",IF(Penalties!$BB40=X$55,1,""))</f>
        <v/>
      </c>
      <c r="Y93" s="742" t="str">
        <f>IF($B92="","",IF(Penalties!$BB40=Y$55,1,""))</f>
        <v/>
      </c>
      <c r="Z93" s="742" t="str">
        <f>IF($B92="","",IF(Penalties!$BB40=Z$55,1,""))</f>
        <v/>
      </c>
      <c r="AA93" s="742" t="str">
        <f>IF($B92="","",IF(Penalties!$BB40=AA$55,1,""))</f>
        <v/>
      </c>
      <c r="AB93" s="742" t="str">
        <f>IF($B92="","",IF(Penalties!$BB40=AB$55,1,""))</f>
        <v/>
      </c>
      <c r="AC93" s="742" t="str">
        <f>IF($B92="","",IF(Penalties!$BB40=AC$55,1,""))</f>
        <v/>
      </c>
      <c r="AD93" s="742" t="str">
        <f>IF($B92="","",IF(Penalties!$BB40=AD$55,1,""))</f>
        <v/>
      </c>
      <c r="AE93" s="742" t="str">
        <f>IF($B92="","",IF(Penalties!$BB40=AE$55,1,""))</f>
        <v/>
      </c>
      <c r="AF93" s="742" t="str">
        <f>IF($B92="","",IF(Penalties!$BB40=AF$55,1,""))</f>
        <v/>
      </c>
      <c r="AG93" s="742" t="str">
        <f>IF($B92="","",IF(Penalties!$BB40=AG$55,1,""))</f>
        <v/>
      </c>
      <c r="AH93" s="742" t="str">
        <f>IF($B92="","",IF(Penalties!$BB40=AH$55,1,""))</f>
        <v/>
      </c>
      <c r="AI93" s="742" t="str">
        <f>IF($B92="","",IF(Penalties!$BB40=AI$55,1,""))</f>
        <v/>
      </c>
      <c r="AJ93" s="744" t="str">
        <f>IF(SUM(X92:AI93)=0, "", IF(SUM(X92:AI92)=1, LOOKUP(1, X92:AI92, $X$55:$AI$55), LOOKUP(1, X93:AI93, $X$55:$AI$55)))</f>
        <v/>
      </c>
      <c r="AK93" s="182"/>
      <c r="AL93" s="182"/>
      <c r="AM93" s="182"/>
      <c r="AN93" s="182"/>
      <c r="AO93" s="182"/>
      <c r="AP93" s="182"/>
      <c r="AQ93" s="182"/>
      <c r="AR93" s="182"/>
      <c r="AS93" s="182"/>
      <c r="AT93" s="182"/>
      <c r="AU93" s="182"/>
      <c r="AV93" s="182"/>
      <c r="AW93" s="182"/>
      <c r="AX93" s="182"/>
    </row>
    <row r="94" spans="1:50" x14ac:dyDescent="0.3">
      <c r="A94" s="1364">
        <f>A92+1</f>
        <v>20</v>
      </c>
      <c r="B94" s="1365" t="str">
        <f>IF(IGRF!H30="","",IGRF!H30)</f>
        <v/>
      </c>
      <c r="C94" s="1366" t="str">
        <f>IF(IGRF!I30="","",IGRF!I30)</f>
        <v/>
      </c>
      <c r="D94" s="733" t="s">
        <v>17</v>
      </c>
      <c r="E94" s="733" t="str">
        <f>IF($B94="","",COUNTIF(Penalties!$Q42:$Y42,E$55))</f>
        <v/>
      </c>
      <c r="F94" s="733" t="str">
        <f>IF($B94="","",COUNTIF(Penalties!$Q42:$Y42,F$55))</f>
        <v/>
      </c>
      <c r="G94" s="733" t="str">
        <f>IF($B94="","",COUNTIF(Penalties!$Q42:$Y42,G$55))</f>
        <v/>
      </c>
      <c r="H94" s="733" t="str">
        <f>IF($B94="","",COUNTIF(Penalties!$Q42:$Y42,H$55))</f>
        <v/>
      </c>
      <c r="I94" s="733" t="str">
        <f>IF($B94="","",COUNTIF(Penalties!$Q42:$Y42,I$55))</f>
        <v/>
      </c>
      <c r="J94" s="733" t="str">
        <f>IF($B94="","",COUNTIF(Penalties!$Q42:$Y42,J$55))</f>
        <v/>
      </c>
      <c r="K94" s="733" t="str">
        <f>IF($B94="","",COUNTIF(Penalties!$Q42:$Y42,K$55))</f>
        <v/>
      </c>
      <c r="L94" s="733" t="str">
        <f>IF($B94="","",COUNTIF(Penalties!$Q42:$Y42,L$55))</f>
        <v/>
      </c>
      <c r="M94" s="733" t="str">
        <f>IF($B94="","",COUNTIF(Penalties!$Q42:$Y42,M$55))</f>
        <v/>
      </c>
      <c r="N94" s="733" t="str">
        <f>IF($B94="","",COUNTIF(Penalties!$Q42:$Y42,N$55))</f>
        <v/>
      </c>
      <c r="O94" s="733" t="str">
        <f>IF($B94="","",COUNTIF(Penalties!$Q42:$Y42,O$55))</f>
        <v/>
      </c>
      <c r="P94" s="733" t="str">
        <f>IF($B94="","",COUNTIF(Penalties!$Q42:$Y42,P$55))</f>
        <v/>
      </c>
      <c r="Q94" s="733" t="str">
        <f>IF($B94="","",COUNTIF(Penalties!$Q42:$Y42,Q$55))</f>
        <v/>
      </c>
      <c r="R94" s="733" t="str">
        <f>IF($B94="","",COUNTIF(Penalties!$Q42:$Y42,R$55))</f>
        <v/>
      </c>
      <c r="S94" s="733" t="str">
        <f>IF($B94="","",COUNTIF(Penalties!$Q42:$Y42,S$55))</f>
        <v/>
      </c>
      <c r="T94" s="733" t="str">
        <f>IF($B94="","",COUNTIF(Penalties!$Q42:$Y42,T$55))</f>
        <v/>
      </c>
      <c r="U94" s="745" t="str">
        <f>IF(B94="","",SUM(E94:T94))</f>
        <v/>
      </c>
      <c r="V94" s="746" t="str">
        <f t="shared" ref="V94" si="68">IF(B94="","",SUM(E94:T94)*0.5)</f>
        <v/>
      </c>
      <c r="W94" s="747" t="str">
        <f>IF($B94="","",IF(Penalties!$Z42=W$55,1,""))</f>
        <v/>
      </c>
      <c r="X94" s="747" t="str">
        <f>IF($B94="","",IF(Penalties!$Z42=X$55,1,""))</f>
        <v/>
      </c>
      <c r="Y94" s="747" t="str">
        <f>IF($B94="","",IF(Penalties!$Z42=Y$55,1,""))</f>
        <v/>
      </c>
      <c r="Z94" s="747" t="str">
        <f>IF($B94="","",IF(Penalties!$Z42=Z$55,1,""))</f>
        <v/>
      </c>
      <c r="AA94" s="747" t="str">
        <f>IF($B94="","",IF(Penalties!$Z42=AA$55,1,""))</f>
        <v/>
      </c>
      <c r="AB94" s="747" t="str">
        <f>IF($B94="","",IF(Penalties!$Z42=AB$55,1,""))</f>
        <v/>
      </c>
      <c r="AC94" s="747" t="str">
        <f>IF($B94="","",IF(Penalties!$Z42=AC$55,1,""))</f>
        <v/>
      </c>
      <c r="AD94" s="747" t="str">
        <f>IF($B94="","",IF(Penalties!$Z42=AD$55,1,""))</f>
        <v/>
      </c>
      <c r="AE94" s="747" t="str">
        <f>IF($B94="","",IF(Penalties!$Z42=AE$55,1,""))</f>
        <v/>
      </c>
      <c r="AF94" s="747" t="str">
        <f>IF($B94="","",IF(Penalties!$Z42=AF$55,1,""))</f>
        <v/>
      </c>
      <c r="AG94" s="747" t="str">
        <f>IF($B94="","",IF(Penalties!$Z42=AG$55,1,""))</f>
        <v/>
      </c>
      <c r="AH94" s="747" t="str">
        <f>IF($B94="","",IF(Penalties!$Z42=AH$55,1,""))</f>
        <v/>
      </c>
      <c r="AI94" s="747" t="str">
        <f>IF($B94="","",IF(Penalties!$Z42=AI$55,1,""))</f>
        <v/>
      </c>
      <c r="AJ94" s="748"/>
      <c r="AK94" s="182"/>
      <c r="AL94" s="182"/>
      <c r="AM94" s="182"/>
      <c r="AN94" s="182"/>
      <c r="AO94" s="182"/>
      <c r="AP94" s="182"/>
      <c r="AQ94" s="182"/>
      <c r="AR94" s="182"/>
      <c r="AS94" s="182"/>
      <c r="AT94" s="182"/>
      <c r="AU94" s="182"/>
      <c r="AV94" s="182"/>
      <c r="AW94" s="182"/>
      <c r="AX94" s="182"/>
    </row>
    <row r="95" spans="1:50" ht="14.4" thickBot="1" x14ac:dyDescent="0.35">
      <c r="A95" s="1364"/>
      <c r="B95" s="1365"/>
      <c r="C95" s="1366"/>
      <c r="D95" s="733" t="s">
        <v>33</v>
      </c>
      <c r="E95" s="733" t="str">
        <f>IF($B94="","",COUNTIF(Penalties!$AS42:$BA42,E$55))</f>
        <v/>
      </c>
      <c r="F95" s="733" t="str">
        <f>IF($B94="","",COUNTIF(Penalties!$AS42:$BA42,F$55))</f>
        <v/>
      </c>
      <c r="G95" s="733" t="str">
        <f>IF($B94="","",COUNTIF(Penalties!$AS42:$BA42,G$55))</f>
        <v/>
      </c>
      <c r="H95" s="733" t="str">
        <f>IF($B94="","",COUNTIF(Penalties!$AS42:$BA42,H$55))</f>
        <v/>
      </c>
      <c r="I95" s="733" t="str">
        <f>IF($B94="","",COUNTIF(Penalties!$AS42:$BA42,I$55))</f>
        <v/>
      </c>
      <c r="J95" s="733" t="str">
        <f>IF($B94="","",COUNTIF(Penalties!$AS42:$BA42,J$55))</f>
        <v/>
      </c>
      <c r="K95" s="733" t="str">
        <f>IF($B94="","",COUNTIF(Penalties!$AS42:$BA42,K$55))</f>
        <v/>
      </c>
      <c r="L95" s="733" t="str">
        <f>IF($B94="","",COUNTIF(Penalties!$AS42:$BA42,L$55))</f>
        <v/>
      </c>
      <c r="M95" s="733" t="str">
        <f>IF($B94="","",COUNTIF(Penalties!$AS42:$BA42,M$55))</f>
        <v/>
      </c>
      <c r="N95" s="733" t="str">
        <f>IF($B94="","",COUNTIF(Penalties!$AS42:$BA42,N$55))</f>
        <v/>
      </c>
      <c r="O95" s="733" t="str">
        <f>IF($B94="","",COUNTIF(Penalties!$AS42:$BA42,O$55))</f>
        <v/>
      </c>
      <c r="P95" s="733" t="str">
        <f>IF($B94="","",COUNTIF(Penalties!$AS42:$BA42,P$55))</f>
        <v/>
      </c>
      <c r="Q95" s="733" t="str">
        <f>IF($B94="","",COUNTIF(Penalties!$AS42:$BA42,Q$55))</f>
        <v/>
      </c>
      <c r="R95" s="733" t="str">
        <f>IF($B94="","",COUNTIF(Penalties!$AS42:$BA42,R$55))</f>
        <v/>
      </c>
      <c r="S95" s="733" t="str">
        <f>IF($B94="","",COUNTIF(Penalties!$AS42:$BA42,S$55))</f>
        <v/>
      </c>
      <c r="T95" s="733" t="str">
        <f>IF($B94="","",COUNTIF(Penalties!$AS42:$BA42,T$55))</f>
        <v/>
      </c>
      <c r="U95" s="745" t="str">
        <f>IF(B94="","",SUM(E95:T95))</f>
        <v/>
      </c>
      <c r="V95" s="746" t="str">
        <f t="shared" ref="V95" si="69">IF(B94="","",SUM(E95:T95)*0.5)</f>
        <v/>
      </c>
      <c r="W95" s="747" t="str">
        <f>IF($B94="","",IF(Penalties!$BB42=W$55,1,""))</f>
        <v/>
      </c>
      <c r="X95" s="747" t="str">
        <f>IF($B94="","",IF(Penalties!$BB42=X$55,1,""))</f>
        <v/>
      </c>
      <c r="Y95" s="747" t="str">
        <f>IF($B94="","",IF(Penalties!$BB42=Y$55,1,""))</f>
        <v/>
      </c>
      <c r="Z95" s="747" t="str">
        <f>IF($B94="","",IF(Penalties!$BB42=Z$55,1,""))</f>
        <v/>
      </c>
      <c r="AA95" s="747" t="str">
        <f>IF($B94="","",IF(Penalties!$BB42=AA$55,1,""))</f>
        <v/>
      </c>
      <c r="AB95" s="747" t="str">
        <f>IF($B94="","",IF(Penalties!$BB42=AB$55,1,""))</f>
        <v/>
      </c>
      <c r="AC95" s="747" t="str">
        <f>IF($B94="","",IF(Penalties!$BB42=AC$55,1,""))</f>
        <v/>
      </c>
      <c r="AD95" s="747" t="str">
        <f>IF($B94="","",IF(Penalties!$BB42=AD$55,1,""))</f>
        <v/>
      </c>
      <c r="AE95" s="747" t="str">
        <f>IF($B94="","",IF(Penalties!$BB42=AE$55,1,""))</f>
        <v/>
      </c>
      <c r="AF95" s="747" t="str">
        <f>IF($B94="","",IF(Penalties!$BB42=AF$55,1,""))</f>
        <v/>
      </c>
      <c r="AG95" s="747" t="str">
        <f>IF($B94="","",IF(Penalties!$BB42=AG$55,1,""))</f>
        <v/>
      </c>
      <c r="AH95" s="747" t="str">
        <f>IF($B94="","",IF(Penalties!$BB42=AH$55,1,""))</f>
        <v/>
      </c>
      <c r="AI95" s="747" t="str">
        <f>IF($B94="","",IF(Penalties!$BB42=AI$55,1,""))</f>
        <v/>
      </c>
      <c r="AJ95" s="750" t="str">
        <f>IF(SUM(X94:AI95)=0, "", IF(SUM(X94:AI94)=1, LOOKUP(1, X94:AI94, $X$55:$AI$55), LOOKUP(1, X95:AI95, $X$55:$AI$55)))</f>
        <v/>
      </c>
      <c r="AK95" s="182"/>
      <c r="AL95" s="182"/>
      <c r="AM95" s="182"/>
      <c r="AN95" s="182"/>
      <c r="AO95" s="182"/>
      <c r="AP95" s="182"/>
      <c r="AQ95" s="182"/>
      <c r="AR95" s="182"/>
      <c r="AS95" s="182"/>
      <c r="AT95" s="182"/>
      <c r="AU95" s="182"/>
      <c r="AV95" s="182"/>
      <c r="AW95" s="182"/>
      <c r="AX95" s="182"/>
    </row>
    <row r="96" spans="1:50" x14ac:dyDescent="0.3">
      <c r="A96" s="1372" t="s">
        <v>544</v>
      </c>
      <c r="B96" s="1372"/>
      <c r="C96" s="1372"/>
      <c r="D96" s="751" t="s">
        <v>17</v>
      </c>
      <c r="E96" s="752"/>
      <c r="F96" s="752"/>
      <c r="G96" s="752"/>
      <c r="H96" s="752"/>
      <c r="I96" s="752"/>
      <c r="J96" s="752"/>
      <c r="K96" s="752"/>
      <c r="L96" s="752"/>
      <c r="M96" s="752"/>
      <c r="N96" s="752"/>
      <c r="O96" s="752"/>
      <c r="P96" s="752"/>
      <c r="Q96" s="752"/>
      <c r="R96" s="752"/>
      <c r="S96" s="752"/>
      <c r="T96" s="752"/>
      <c r="U96" s="745"/>
      <c r="V96" s="746"/>
      <c r="W96" s="742"/>
      <c r="X96" s="742"/>
      <c r="Y96" s="742"/>
      <c r="Z96" s="742"/>
      <c r="AA96" s="742"/>
      <c r="AB96" s="742"/>
      <c r="AC96" s="742"/>
      <c r="AD96" s="742"/>
      <c r="AE96" s="742"/>
      <c r="AF96" s="742"/>
      <c r="AG96" s="742"/>
      <c r="AH96" s="742" t="str">
        <f>IF(Penalties!$R44=AH$2,1,"")</f>
        <v/>
      </c>
      <c r="AI96" s="742" t="str">
        <f>IF(Penalties!$R44=AI$2,1,"")</f>
        <v/>
      </c>
      <c r="AJ96" s="743"/>
      <c r="AK96" s="182"/>
      <c r="AL96" s="182"/>
      <c r="AM96" s="182"/>
      <c r="AN96" s="182"/>
      <c r="AO96" s="182"/>
      <c r="AP96" s="182"/>
      <c r="AQ96" s="182"/>
      <c r="AR96" s="182"/>
      <c r="AS96" s="182"/>
      <c r="AT96" s="182"/>
      <c r="AU96" s="182"/>
      <c r="AV96" s="182"/>
      <c r="AW96" s="182"/>
      <c r="AX96" s="182"/>
    </row>
    <row r="97" spans="1:50" x14ac:dyDescent="0.3">
      <c r="A97" s="1372"/>
      <c r="B97" s="1372"/>
      <c r="C97" s="1372"/>
      <c r="D97" s="751" t="s">
        <v>33</v>
      </c>
      <c r="E97" s="752"/>
      <c r="F97" s="752"/>
      <c r="G97" s="752"/>
      <c r="H97" s="752"/>
      <c r="I97" s="752"/>
      <c r="J97" s="752"/>
      <c r="K97" s="752"/>
      <c r="L97" s="752"/>
      <c r="M97" s="752"/>
      <c r="N97" s="752"/>
      <c r="O97" s="752"/>
      <c r="P97" s="752"/>
      <c r="Q97" s="752"/>
      <c r="R97" s="752"/>
      <c r="S97" s="752"/>
      <c r="T97" s="752"/>
      <c r="U97" s="745"/>
      <c r="V97" s="746"/>
      <c r="W97" s="742"/>
      <c r="X97" s="742"/>
      <c r="Y97" s="742"/>
      <c r="Z97" s="742"/>
      <c r="AA97" s="742"/>
      <c r="AB97" s="742"/>
      <c r="AC97" s="742"/>
      <c r="AD97" s="742"/>
      <c r="AE97" s="742"/>
      <c r="AF97" s="742"/>
      <c r="AG97" s="742"/>
      <c r="AH97" s="742" t="str">
        <f>IF(Penalties!$AT44=AH$2,1,"")</f>
        <v/>
      </c>
      <c r="AI97" s="742" t="str">
        <f>IF(Penalties!$AT44=AI$2,1,"")</f>
        <v/>
      </c>
      <c r="AJ97" s="744" t="str">
        <f>IF(SUM(X96:AI97)=0, "", IF(SUM(X96:AI96)=1, LOOKUP(1, X96:AI96, $X$55:$AI$55), LOOKUP(1, X97:AI97, $X$55:$AI$55)))</f>
        <v/>
      </c>
      <c r="AK97" s="182"/>
      <c r="AL97" s="182"/>
      <c r="AM97" s="182"/>
      <c r="AN97" s="182"/>
      <c r="AO97" s="182"/>
      <c r="AP97" s="182"/>
      <c r="AQ97" s="182"/>
      <c r="AR97" s="182"/>
      <c r="AS97" s="182"/>
      <c r="AT97" s="182"/>
      <c r="AU97" s="182"/>
      <c r="AV97" s="182"/>
      <c r="AW97" s="182"/>
      <c r="AX97" s="182"/>
    </row>
    <row r="98" spans="1:50" x14ac:dyDescent="0.3">
      <c r="A98" s="1373" t="s">
        <v>544</v>
      </c>
      <c r="B98" s="1373"/>
      <c r="C98" s="1373"/>
      <c r="D98" s="733" t="s">
        <v>17</v>
      </c>
      <c r="E98" s="752"/>
      <c r="F98" s="752"/>
      <c r="G98" s="752"/>
      <c r="H98" s="752"/>
      <c r="I98" s="752"/>
      <c r="J98" s="752"/>
      <c r="K98" s="752"/>
      <c r="L98" s="752"/>
      <c r="M98" s="752"/>
      <c r="N98" s="752"/>
      <c r="O98" s="752"/>
      <c r="P98" s="752"/>
      <c r="Q98" s="752"/>
      <c r="R98" s="752"/>
      <c r="S98" s="752"/>
      <c r="T98" s="752"/>
      <c r="U98" s="745"/>
      <c r="V98" s="746"/>
      <c r="W98" s="747"/>
      <c r="X98" s="747"/>
      <c r="Y98" s="747"/>
      <c r="Z98" s="747"/>
      <c r="AA98" s="747"/>
      <c r="AB98" s="747"/>
      <c r="AC98" s="747"/>
      <c r="AD98" s="747"/>
      <c r="AE98" s="747"/>
      <c r="AF98" s="747"/>
      <c r="AG98" s="747"/>
      <c r="AH98" s="747" t="str">
        <f>IF(Penalties!$S44=AH$2,1,"")</f>
        <v/>
      </c>
      <c r="AI98" s="747" t="str">
        <f>IF(Penalties!$S44=AI$2,1,"")</f>
        <v/>
      </c>
      <c r="AJ98" s="748"/>
      <c r="AK98" s="182"/>
      <c r="AL98" s="182"/>
      <c r="AM98" s="182"/>
      <c r="AN98" s="182"/>
      <c r="AO98" s="182"/>
      <c r="AP98" s="182"/>
      <c r="AQ98" s="182"/>
      <c r="AR98" s="182"/>
      <c r="AS98" s="182"/>
      <c r="AT98" s="182"/>
      <c r="AU98" s="182"/>
      <c r="AV98" s="182"/>
      <c r="AW98" s="182"/>
      <c r="AX98" s="182"/>
    </row>
    <row r="99" spans="1:50" ht="14.4" thickBot="1" x14ac:dyDescent="0.35">
      <c r="A99" s="1373"/>
      <c r="B99" s="1373"/>
      <c r="C99" s="1373"/>
      <c r="D99" s="733" t="s">
        <v>33</v>
      </c>
      <c r="E99" s="752"/>
      <c r="F99" s="752"/>
      <c r="G99" s="752"/>
      <c r="H99" s="752"/>
      <c r="I99" s="752"/>
      <c r="J99" s="752"/>
      <c r="K99" s="752"/>
      <c r="L99" s="752"/>
      <c r="M99" s="752"/>
      <c r="N99" s="752"/>
      <c r="O99" s="752"/>
      <c r="P99" s="752"/>
      <c r="Q99" s="752"/>
      <c r="R99" s="752"/>
      <c r="S99" s="752"/>
      <c r="T99" s="752"/>
      <c r="U99" s="745"/>
      <c r="V99" s="746"/>
      <c r="W99" s="747"/>
      <c r="X99" s="747"/>
      <c r="Y99" s="747"/>
      <c r="Z99" s="747"/>
      <c r="AA99" s="747"/>
      <c r="AB99" s="747"/>
      <c r="AC99" s="747"/>
      <c r="AD99" s="747"/>
      <c r="AE99" s="747"/>
      <c r="AF99" s="747"/>
      <c r="AG99" s="747"/>
      <c r="AH99" s="747" t="str">
        <f>IF(Penalties!$AU44=AH$2,1,"")</f>
        <v/>
      </c>
      <c r="AI99" s="747" t="str">
        <f>IF(Penalties!$AU44=AI$2,1,"")</f>
        <v/>
      </c>
      <c r="AJ99" s="750" t="str">
        <f>IF(SUM(X98:AI99)=0, "", IF(SUM(X98:AI98)=1, LOOKUP(1, X98:AI98, $X$55:$AI$55), LOOKUP(1, X99:AI99, $X$55:$AI$55)))</f>
        <v/>
      </c>
      <c r="AK99" s="182"/>
      <c r="AL99" s="182"/>
      <c r="AM99" s="182"/>
      <c r="AN99" s="182"/>
      <c r="AO99" s="182"/>
      <c r="AP99" s="182"/>
      <c r="AQ99" s="182"/>
      <c r="AR99" s="182"/>
      <c r="AS99" s="182"/>
      <c r="AT99" s="182"/>
      <c r="AU99" s="182"/>
      <c r="AV99" s="182"/>
      <c r="AW99" s="182"/>
      <c r="AX99" s="182"/>
    </row>
    <row r="100" spans="1:50" x14ac:dyDescent="0.3">
      <c r="A100" s="1374" t="s">
        <v>20</v>
      </c>
      <c r="B100" s="1374"/>
      <c r="C100" s="1374" t="s">
        <v>38</v>
      </c>
      <c r="D100" s="753" t="s">
        <v>17</v>
      </c>
      <c r="E100" s="753">
        <f t="shared" ref="E100:AG101" si="70">SUM(E56,E58,E60,E62,E64,E66,E68,E70,E72,E74,E76,E78,E80,E82,E84,E86,E88,E90,E92,E94)</f>
        <v>2</v>
      </c>
      <c r="F100" s="753">
        <f t="shared" si="70"/>
        <v>0</v>
      </c>
      <c r="G100" s="753">
        <f t="shared" si="70"/>
        <v>1</v>
      </c>
      <c r="H100" s="753">
        <f t="shared" si="70"/>
        <v>0</v>
      </c>
      <c r="I100" s="753">
        <f t="shared" si="70"/>
        <v>3</v>
      </c>
      <c r="J100" s="753">
        <f t="shared" si="70"/>
        <v>0</v>
      </c>
      <c r="K100" s="753">
        <f t="shared" si="70"/>
        <v>2</v>
      </c>
      <c r="L100" s="753">
        <f t="shared" si="70"/>
        <v>1</v>
      </c>
      <c r="M100" s="753">
        <f t="shared" si="70"/>
        <v>1</v>
      </c>
      <c r="N100" s="753">
        <f t="shared" si="70"/>
        <v>0</v>
      </c>
      <c r="O100" s="753">
        <f t="shared" si="70"/>
        <v>4</v>
      </c>
      <c r="P100" s="753">
        <f t="shared" si="70"/>
        <v>0</v>
      </c>
      <c r="Q100" s="753">
        <f t="shared" si="70"/>
        <v>0</v>
      </c>
      <c r="R100" s="753">
        <f>SUM(R56,R58,R60,R62,R64,R66,R68,R70,R72,R74,R76,R78,R80,R82,R84,R86,R88,R90,R92,R94)</f>
        <v>0</v>
      </c>
      <c r="S100" s="753">
        <f t="shared" si="70"/>
        <v>0</v>
      </c>
      <c r="T100" s="753">
        <f t="shared" si="70"/>
        <v>0</v>
      </c>
      <c r="U100" s="737">
        <f t="shared" si="70"/>
        <v>14</v>
      </c>
      <c r="V100" s="754">
        <f t="shared" si="70"/>
        <v>7</v>
      </c>
      <c r="W100" s="755">
        <f t="shared" si="70"/>
        <v>0</v>
      </c>
      <c r="X100" s="755">
        <f t="shared" si="70"/>
        <v>0</v>
      </c>
      <c r="Y100" s="755">
        <f t="shared" si="70"/>
        <v>0</v>
      </c>
      <c r="Z100" s="755">
        <f t="shared" si="70"/>
        <v>0</v>
      </c>
      <c r="AA100" s="755">
        <f t="shared" si="70"/>
        <v>0</v>
      </c>
      <c r="AB100" s="755">
        <f t="shared" si="70"/>
        <v>0</v>
      </c>
      <c r="AC100" s="755">
        <f t="shared" si="70"/>
        <v>0</v>
      </c>
      <c r="AD100" s="755">
        <f t="shared" si="70"/>
        <v>0</v>
      </c>
      <c r="AE100" s="755">
        <f t="shared" si="70"/>
        <v>0</v>
      </c>
      <c r="AF100" s="755">
        <f t="shared" si="70"/>
        <v>0</v>
      </c>
      <c r="AG100" s="755">
        <f t="shared" si="70"/>
        <v>0</v>
      </c>
      <c r="AH100" s="755">
        <f>SUM(AH56,AH58,AH60,AH62,AH64,AH66,AH68,AH70,AH72,AH74,AH76,AH78,AH80,AH82,AH84,AH86,AH88,AH90,AH92,AH94,AH96,AH98)</f>
        <v>0</v>
      </c>
      <c r="AI100" s="755">
        <f>SUM(AI56,AI58,AI60,AI62,AI64,AI66,AI68,AI70,AI72,AI74,AI76,AI78,AI80,AI82,AI84,AI86,AI88,AI90,AI92,AI94,AI96,AI98)</f>
        <v>0</v>
      </c>
      <c r="AJ100" s="756"/>
      <c r="AK100" s="182"/>
      <c r="AL100" s="182"/>
      <c r="AM100" s="182"/>
      <c r="AN100" s="182"/>
      <c r="AO100" s="182"/>
      <c r="AP100" s="182"/>
      <c r="AQ100" s="182"/>
      <c r="AR100" s="182"/>
      <c r="AS100" s="182"/>
      <c r="AT100" s="182"/>
      <c r="AU100" s="182"/>
      <c r="AV100" s="182"/>
      <c r="AW100" s="182"/>
      <c r="AX100" s="182"/>
    </row>
    <row r="101" spans="1:50" x14ac:dyDescent="0.3">
      <c r="A101" s="1374"/>
      <c r="B101" s="1374"/>
      <c r="C101" s="1374"/>
      <c r="D101" s="753" t="s">
        <v>33</v>
      </c>
      <c r="E101" s="753">
        <f t="shared" si="70"/>
        <v>2</v>
      </c>
      <c r="F101" s="753">
        <f t="shared" si="70"/>
        <v>0</v>
      </c>
      <c r="G101" s="753">
        <f t="shared" si="70"/>
        <v>0</v>
      </c>
      <c r="H101" s="753">
        <f t="shared" si="70"/>
        <v>0</v>
      </c>
      <c r="I101" s="753">
        <f t="shared" si="70"/>
        <v>1</v>
      </c>
      <c r="J101" s="753">
        <f t="shared" si="70"/>
        <v>0</v>
      </c>
      <c r="K101" s="753">
        <f t="shared" si="70"/>
        <v>0</v>
      </c>
      <c r="L101" s="753">
        <f t="shared" si="70"/>
        <v>0</v>
      </c>
      <c r="M101" s="753">
        <f t="shared" si="70"/>
        <v>1</v>
      </c>
      <c r="N101" s="753">
        <f t="shared" si="70"/>
        <v>3</v>
      </c>
      <c r="O101" s="753">
        <f t="shared" si="70"/>
        <v>9</v>
      </c>
      <c r="P101" s="753">
        <f t="shared" si="70"/>
        <v>0</v>
      </c>
      <c r="Q101" s="753">
        <f t="shared" si="70"/>
        <v>0</v>
      </c>
      <c r="R101" s="753">
        <f>SUM(R57,R59,R61,R63,R65,R67,R69,R71,R73,R75,R77,R79,R81,R83,R85,R87,R89,R91,R93,R95)</f>
        <v>0</v>
      </c>
      <c r="S101" s="753">
        <f t="shared" si="70"/>
        <v>0</v>
      </c>
      <c r="T101" s="753">
        <f t="shared" si="70"/>
        <v>0</v>
      </c>
      <c r="U101" s="737">
        <f t="shared" si="70"/>
        <v>16</v>
      </c>
      <c r="V101" s="754">
        <f t="shared" si="70"/>
        <v>8</v>
      </c>
      <c r="W101" s="755">
        <f t="shared" si="70"/>
        <v>0</v>
      </c>
      <c r="X101" s="755">
        <f t="shared" si="70"/>
        <v>0</v>
      </c>
      <c r="Y101" s="755">
        <f t="shared" si="70"/>
        <v>0</v>
      </c>
      <c r="Z101" s="755">
        <f t="shared" si="70"/>
        <v>0</v>
      </c>
      <c r="AA101" s="755">
        <f t="shared" si="70"/>
        <v>0</v>
      </c>
      <c r="AB101" s="755">
        <f t="shared" si="70"/>
        <v>0</v>
      </c>
      <c r="AC101" s="755">
        <f t="shared" si="70"/>
        <v>0</v>
      </c>
      <c r="AD101" s="755">
        <f t="shared" si="70"/>
        <v>0</v>
      </c>
      <c r="AE101" s="755">
        <f t="shared" si="70"/>
        <v>0</v>
      </c>
      <c r="AF101" s="755">
        <f t="shared" si="70"/>
        <v>0</v>
      </c>
      <c r="AG101" s="755">
        <f t="shared" si="70"/>
        <v>0</v>
      </c>
      <c r="AH101" s="755">
        <f>SUM(AH57,AH59,AH61,AH63,AH65,AH67,AH69,AH71,AH73,AH75,AH77,AH79,AH81,AH83,AH85,AH87,AH89,AH91,AH93,AH95,AH97,AH99)</f>
        <v>0</v>
      </c>
      <c r="AI101" s="755">
        <f>SUM(AI57,AI59,AI61,AI63,AI65,AI67,AI69,AI71,AI73,AI75,AI77,AI79,AI81,AI83,AI85,AI87,AI89,AI91,AI93,AI95,AI97,AI99)</f>
        <v>0</v>
      </c>
      <c r="AJ101" s="182"/>
      <c r="AK101" s="182"/>
      <c r="AL101" s="182"/>
      <c r="AM101" s="182"/>
      <c r="AN101" s="182"/>
      <c r="AO101" s="182"/>
      <c r="AP101" s="182"/>
      <c r="AQ101" s="182"/>
      <c r="AR101" s="182"/>
      <c r="AS101" s="182"/>
      <c r="AT101" s="182"/>
      <c r="AU101" s="182"/>
      <c r="AV101" s="182"/>
      <c r="AW101" s="182"/>
      <c r="AX101" s="182"/>
    </row>
    <row r="102" spans="1:50" x14ac:dyDescent="0.3">
      <c r="A102" s="1374"/>
      <c r="B102" s="1374"/>
      <c r="C102" s="1374"/>
      <c r="D102" s="737" t="s">
        <v>19</v>
      </c>
      <c r="E102" s="737">
        <f t="shared" ref="E102:AI102" si="71">SUM(E100,E101)</f>
        <v>4</v>
      </c>
      <c r="F102" s="737">
        <f t="shared" si="71"/>
        <v>0</v>
      </c>
      <c r="G102" s="737">
        <f t="shared" si="71"/>
        <v>1</v>
      </c>
      <c r="H102" s="737">
        <f t="shared" si="71"/>
        <v>0</v>
      </c>
      <c r="I102" s="737">
        <f t="shared" si="71"/>
        <v>4</v>
      </c>
      <c r="J102" s="737">
        <f t="shared" si="71"/>
        <v>0</v>
      </c>
      <c r="K102" s="737">
        <f t="shared" si="71"/>
        <v>2</v>
      </c>
      <c r="L102" s="737">
        <f t="shared" si="71"/>
        <v>1</v>
      </c>
      <c r="M102" s="737">
        <f t="shared" si="71"/>
        <v>2</v>
      </c>
      <c r="N102" s="737">
        <f t="shared" si="71"/>
        <v>3</v>
      </c>
      <c r="O102" s="737">
        <f t="shared" si="71"/>
        <v>13</v>
      </c>
      <c r="P102" s="737">
        <f t="shared" si="71"/>
        <v>0</v>
      </c>
      <c r="Q102" s="737">
        <f t="shared" si="71"/>
        <v>0</v>
      </c>
      <c r="R102" s="737">
        <f>SUM(R100,R101)</f>
        <v>0</v>
      </c>
      <c r="S102" s="737">
        <f t="shared" si="71"/>
        <v>0</v>
      </c>
      <c r="T102" s="737">
        <f t="shared" si="71"/>
        <v>0</v>
      </c>
      <c r="U102" s="757">
        <f t="shared" si="71"/>
        <v>30</v>
      </c>
      <c r="V102" s="758">
        <f t="shared" si="71"/>
        <v>15</v>
      </c>
      <c r="W102" s="755">
        <f t="shared" si="71"/>
        <v>0</v>
      </c>
      <c r="X102" s="755">
        <f t="shared" si="71"/>
        <v>0</v>
      </c>
      <c r="Y102" s="755">
        <f t="shared" si="71"/>
        <v>0</v>
      </c>
      <c r="Z102" s="755">
        <f t="shared" si="71"/>
        <v>0</v>
      </c>
      <c r="AA102" s="755">
        <f t="shared" si="71"/>
        <v>0</v>
      </c>
      <c r="AB102" s="755">
        <f t="shared" si="71"/>
        <v>0</v>
      </c>
      <c r="AC102" s="755">
        <f t="shared" si="71"/>
        <v>0</v>
      </c>
      <c r="AD102" s="755">
        <f t="shared" si="71"/>
        <v>0</v>
      </c>
      <c r="AE102" s="755">
        <f t="shared" si="71"/>
        <v>0</v>
      </c>
      <c r="AF102" s="755">
        <f t="shared" si="71"/>
        <v>0</v>
      </c>
      <c r="AG102" s="755">
        <f t="shared" si="71"/>
        <v>0</v>
      </c>
      <c r="AH102" s="755">
        <f t="shared" si="71"/>
        <v>0</v>
      </c>
      <c r="AI102" s="755">
        <f t="shared" si="71"/>
        <v>0</v>
      </c>
      <c r="AJ102" s="182"/>
      <c r="AK102" s="182"/>
      <c r="AL102" s="182"/>
      <c r="AM102" s="182"/>
      <c r="AN102" s="182"/>
      <c r="AO102" s="182"/>
      <c r="AP102" s="182"/>
      <c r="AQ102" s="182"/>
      <c r="AR102" s="182"/>
      <c r="AS102" s="182"/>
      <c r="AT102" s="182"/>
      <c r="AU102" s="182"/>
      <c r="AV102" s="182"/>
      <c r="AW102" s="182"/>
      <c r="AX102" s="182"/>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R28"/>
  <sheetViews>
    <sheetView topLeftCell="A8" workbookViewId="0">
      <selection sqref="A1:K1"/>
    </sheetView>
  </sheetViews>
  <sheetFormatPr defaultColWidth="9.33203125" defaultRowHeight="13.8" x14ac:dyDescent="0.3"/>
  <cols>
    <col min="1" max="16384" width="9.33203125" style="16"/>
  </cols>
  <sheetData>
    <row r="1" spans="1:18" ht="25.95" customHeight="1" x14ac:dyDescent="0.3">
      <c r="A1" s="900" t="s">
        <v>632</v>
      </c>
      <c r="B1" s="900"/>
      <c r="C1" s="900"/>
      <c r="D1" s="900"/>
      <c r="E1" s="900"/>
      <c r="F1" s="900"/>
      <c r="G1" s="900"/>
      <c r="H1" s="900"/>
      <c r="I1" s="900"/>
      <c r="J1" s="900"/>
      <c r="K1" s="900"/>
    </row>
    <row r="2" spans="1:18" x14ac:dyDescent="0.3">
      <c r="A2" s="850"/>
      <c r="B2" s="850"/>
      <c r="C2" s="850"/>
      <c r="D2" s="850"/>
      <c r="E2" s="850"/>
      <c r="F2" s="850"/>
      <c r="G2" s="850"/>
      <c r="H2" s="850"/>
      <c r="I2" s="850"/>
      <c r="J2" s="850"/>
      <c r="K2" s="850"/>
    </row>
    <row r="3" spans="1:18" x14ac:dyDescent="0.3">
      <c r="A3" s="16" t="s">
        <v>638</v>
      </c>
    </row>
    <row r="5" spans="1:18" x14ac:dyDescent="0.3">
      <c r="A5" s="759" t="s">
        <v>628</v>
      </c>
    </row>
    <row r="6" spans="1:18" x14ac:dyDescent="0.3">
      <c r="A6" s="855" t="s">
        <v>627</v>
      </c>
      <c r="B6" s="856"/>
      <c r="C6" s="856" t="s">
        <v>639</v>
      </c>
      <c r="D6" s="856"/>
      <c r="E6" s="856"/>
      <c r="F6" s="856"/>
      <c r="G6" s="856"/>
      <c r="H6" s="856"/>
      <c r="I6" s="856"/>
      <c r="J6" s="856"/>
      <c r="K6" s="856"/>
    </row>
    <row r="7" spans="1:18" ht="39" customHeight="1" x14ac:dyDescent="0.3">
      <c r="A7" s="899" t="s">
        <v>645</v>
      </c>
      <c r="B7" s="899"/>
      <c r="C7" s="899"/>
      <c r="D7" s="899"/>
      <c r="E7" s="899"/>
      <c r="F7" s="899"/>
      <c r="G7" s="899"/>
      <c r="H7" s="899"/>
      <c r="I7" s="899"/>
      <c r="J7" s="899"/>
      <c r="K7" s="899"/>
    </row>
    <row r="8" spans="1:18" ht="4.2" customHeight="1" x14ac:dyDescent="0.3">
      <c r="A8" s="856"/>
      <c r="B8" s="856"/>
      <c r="C8" s="856"/>
      <c r="D8" s="856"/>
      <c r="E8" s="856"/>
      <c r="F8" s="856"/>
      <c r="G8" s="856"/>
      <c r="H8" s="856"/>
      <c r="I8" s="856"/>
      <c r="J8" s="856"/>
      <c r="K8" s="856"/>
    </row>
    <row r="9" spans="1:18" ht="39" customHeight="1" x14ac:dyDescent="0.3">
      <c r="A9" s="899" t="s">
        <v>646</v>
      </c>
      <c r="B9" s="899"/>
      <c r="C9" s="899"/>
      <c r="D9" s="899"/>
      <c r="E9" s="899"/>
      <c r="F9" s="899"/>
      <c r="G9" s="899"/>
      <c r="H9" s="899"/>
      <c r="I9" s="899"/>
      <c r="J9" s="899"/>
      <c r="K9" s="899"/>
      <c r="L9" s="854"/>
      <c r="M9" s="854"/>
      <c r="N9" s="854"/>
      <c r="O9" s="854"/>
      <c r="P9" s="854"/>
      <c r="Q9" s="854"/>
      <c r="R9" s="854"/>
    </row>
    <row r="10" spans="1:18" ht="4.2" customHeight="1" x14ac:dyDescent="0.3">
      <c r="A10" s="857"/>
      <c r="B10" s="857"/>
      <c r="C10" s="857"/>
      <c r="D10" s="857"/>
      <c r="E10" s="857"/>
      <c r="F10" s="857"/>
      <c r="G10" s="857"/>
      <c r="H10" s="857"/>
      <c r="I10" s="857"/>
      <c r="J10" s="857"/>
      <c r="K10" s="857"/>
      <c r="L10" s="854"/>
      <c r="M10" s="854"/>
      <c r="N10" s="854"/>
      <c r="O10" s="854"/>
      <c r="P10" s="854"/>
      <c r="Q10" s="854"/>
      <c r="R10" s="854"/>
    </row>
    <row r="11" spans="1:18" ht="25.95" customHeight="1" x14ac:dyDescent="0.3">
      <c r="A11" s="899" t="s">
        <v>633</v>
      </c>
      <c r="B11" s="899"/>
      <c r="C11" s="899"/>
      <c r="D11" s="899"/>
      <c r="E11" s="899"/>
      <c r="F11" s="899"/>
      <c r="G11" s="899"/>
      <c r="H11" s="899"/>
      <c r="I11" s="899"/>
      <c r="J11" s="899"/>
      <c r="K11" s="899"/>
      <c r="L11" s="854"/>
      <c r="M11" s="854"/>
      <c r="N11" s="854"/>
      <c r="O11" s="854"/>
      <c r="P11" s="854"/>
      <c r="Q11" s="854"/>
      <c r="R11" s="854"/>
    </row>
    <row r="12" spans="1:18" x14ac:dyDescent="0.3">
      <c r="A12" s="856"/>
      <c r="B12" s="856"/>
      <c r="C12" s="856"/>
      <c r="D12" s="856"/>
      <c r="E12" s="856"/>
      <c r="F12" s="856"/>
      <c r="G12" s="856"/>
      <c r="H12" s="856"/>
      <c r="I12" s="856"/>
      <c r="J12" s="856"/>
      <c r="K12" s="856"/>
    </row>
    <row r="13" spans="1:18" x14ac:dyDescent="0.3">
      <c r="A13" s="855" t="s">
        <v>629</v>
      </c>
      <c r="B13" s="856"/>
      <c r="C13" s="856"/>
      <c r="D13" s="856"/>
      <c r="E13" s="856"/>
      <c r="F13" s="856"/>
      <c r="G13" s="856"/>
      <c r="H13" s="856"/>
      <c r="I13" s="856"/>
      <c r="J13" s="856"/>
      <c r="K13" s="856"/>
    </row>
    <row r="14" spans="1:18" x14ac:dyDescent="0.3">
      <c r="A14" s="856" t="s">
        <v>630</v>
      </c>
      <c r="B14" s="856"/>
      <c r="C14" s="856"/>
      <c r="D14" s="856"/>
      <c r="E14" s="856"/>
      <c r="F14" s="856"/>
      <c r="G14" s="856"/>
      <c r="H14" s="856"/>
      <c r="I14" s="856"/>
      <c r="J14" s="856"/>
      <c r="K14" s="856"/>
    </row>
    <row r="15" spans="1:18" ht="25.95" customHeight="1" x14ac:dyDescent="0.3">
      <c r="A15" s="899" t="s">
        <v>635</v>
      </c>
      <c r="B15" s="899"/>
      <c r="C15" s="899"/>
      <c r="D15" s="899"/>
      <c r="E15" s="899"/>
      <c r="F15" s="899"/>
      <c r="G15" s="899"/>
      <c r="H15" s="899"/>
      <c r="I15" s="899"/>
      <c r="J15" s="899"/>
      <c r="K15" s="899"/>
    </row>
    <row r="17" spans="1:11" x14ac:dyDescent="0.3">
      <c r="A17" s="759" t="s">
        <v>631</v>
      </c>
    </row>
    <row r="18" spans="1:11" x14ac:dyDescent="0.3">
      <c r="A18" s="855" t="s">
        <v>627</v>
      </c>
      <c r="B18" s="856"/>
      <c r="C18" s="856" t="s">
        <v>640</v>
      </c>
      <c r="D18" s="856"/>
      <c r="E18" s="856"/>
      <c r="F18" s="856"/>
      <c r="G18" s="856"/>
      <c r="H18" s="856"/>
      <c r="I18" s="856"/>
      <c r="J18" s="856"/>
      <c r="K18" s="856"/>
    </row>
    <row r="19" spans="1:11" ht="52.2" customHeight="1" x14ac:dyDescent="0.3">
      <c r="A19" s="899" t="s">
        <v>637</v>
      </c>
      <c r="B19" s="899"/>
      <c r="C19" s="899"/>
      <c r="D19" s="899"/>
      <c r="E19" s="899"/>
      <c r="F19" s="899"/>
      <c r="G19" s="899"/>
      <c r="H19" s="899"/>
      <c r="I19" s="899"/>
      <c r="J19" s="899"/>
      <c r="K19" s="899"/>
    </row>
    <row r="20" spans="1:11" x14ac:dyDescent="0.3">
      <c r="A20" s="856"/>
      <c r="B20" s="856"/>
      <c r="C20" s="856"/>
      <c r="D20" s="856"/>
      <c r="E20" s="856"/>
      <c r="F20" s="856"/>
      <c r="G20" s="856"/>
      <c r="H20" s="856"/>
      <c r="I20" s="856"/>
      <c r="J20" s="856"/>
      <c r="K20" s="856"/>
    </row>
    <row r="21" spans="1:11" ht="67.2" customHeight="1" x14ac:dyDescent="0.3">
      <c r="A21" s="899" t="s">
        <v>647</v>
      </c>
      <c r="B21" s="899"/>
      <c r="C21" s="899"/>
      <c r="D21" s="899"/>
      <c r="E21" s="899"/>
      <c r="F21" s="899"/>
      <c r="G21" s="899"/>
      <c r="H21" s="899"/>
      <c r="I21" s="899"/>
      <c r="J21" s="899"/>
      <c r="K21" s="899"/>
    </row>
    <row r="22" spans="1:11" ht="4.2" customHeight="1" x14ac:dyDescent="0.3">
      <c r="A22" s="857"/>
      <c r="B22" s="857"/>
      <c r="C22" s="857"/>
      <c r="D22" s="857"/>
      <c r="E22" s="857"/>
      <c r="F22" s="857"/>
      <c r="G22" s="857"/>
      <c r="H22" s="857"/>
      <c r="I22" s="857"/>
      <c r="J22" s="857"/>
      <c r="K22" s="857"/>
    </row>
    <row r="23" spans="1:11" ht="52.2" customHeight="1" x14ac:dyDescent="0.3">
      <c r="A23" s="899" t="s">
        <v>641</v>
      </c>
      <c r="B23" s="899"/>
      <c r="C23" s="899"/>
      <c r="D23" s="899"/>
      <c r="E23" s="899"/>
      <c r="F23" s="899"/>
      <c r="G23" s="899"/>
      <c r="H23" s="899"/>
      <c r="I23" s="899"/>
      <c r="J23" s="899"/>
      <c r="K23" s="899"/>
    </row>
    <row r="24" spans="1:11" x14ac:dyDescent="0.3">
      <c r="A24" s="857"/>
      <c r="B24" s="857"/>
      <c r="C24" s="857"/>
      <c r="D24" s="857"/>
      <c r="E24" s="857"/>
      <c r="F24" s="857"/>
      <c r="G24" s="857"/>
      <c r="H24" s="857"/>
      <c r="I24" s="857"/>
      <c r="J24" s="857"/>
      <c r="K24" s="857"/>
    </row>
    <row r="25" spans="1:11" x14ac:dyDescent="0.3">
      <c r="A25" s="855" t="s">
        <v>629</v>
      </c>
      <c r="B25" s="856"/>
      <c r="C25" s="856"/>
      <c r="D25" s="856"/>
      <c r="E25" s="856"/>
      <c r="F25" s="856"/>
      <c r="G25" s="856"/>
      <c r="H25" s="856"/>
      <c r="I25" s="856"/>
      <c r="J25" s="856"/>
      <c r="K25" s="856"/>
    </row>
    <row r="26" spans="1:11" ht="25.95" customHeight="1" x14ac:dyDescent="0.3">
      <c r="A26" s="899" t="s">
        <v>636</v>
      </c>
      <c r="B26" s="899"/>
      <c r="C26" s="899"/>
      <c r="D26" s="899"/>
      <c r="E26" s="899"/>
      <c r="F26" s="899"/>
      <c r="G26" s="899"/>
      <c r="H26" s="899"/>
      <c r="I26" s="899"/>
      <c r="J26" s="899"/>
      <c r="K26" s="899"/>
    </row>
    <row r="27" spans="1:11" ht="4.2" customHeight="1" x14ac:dyDescent="0.3">
      <c r="A27" s="857"/>
      <c r="B27" s="857"/>
      <c r="C27" s="857"/>
      <c r="D27" s="857"/>
      <c r="E27" s="857"/>
      <c r="F27" s="857"/>
      <c r="G27" s="857"/>
      <c r="H27" s="857"/>
      <c r="I27" s="857"/>
      <c r="J27" s="857"/>
      <c r="K27" s="857"/>
    </row>
    <row r="28" spans="1:11" ht="67.2" customHeight="1" x14ac:dyDescent="0.3">
      <c r="A28" s="899" t="s">
        <v>648</v>
      </c>
      <c r="B28" s="899"/>
      <c r="C28" s="899"/>
      <c r="D28" s="899"/>
      <c r="E28" s="899"/>
      <c r="F28" s="899"/>
      <c r="G28" s="899"/>
      <c r="H28" s="899"/>
      <c r="I28" s="899"/>
      <c r="J28" s="899"/>
      <c r="K28" s="899"/>
    </row>
  </sheetData>
  <mergeCells count="10">
    <mergeCell ref="A7:K7"/>
    <mergeCell ref="A9:K9"/>
    <mergeCell ref="A1:K1"/>
    <mergeCell ref="A15:K15"/>
    <mergeCell ref="A28:K28"/>
    <mergeCell ref="A19:K19"/>
    <mergeCell ref="A21:K21"/>
    <mergeCell ref="A11:K11"/>
    <mergeCell ref="A26:K26"/>
    <mergeCell ref="A23:K23"/>
  </mergeCells>
  <pageMargins left="0.7" right="0.7" top="0.86250000000000004" bottom="0.75" header="0.3" footer="0.3"/>
  <pageSetup scale="90" orientation="portrait" verticalDpi="0"/>
  <headerFooter>
    <oddHeader>&amp;L&amp;G&amp;"-,Regular"&amp;36&amp;A&amp;R&amp;"-,Regular"'&amp;A' revision 140421
StatsBook © 2008–2014 WFTDA</oddHeader>
  </headerFooter>
  <legacyDrawingHF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indexed="13"/>
  </sheetPr>
  <dimension ref="A1:AE231"/>
  <sheetViews>
    <sheetView zoomScaleSheetLayoutView="30" workbookViewId="0"/>
  </sheetViews>
  <sheetFormatPr defaultColWidth="8.6640625" defaultRowHeight="13.8" x14ac:dyDescent="0.25"/>
  <cols>
    <col min="1" max="238" width="11.44140625" style="81" customWidth="1"/>
    <col min="239" max="16384" width="8.6640625" style="81"/>
  </cols>
  <sheetData>
    <row r="1" spans="1:31" x14ac:dyDescent="0.25">
      <c r="A1" s="345" t="s">
        <v>17</v>
      </c>
      <c r="B1" s="345" t="s">
        <v>18</v>
      </c>
      <c r="C1" s="346">
        <f>COLUMN(Score!B3)</f>
        <v>2</v>
      </c>
      <c r="D1" s="346">
        <f>COLUMN(Score!Q3)</f>
        <v>17</v>
      </c>
      <c r="E1" s="347"/>
      <c r="F1" s="347"/>
      <c r="G1" s="357">
        <f>COLUMN(Score!C3)</f>
        <v>3</v>
      </c>
      <c r="H1" s="357">
        <f>COLUMN(Score!D3)</f>
        <v>4</v>
      </c>
      <c r="I1" s="348"/>
      <c r="J1" s="357">
        <f>COLUMN(Score!E3)</f>
        <v>5</v>
      </c>
      <c r="K1" s="357">
        <f>COLUMN(Score!F3)</f>
        <v>6</v>
      </c>
      <c r="L1" s="357">
        <f>COLUMN(Score!G3)</f>
        <v>7</v>
      </c>
      <c r="M1" s="346">
        <f>COLUMN(Score!S3)</f>
        <v>19</v>
      </c>
      <c r="N1" s="346">
        <f>COLUMN('Game Clock'!B10)</f>
        <v>2</v>
      </c>
      <c r="O1" s="347"/>
      <c r="Q1" s="345" t="s">
        <v>17</v>
      </c>
      <c r="R1" s="345" t="s">
        <v>20</v>
      </c>
      <c r="S1" s="346">
        <f>COLUMN(Score!U3)</f>
        <v>21</v>
      </c>
      <c r="T1" s="346">
        <f>COLUMN(Score!AJ3)</f>
        <v>36</v>
      </c>
      <c r="U1" s="347"/>
      <c r="V1" s="347"/>
      <c r="W1" s="357">
        <f>COLUMN(Score!V3)</f>
        <v>22</v>
      </c>
      <c r="X1" s="357">
        <f>COLUMN(Score!W3)</f>
        <v>23</v>
      </c>
      <c r="Y1" s="348"/>
      <c r="Z1" s="357">
        <f>COLUMN(Score!X3)</f>
        <v>24</v>
      </c>
      <c r="AA1" s="357">
        <f>COLUMN(Score!Y3)</f>
        <v>25</v>
      </c>
      <c r="AB1" s="357">
        <f>COLUMN(Score!Z3)</f>
        <v>26</v>
      </c>
      <c r="AC1" s="346">
        <f>COLUMN(Score!AL3)</f>
        <v>38</v>
      </c>
      <c r="AD1" s="346"/>
      <c r="AE1" s="347"/>
    </row>
    <row r="2" spans="1:31" x14ac:dyDescent="0.25">
      <c r="A2" s="347" t="s">
        <v>8</v>
      </c>
      <c r="B2" s="347" t="s">
        <v>21</v>
      </c>
      <c r="C2" s="347" t="s">
        <v>177</v>
      </c>
      <c r="D2" s="347" t="s">
        <v>241</v>
      </c>
      <c r="E2" s="347" t="s">
        <v>22</v>
      </c>
      <c r="F2" s="347" t="s">
        <v>23</v>
      </c>
      <c r="G2" s="358" t="s">
        <v>24</v>
      </c>
      <c r="H2" s="358" t="s">
        <v>25</v>
      </c>
      <c r="I2" s="348" t="s">
        <v>26</v>
      </c>
      <c r="J2" s="358" t="s">
        <v>27</v>
      </c>
      <c r="K2" s="358" t="s">
        <v>28</v>
      </c>
      <c r="L2" s="358" t="s">
        <v>263</v>
      </c>
      <c r="M2" s="347" t="s">
        <v>185</v>
      </c>
      <c r="N2" s="347" t="s">
        <v>29</v>
      </c>
      <c r="O2" s="347" t="s">
        <v>30</v>
      </c>
      <c r="Q2" s="347" t="s">
        <v>8</v>
      </c>
      <c r="R2" s="347" t="s">
        <v>21</v>
      </c>
      <c r="S2" s="347" t="s">
        <v>177</v>
      </c>
      <c r="T2" s="347" t="s">
        <v>241</v>
      </c>
      <c r="U2" s="347" t="s">
        <v>22</v>
      </c>
      <c r="V2" s="347" t="s">
        <v>23</v>
      </c>
      <c r="W2" s="358" t="s">
        <v>24</v>
      </c>
      <c r="X2" s="358" t="s">
        <v>25</v>
      </c>
      <c r="Y2" s="348" t="s">
        <v>26</v>
      </c>
      <c r="Z2" s="358" t="s">
        <v>27</v>
      </c>
      <c r="AA2" s="358" t="s">
        <v>28</v>
      </c>
      <c r="AB2" s="358" t="s">
        <v>263</v>
      </c>
      <c r="AC2" s="347" t="s">
        <v>185</v>
      </c>
      <c r="AD2" s="347" t="s">
        <v>29</v>
      </c>
      <c r="AE2" s="347" t="s">
        <v>30</v>
      </c>
    </row>
    <row r="3" spans="1:31" x14ac:dyDescent="0.25">
      <c r="A3" s="229">
        <v>1</v>
      </c>
      <c r="B3" s="81">
        <f>IF(ISNA(MATCH($A3,Score!A$4:A$41,0)),"",MATCH($A3,Score!A$4:A$41,0)+ROW(Score!A$3))</f>
        <v>4</v>
      </c>
      <c r="C3" s="230" t="str">
        <f t="shared" ref="C3:D22" ca="1" si="0">IF($B3="","",INDIRECT(ADDRESS($B3,C$1,1,,"Score")))</f>
        <v>911</v>
      </c>
      <c r="D3" s="81">
        <f t="shared" ca="1" si="0"/>
        <v>20</v>
      </c>
      <c r="E3" s="229">
        <f ca="1">IF(B3="","",SUM(D3,D4))</f>
        <v>20</v>
      </c>
      <c r="F3" s="229">
        <f ca="1">IF(B3="","",E3-U3)</f>
        <v>20</v>
      </c>
      <c r="G3" s="359">
        <f ca="1">IF($B3="","",IF(ISBLANK(INDIRECT(ADDRESS($B3,G$1,1,,"Score"))),"",1))</f>
        <v>1</v>
      </c>
      <c r="H3" s="359">
        <f ca="1">IF($B3="","",IF(ISBLANK(INDIRECT(ADDRESS($B3,H$1,1,,"Score"))),"",1))</f>
        <v>1</v>
      </c>
      <c r="I3" s="349">
        <f ca="1">IF(H3=1,F3,"")</f>
        <v>20</v>
      </c>
      <c r="J3" s="359" t="str">
        <f t="shared" ref="J3:L22" ca="1" si="1">IF($B3="","",IF(ISBLANK(INDIRECT(ADDRESS($B3,J$1,1,,"Score"))),"",1))</f>
        <v/>
      </c>
      <c r="K3" s="359" t="str">
        <f t="shared" ca="1" si="1"/>
        <v/>
      </c>
      <c r="L3" s="359" t="str">
        <f t="shared" ca="1" si="1"/>
        <v/>
      </c>
      <c r="M3" s="81">
        <f t="shared" ref="M3:M22" ca="1" si="2">IF($B3="","",INDIRECT(ADDRESS($B3,M$1,1,,"Score")))</f>
        <v>5</v>
      </c>
      <c r="N3" s="231">
        <f ca="1">IF(ISNA(MATCH($A3,'Game Clock'!A$11:A$40,0)),"",INDIRECT(ADDRESS(MATCH($A3,'Game Clock'!A$11:A$40,0)+ROW('Game Clock'!A$10),N$1,1,,"Game Clock")))</f>
        <v>0</v>
      </c>
      <c r="O3" s="231" t="str">
        <f ca="1">IF(OR(N3="",N3=0),"",60*E3/N3)</f>
        <v/>
      </c>
      <c r="Q3" s="331">
        <v>1</v>
      </c>
      <c r="R3" s="329">
        <f>IF(ISNA(MATCH($Q3,Score!T$4:T$41,0)),"",MATCH($Q3,Score!T$4:T$41,0)++ROW(Score!T$3))</f>
        <v>4</v>
      </c>
      <c r="S3" s="330">
        <f t="shared" ref="S3:T22" ca="1" si="3">IF($R3="","",INDIRECT(ADDRESS($R3,S$1,1,,"Score")))</f>
        <v>0</v>
      </c>
      <c r="T3" s="329">
        <f t="shared" ca="1" si="3"/>
        <v>0</v>
      </c>
      <c r="U3" s="331">
        <f ca="1">IF(R3="","",SUM(T3,T4))</f>
        <v>0</v>
      </c>
      <c r="V3" s="331">
        <f ca="1">IF(R3="","",U3-E3)</f>
        <v>-20</v>
      </c>
      <c r="W3" s="359" t="str">
        <f ca="1">IF($R3="","",IF(ISBLANK(INDIRECT(ADDRESS($R3,W$1,1,,"Score"))),"",1))</f>
        <v/>
      </c>
      <c r="X3" s="359" t="str">
        <f ca="1">IF($R3="","",IF(ISBLANK(INDIRECT(ADDRESS($R3,X$1,1,,"Score"))),"",1))</f>
        <v/>
      </c>
      <c r="Y3" s="349" t="str">
        <f ca="1">IF(X3=1,V3,"")</f>
        <v/>
      </c>
      <c r="Z3" s="359" t="str">
        <f t="shared" ref="Z3:AB22" ca="1" si="4">IF($R3="","",IF(ISBLANK(INDIRECT(ADDRESS($R3,Z$1,1,,"Score"))),"",1))</f>
        <v/>
      </c>
      <c r="AA3" s="359" t="str">
        <f t="shared" ca="1" si="4"/>
        <v/>
      </c>
      <c r="AB3" s="359">
        <f t="shared" ca="1" si="4"/>
        <v>1</v>
      </c>
      <c r="AC3" s="329">
        <f t="shared" ref="AC3:AC22" ca="1" si="5">IF($R3="","",INDIRECT(ADDRESS($R3,AC$1,1,,"Score")))</f>
        <v>0</v>
      </c>
      <c r="AD3" s="231">
        <f ca="1">N3</f>
        <v>0</v>
      </c>
      <c r="AE3" s="231" t="str">
        <f ca="1">IF(OR(AD3="",AD3=0),"",60*U3/AD3)</f>
        <v/>
      </c>
    </row>
    <row r="4" spans="1:31" x14ac:dyDescent="0.25">
      <c r="A4" s="229"/>
      <c r="B4" s="81" t="str">
        <f ca="1">IF($B3="","",IF(INDIRECT(ADDRESS($B3+1,C$1-1,1,,"Score"))="SP",$B3+1,""))</f>
        <v/>
      </c>
      <c r="C4" s="230" t="str">
        <f t="shared" ca="1" si="0"/>
        <v/>
      </c>
      <c r="D4" s="81" t="str">
        <f t="shared" ca="1" si="0"/>
        <v/>
      </c>
      <c r="E4" s="229"/>
      <c r="F4" s="229"/>
      <c r="G4" s="359"/>
      <c r="H4" s="359"/>
      <c r="I4" s="349"/>
      <c r="J4" s="359" t="str">
        <f t="shared" ca="1" si="1"/>
        <v/>
      </c>
      <c r="K4" s="359" t="str">
        <f t="shared" ca="1" si="1"/>
        <v/>
      </c>
      <c r="L4" s="359" t="str">
        <f t="shared" ca="1" si="1"/>
        <v/>
      </c>
      <c r="M4" s="81" t="str">
        <f t="shared" ca="1" si="2"/>
        <v/>
      </c>
      <c r="N4" s="231"/>
      <c r="O4" s="231"/>
      <c r="Q4" s="331"/>
      <c r="R4" s="329" t="str">
        <f ca="1">IF($R3="","",IF(INDIRECT(ADDRESS($R3+1,S$1-1,1,,"Score"))="SP",$R3+1,""))</f>
        <v/>
      </c>
      <c r="S4" s="330" t="str">
        <f t="shared" ca="1" si="3"/>
        <v/>
      </c>
      <c r="T4" s="329" t="str">
        <f t="shared" ca="1" si="3"/>
        <v/>
      </c>
      <c r="U4" s="331"/>
      <c r="V4" s="331"/>
      <c r="W4" s="359"/>
      <c r="X4" s="359"/>
      <c r="Y4" s="349"/>
      <c r="Z4" s="359" t="str">
        <f t="shared" ca="1" si="4"/>
        <v/>
      </c>
      <c r="AA4" s="359" t="str">
        <f t="shared" ca="1" si="4"/>
        <v/>
      </c>
      <c r="AB4" s="359" t="str">
        <f t="shared" ca="1" si="4"/>
        <v/>
      </c>
      <c r="AC4" s="329" t="str">
        <f t="shared" ca="1" si="5"/>
        <v/>
      </c>
      <c r="AD4" s="231"/>
      <c r="AE4" s="231"/>
    </row>
    <row r="5" spans="1:31" x14ac:dyDescent="0.25">
      <c r="A5" s="350">
        <f>A3+1</f>
        <v>2</v>
      </c>
      <c r="B5" s="351">
        <f>IF(ISNA(MATCH($A5,Score!A$4:A$41,0)),"",MATCH($A5,Score!A$4:A$41,0)+ROW(Score!A$3))</f>
        <v>5</v>
      </c>
      <c r="C5" s="352" t="str">
        <f t="shared" ca="1" si="0"/>
        <v>911</v>
      </c>
      <c r="D5" s="351">
        <f t="shared" ca="1" si="0"/>
        <v>0</v>
      </c>
      <c r="E5" s="350">
        <f ca="1">IF(B5="","",SUM(D5,D6))</f>
        <v>0</v>
      </c>
      <c r="F5" s="350">
        <f ca="1">IF(B5="","",E5-U5)</f>
        <v>-7</v>
      </c>
      <c r="G5" s="353" t="str">
        <f ca="1">IF($B5="","",IF(ISBLANK(INDIRECT(ADDRESS($B5,G$1,1,,"Score"))),"",1))</f>
        <v/>
      </c>
      <c r="H5" s="353" t="str">
        <f ca="1">IF($B5="","",IF(ISBLANK(INDIRECT(ADDRESS($B5,H$1,1,,"Score"))),"",1))</f>
        <v/>
      </c>
      <c r="I5" s="355" t="str">
        <f ca="1">IF(H5=1,F5,"")</f>
        <v/>
      </c>
      <c r="J5" s="353" t="str">
        <f t="shared" ca="1" si="1"/>
        <v/>
      </c>
      <c r="K5" s="353" t="str">
        <f t="shared" ca="1" si="1"/>
        <v/>
      </c>
      <c r="L5" s="353" t="str">
        <f t="shared" ca="1" si="1"/>
        <v/>
      </c>
      <c r="M5" s="351">
        <f t="shared" ca="1" si="2"/>
        <v>1</v>
      </c>
      <c r="N5" s="350">
        <f ca="1">IF(ISNA(MATCH($A5,'Game Clock'!A$11:A$40,0)),"",INDIRECT(ADDRESS(MATCH($A5,'Game Clock'!A$11:A$40,0)+ROW('Game Clock'!A$10),N$1,1,,"Game Clock")))</f>
        <v>0</v>
      </c>
      <c r="O5" s="350" t="str">
        <f ca="1">IF(OR(N5="",N5=0),"",60*E5/N5)</f>
        <v/>
      </c>
      <c r="Q5" s="350">
        <f>Q3+1</f>
        <v>2</v>
      </c>
      <c r="R5" s="351">
        <f>IF(ISNA(MATCH($Q5,Score!T$4:T$41,0)),"",MATCH($Q5,Score!T$4:T$41,0)++ROW(Score!T$3))</f>
        <v>5</v>
      </c>
      <c r="S5" s="352" t="str">
        <f t="shared" ca="1" si="3"/>
        <v>9</v>
      </c>
      <c r="T5" s="351">
        <f t="shared" ca="1" si="3"/>
        <v>7</v>
      </c>
      <c r="U5" s="350">
        <f ca="1">IF(R5="","",SUM(T5,T6))</f>
        <v>7</v>
      </c>
      <c r="V5" s="350">
        <f ca="1">IF(R5="","",U5-E5)</f>
        <v>7</v>
      </c>
      <c r="W5" s="353" t="str">
        <f ca="1">IF($R5="","",IF(ISBLANK(INDIRECT(ADDRESS($R5,W$1,1,,"Score"))),"",1))</f>
        <v/>
      </c>
      <c r="X5" s="353">
        <f ca="1">IF($R5="","",IF(ISBLANK(INDIRECT(ADDRESS($R5,X$1,1,,"Score"))),"",1))</f>
        <v>1</v>
      </c>
      <c r="Y5" s="355">
        <f ca="1">IF(X5=1,V5,"")</f>
        <v>7</v>
      </c>
      <c r="Z5" s="353">
        <f t="shared" ca="1" si="4"/>
        <v>1</v>
      </c>
      <c r="AA5" s="353" t="str">
        <f t="shared" ca="1" si="4"/>
        <v/>
      </c>
      <c r="AB5" s="353" t="str">
        <f t="shared" ca="1" si="4"/>
        <v/>
      </c>
      <c r="AC5" s="351">
        <f t="shared" ca="1" si="5"/>
        <v>2</v>
      </c>
      <c r="AD5" s="350">
        <f ca="1">N5</f>
        <v>0</v>
      </c>
      <c r="AE5" s="350" t="str">
        <f ca="1">IF(OR(AD5="",AD5=0),"",60*U5/AD5)</f>
        <v/>
      </c>
    </row>
    <row r="6" spans="1:31" x14ac:dyDescent="0.3">
      <c r="A6" s="350"/>
      <c r="B6" s="351" t="str">
        <f ca="1">IF($B5="","",IF(INDIRECT(ADDRESS($B5+1,C$1-1,1,,"Score"))="SP",$B5+1,""))</f>
        <v/>
      </c>
      <c r="C6" s="352" t="str">
        <f t="shared" ca="1" si="0"/>
        <v/>
      </c>
      <c r="D6" s="351" t="str">
        <f t="shared" ca="1" si="0"/>
        <v/>
      </c>
      <c r="E6" s="350"/>
      <c r="F6" s="350"/>
      <c r="G6" s="353"/>
      <c r="H6" s="354"/>
      <c r="I6" s="355"/>
      <c r="J6" s="353" t="str">
        <f t="shared" ca="1" si="1"/>
        <v/>
      </c>
      <c r="K6" s="353" t="str">
        <f t="shared" ca="1" si="1"/>
        <v/>
      </c>
      <c r="L6" s="353" t="str">
        <f t="shared" ca="1" si="1"/>
        <v/>
      </c>
      <c r="M6" s="351" t="str">
        <f t="shared" ca="1" si="2"/>
        <v/>
      </c>
      <c r="N6" s="350"/>
      <c r="O6" s="350"/>
      <c r="Q6" s="350"/>
      <c r="R6" s="351" t="str">
        <f ca="1">IF($R5="","",IF(INDIRECT(ADDRESS($R5+1,S$1-1,1,,"Score"))="SP",$R5+1,""))</f>
        <v/>
      </c>
      <c r="S6" s="352" t="str">
        <f t="shared" ca="1" si="3"/>
        <v/>
      </c>
      <c r="T6" s="351" t="str">
        <f t="shared" ca="1" si="3"/>
        <v/>
      </c>
      <c r="U6" s="350"/>
      <c r="V6" s="350"/>
      <c r="W6" s="353"/>
      <c r="X6" s="354"/>
      <c r="Y6" s="355"/>
      <c r="Z6" s="353" t="str">
        <f t="shared" ca="1" si="4"/>
        <v/>
      </c>
      <c r="AA6" s="353" t="str">
        <f t="shared" ca="1" si="4"/>
        <v/>
      </c>
      <c r="AB6" s="353" t="str">
        <f t="shared" ca="1" si="4"/>
        <v/>
      </c>
      <c r="AC6" s="351" t="str">
        <f t="shared" ca="1" si="5"/>
        <v/>
      </c>
      <c r="AD6" s="350"/>
      <c r="AE6" s="350"/>
    </row>
    <row r="7" spans="1:31" x14ac:dyDescent="0.25">
      <c r="A7" s="331">
        <f>A5+1</f>
        <v>3</v>
      </c>
      <c r="B7" s="329">
        <f>IF(ISNA(MATCH($A7,Score!A$4:A$41,0)),"",MATCH($A7,Score!A$4:A$41,0)+ROW(Score!A$3))</f>
        <v>6</v>
      </c>
      <c r="C7" s="330" t="str">
        <f t="shared" ca="1" si="0"/>
        <v>761</v>
      </c>
      <c r="D7" s="329">
        <f t="shared" ca="1" si="0"/>
        <v>0</v>
      </c>
      <c r="E7" s="331">
        <f ca="1">IF(B7="","",SUM(D7,D8))</f>
        <v>0</v>
      </c>
      <c r="F7" s="331">
        <f ca="1">IF(B7="","",E7-U7)</f>
        <v>0</v>
      </c>
      <c r="G7" s="359" t="str">
        <f ca="1">IF($B7="","",IF(ISBLANK(INDIRECT(ADDRESS($B7,G$1,1,,"Score"))),"",1))</f>
        <v/>
      </c>
      <c r="H7" s="359">
        <f ca="1">IF($B7="","",IF(ISBLANK(INDIRECT(ADDRESS($B7,H$1,1,,"Score"))),"",1))</f>
        <v>1</v>
      </c>
      <c r="I7" s="349">
        <f ca="1">IF(H7=1,F7,"")</f>
        <v>0</v>
      </c>
      <c r="J7" s="359">
        <f t="shared" ca="1" si="1"/>
        <v>1</v>
      </c>
      <c r="K7" s="359" t="str">
        <f t="shared" ca="1" si="1"/>
        <v/>
      </c>
      <c r="L7" s="359" t="str">
        <f t="shared" ca="1" si="1"/>
        <v/>
      </c>
      <c r="M7" s="329">
        <f t="shared" ca="1" si="2"/>
        <v>1</v>
      </c>
      <c r="N7" s="231">
        <f ca="1">IF(ISNA(MATCH($A7,'Game Clock'!A$11:A$40,0)),"",INDIRECT(ADDRESS(MATCH($A7,'Game Clock'!A$11:A$40,0)+ROW('Game Clock'!A$10),N$1,1,,"Game Clock")))</f>
        <v>0</v>
      </c>
      <c r="O7" s="231" t="str">
        <f ca="1">IF(OR(N7="",N7=0),"",60*E7/N7)</f>
        <v/>
      </c>
      <c r="Q7" s="331">
        <f>Q5+1</f>
        <v>3</v>
      </c>
      <c r="R7" s="329">
        <f>IF(ISNA(MATCH($Q7,Score!T$4:T$41,0)),"",MATCH($Q7,Score!T$4:T$41,0)++ROW(Score!T$3))</f>
        <v>6</v>
      </c>
      <c r="S7" s="330" t="str">
        <f t="shared" ca="1" si="3"/>
        <v>69</v>
      </c>
      <c r="T7" s="329">
        <f t="shared" ca="1" si="3"/>
        <v>0</v>
      </c>
      <c r="U7" s="331">
        <f ca="1">IF(R7="","",SUM(T7,T8))</f>
        <v>0</v>
      </c>
      <c r="V7" s="331">
        <f ca="1">IF(R7="","",U7-E7)</f>
        <v>0</v>
      </c>
      <c r="W7" s="359" t="str">
        <f ca="1">IF($R7="","",IF(ISBLANK(INDIRECT(ADDRESS($R7,W$1,1,,"Score"))),"",1))</f>
        <v/>
      </c>
      <c r="X7" s="359" t="str">
        <f ca="1">IF($R7="","",IF(ISBLANK(INDIRECT(ADDRESS($R7,X$1,1,,"Score"))),"",1))</f>
        <v/>
      </c>
      <c r="Y7" s="349" t="str">
        <f ca="1">IF(X7=1,V7,"")</f>
        <v/>
      </c>
      <c r="Z7" s="359" t="str">
        <f t="shared" ca="1" si="4"/>
        <v/>
      </c>
      <c r="AA7" s="359" t="str">
        <f t="shared" ca="1" si="4"/>
        <v/>
      </c>
      <c r="AB7" s="359" t="str">
        <f t="shared" ca="1" si="4"/>
        <v/>
      </c>
      <c r="AC7" s="329">
        <f t="shared" ca="1" si="5"/>
        <v>1</v>
      </c>
      <c r="AD7" s="231">
        <f ca="1">N7</f>
        <v>0</v>
      </c>
      <c r="AE7" s="231" t="str">
        <f ca="1">IF(OR(AD7="",AD7=0),"",60*U7/AD7)</f>
        <v/>
      </c>
    </row>
    <row r="8" spans="1:31" x14ac:dyDescent="0.25">
      <c r="A8" s="331"/>
      <c r="B8" s="329" t="str">
        <f ca="1">IF($B7="","",IF(INDIRECT(ADDRESS($B7+1,C$1-1,1,,"Score"))="SP",$B7+1,""))</f>
        <v/>
      </c>
      <c r="C8" s="330" t="str">
        <f t="shared" ca="1" si="0"/>
        <v/>
      </c>
      <c r="D8" s="329" t="str">
        <f t="shared" ca="1" si="0"/>
        <v/>
      </c>
      <c r="E8" s="331"/>
      <c r="F8" s="331"/>
      <c r="G8" s="359"/>
      <c r="H8" s="359"/>
      <c r="I8" s="349"/>
      <c r="J8" s="359" t="str">
        <f t="shared" ca="1" si="1"/>
        <v/>
      </c>
      <c r="K8" s="359" t="str">
        <f t="shared" ca="1" si="1"/>
        <v/>
      </c>
      <c r="L8" s="359" t="str">
        <f t="shared" ca="1" si="1"/>
        <v/>
      </c>
      <c r="M8" s="329" t="str">
        <f t="shared" ca="1" si="2"/>
        <v/>
      </c>
      <c r="N8" s="231"/>
      <c r="O8" s="231"/>
      <c r="Q8" s="331"/>
      <c r="R8" s="329" t="str">
        <f ca="1">IF($R7="","",IF(INDIRECT(ADDRESS($R7+1,S$1-1,1,,"Score"))="SP",$R7+1,""))</f>
        <v/>
      </c>
      <c r="S8" s="330" t="str">
        <f t="shared" ca="1" si="3"/>
        <v/>
      </c>
      <c r="T8" s="329" t="str">
        <f t="shared" ca="1" si="3"/>
        <v/>
      </c>
      <c r="U8" s="331"/>
      <c r="V8" s="331"/>
      <c r="W8" s="359"/>
      <c r="X8" s="359"/>
      <c r="Y8" s="349"/>
      <c r="Z8" s="359" t="str">
        <f t="shared" ca="1" si="4"/>
        <v/>
      </c>
      <c r="AA8" s="359" t="str">
        <f t="shared" ca="1" si="4"/>
        <v/>
      </c>
      <c r="AB8" s="359" t="str">
        <f t="shared" ca="1" si="4"/>
        <v/>
      </c>
      <c r="AC8" s="329" t="str">
        <f t="shared" ca="1" si="5"/>
        <v/>
      </c>
      <c r="AD8" s="231"/>
      <c r="AE8" s="231"/>
    </row>
    <row r="9" spans="1:31" x14ac:dyDescent="0.25">
      <c r="A9" s="350">
        <f>A7+1</f>
        <v>4</v>
      </c>
      <c r="B9" s="351">
        <f>IF(ISNA(MATCH($A9,Score!A$4:A$41,0)),"",MATCH($A9,Score!A$4:A$41,0)+ROW(Score!A$3))</f>
        <v>7</v>
      </c>
      <c r="C9" s="352" t="str">
        <f t="shared" ca="1" si="0"/>
        <v>1618</v>
      </c>
      <c r="D9" s="351">
        <f t="shared" ca="1" si="0"/>
        <v>0</v>
      </c>
      <c r="E9" s="350">
        <f ca="1">IF(B9="","",SUM(D9,D10))</f>
        <v>0</v>
      </c>
      <c r="F9" s="350">
        <f ca="1">IF(B9="","",E9-U9)</f>
        <v>-4</v>
      </c>
      <c r="G9" s="353" t="str">
        <f ca="1">IF($B9="","",IF(ISBLANK(INDIRECT(ADDRESS($B9,G$1,1,,"Score"))),"",1))</f>
        <v/>
      </c>
      <c r="H9" s="353" t="str">
        <f ca="1">IF($B9="","",IF(ISBLANK(INDIRECT(ADDRESS($B9,H$1,1,,"Score"))),"",1))</f>
        <v/>
      </c>
      <c r="I9" s="355" t="str">
        <f ca="1">IF(H9=1,F9,"")</f>
        <v/>
      </c>
      <c r="J9" s="353" t="str">
        <f t="shared" ca="1" si="1"/>
        <v/>
      </c>
      <c r="K9" s="353" t="str">
        <f t="shared" ca="1" si="1"/>
        <v/>
      </c>
      <c r="L9" s="353" t="str">
        <f t="shared" ca="1" si="1"/>
        <v/>
      </c>
      <c r="M9" s="351">
        <f t="shared" ca="1" si="2"/>
        <v>1</v>
      </c>
      <c r="N9" s="350">
        <f ca="1">IF(ISNA(MATCH($A9,'Game Clock'!A$11:A$40,0)),"",INDIRECT(ADDRESS(MATCH($A9,'Game Clock'!A$11:A$40,0)+ROW('Game Clock'!A$10),N$1,1,,"Game Clock")))</f>
        <v>0</v>
      </c>
      <c r="O9" s="350" t="str">
        <f ca="1">IF(OR(N9="",N9=0),"",60*E9/N9)</f>
        <v/>
      </c>
      <c r="Q9" s="350">
        <f>Q7+1</f>
        <v>4</v>
      </c>
      <c r="R9" s="351">
        <f>IF(ISNA(MATCH($Q9,Score!T$4:T$41,0)),"",MATCH($Q9,Score!T$4:T$41,0)++ROW(Score!T$3))</f>
        <v>7</v>
      </c>
      <c r="S9" s="352" t="str">
        <f t="shared" ca="1" si="3"/>
        <v>22</v>
      </c>
      <c r="T9" s="351">
        <f t="shared" ca="1" si="3"/>
        <v>4</v>
      </c>
      <c r="U9" s="350">
        <f ca="1">IF(R9="","",SUM(T9,T10))</f>
        <v>4</v>
      </c>
      <c r="V9" s="350">
        <f ca="1">IF(R9="","",U9-E9)</f>
        <v>4</v>
      </c>
      <c r="W9" s="353" t="str">
        <f ca="1">IF($R9="","",IF(ISBLANK(INDIRECT(ADDRESS($R9,W$1,1,,"Score"))),"",1))</f>
        <v/>
      </c>
      <c r="X9" s="353">
        <f ca="1">IF($R9="","",IF(ISBLANK(INDIRECT(ADDRESS($R9,X$1,1,,"Score"))),"",1))</f>
        <v>1</v>
      </c>
      <c r="Y9" s="355">
        <f ca="1">IF(X9=1,V9,"")</f>
        <v>4</v>
      </c>
      <c r="Z9" s="353">
        <f t="shared" ca="1" si="4"/>
        <v>1</v>
      </c>
      <c r="AA9" s="353" t="str">
        <f t="shared" ca="1" si="4"/>
        <v/>
      </c>
      <c r="AB9" s="353" t="str">
        <f t="shared" ca="1" si="4"/>
        <v/>
      </c>
      <c r="AC9" s="351">
        <f t="shared" ca="1" si="5"/>
        <v>1</v>
      </c>
      <c r="AD9" s="350">
        <f ca="1">N9</f>
        <v>0</v>
      </c>
      <c r="AE9" s="350" t="str">
        <f ca="1">IF(OR(AD9="",AD9=0),"",60*U9/AD9)</f>
        <v/>
      </c>
    </row>
    <row r="10" spans="1:31" x14ac:dyDescent="0.3">
      <c r="A10" s="350"/>
      <c r="B10" s="351" t="str">
        <f ca="1">IF($B9="","",IF(INDIRECT(ADDRESS($B9+1,C$1-1,1,,"Score"))="SP",$B9+1,""))</f>
        <v/>
      </c>
      <c r="C10" s="352" t="str">
        <f t="shared" ca="1" si="0"/>
        <v/>
      </c>
      <c r="D10" s="351" t="str">
        <f t="shared" ca="1" si="0"/>
        <v/>
      </c>
      <c r="E10" s="350"/>
      <c r="F10" s="350"/>
      <c r="G10" s="353"/>
      <c r="H10" s="354"/>
      <c r="I10" s="355"/>
      <c r="J10" s="353" t="str">
        <f t="shared" ca="1" si="1"/>
        <v/>
      </c>
      <c r="K10" s="353" t="str">
        <f t="shared" ca="1" si="1"/>
        <v/>
      </c>
      <c r="L10" s="353" t="str">
        <f t="shared" ca="1" si="1"/>
        <v/>
      </c>
      <c r="M10" s="351" t="str">
        <f t="shared" ca="1" si="2"/>
        <v/>
      </c>
      <c r="N10" s="350"/>
      <c r="O10" s="350"/>
      <c r="Q10" s="350"/>
      <c r="R10" s="351" t="str">
        <f ca="1">IF($R9="","",IF(INDIRECT(ADDRESS($R9+1,S$1-1,1,,"Score"))="SP",$R9+1,""))</f>
        <v/>
      </c>
      <c r="S10" s="352" t="str">
        <f t="shared" ca="1" si="3"/>
        <v/>
      </c>
      <c r="T10" s="351" t="str">
        <f t="shared" ca="1" si="3"/>
        <v/>
      </c>
      <c r="U10" s="350"/>
      <c r="V10" s="350"/>
      <c r="W10" s="353"/>
      <c r="X10" s="354"/>
      <c r="Y10" s="355"/>
      <c r="Z10" s="353" t="str">
        <f t="shared" ca="1" si="4"/>
        <v/>
      </c>
      <c r="AA10" s="353" t="str">
        <f t="shared" ca="1" si="4"/>
        <v/>
      </c>
      <c r="AB10" s="353" t="str">
        <f t="shared" ca="1" si="4"/>
        <v/>
      </c>
      <c r="AC10" s="351" t="str">
        <f t="shared" ca="1" si="5"/>
        <v/>
      </c>
      <c r="AD10" s="350"/>
      <c r="AE10" s="350"/>
    </row>
    <row r="11" spans="1:31" x14ac:dyDescent="0.25">
      <c r="A11" s="331">
        <f>A9+1</f>
        <v>5</v>
      </c>
      <c r="B11" s="329">
        <f>IF(ISNA(MATCH($A11,Score!A$4:A$41,0)),"",MATCH($A11,Score!A$4:A$41,0)+ROW(Score!A$3))</f>
        <v>8</v>
      </c>
      <c r="C11" s="330" t="str">
        <f t="shared" ca="1" si="0"/>
        <v>23</v>
      </c>
      <c r="D11" s="329">
        <f t="shared" ca="1" si="0"/>
        <v>3</v>
      </c>
      <c r="E11" s="331">
        <f ca="1">IF(B11="","",SUM(D11,D12))</f>
        <v>3</v>
      </c>
      <c r="F11" s="331">
        <f ca="1">IF(B11="","",E11-U11)</f>
        <v>1</v>
      </c>
      <c r="G11" s="359" t="str">
        <f ca="1">IF($B11="","",IF(ISBLANK(INDIRECT(ADDRESS($B11,G$1,1,,"Score"))),"",1))</f>
        <v/>
      </c>
      <c r="H11" s="359">
        <f ca="1">IF($B11="","",IF(ISBLANK(INDIRECT(ADDRESS($B11,H$1,1,,"Score"))),"",1))</f>
        <v>1</v>
      </c>
      <c r="I11" s="349">
        <f ca="1">IF(H11=1,F11,"")</f>
        <v>1</v>
      </c>
      <c r="J11" s="359">
        <f t="shared" ca="1" si="1"/>
        <v>1</v>
      </c>
      <c r="K11" s="359" t="str">
        <f t="shared" ca="1" si="1"/>
        <v/>
      </c>
      <c r="L11" s="359" t="str">
        <f t="shared" ca="1" si="1"/>
        <v/>
      </c>
      <c r="M11" s="329">
        <f t="shared" ca="1" si="2"/>
        <v>1</v>
      </c>
      <c r="N11" s="231">
        <f ca="1">IF(ISNA(MATCH($A11,'Game Clock'!A$11:A$40,0)),"",INDIRECT(ADDRESS(MATCH($A11,'Game Clock'!A$11:A$40,0)+ROW('Game Clock'!A$10),N$1,1,,"Game Clock")))</f>
        <v>0</v>
      </c>
      <c r="O11" s="231" t="str">
        <f ca="1">IF(OR(N11="",N11=0),"",60*E11/N11)</f>
        <v/>
      </c>
      <c r="Q11" s="331">
        <f>Q9+1</f>
        <v>5</v>
      </c>
      <c r="R11" s="329">
        <f>IF(ISNA(MATCH($Q11,Score!T$4:T$41,0)),"",MATCH($Q11,Score!T$4:T$41,0)++ROW(Score!T$3))</f>
        <v>8</v>
      </c>
      <c r="S11" s="330" t="str">
        <f t="shared" ca="1" si="3"/>
        <v>9</v>
      </c>
      <c r="T11" s="329">
        <f t="shared" ca="1" si="3"/>
        <v>2</v>
      </c>
      <c r="U11" s="331">
        <f ca="1">IF(R11="","",SUM(T11,T12))</f>
        <v>2</v>
      </c>
      <c r="V11" s="331">
        <f ca="1">IF(R11="","",U11-E11)</f>
        <v>-1</v>
      </c>
      <c r="W11" s="359" t="str">
        <f ca="1">IF($R11="","",IF(ISBLANK(INDIRECT(ADDRESS($R11,W$1,1,,"Score"))),"",1))</f>
        <v/>
      </c>
      <c r="X11" s="359" t="str">
        <f ca="1">IF($R11="","",IF(ISBLANK(INDIRECT(ADDRESS($R11,X$1,1,,"Score"))),"",1))</f>
        <v/>
      </c>
      <c r="Y11" s="349" t="str">
        <f ca="1">IF(X11=1,V11,"")</f>
        <v/>
      </c>
      <c r="Z11" s="359" t="str">
        <f t="shared" ca="1" si="4"/>
        <v/>
      </c>
      <c r="AA11" s="359" t="str">
        <f t="shared" ca="1" si="4"/>
        <v/>
      </c>
      <c r="AB11" s="359" t="str">
        <f t="shared" ca="1" si="4"/>
        <v/>
      </c>
      <c r="AC11" s="329">
        <f t="shared" ca="1" si="5"/>
        <v>1</v>
      </c>
      <c r="AD11" s="231">
        <f ca="1">N11</f>
        <v>0</v>
      </c>
      <c r="AE11" s="231" t="str">
        <f ca="1">IF(OR(AD11="",AD11=0),"",60*U11/AD11)</f>
        <v/>
      </c>
    </row>
    <row r="12" spans="1:31" x14ac:dyDescent="0.25">
      <c r="A12" s="331"/>
      <c r="B12" s="329" t="str">
        <f ca="1">IF($B11="","",IF(INDIRECT(ADDRESS($B11+1,C$1-1,1,,"Score"))="SP",$B11+1,""))</f>
        <v/>
      </c>
      <c r="C12" s="330" t="str">
        <f t="shared" ca="1" si="0"/>
        <v/>
      </c>
      <c r="D12" s="329" t="str">
        <f t="shared" ca="1" si="0"/>
        <v/>
      </c>
      <c r="E12" s="331"/>
      <c r="F12" s="331"/>
      <c r="G12" s="359"/>
      <c r="H12" s="359"/>
      <c r="I12" s="349"/>
      <c r="J12" s="359" t="str">
        <f t="shared" ca="1" si="1"/>
        <v/>
      </c>
      <c r="K12" s="359" t="str">
        <f t="shared" ca="1" si="1"/>
        <v/>
      </c>
      <c r="L12" s="359" t="str">
        <f t="shared" ca="1" si="1"/>
        <v/>
      </c>
      <c r="M12" s="329" t="str">
        <f t="shared" ca="1" si="2"/>
        <v/>
      </c>
      <c r="N12" s="231"/>
      <c r="O12" s="231"/>
      <c r="Q12" s="331"/>
      <c r="R12" s="329" t="str">
        <f ca="1">IF($R11="","",IF(INDIRECT(ADDRESS($R11+1,S$1-1,1,,"Score"))="SP",$R11+1,""))</f>
        <v/>
      </c>
      <c r="S12" s="330" t="str">
        <f t="shared" ca="1" si="3"/>
        <v/>
      </c>
      <c r="T12" s="329" t="str">
        <f t="shared" ca="1" si="3"/>
        <v/>
      </c>
      <c r="U12" s="331"/>
      <c r="V12" s="331"/>
      <c r="W12" s="359"/>
      <c r="X12" s="359"/>
      <c r="Y12" s="349"/>
      <c r="Z12" s="359" t="str">
        <f t="shared" ca="1" si="4"/>
        <v/>
      </c>
      <c r="AA12" s="359" t="str">
        <f t="shared" ca="1" si="4"/>
        <v/>
      </c>
      <c r="AB12" s="359" t="str">
        <f t="shared" ca="1" si="4"/>
        <v/>
      </c>
      <c r="AC12" s="329" t="str">
        <f t="shared" ca="1" si="5"/>
        <v/>
      </c>
      <c r="AD12" s="231"/>
      <c r="AE12" s="231"/>
    </row>
    <row r="13" spans="1:31" x14ac:dyDescent="0.25">
      <c r="A13" s="350">
        <f>A11+1</f>
        <v>6</v>
      </c>
      <c r="B13" s="351">
        <f>IF(ISNA(MATCH($A13,Score!A$4:A$41,0)),"",MATCH($A13,Score!A$4:A$41,0)+ROW(Score!A$3))</f>
        <v>9</v>
      </c>
      <c r="C13" s="352" t="str">
        <f t="shared" ca="1" si="0"/>
        <v>911</v>
      </c>
      <c r="D13" s="351">
        <f t="shared" ca="1" si="0"/>
        <v>0</v>
      </c>
      <c r="E13" s="350">
        <f ca="1">IF(B13="","",SUM(D13,D14))</f>
        <v>0</v>
      </c>
      <c r="F13" s="350">
        <f ca="1">IF(B13="","",E13-U13)</f>
        <v>0</v>
      </c>
      <c r="G13" s="353">
        <f ca="1">IF($B13="","",IF(ISBLANK(INDIRECT(ADDRESS($B13,G$1,1,,"Score"))),"",1))</f>
        <v>1</v>
      </c>
      <c r="H13" s="353" t="str">
        <f ca="1">IF($B13="","",IF(ISBLANK(INDIRECT(ADDRESS($B13,H$1,1,,"Score"))),"",1))</f>
        <v/>
      </c>
      <c r="I13" s="355" t="str">
        <f ca="1">IF(H13=1,F13,"")</f>
        <v/>
      </c>
      <c r="J13" s="353" t="str">
        <f t="shared" ca="1" si="1"/>
        <v/>
      </c>
      <c r="K13" s="353" t="str">
        <f t="shared" ca="1" si="1"/>
        <v/>
      </c>
      <c r="L13" s="353">
        <f t="shared" ca="1" si="1"/>
        <v>1</v>
      </c>
      <c r="M13" s="351">
        <f t="shared" ca="1" si="2"/>
        <v>0</v>
      </c>
      <c r="N13" s="350">
        <f ca="1">IF(ISNA(MATCH($A13,'Game Clock'!A$11:A$40,0)),"",INDIRECT(ADDRESS(MATCH($A13,'Game Clock'!A$11:A$40,0)+ROW('Game Clock'!A$10),N$1,1,,"Game Clock")))</f>
        <v>0</v>
      </c>
      <c r="O13" s="350" t="str">
        <f ca="1">IF(OR(N13="",N13=0),"",60*E13/N13)</f>
        <v/>
      </c>
      <c r="Q13" s="350">
        <f>Q11+1</f>
        <v>6</v>
      </c>
      <c r="R13" s="351">
        <f>IF(ISNA(MATCH($Q13,Score!T$4:T$41,0)),"",MATCH($Q13,Score!T$4:T$41,0)++ROW(Score!T$3))</f>
        <v>9</v>
      </c>
      <c r="S13" s="352" t="str">
        <f t="shared" ca="1" si="3"/>
        <v>69</v>
      </c>
      <c r="T13" s="351">
        <f t="shared" ca="1" si="3"/>
        <v>0</v>
      </c>
      <c r="U13" s="350">
        <f ca="1">IF(R13="","",SUM(T13,T14))</f>
        <v>0</v>
      </c>
      <c r="V13" s="350">
        <f ca="1">IF(R13="","",U13-E13)</f>
        <v>0</v>
      </c>
      <c r="W13" s="353" t="str">
        <f ca="1">IF($R13="","",IF(ISBLANK(INDIRECT(ADDRESS($R13,W$1,1,,"Score"))),"",1))</f>
        <v/>
      </c>
      <c r="X13" s="353">
        <f ca="1">IF($R13="","",IF(ISBLANK(INDIRECT(ADDRESS($R13,X$1,1,,"Score"))),"",1))</f>
        <v>1</v>
      </c>
      <c r="Y13" s="355">
        <f ca="1">IF(X13=1,V13,"")</f>
        <v>0</v>
      </c>
      <c r="Z13" s="353">
        <f t="shared" ca="1" si="4"/>
        <v>1</v>
      </c>
      <c r="AA13" s="353" t="str">
        <f t="shared" ca="1" si="4"/>
        <v/>
      </c>
      <c r="AB13" s="353" t="str">
        <f t="shared" ca="1" si="4"/>
        <v/>
      </c>
      <c r="AC13" s="351">
        <f t="shared" ca="1" si="5"/>
        <v>1</v>
      </c>
      <c r="AD13" s="350">
        <f ca="1">N13</f>
        <v>0</v>
      </c>
      <c r="AE13" s="350" t="str">
        <f ca="1">IF(OR(AD13="",AD13=0),"",60*U13/AD13)</f>
        <v/>
      </c>
    </row>
    <row r="14" spans="1:31" x14ac:dyDescent="0.3">
      <c r="A14" s="350"/>
      <c r="B14" s="351" t="str">
        <f ca="1">IF($B13="","",IF(INDIRECT(ADDRESS($B13+1,C$1-1,1,,"Score"))="SP",$B13+1,""))</f>
        <v/>
      </c>
      <c r="C14" s="352" t="str">
        <f t="shared" ca="1" si="0"/>
        <v/>
      </c>
      <c r="D14" s="351" t="str">
        <f t="shared" ca="1" si="0"/>
        <v/>
      </c>
      <c r="E14" s="350"/>
      <c r="F14" s="350"/>
      <c r="G14" s="353"/>
      <c r="H14" s="354"/>
      <c r="I14" s="355"/>
      <c r="J14" s="353" t="str">
        <f t="shared" ca="1" si="1"/>
        <v/>
      </c>
      <c r="K14" s="353" t="str">
        <f t="shared" ca="1" si="1"/>
        <v/>
      </c>
      <c r="L14" s="353" t="str">
        <f t="shared" ca="1" si="1"/>
        <v/>
      </c>
      <c r="M14" s="351" t="str">
        <f t="shared" ca="1" si="2"/>
        <v/>
      </c>
      <c r="N14" s="350"/>
      <c r="O14" s="350"/>
      <c r="Q14" s="350"/>
      <c r="R14" s="351" t="str">
        <f ca="1">IF($R13="","",IF(INDIRECT(ADDRESS($R13+1,S$1-1,1,,"Score"))="SP",$R13+1,""))</f>
        <v/>
      </c>
      <c r="S14" s="352" t="str">
        <f t="shared" ca="1" si="3"/>
        <v/>
      </c>
      <c r="T14" s="351" t="str">
        <f t="shared" ca="1" si="3"/>
        <v/>
      </c>
      <c r="U14" s="350"/>
      <c r="V14" s="350"/>
      <c r="W14" s="353"/>
      <c r="X14" s="354"/>
      <c r="Y14" s="355"/>
      <c r="Z14" s="353" t="str">
        <f t="shared" ca="1" si="4"/>
        <v/>
      </c>
      <c r="AA14" s="353" t="str">
        <f t="shared" ca="1" si="4"/>
        <v/>
      </c>
      <c r="AB14" s="353" t="str">
        <f t="shared" ca="1" si="4"/>
        <v/>
      </c>
      <c r="AC14" s="351" t="str">
        <f t="shared" ca="1" si="5"/>
        <v/>
      </c>
      <c r="AD14" s="350"/>
      <c r="AE14" s="350"/>
    </row>
    <row r="15" spans="1:31" x14ac:dyDescent="0.25">
      <c r="A15" s="331">
        <f>A13+1</f>
        <v>7</v>
      </c>
      <c r="B15" s="329">
        <f>IF(ISNA(MATCH($A15,Score!A$4:A$41,0)),"",MATCH($A15,Score!A$4:A$41,0)+ROW(Score!A$3))</f>
        <v>10</v>
      </c>
      <c r="C15" s="330" t="str">
        <f t="shared" ca="1" si="0"/>
        <v>911</v>
      </c>
      <c r="D15" s="329">
        <f t="shared" ca="1" si="0"/>
        <v>0</v>
      </c>
      <c r="E15" s="331">
        <f ca="1">IF(B15="","",SUM(D15,D16))</f>
        <v>0</v>
      </c>
      <c r="F15" s="331">
        <f ca="1">IF(B15="","",E15-U15)</f>
        <v>-5</v>
      </c>
      <c r="G15" s="359" t="str">
        <f ca="1">IF($B15="","",IF(ISBLANK(INDIRECT(ADDRESS($B15,G$1,1,,"Score"))),"",1))</f>
        <v/>
      </c>
      <c r="H15" s="359" t="str">
        <f ca="1">IF($B15="","",IF(ISBLANK(INDIRECT(ADDRESS($B15,H$1,1,,"Score"))),"",1))</f>
        <v/>
      </c>
      <c r="I15" s="349" t="str">
        <f ca="1">IF(H15=1,F15,"")</f>
        <v/>
      </c>
      <c r="J15" s="359" t="str">
        <f t="shared" ca="1" si="1"/>
        <v/>
      </c>
      <c r="K15" s="359" t="str">
        <f t="shared" ca="1" si="1"/>
        <v/>
      </c>
      <c r="L15" s="359">
        <f t="shared" ca="1" si="1"/>
        <v>1</v>
      </c>
      <c r="M15" s="329">
        <f t="shared" ca="1" si="2"/>
        <v>0</v>
      </c>
      <c r="N15" s="231">
        <f ca="1">IF(ISNA(MATCH($A15,'Game Clock'!A$11:A$40,0)),"",INDIRECT(ADDRESS(MATCH($A15,'Game Clock'!A$11:A$40,0)+ROW('Game Clock'!A$10),N$1,1,,"Game Clock")))</f>
        <v>0</v>
      </c>
      <c r="O15" s="231" t="str">
        <f ca="1">IF(OR(N15="",N15=0),"",60*E15/N15)</f>
        <v/>
      </c>
      <c r="Q15" s="331">
        <f>Q13+1</f>
        <v>7</v>
      </c>
      <c r="R15" s="329">
        <f>IF(ISNA(MATCH($Q15,Score!T$4:T$41,0)),"",MATCH($Q15,Score!T$4:T$41,0)++ROW(Score!T$3))</f>
        <v>10</v>
      </c>
      <c r="S15" s="330" t="str">
        <f t="shared" ca="1" si="3"/>
        <v>22</v>
      </c>
      <c r="T15" s="329">
        <f t="shared" ca="1" si="3"/>
        <v>5</v>
      </c>
      <c r="U15" s="331">
        <f ca="1">IF(R15="","",SUM(T15,T16))</f>
        <v>5</v>
      </c>
      <c r="V15" s="331">
        <f ca="1">IF(R15="","",U15-E15)</f>
        <v>5</v>
      </c>
      <c r="W15" s="359" t="str">
        <f ca="1">IF($R15="","",IF(ISBLANK(INDIRECT(ADDRESS($R15,W$1,1,,"Score"))),"",1))</f>
        <v/>
      </c>
      <c r="X15" s="359">
        <f ca="1">IF($R15="","",IF(ISBLANK(INDIRECT(ADDRESS($R15,X$1,1,,"Score"))),"",1))</f>
        <v>1</v>
      </c>
      <c r="Y15" s="349">
        <f ca="1">IF(X15=1,V15,"")</f>
        <v>5</v>
      </c>
      <c r="Z15" s="359">
        <f t="shared" ca="1" si="4"/>
        <v>1</v>
      </c>
      <c r="AA15" s="359" t="str">
        <f t="shared" ca="1" si="4"/>
        <v/>
      </c>
      <c r="AB15" s="359" t="str">
        <f t="shared" ca="1" si="4"/>
        <v/>
      </c>
      <c r="AC15" s="329">
        <f t="shared" ca="1" si="5"/>
        <v>1</v>
      </c>
      <c r="AD15" s="231">
        <f ca="1">N15</f>
        <v>0</v>
      </c>
      <c r="AE15" s="231" t="str">
        <f ca="1">IF(OR(AD15="",AD15=0),"",60*U15/AD15)</f>
        <v/>
      </c>
    </row>
    <row r="16" spans="1:31" x14ac:dyDescent="0.25">
      <c r="A16" s="331"/>
      <c r="B16" s="329" t="str">
        <f ca="1">IF($B15="","",IF(INDIRECT(ADDRESS($B15+1,C$1-1,1,,"Score"))="SP",$B15+1,""))</f>
        <v/>
      </c>
      <c r="C16" s="330" t="str">
        <f t="shared" ca="1" si="0"/>
        <v/>
      </c>
      <c r="D16" s="329" t="str">
        <f t="shared" ca="1" si="0"/>
        <v/>
      </c>
      <c r="E16" s="331"/>
      <c r="F16" s="331"/>
      <c r="G16" s="359"/>
      <c r="H16" s="359"/>
      <c r="I16" s="349"/>
      <c r="J16" s="359" t="str">
        <f t="shared" ca="1" si="1"/>
        <v/>
      </c>
      <c r="K16" s="359" t="str">
        <f t="shared" ca="1" si="1"/>
        <v/>
      </c>
      <c r="L16" s="359" t="str">
        <f t="shared" ca="1" si="1"/>
        <v/>
      </c>
      <c r="M16" s="329" t="str">
        <f t="shared" ca="1" si="2"/>
        <v/>
      </c>
      <c r="N16" s="231"/>
      <c r="O16" s="231"/>
      <c r="Q16" s="331"/>
      <c r="R16" s="329" t="str">
        <f ca="1">IF($R15="","",IF(INDIRECT(ADDRESS($R15+1,S$1-1,1,,"Score"))="SP",$R15+1,""))</f>
        <v/>
      </c>
      <c r="S16" s="330" t="str">
        <f t="shared" ca="1" si="3"/>
        <v/>
      </c>
      <c r="T16" s="329" t="str">
        <f t="shared" ca="1" si="3"/>
        <v/>
      </c>
      <c r="U16" s="331"/>
      <c r="V16" s="331"/>
      <c r="W16" s="359"/>
      <c r="X16" s="359"/>
      <c r="Y16" s="349"/>
      <c r="Z16" s="359" t="str">
        <f t="shared" ca="1" si="4"/>
        <v/>
      </c>
      <c r="AA16" s="359" t="str">
        <f t="shared" ca="1" si="4"/>
        <v/>
      </c>
      <c r="AB16" s="359" t="str">
        <f t="shared" ca="1" si="4"/>
        <v/>
      </c>
      <c r="AC16" s="329" t="str">
        <f t="shared" ca="1" si="5"/>
        <v/>
      </c>
      <c r="AD16" s="231"/>
      <c r="AE16" s="231"/>
    </row>
    <row r="17" spans="1:31" x14ac:dyDescent="0.25">
      <c r="A17" s="350">
        <f>A15+1</f>
        <v>8</v>
      </c>
      <c r="B17" s="351">
        <f>IF(ISNA(MATCH($A17,Score!A$4:A$41,0)),"",MATCH($A17,Score!A$4:A$41,0)+ROW(Score!A$3))</f>
        <v>11</v>
      </c>
      <c r="C17" s="352" t="str">
        <f t="shared" ca="1" si="0"/>
        <v>761</v>
      </c>
      <c r="D17" s="351">
        <f t="shared" ca="1" si="0"/>
        <v>8</v>
      </c>
      <c r="E17" s="350">
        <f ca="1">IF(B17="","",SUM(D17,D18))</f>
        <v>8</v>
      </c>
      <c r="F17" s="350">
        <f ca="1">IF(B17="","",E17-U17)</f>
        <v>-3</v>
      </c>
      <c r="G17" s="353">
        <f ca="1">IF($B17="","",IF(ISBLANK(INDIRECT(ADDRESS($B17,G$1,1,,"Score"))),"",1))</f>
        <v>1</v>
      </c>
      <c r="H17" s="353">
        <f ca="1">IF($B17="","",IF(ISBLANK(INDIRECT(ADDRESS($B17,H$1,1,,"Score"))),"",1))</f>
        <v>1</v>
      </c>
      <c r="I17" s="355">
        <f ca="1">IF(H17=1,F17,"")</f>
        <v>-3</v>
      </c>
      <c r="J17" s="353" t="str">
        <f t="shared" ca="1" si="1"/>
        <v/>
      </c>
      <c r="K17" s="353" t="str">
        <f t="shared" ca="1" si="1"/>
        <v/>
      </c>
      <c r="L17" s="353" t="str">
        <f t="shared" ca="1" si="1"/>
        <v/>
      </c>
      <c r="M17" s="351">
        <f t="shared" ca="1" si="2"/>
        <v>2</v>
      </c>
      <c r="N17" s="350">
        <f ca="1">IF(ISNA(MATCH($A17,'Game Clock'!A$11:A$40,0)),"",INDIRECT(ADDRESS(MATCH($A17,'Game Clock'!A$11:A$40,0)+ROW('Game Clock'!A$10),N$1,1,,"Game Clock")))</f>
        <v>0</v>
      </c>
      <c r="O17" s="350" t="str">
        <f ca="1">IF(OR(N17="",N17=0),"",60*E17/N17)</f>
        <v/>
      </c>
      <c r="Q17" s="350">
        <f>Q15+1</f>
        <v>8</v>
      </c>
      <c r="R17" s="351">
        <f>IF(ISNA(MATCH($Q17,Score!T$4:T$41,0)),"",MATCH($Q17,Score!T$4:T$41,0)++ROW(Score!T$3))</f>
        <v>11</v>
      </c>
      <c r="S17" s="352" t="str">
        <f t="shared" ca="1" si="3"/>
        <v>9</v>
      </c>
      <c r="T17" s="351">
        <f t="shared" ca="1" si="3"/>
        <v>11</v>
      </c>
      <c r="U17" s="350">
        <f ca="1">IF(R17="","",SUM(T17,T18))</f>
        <v>11</v>
      </c>
      <c r="V17" s="350">
        <f ca="1">IF(R17="","",U17-E17)</f>
        <v>3</v>
      </c>
      <c r="W17" s="353" t="str">
        <f ca="1">IF($R17="","",IF(ISBLANK(INDIRECT(ADDRESS($R17,W$1,1,,"Score"))),"",1))</f>
        <v/>
      </c>
      <c r="X17" s="353" t="str">
        <f ca="1">IF($R17="","",IF(ISBLANK(INDIRECT(ADDRESS($R17,X$1,1,,"Score"))),"",1))</f>
        <v/>
      </c>
      <c r="Y17" s="355" t="str">
        <f ca="1">IF(X17=1,V17,"")</f>
        <v/>
      </c>
      <c r="Z17" s="353" t="str">
        <f t="shared" ca="1" si="4"/>
        <v/>
      </c>
      <c r="AA17" s="353" t="str">
        <f t="shared" ca="1" si="4"/>
        <v/>
      </c>
      <c r="AB17" s="353" t="str">
        <f t="shared" ca="1" si="4"/>
        <v/>
      </c>
      <c r="AC17" s="351">
        <f t="shared" ca="1" si="5"/>
        <v>3</v>
      </c>
      <c r="AD17" s="350">
        <f ca="1">N17</f>
        <v>0</v>
      </c>
      <c r="AE17" s="350" t="str">
        <f ca="1">IF(OR(AD17="",AD17=0),"",60*U17/AD17)</f>
        <v/>
      </c>
    </row>
    <row r="18" spans="1:31" x14ac:dyDescent="0.3">
      <c r="A18" s="350"/>
      <c r="B18" s="351" t="str">
        <f ca="1">IF($B17="","",IF(INDIRECT(ADDRESS($B17+1,C$1-1,1,,"Score"))="SP",$B17+1,""))</f>
        <v/>
      </c>
      <c r="C18" s="352" t="str">
        <f t="shared" ca="1" si="0"/>
        <v/>
      </c>
      <c r="D18" s="351" t="str">
        <f t="shared" ca="1" si="0"/>
        <v/>
      </c>
      <c r="E18" s="350"/>
      <c r="F18" s="350"/>
      <c r="G18" s="353"/>
      <c r="H18" s="354"/>
      <c r="I18" s="355"/>
      <c r="J18" s="353" t="str">
        <f t="shared" ca="1" si="1"/>
        <v/>
      </c>
      <c r="K18" s="353" t="str">
        <f t="shared" ca="1" si="1"/>
        <v/>
      </c>
      <c r="L18" s="353" t="str">
        <f t="shared" ca="1" si="1"/>
        <v/>
      </c>
      <c r="M18" s="351" t="str">
        <f t="shared" ca="1" si="2"/>
        <v/>
      </c>
      <c r="N18" s="350"/>
      <c r="O18" s="350"/>
      <c r="Q18" s="350"/>
      <c r="R18" s="351" t="str">
        <f ca="1">IF($R17="","",IF(INDIRECT(ADDRESS($R17+1,S$1-1,1,,"Score"))="SP",$R17+1,""))</f>
        <v/>
      </c>
      <c r="S18" s="352" t="str">
        <f t="shared" ca="1" si="3"/>
        <v/>
      </c>
      <c r="T18" s="351" t="str">
        <f t="shared" ca="1" si="3"/>
        <v/>
      </c>
      <c r="U18" s="350"/>
      <c r="V18" s="350"/>
      <c r="W18" s="353"/>
      <c r="X18" s="354"/>
      <c r="Y18" s="355"/>
      <c r="Z18" s="353" t="str">
        <f t="shared" ca="1" si="4"/>
        <v/>
      </c>
      <c r="AA18" s="353" t="str">
        <f t="shared" ca="1" si="4"/>
        <v/>
      </c>
      <c r="AB18" s="353" t="str">
        <f t="shared" ca="1" si="4"/>
        <v/>
      </c>
      <c r="AC18" s="351" t="str">
        <f t="shared" ca="1" si="5"/>
        <v/>
      </c>
      <c r="AD18" s="350"/>
      <c r="AE18" s="350"/>
    </row>
    <row r="19" spans="1:31" x14ac:dyDescent="0.25">
      <c r="A19" s="331">
        <f>A17+1</f>
        <v>9</v>
      </c>
      <c r="B19" s="329">
        <f>IF(ISNA(MATCH($A19,Score!A$4:A$41,0)),"",MATCH($A19,Score!A$4:A$41,0)+ROW(Score!A$3))</f>
        <v>12</v>
      </c>
      <c r="C19" s="330" t="str">
        <f t="shared" ca="1" si="0"/>
        <v>1618</v>
      </c>
      <c r="D19" s="329">
        <f t="shared" ca="1" si="0"/>
        <v>20</v>
      </c>
      <c r="E19" s="331">
        <f ca="1">IF(B19="","",SUM(D19,D20))</f>
        <v>20</v>
      </c>
      <c r="F19" s="331">
        <f ca="1">IF(B19="","",E19-U19)</f>
        <v>20</v>
      </c>
      <c r="G19" s="359" t="str">
        <f ca="1">IF($B19="","",IF(ISBLANK(INDIRECT(ADDRESS($B19,G$1,1,,"Score"))),"",1))</f>
        <v/>
      </c>
      <c r="H19" s="359">
        <f ca="1">IF($B19="","",IF(ISBLANK(INDIRECT(ADDRESS($B19,H$1,1,,"Score"))),"",1))</f>
        <v>1</v>
      </c>
      <c r="I19" s="349">
        <f ca="1">IF(H19=1,F19,"")</f>
        <v>20</v>
      </c>
      <c r="J19" s="359">
        <f t="shared" ca="1" si="1"/>
        <v>1</v>
      </c>
      <c r="K19" s="359" t="str">
        <f t="shared" ca="1" si="1"/>
        <v/>
      </c>
      <c r="L19" s="359" t="str">
        <f t="shared" ca="1" si="1"/>
        <v/>
      </c>
      <c r="M19" s="329">
        <f t="shared" ca="1" si="2"/>
        <v>4</v>
      </c>
      <c r="N19" s="231">
        <f ca="1">IF(ISNA(MATCH($A19,'Game Clock'!A$11:A$40,0)),"",INDIRECT(ADDRESS(MATCH($A19,'Game Clock'!A$11:A$40,0)+ROW('Game Clock'!A$10),N$1,1,,"Game Clock")))</f>
        <v>0</v>
      </c>
      <c r="O19" s="231" t="str">
        <f ca="1">IF(OR(N19="",N19=0),"",60*E19/N19)</f>
        <v/>
      </c>
      <c r="Q19" s="331">
        <f>Q17+1</f>
        <v>9</v>
      </c>
      <c r="R19" s="329">
        <f>IF(ISNA(MATCH($Q19,Score!T$4:T$41,0)),"",MATCH($Q19,Score!T$4:T$41,0)++ROW(Score!T$3))</f>
        <v>12</v>
      </c>
      <c r="S19" s="330" t="str">
        <f t="shared" ca="1" si="3"/>
        <v>69</v>
      </c>
      <c r="T19" s="329">
        <f t="shared" ca="1" si="3"/>
        <v>0</v>
      </c>
      <c r="U19" s="331">
        <f ca="1">IF(R19="","",SUM(T19,T20))</f>
        <v>0</v>
      </c>
      <c r="V19" s="331">
        <f ca="1">IF(R19="","",U19-E19)</f>
        <v>-20</v>
      </c>
      <c r="W19" s="359">
        <f ca="1">IF($R19="","",IF(ISBLANK(INDIRECT(ADDRESS($R19,W$1,1,,"Score"))),"",1))</f>
        <v>1</v>
      </c>
      <c r="X19" s="359" t="str">
        <f ca="1">IF($R19="","",IF(ISBLANK(INDIRECT(ADDRESS($R19,X$1,1,,"Score"))),"",1))</f>
        <v/>
      </c>
      <c r="Y19" s="349" t="str">
        <f ca="1">IF(X19=1,V19,"")</f>
        <v/>
      </c>
      <c r="Z19" s="359" t="str">
        <f t="shared" ca="1" si="4"/>
        <v/>
      </c>
      <c r="AA19" s="359" t="str">
        <f t="shared" ca="1" si="4"/>
        <v/>
      </c>
      <c r="AB19" s="359" t="str">
        <f t="shared" ca="1" si="4"/>
        <v/>
      </c>
      <c r="AC19" s="329">
        <f t="shared" ca="1" si="5"/>
        <v>1</v>
      </c>
      <c r="AD19" s="231">
        <f ca="1">N19</f>
        <v>0</v>
      </c>
      <c r="AE19" s="231" t="str">
        <f ca="1">IF(OR(AD19="",AD19=0),"",60*U19/AD19)</f>
        <v/>
      </c>
    </row>
    <row r="20" spans="1:31" x14ac:dyDescent="0.25">
      <c r="A20" s="331"/>
      <c r="B20" s="329" t="str">
        <f ca="1">IF($B19="","",IF(INDIRECT(ADDRESS($B19+1,C$1-1,1,,"Score"))="SP",$B19+1,""))</f>
        <v/>
      </c>
      <c r="C20" s="330" t="str">
        <f t="shared" ca="1" si="0"/>
        <v/>
      </c>
      <c r="D20" s="329" t="str">
        <f t="shared" ca="1" si="0"/>
        <v/>
      </c>
      <c r="E20" s="331"/>
      <c r="F20" s="331"/>
      <c r="G20" s="359"/>
      <c r="H20" s="359"/>
      <c r="I20" s="349"/>
      <c r="J20" s="359" t="str">
        <f t="shared" ca="1" si="1"/>
        <v/>
      </c>
      <c r="K20" s="359" t="str">
        <f t="shared" ca="1" si="1"/>
        <v/>
      </c>
      <c r="L20" s="359" t="str">
        <f t="shared" ca="1" si="1"/>
        <v/>
      </c>
      <c r="M20" s="329" t="str">
        <f t="shared" ca="1" si="2"/>
        <v/>
      </c>
      <c r="N20" s="231"/>
      <c r="O20" s="231"/>
      <c r="Q20" s="331"/>
      <c r="R20" s="329" t="str">
        <f ca="1">IF($R19="","",IF(INDIRECT(ADDRESS($R19+1,S$1-1,1,,"Score"))="SP",$R19+1,""))</f>
        <v/>
      </c>
      <c r="S20" s="330" t="str">
        <f t="shared" ca="1" si="3"/>
        <v/>
      </c>
      <c r="T20" s="329" t="str">
        <f t="shared" ca="1" si="3"/>
        <v/>
      </c>
      <c r="U20" s="331"/>
      <c r="V20" s="331"/>
      <c r="W20" s="359"/>
      <c r="X20" s="359"/>
      <c r="Y20" s="349"/>
      <c r="Z20" s="359" t="str">
        <f t="shared" ca="1" si="4"/>
        <v/>
      </c>
      <c r="AA20" s="359" t="str">
        <f t="shared" ca="1" si="4"/>
        <v/>
      </c>
      <c r="AB20" s="359" t="str">
        <f t="shared" ca="1" si="4"/>
        <v/>
      </c>
      <c r="AC20" s="329" t="str">
        <f t="shared" ca="1" si="5"/>
        <v/>
      </c>
      <c r="AD20" s="231"/>
      <c r="AE20" s="231"/>
    </row>
    <row r="21" spans="1:31" x14ac:dyDescent="0.25">
      <c r="A21" s="350">
        <f>A19+1</f>
        <v>10</v>
      </c>
      <c r="B21" s="351">
        <f>IF(ISNA(MATCH($A21,Score!A$4:A$41,0)),"",MATCH($A21,Score!A$4:A$41,0)+ROW(Score!A$3))</f>
        <v>13</v>
      </c>
      <c r="C21" s="352" t="str">
        <f t="shared" ca="1" si="0"/>
        <v>23</v>
      </c>
      <c r="D21" s="351">
        <f t="shared" ca="1" si="0"/>
        <v>4</v>
      </c>
      <c r="E21" s="350">
        <f ca="1">IF(B21="","",SUM(D21,D22))</f>
        <v>4</v>
      </c>
      <c r="F21" s="350">
        <f ca="1">IF(B21="","",E21-U21)</f>
        <v>1</v>
      </c>
      <c r="G21" s="353" t="str">
        <f ca="1">IF($B21="","",IF(ISBLANK(INDIRECT(ADDRESS($B21,G$1,1,,"Score"))),"",1))</f>
        <v/>
      </c>
      <c r="H21" s="353" t="str">
        <f ca="1">IF($B21="","",IF(ISBLANK(INDIRECT(ADDRESS($B21,H$1,1,,"Score"))),"",1))</f>
        <v/>
      </c>
      <c r="I21" s="355" t="str">
        <f ca="1">IF(H21=1,F21,"")</f>
        <v/>
      </c>
      <c r="J21" s="353" t="str">
        <f t="shared" ca="1" si="1"/>
        <v/>
      </c>
      <c r="K21" s="353" t="str">
        <f t="shared" ca="1" si="1"/>
        <v/>
      </c>
      <c r="L21" s="353" t="str">
        <f t="shared" ca="1" si="1"/>
        <v/>
      </c>
      <c r="M21" s="351">
        <f t="shared" ca="1" si="2"/>
        <v>2</v>
      </c>
      <c r="N21" s="350">
        <f ca="1">IF(ISNA(MATCH($A21,'Game Clock'!A$11:A$40,0)),"",INDIRECT(ADDRESS(MATCH($A21,'Game Clock'!A$11:A$40,0)+ROW('Game Clock'!A$10),N$1,1,,"Game Clock")))</f>
        <v>0</v>
      </c>
      <c r="O21" s="350" t="str">
        <f ca="1">IF(OR(N21="",N21=0),"",60*E21/N21)</f>
        <v/>
      </c>
      <c r="Q21" s="350">
        <f>Q19+1</f>
        <v>10</v>
      </c>
      <c r="R21" s="351">
        <f>IF(ISNA(MATCH($Q21,Score!T$4:T$41,0)),"",MATCH($Q21,Score!T$4:T$41,0)++ROW(Score!T$3))</f>
        <v>13</v>
      </c>
      <c r="S21" s="352" t="str">
        <f t="shared" ca="1" si="3"/>
        <v>22</v>
      </c>
      <c r="T21" s="351">
        <f t="shared" ca="1" si="3"/>
        <v>3</v>
      </c>
      <c r="U21" s="350">
        <f ca="1">IF(R21="","",SUM(T21,T22))</f>
        <v>3</v>
      </c>
      <c r="V21" s="350">
        <f ca="1">IF(R21="","",U21-E21)</f>
        <v>-1</v>
      </c>
      <c r="W21" s="353" t="str">
        <f ca="1">IF($R21="","",IF(ISBLANK(INDIRECT(ADDRESS($R21,W$1,1,,"Score"))),"",1))</f>
        <v/>
      </c>
      <c r="X21" s="353">
        <f ca="1">IF($R21="","",IF(ISBLANK(INDIRECT(ADDRESS($R21,X$1,1,,"Score"))),"",1))</f>
        <v>1</v>
      </c>
      <c r="Y21" s="355">
        <f ca="1">IF(X21=1,V21,"")</f>
        <v>-1</v>
      </c>
      <c r="Z21" s="353">
        <f t="shared" ca="1" si="4"/>
        <v>1</v>
      </c>
      <c r="AA21" s="353" t="str">
        <f t="shared" ca="1" si="4"/>
        <v/>
      </c>
      <c r="AB21" s="353" t="str">
        <f t="shared" ca="1" si="4"/>
        <v/>
      </c>
      <c r="AC21" s="351">
        <f t="shared" ca="1" si="5"/>
        <v>1</v>
      </c>
      <c r="AD21" s="350">
        <f ca="1">N21</f>
        <v>0</v>
      </c>
      <c r="AE21" s="350" t="str">
        <f ca="1">IF(OR(AD21="",AD21=0),"",60*U21/AD21)</f>
        <v/>
      </c>
    </row>
    <row r="22" spans="1:31" x14ac:dyDescent="0.3">
      <c r="A22" s="350"/>
      <c r="B22" s="351" t="str">
        <f ca="1">IF($B21="","",IF(INDIRECT(ADDRESS($B21+1,C$1-1,1,,"Score"))="SP",$B21+1,""))</f>
        <v/>
      </c>
      <c r="C22" s="352" t="str">
        <f t="shared" ca="1" si="0"/>
        <v/>
      </c>
      <c r="D22" s="351" t="str">
        <f t="shared" ca="1" si="0"/>
        <v/>
      </c>
      <c r="E22" s="350"/>
      <c r="F22" s="350"/>
      <c r="G22" s="353"/>
      <c r="H22" s="354"/>
      <c r="I22" s="355"/>
      <c r="J22" s="353" t="str">
        <f t="shared" ca="1" si="1"/>
        <v/>
      </c>
      <c r="K22" s="353" t="str">
        <f t="shared" ca="1" si="1"/>
        <v/>
      </c>
      <c r="L22" s="353" t="str">
        <f t="shared" ca="1" si="1"/>
        <v/>
      </c>
      <c r="M22" s="351" t="str">
        <f t="shared" ca="1" si="2"/>
        <v/>
      </c>
      <c r="N22" s="350"/>
      <c r="O22" s="350"/>
      <c r="Q22" s="350"/>
      <c r="R22" s="351" t="str">
        <f ca="1">IF($R21="","",IF(INDIRECT(ADDRESS($R21+1,S$1-1,1,,"Score"))="SP",$R21+1,""))</f>
        <v/>
      </c>
      <c r="S22" s="352" t="str">
        <f t="shared" ca="1" si="3"/>
        <v/>
      </c>
      <c r="T22" s="351" t="str">
        <f t="shared" ca="1" si="3"/>
        <v/>
      </c>
      <c r="U22" s="350"/>
      <c r="V22" s="350"/>
      <c r="W22" s="353"/>
      <c r="X22" s="354"/>
      <c r="Y22" s="355"/>
      <c r="Z22" s="353" t="str">
        <f t="shared" ca="1" si="4"/>
        <v/>
      </c>
      <c r="AA22" s="353" t="str">
        <f t="shared" ca="1" si="4"/>
        <v/>
      </c>
      <c r="AB22" s="353" t="str">
        <f t="shared" ca="1" si="4"/>
        <v/>
      </c>
      <c r="AC22" s="351" t="str">
        <f t="shared" ca="1" si="5"/>
        <v/>
      </c>
      <c r="AD22" s="350"/>
      <c r="AE22" s="350"/>
    </row>
    <row r="23" spans="1:31" x14ac:dyDescent="0.25">
      <c r="A23" s="331">
        <f>A21+1</f>
        <v>11</v>
      </c>
      <c r="B23" s="329">
        <f>IF(ISNA(MATCH($A23,Score!A$4:A$41,0)),"",MATCH($A23,Score!A$4:A$41,0)+ROW(Score!A$3))</f>
        <v>14</v>
      </c>
      <c r="C23" s="330" t="str">
        <f t="shared" ref="C23:D42" ca="1" si="6">IF($B23="","",INDIRECT(ADDRESS($B23,C$1,1,,"Score")))</f>
        <v>911</v>
      </c>
      <c r="D23" s="329">
        <f t="shared" ca="1" si="6"/>
        <v>1</v>
      </c>
      <c r="E23" s="331">
        <f ca="1">IF(B23="","",SUM(D23,D24))</f>
        <v>1</v>
      </c>
      <c r="F23" s="331">
        <f ca="1">IF(B23="","",E23-U23)</f>
        <v>-2</v>
      </c>
      <c r="G23" s="359" t="str">
        <f ca="1">IF($B23="","",IF(ISBLANK(INDIRECT(ADDRESS($B23,G$1,1,,"Score"))),"",1))</f>
        <v/>
      </c>
      <c r="H23" s="359" t="str">
        <f ca="1">IF($B23="","",IF(ISBLANK(INDIRECT(ADDRESS($B23,H$1,1,,"Score"))),"",1))</f>
        <v/>
      </c>
      <c r="I23" s="349" t="str">
        <f ca="1">IF(H23=1,F23,"")</f>
        <v/>
      </c>
      <c r="J23" s="359" t="str">
        <f t="shared" ref="J23:L42" ca="1" si="7">IF($B23="","",IF(ISBLANK(INDIRECT(ADDRESS($B23,J$1,1,,"Score"))),"",1))</f>
        <v/>
      </c>
      <c r="K23" s="359" t="str">
        <f t="shared" ca="1" si="7"/>
        <v/>
      </c>
      <c r="L23" s="359" t="str">
        <f t="shared" ca="1" si="7"/>
        <v/>
      </c>
      <c r="M23" s="329">
        <f t="shared" ref="M23:M42" ca="1" si="8">IF($B23="","",INDIRECT(ADDRESS($B23,M$1,1,,"Score")))</f>
        <v>1</v>
      </c>
      <c r="N23" s="231">
        <f ca="1">IF(ISNA(MATCH($A23,'Game Clock'!A$11:A$40,0)),"",INDIRECT(ADDRESS(MATCH($A23,'Game Clock'!A$11:A$40,0)+ROW('Game Clock'!A$10),N$1,1,,"Game Clock")))</f>
        <v>0</v>
      </c>
      <c r="O23" s="231" t="str">
        <f ca="1">IF(OR(N23="",N23=0),"",60*E23/N23)</f>
        <v/>
      </c>
      <c r="Q23" s="331">
        <f>Q21+1</f>
        <v>11</v>
      </c>
      <c r="R23" s="329">
        <f>IF(ISNA(MATCH($Q23,Score!T$4:T$41,0)),"",MATCH($Q23,Score!T$4:T$41,0)++ROW(Score!T$3))</f>
        <v>14</v>
      </c>
      <c r="S23" s="330" t="str">
        <f t="shared" ref="S23:T42" ca="1" si="9">IF($R23="","",INDIRECT(ADDRESS($R23,S$1,1,,"Score")))</f>
        <v>9</v>
      </c>
      <c r="T23" s="329">
        <f t="shared" ca="1" si="9"/>
        <v>3</v>
      </c>
      <c r="U23" s="331">
        <f ca="1">IF(R23="","",SUM(T23,T24))</f>
        <v>3</v>
      </c>
      <c r="V23" s="331">
        <f ca="1">IF(R23="","",U23-E23)</f>
        <v>2</v>
      </c>
      <c r="W23" s="359" t="str">
        <f ca="1">IF($R23="","",IF(ISBLANK(INDIRECT(ADDRESS($R23,W$1,1,,"Score"))),"",1))</f>
        <v/>
      </c>
      <c r="X23" s="359">
        <f ca="1">IF($R23="","",IF(ISBLANK(INDIRECT(ADDRESS($R23,X$1,1,,"Score"))),"",1))</f>
        <v>1</v>
      </c>
      <c r="Y23" s="349">
        <f ca="1">IF(X23=1,V23,"")</f>
        <v>2</v>
      </c>
      <c r="Z23" s="359">
        <f t="shared" ref="Z23:AB42" ca="1" si="10">IF($R23="","",IF(ISBLANK(INDIRECT(ADDRESS($R23,Z$1,1,,"Score"))),"",1))</f>
        <v>1</v>
      </c>
      <c r="AA23" s="359" t="str">
        <f t="shared" ca="1" si="10"/>
        <v/>
      </c>
      <c r="AB23" s="359" t="str">
        <f t="shared" ca="1" si="10"/>
        <v/>
      </c>
      <c r="AC23" s="329">
        <f t="shared" ref="AC23:AC42" ca="1" si="11">IF($R23="","",INDIRECT(ADDRESS($R23,AC$1,1,,"Score")))</f>
        <v>1</v>
      </c>
      <c r="AD23" s="231">
        <f ca="1">N23</f>
        <v>0</v>
      </c>
      <c r="AE23" s="231" t="str">
        <f ca="1">IF(OR(AD23="",AD23=0),"",60*U23/AD23)</f>
        <v/>
      </c>
    </row>
    <row r="24" spans="1:31" x14ac:dyDescent="0.25">
      <c r="A24" s="331"/>
      <c r="B24" s="329" t="str">
        <f ca="1">IF($B23="","",IF(INDIRECT(ADDRESS($B23+1,C$1-1,1,,"Score"))="SP",$B23+1,""))</f>
        <v/>
      </c>
      <c r="C24" s="330" t="str">
        <f t="shared" ca="1" si="6"/>
        <v/>
      </c>
      <c r="D24" s="329" t="str">
        <f t="shared" ca="1" si="6"/>
        <v/>
      </c>
      <c r="E24" s="331"/>
      <c r="F24" s="331"/>
      <c r="G24" s="359"/>
      <c r="H24" s="359"/>
      <c r="I24" s="349"/>
      <c r="J24" s="359" t="str">
        <f t="shared" ca="1" si="7"/>
        <v/>
      </c>
      <c r="K24" s="359" t="str">
        <f t="shared" ca="1" si="7"/>
        <v/>
      </c>
      <c r="L24" s="359" t="str">
        <f t="shared" ca="1" si="7"/>
        <v/>
      </c>
      <c r="M24" s="329" t="str">
        <f t="shared" ca="1" si="8"/>
        <v/>
      </c>
      <c r="N24" s="231"/>
      <c r="O24" s="231"/>
      <c r="Q24" s="331"/>
      <c r="R24" s="329" t="str">
        <f ca="1">IF($R23="","",IF(INDIRECT(ADDRESS($R23+1,S$1-1,1,,"Score"))="SP",$R23+1,""))</f>
        <v/>
      </c>
      <c r="S24" s="330" t="str">
        <f t="shared" ca="1" si="9"/>
        <v/>
      </c>
      <c r="T24" s="329" t="str">
        <f t="shared" ca="1" si="9"/>
        <v/>
      </c>
      <c r="U24" s="331"/>
      <c r="V24" s="331"/>
      <c r="W24" s="359"/>
      <c r="X24" s="359"/>
      <c r="Y24" s="349"/>
      <c r="Z24" s="359" t="str">
        <f t="shared" ca="1" si="10"/>
        <v/>
      </c>
      <c r="AA24" s="359" t="str">
        <f t="shared" ca="1" si="10"/>
        <v/>
      </c>
      <c r="AB24" s="359" t="str">
        <f t="shared" ca="1" si="10"/>
        <v/>
      </c>
      <c r="AC24" s="329" t="str">
        <f t="shared" ca="1" si="11"/>
        <v/>
      </c>
      <c r="AD24" s="231"/>
      <c r="AE24" s="231"/>
    </row>
    <row r="25" spans="1:31" x14ac:dyDescent="0.25">
      <c r="A25" s="350">
        <f>A23+1</f>
        <v>12</v>
      </c>
      <c r="B25" s="351">
        <f>IF(ISNA(MATCH($A25,Score!A$4:A$41,0)),"",MATCH($A25,Score!A$4:A$41,0)+ROW(Score!A$3))</f>
        <v>15</v>
      </c>
      <c r="C25" s="352" t="str">
        <f t="shared" ca="1" si="6"/>
        <v>761</v>
      </c>
      <c r="D25" s="351">
        <f t="shared" ca="1" si="6"/>
        <v>0</v>
      </c>
      <c r="E25" s="350">
        <f ca="1">IF(B25="","",SUM(D25,D26))</f>
        <v>0</v>
      </c>
      <c r="F25" s="350">
        <f ca="1">IF(B25="","",E25-U25)</f>
        <v>0</v>
      </c>
      <c r="G25" s="353" t="str">
        <f ca="1">IF($B25="","",IF(ISBLANK(INDIRECT(ADDRESS($B25,G$1,1,,"Score"))),"",1))</f>
        <v/>
      </c>
      <c r="H25" s="353" t="str">
        <f ca="1">IF($B25="","",IF(ISBLANK(INDIRECT(ADDRESS($B25,H$1,1,,"Score"))),"",1))</f>
        <v/>
      </c>
      <c r="I25" s="355" t="str">
        <f ca="1">IF(H25=1,F25,"")</f>
        <v/>
      </c>
      <c r="J25" s="353" t="str">
        <f t="shared" ca="1" si="7"/>
        <v/>
      </c>
      <c r="K25" s="353" t="str">
        <f t="shared" ca="1" si="7"/>
        <v/>
      </c>
      <c r="L25" s="353" t="str">
        <f t="shared" ca="1" si="7"/>
        <v/>
      </c>
      <c r="M25" s="351">
        <f t="shared" ca="1" si="8"/>
        <v>1</v>
      </c>
      <c r="N25" s="350">
        <f ca="1">IF(ISNA(MATCH($A25,'Game Clock'!A$11:A$40,0)),"",INDIRECT(ADDRESS(MATCH($A25,'Game Clock'!A$11:A$40,0)+ROW('Game Clock'!A$10),N$1,1,,"Game Clock")))</f>
        <v>0</v>
      </c>
      <c r="O25" s="350" t="str">
        <f ca="1">IF(OR(N25="",N25=0),"",60*E25/N25)</f>
        <v/>
      </c>
      <c r="Q25" s="350">
        <f>Q23+1</f>
        <v>12</v>
      </c>
      <c r="R25" s="351">
        <f>IF(ISNA(MATCH($Q25,Score!T$4:T$41,0)),"",MATCH($Q25,Score!T$4:T$41,0)++ROW(Score!T$3))</f>
        <v>15</v>
      </c>
      <c r="S25" s="352" t="str">
        <f t="shared" ca="1" si="9"/>
        <v>69</v>
      </c>
      <c r="T25" s="351">
        <f t="shared" ca="1" si="9"/>
        <v>0</v>
      </c>
      <c r="U25" s="350">
        <f ca="1">IF(R25="","",SUM(T25,T26))</f>
        <v>0</v>
      </c>
      <c r="V25" s="350">
        <f ca="1">IF(R25="","",U25-E25)</f>
        <v>0</v>
      </c>
      <c r="W25" s="353" t="str">
        <f ca="1">IF($R25="","",IF(ISBLANK(INDIRECT(ADDRESS($R25,W$1,1,,"Score"))),"",1))</f>
        <v/>
      </c>
      <c r="X25" s="353">
        <f ca="1">IF($R25="","",IF(ISBLANK(INDIRECT(ADDRESS($R25,X$1,1,,"Score"))),"",1))</f>
        <v>1</v>
      </c>
      <c r="Y25" s="355">
        <f ca="1">IF(X25=1,V25,"")</f>
        <v>0</v>
      </c>
      <c r="Z25" s="353">
        <f t="shared" ca="1" si="10"/>
        <v>1</v>
      </c>
      <c r="AA25" s="353" t="str">
        <f t="shared" ca="1" si="10"/>
        <v/>
      </c>
      <c r="AB25" s="353" t="str">
        <f t="shared" ca="1" si="10"/>
        <v/>
      </c>
      <c r="AC25" s="351">
        <f t="shared" ca="1" si="11"/>
        <v>1</v>
      </c>
      <c r="AD25" s="350">
        <f ca="1">N25</f>
        <v>0</v>
      </c>
      <c r="AE25" s="350" t="str">
        <f ca="1">IF(OR(AD25="",AD25=0),"",60*U25/AD25)</f>
        <v/>
      </c>
    </row>
    <row r="26" spans="1:31" x14ac:dyDescent="0.3">
      <c r="A26" s="350"/>
      <c r="B26" s="351" t="str">
        <f ca="1">IF($B25="","",IF(INDIRECT(ADDRESS($B25+1,C$1-1,1,,"Score"))="SP",$B25+1,""))</f>
        <v/>
      </c>
      <c r="C26" s="352" t="str">
        <f t="shared" ca="1" si="6"/>
        <v/>
      </c>
      <c r="D26" s="351" t="str">
        <f t="shared" ca="1" si="6"/>
        <v/>
      </c>
      <c r="E26" s="350"/>
      <c r="F26" s="350"/>
      <c r="G26" s="353"/>
      <c r="H26" s="354"/>
      <c r="I26" s="355"/>
      <c r="J26" s="353" t="str">
        <f t="shared" ca="1" si="7"/>
        <v/>
      </c>
      <c r="K26" s="353" t="str">
        <f t="shared" ca="1" si="7"/>
        <v/>
      </c>
      <c r="L26" s="353" t="str">
        <f t="shared" ca="1" si="7"/>
        <v/>
      </c>
      <c r="M26" s="351" t="str">
        <f t="shared" ca="1" si="8"/>
        <v/>
      </c>
      <c r="N26" s="350"/>
      <c r="O26" s="350"/>
      <c r="Q26" s="350"/>
      <c r="R26" s="351" t="str">
        <f ca="1">IF($R25="","",IF(INDIRECT(ADDRESS($R25+1,S$1-1,1,,"Score"))="SP",$R25+1,""))</f>
        <v/>
      </c>
      <c r="S26" s="352" t="str">
        <f t="shared" ca="1" si="9"/>
        <v/>
      </c>
      <c r="T26" s="351" t="str">
        <f t="shared" ca="1" si="9"/>
        <v/>
      </c>
      <c r="U26" s="350"/>
      <c r="V26" s="350"/>
      <c r="W26" s="353"/>
      <c r="X26" s="354"/>
      <c r="Y26" s="355"/>
      <c r="Z26" s="353" t="str">
        <f t="shared" ca="1" si="10"/>
        <v/>
      </c>
      <c r="AA26" s="353" t="str">
        <f t="shared" ca="1" si="10"/>
        <v/>
      </c>
      <c r="AB26" s="353" t="str">
        <f t="shared" ca="1" si="10"/>
        <v/>
      </c>
      <c r="AC26" s="351" t="str">
        <f t="shared" ca="1" si="11"/>
        <v/>
      </c>
      <c r="AD26" s="350"/>
      <c r="AE26" s="350"/>
    </row>
    <row r="27" spans="1:31" x14ac:dyDescent="0.25">
      <c r="A27" s="331">
        <f>A25+1</f>
        <v>13</v>
      </c>
      <c r="B27" s="329">
        <f>IF(ISNA(MATCH($A27,Score!A$4:A$41,0)),"",MATCH($A27,Score!A$4:A$41,0)+ROW(Score!A$3))</f>
        <v>16</v>
      </c>
      <c r="C27" s="330" t="str">
        <f t="shared" ca="1" si="6"/>
        <v>1618</v>
      </c>
      <c r="D27" s="329">
        <f t="shared" ca="1" si="6"/>
        <v>4</v>
      </c>
      <c r="E27" s="331">
        <f ca="1">IF(B27="","",SUM(D27,D28))</f>
        <v>4</v>
      </c>
      <c r="F27" s="331">
        <f ca="1">IF(B27="","",E27-U27)</f>
        <v>4</v>
      </c>
      <c r="G27" s="359" t="str">
        <f ca="1">IF($B27="","",IF(ISBLANK(INDIRECT(ADDRESS($B27,G$1,1,,"Score"))),"",1))</f>
        <v/>
      </c>
      <c r="H27" s="359">
        <f ca="1">IF($B27="","",IF(ISBLANK(INDIRECT(ADDRESS($B27,H$1,1,,"Score"))),"",1))</f>
        <v>1</v>
      </c>
      <c r="I27" s="349">
        <f ca="1">IF(H27=1,F27,"")</f>
        <v>4</v>
      </c>
      <c r="J27" s="359">
        <f t="shared" ca="1" si="7"/>
        <v>1</v>
      </c>
      <c r="K27" s="359" t="str">
        <f t="shared" ca="1" si="7"/>
        <v/>
      </c>
      <c r="L27" s="359" t="str">
        <f t="shared" ca="1" si="7"/>
        <v/>
      </c>
      <c r="M27" s="329">
        <f t="shared" ca="1" si="8"/>
        <v>1</v>
      </c>
      <c r="N27" s="231">
        <f ca="1">IF(ISNA(MATCH($A27,'Game Clock'!A$11:A$40,0)),"",INDIRECT(ADDRESS(MATCH($A27,'Game Clock'!A$11:A$40,0)+ROW('Game Clock'!A$10),N$1,1,,"Game Clock")))</f>
        <v>0</v>
      </c>
      <c r="O27" s="231" t="str">
        <f ca="1">IF(OR(N27="",N27=0),"",60*E27/N27)</f>
        <v/>
      </c>
      <c r="Q27" s="331">
        <f>Q25+1</f>
        <v>13</v>
      </c>
      <c r="R27" s="329">
        <f>IF(ISNA(MATCH($Q27,Score!T$4:T$41,0)),"",MATCH($Q27,Score!T$4:T$41,0)++ROW(Score!T$3))</f>
        <v>16</v>
      </c>
      <c r="S27" s="330" t="str">
        <f t="shared" ca="1" si="9"/>
        <v>22</v>
      </c>
      <c r="T27" s="329">
        <f t="shared" ca="1" si="9"/>
        <v>0</v>
      </c>
      <c r="U27" s="331">
        <f ca="1">IF(R27="","",SUM(T27,T28))</f>
        <v>0</v>
      </c>
      <c r="V27" s="331">
        <f ca="1">IF(R27="","",U27-E27)</f>
        <v>-4</v>
      </c>
      <c r="W27" s="359" t="str">
        <f ca="1">IF($R27="","",IF(ISBLANK(INDIRECT(ADDRESS($R27,W$1,1,,"Score"))),"",1))</f>
        <v/>
      </c>
      <c r="X27" s="359" t="str">
        <f ca="1">IF($R27="","",IF(ISBLANK(INDIRECT(ADDRESS($R27,X$1,1,,"Score"))),"",1))</f>
        <v/>
      </c>
      <c r="Y27" s="349" t="str">
        <f ca="1">IF(X27=1,V27,"")</f>
        <v/>
      </c>
      <c r="Z27" s="359" t="str">
        <f t="shared" ca="1" si="10"/>
        <v/>
      </c>
      <c r="AA27" s="359" t="str">
        <f t="shared" ca="1" si="10"/>
        <v/>
      </c>
      <c r="AB27" s="359" t="str">
        <f t="shared" ca="1" si="10"/>
        <v/>
      </c>
      <c r="AC27" s="329">
        <f t="shared" ca="1" si="11"/>
        <v>1</v>
      </c>
      <c r="AD27" s="231">
        <f ca="1">N27</f>
        <v>0</v>
      </c>
      <c r="AE27" s="231" t="str">
        <f ca="1">IF(OR(AD27="",AD27=0),"",60*U27/AD27)</f>
        <v/>
      </c>
    </row>
    <row r="28" spans="1:31" x14ac:dyDescent="0.25">
      <c r="A28" s="331"/>
      <c r="B28" s="329" t="str">
        <f ca="1">IF($B27="","",IF(INDIRECT(ADDRESS($B27+1,C$1-1,1,,"Score"))="SP",$B27+1,""))</f>
        <v/>
      </c>
      <c r="C28" s="330" t="str">
        <f t="shared" ca="1" si="6"/>
        <v/>
      </c>
      <c r="D28" s="329" t="str">
        <f t="shared" ca="1" si="6"/>
        <v/>
      </c>
      <c r="E28" s="331"/>
      <c r="F28" s="331"/>
      <c r="G28" s="359"/>
      <c r="H28" s="359"/>
      <c r="I28" s="349"/>
      <c r="J28" s="359" t="str">
        <f t="shared" ca="1" si="7"/>
        <v/>
      </c>
      <c r="K28" s="359" t="str">
        <f t="shared" ca="1" si="7"/>
        <v/>
      </c>
      <c r="L28" s="359" t="str">
        <f t="shared" ca="1" si="7"/>
        <v/>
      </c>
      <c r="M28" s="329" t="str">
        <f t="shared" ca="1" si="8"/>
        <v/>
      </c>
      <c r="N28" s="231"/>
      <c r="O28" s="231"/>
      <c r="Q28" s="331"/>
      <c r="R28" s="329" t="str">
        <f ca="1">IF($R27="","",IF(INDIRECT(ADDRESS($R27+1,S$1-1,1,,"Score"))="SP",$R27+1,""))</f>
        <v/>
      </c>
      <c r="S28" s="330" t="str">
        <f t="shared" ca="1" si="9"/>
        <v/>
      </c>
      <c r="T28" s="329" t="str">
        <f t="shared" ca="1" si="9"/>
        <v/>
      </c>
      <c r="U28" s="331"/>
      <c r="V28" s="331"/>
      <c r="W28" s="359"/>
      <c r="X28" s="359"/>
      <c r="Y28" s="349"/>
      <c r="Z28" s="359" t="str">
        <f t="shared" ca="1" si="10"/>
        <v/>
      </c>
      <c r="AA28" s="359" t="str">
        <f t="shared" ca="1" si="10"/>
        <v/>
      </c>
      <c r="AB28" s="359" t="str">
        <f t="shared" ca="1" si="10"/>
        <v/>
      </c>
      <c r="AC28" s="329" t="str">
        <f t="shared" ca="1" si="11"/>
        <v/>
      </c>
      <c r="AD28" s="231"/>
      <c r="AE28" s="231"/>
    </row>
    <row r="29" spans="1:31" x14ac:dyDescent="0.25">
      <c r="A29" s="350">
        <f>A27+1</f>
        <v>14</v>
      </c>
      <c r="B29" s="351">
        <f>IF(ISNA(MATCH($A29,Score!A$4:A$41,0)),"",MATCH($A29,Score!A$4:A$41,0)+ROW(Score!A$3))</f>
        <v>17</v>
      </c>
      <c r="C29" s="352" t="str">
        <f t="shared" ca="1" si="6"/>
        <v>23</v>
      </c>
      <c r="D29" s="351">
        <f t="shared" ca="1" si="6"/>
        <v>0</v>
      </c>
      <c r="E29" s="350">
        <f ca="1">IF(B29="","",SUM(D29,D30))</f>
        <v>0</v>
      </c>
      <c r="F29" s="350">
        <f ca="1">IF(B29="","",E29-U29)</f>
        <v>-3</v>
      </c>
      <c r="G29" s="353">
        <f ca="1">IF($B29="","",IF(ISBLANK(INDIRECT(ADDRESS($B29,G$1,1,,"Score"))),"",1))</f>
        <v>1</v>
      </c>
      <c r="H29" s="353" t="str">
        <f ca="1">IF($B29="","",IF(ISBLANK(INDIRECT(ADDRESS($B29,H$1,1,,"Score"))),"",1))</f>
        <v/>
      </c>
      <c r="I29" s="355" t="str">
        <f ca="1">IF(H29=1,F29,"")</f>
        <v/>
      </c>
      <c r="J29" s="353" t="str">
        <f t="shared" ca="1" si="7"/>
        <v/>
      </c>
      <c r="K29" s="353" t="str">
        <f t="shared" ca="1" si="7"/>
        <v/>
      </c>
      <c r="L29" s="353">
        <f t="shared" ca="1" si="7"/>
        <v>1</v>
      </c>
      <c r="M29" s="351">
        <f t="shared" ca="1" si="8"/>
        <v>0</v>
      </c>
      <c r="N29" s="350">
        <f ca="1">IF(ISNA(MATCH($A29,'Game Clock'!A$11:A$40,0)),"",INDIRECT(ADDRESS(MATCH($A29,'Game Clock'!A$11:A$40,0)+ROW('Game Clock'!A$10),N$1,1,,"Game Clock")))</f>
        <v>0</v>
      </c>
      <c r="O29" s="350" t="str">
        <f ca="1">IF(OR(N29="",N29=0),"",60*E29/N29)</f>
        <v/>
      </c>
      <c r="Q29" s="350">
        <f>Q27+1</f>
        <v>14</v>
      </c>
      <c r="R29" s="351">
        <f>IF(ISNA(MATCH($Q29,Score!T$4:T$41,0)),"",MATCH($Q29,Score!T$4:T$41,0)++ROW(Score!T$3))</f>
        <v>17</v>
      </c>
      <c r="S29" s="352" t="str">
        <f t="shared" ca="1" si="9"/>
        <v>9</v>
      </c>
      <c r="T29" s="351">
        <f t="shared" ca="1" si="9"/>
        <v>3</v>
      </c>
      <c r="U29" s="350">
        <f ca="1">IF(R29="","",SUM(T29,T30))</f>
        <v>3</v>
      </c>
      <c r="V29" s="350">
        <f ca="1">IF(R29="","",U29-E29)</f>
        <v>3</v>
      </c>
      <c r="W29" s="353" t="str">
        <f ca="1">IF($R29="","",IF(ISBLANK(INDIRECT(ADDRESS($R29,W$1,1,,"Score"))),"",1))</f>
        <v/>
      </c>
      <c r="X29" s="353">
        <f ca="1">IF($R29="","",IF(ISBLANK(INDIRECT(ADDRESS($R29,X$1,1,,"Score"))),"",1))</f>
        <v>1</v>
      </c>
      <c r="Y29" s="355">
        <f ca="1">IF(X29=1,V29,"")</f>
        <v>3</v>
      </c>
      <c r="Z29" s="353">
        <f t="shared" ca="1" si="10"/>
        <v>1</v>
      </c>
      <c r="AA29" s="353" t="str">
        <f t="shared" ca="1" si="10"/>
        <v/>
      </c>
      <c r="AB29" s="353" t="str">
        <f t="shared" ca="1" si="10"/>
        <v/>
      </c>
      <c r="AC29" s="351">
        <f t="shared" ca="1" si="11"/>
        <v>1</v>
      </c>
      <c r="AD29" s="350">
        <f ca="1">N29</f>
        <v>0</v>
      </c>
      <c r="AE29" s="350" t="str">
        <f ca="1">IF(OR(AD29="",AD29=0),"",60*U29/AD29)</f>
        <v/>
      </c>
    </row>
    <row r="30" spans="1:31" x14ac:dyDescent="0.3">
      <c r="A30" s="350"/>
      <c r="B30" s="351" t="str">
        <f ca="1">IF($B29="","",IF(INDIRECT(ADDRESS($B29+1,C$1-1,1,,"Score"))="SP",$B29+1,""))</f>
        <v/>
      </c>
      <c r="C30" s="352" t="str">
        <f t="shared" ca="1" si="6"/>
        <v/>
      </c>
      <c r="D30" s="351" t="str">
        <f t="shared" ca="1" si="6"/>
        <v/>
      </c>
      <c r="E30" s="350"/>
      <c r="F30" s="350"/>
      <c r="G30" s="353"/>
      <c r="H30" s="354"/>
      <c r="I30" s="355"/>
      <c r="J30" s="353" t="str">
        <f t="shared" ca="1" si="7"/>
        <v/>
      </c>
      <c r="K30" s="353" t="str">
        <f t="shared" ca="1" si="7"/>
        <v/>
      </c>
      <c r="L30" s="353" t="str">
        <f t="shared" ca="1" si="7"/>
        <v/>
      </c>
      <c r="M30" s="351" t="str">
        <f t="shared" ca="1" si="8"/>
        <v/>
      </c>
      <c r="N30" s="350"/>
      <c r="O30" s="350"/>
      <c r="Q30" s="350"/>
      <c r="R30" s="351" t="str">
        <f ca="1">IF($R29="","",IF(INDIRECT(ADDRESS($R29+1,S$1-1,1,,"Score"))="SP",$R29+1,""))</f>
        <v/>
      </c>
      <c r="S30" s="352" t="str">
        <f t="shared" ca="1" si="9"/>
        <v/>
      </c>
      <c r="T30" s="351" t="str">
        <f t="shared" ca="1" si="9"/>
        <v/>
      </c>
      <c r="U30" s="350"/>
      <c r="V30" s="350"/>
      <c r="W30" s="353"/>
      <c r="X30" s="354"/>
      <c r="Y30" s="355"/>
      <c r="Z30" s="353" t="str">
        <f t="shared" ca="1" si="10"/>
        <v/>
      </c>
      <c r="AA30" s="353" t="str">
        <f t="shared" ca="1" si="10"/>
        <v/>
      </c>
      <c r="AB30" s="353" t="str">
        <f t="shared" ca="1" si="10"/>
        <v/>
      </c>
      <c r="AC30" s="351" t="str">
        <f t="shared" ca="1" si="11"/>
        <v/>
      </c>
      <c r="AD30" s="350"/>
      <c r="AE30" s="350"/>
    </row>
    <row r="31" spans="1:31" x14ac:dyDescent="0.25">
      <c r="A31" s="331">
        <f>A29+1</f>
        <v>15</v>
      </c>
      <c r="B31" s="329">
        <f>IF(ISNA(MATCH($A31,Score!A$4:A$41,0)),"",MATCH($A31,Score!A$4:A$41,0)+ROW(Score!A$3))</f>
        <v>18</v>
      </c>
      <c r="C31" s="330" t="str">
        <f t="shared" ca="1" si="6"/>
        <v>911</v>
      </c>
      <c r="D31" s="329">
        <f t="shared" ca="1" si="6"/>
        <v>0</v>
      </c>
      <c r="E31" s="331">
        <f ca="1">IF(B31="","",SUM(D31,D32))</f>
        <v>0</v>
      </c>
      <c r="F31" s="331">
        <f ca="1">IF(B31="","",E31-U31)</f>
        <v>-6</v>
      </c>
      <c r="G31" s="359">
        <f ca="1">IF($B31="","",IF(ISBLANK(INDIRECT(ADDRESS($B31,G$1,1,,"Score"))),"",1))</f>
        <v>1</v>
      </c>
      <c r="H31" s="359" t="str">
        <f ca="1">IF($B31="","",IF(ISBLANK(INDIRECT(ADDRESS($B31,H$1,1,,"Score"))),"",1))</f>
        <v/>
      </c>
      <c r="I31" s="349" t="str">
        <f ca="1">IF(H31=1,F31,"")</f>
        <v/>
      </c>
      <c r="J31" s="359" t="str">
        <f t="shared" ca="1" si="7"/>
        <v/>
      </c>
      <c r="K31" s="359" t="str">
        <f t="shared" ca="1" si="7"/>
        <v/>
      </c>
      <c r="L31" s="359">
        <f t="shared" ca="1" si="7"/>
        <v>1</v>
      </c>
      <c r="M31" s="329">
        <f t="shared" ca="1" si="8"/>
        <v>0</v>
      </c>
      <c r="N31" s="231">
        <f ca="1">IF(ISNA(MATCH($A31,'Game Clock'!A$11:A$40,0)),"",INDIRECT(ADDRESS(MATCH($A31,'Game Clock'!A$11:A$40,0)+ROW('Game Clock'!A$10),N$1,1,,"Game Clock")))</f>
        <v>0</v>
      </c>
      <c r="O31" s="231" t="str">
        <f ca="1">IF(OR(N31="",N31=0),"",60*E31/N31)</f>
        <v/>
      </c>
      <c r="Q31" s="331">
        <f>Q29+1</f>
        <v>15</v>
      </c>
      <c r="R31" s="329">
        <f>IF(ISNA(MATCH($Q31,Score!T$4:T$41,0)),"",MATCH($Q31,Score!T$4:T$41,0)++ROW(Score!T$3))</f>
        <v>18</v>
      </c>
      <c r="S31" s="330" t="str">
        <f t="shared" ca="1" si="9"/>
        <v>69</v>
      </c>
      <c r="T31" s="329">
        <f t="shared" ca="1" si="9"/>
        <v>6</v>
      </c>
      <c r="U31" s="331">
        <f ca="1">IF(R31="","",SUM(T31,T32))</f>
        <v>6</v>
      </c>
      <c r="V31" s="331">
        <f ca="1">IF(R31="","",U31-E31)</f>
        <v>6</v>
      </c>
      <c r="W31" s="359" t="str">
        <f ca="1">IF($R31="","",IF(ISBLANK(INDIRECT(ADDRESS($R31,W$1,1,,"Score"))),"",1))</f>
        <v/>
      </c>
      <c r="X31" s="359">
        <f ca="1">IF($R31="","",IF(ISBLANK(INDIRECT(ADDRESS($R31,X$1,1,,"Score"))),"",1))</f>
        <v>1</v>
      </c>
      <c r="Y31" s="349">
        <f ca="1">IF(X31=1,V31,"")</f>
        <v>6</v>
      </c>
      <c r="Z31" s="359">
        <f t="shared" ca="1" si="10"/>
        <v>1</v>
      </c>
      <c r="AA31" s="359" t="str">
        <f t="shared" ca="1" si="10"/>
        <v/>
      </c>
      <c r="AB31" s="359" t="str">
        <f t="shared" ca="1" si="10"/>
        <v/>
      </c>
      <c r="AC31" s="329">
        <f t="shared" ca="1" si="11"/>
        <v>2</v>
      </c>
      <c r="AD31" s="231">
        <f ca="1">N31</f>
        <v>0</v>
      </c>
      <c r="AE31" s="231" t="str">
        <f ca="1">IF(OR(AD31="",AD31=0),"",60*U31/AD31)</f>
        <v/>
      </c>
    </row>
    <row r="32" spans="1:31" x14ac:dyDescent="0.25">
      <c r="A32" s="331"/>
      <c r="B32" s="329" t="str">
        <f ca="1">IF($B31="","",IF(INDIRECT(ADDRESS($B31+1,C$1-1,1,,"Score"))="SP",$B31+1,""))</f>
        <v/>
      </c>
      <c r="C32" s="330" t="str">
        <f t="shared" ca="1" si="6"/>
        <v/>
      </c>
      <c r="D32" s="329" t="str">
        <f t="shared" ca="1" si="6"/>
        <v/>
      </c>
      <c r="E32" s="331"/>
      <c r="F32" s="331"/>
      <c r="G32" s="359"/>
      <c r="H32" s="359"/>
      <c r="I32" s="349"/>
      <c r="J32" s="359" t="str">
        <f t="shared" ca="1" si="7"/>
        <v/>
      </c>
      <c r="K32" s="359" t="str">
        <f t="shared" ca="1" si="7"/>
        <v/>
      </c>
      <c r="L32" s="359" t="str">
        <f t="shared" ca="1" si="7"/>
        <v/>
      </c>
      <c r="M32" s="329" t="str">
        <f t="shared" ca="1" si="8"/>
        <v/>
      </c>
      <c r="N32" s="231"/>
      <c r="O32" s="231"/>
      <c r="Q32" s="331"/>
      <c r="R32" s="329" t="str">
        <f ca="1">IF($R31="","",IF(INDIRECT(ADDRESS($R31+1,S$1-1,1,,"Score"))="SP",$R31+1,""))</f>
        <v/>
      </c>
      <c r="S32" s="330" t="str">
        <f t="shared" ca="1" si="9"/>
        <v/>
      </c>
      <c r="T32" s="329" t="str">
        <f t="shared" ca="1" si="9"/>
        <v/>
      </c>
      <c r="U32" s="331"/>
      <c r="V32" s="331"/>
      <c r="W32" s="359"/>
      <c r="X32" s="359"/>
      <c r="Y32" s="349"/>
      <c r="Z32" s="359" t="str">
        <f t="shared" ca="1" si="10"/>
        <v/>
      </c>
      <c r="AA32" s="359" t="str">
        <f t="shared" ca="1" si="10"/>
        <v/>
      </c>
      <c r="AB32" s="359" t="str">
        <f t="shared" ca="1" si="10"/>
        <v/>
      </c>
      <c r="AC32" s="329" t="str">
        <f t="shared" ca="1" si="11"/>
        <v/>
      </c>
      <c r="AD32" s="231"/>
      <c r="AE32" s="231"/>
    </row>
    <row r="33" spans="1:31" x14ac:dyDescent="0.25">
      <c r="A33" s="350">
        <f>A31+1</f>
        <v>16</v>
      </c>
      <c r="B33" s="351">
        <f>IF(ISNA(MATCH($A33,Score!A$4:A$41,0)),"",MATCH($A33,Score!A$4:A$41,0)+ROW(Score!A$3))</f>
        <v>19</v>
      </c>
      <c r="C33" s="352" t="str">
        <f t="shared" ca="1" si="6"/>
        <v>761</v>
      </c>
      <c r="D33" s="351">
        <f t="shared" ca="1" si="6"/>
        <v>21</v>
      </c>
      <c r="E33" s="350">
        <f ca="1">IF(B33="","",SUM(D33,D34))</f>
        <v>21</v>
      </c>
      <c r="F33" s="350">
        <f ca="1">IF(B33="","",E33-U33)</f>
        <v>21</v>
      </c>
      <c r="G33" s="353" t="str">
        <f ca="1">IF($B33="","",IF(ISBLANK(INDIRECT(ADDRESS($B33,G$1,1,,"Score"))),"",1))</f>
        <v/>
      </c>
      <c r="H33" s="353">
        <f ca="1">IF($B33="","",IF(ISBLANK(INDIRECT(ADDRESS($B33,H$1,1,,"Score"))),"",1))</f>
        <v>1</v>
      </c>
      <c r="I33" s="355">
        <f ca="1">IF(H33=1,F33,"")</f>
        <v>21</v>
      </c>
      <c r="J33" s="353">
        <f t="shared" ca="1" si="7"/>
        <v>1</v>
      </c>
      <c r="K33" s="353" t="str">
        <f t="shared" ca="1" si="7"/>
        <v/>
      </c>
      <c r="L33" s="353" t="str">
        <f t="shared" ca="1" si="7"/>
        <v/>
      </c>
      <c r="M33" s="351">
        <f t="shared" ca="1" si="8"/>
        <v>5</v>
      </c>
      <c r="N33" s="350">
        <f ca="1">IF(ISNA(MATCH($A33,'Game Clock'!A$11:A$40,0)),"",INDIRECT(ADDRESS(MATCH($A33,'Game Clock'!A$11:A$40,0)+ROW('Game Clock'!A$10),N$1,1,,"Game Clock")))</f>
        <v>0</v>
      </c>
      <c r="O33" s="350" t="str">
        <f ca="1">IF(OR(N33="",N33=0),"",60*E33/N33)</f>
        <v/>
      </c>
      <c r="Q33" s="350">
        <f>Q31+1</f>
        <v>16</v>
      </c>
      <c r="R33" s="351">
        <f>IF(ISNA(MATCH($Q33,Score!T$4:T$41,0)),"",MATCH($Q33,Score!T$4:T$41,0)++ROW(Score!T$3))</f>
        <v>19</v>
      </c>
      <c r="S33" s="352" t="str">
        <f t="shared" ca="1" si="9"/>
        <v>22</v>
      </c>
      <c r="T33" s="351">
        <f t="shared" ca="1" si="9"/>
        <v>0</v>
      </c>
      <c r="U33" s="350">
        <f ca="1">IF(R33="","",SUM(T33,T34))</f>
        <v>0</v>
      </c>
      <c r="V33" s="350">
        <f ca="1">IF(R33="","",U33-E33)</f>
        <v>-21</v>
      </c>
      <c r="W33" s="353" t="str">
        <f ca="1">IF($R33="","",IF(ISBLANK(INDIRECT(ADDRESS($R33,W$1,1,,"Score"))),"",1))</f>
        <v/>
      </c>
      <c r="X33" s="353" t="str">
        <f ca="1">IF($R33="","",IF(ISBLANK(INDIRECT(ADDRESS($R33,X$1,1,,"Score"))),"",1))</f>
        <v/>
      </c>
      <c r="Y33" s="355" t="str">
        <f ca="1">IF(X33=1,V33,"")</f>
        <v/>
      </c>
      <c r="Z33" s="353" t="str">
        <f t="shared" ca="1" si="10"/>
        <v/>
      </c>
      <c r="AA33" s="353" t="str">
        <f t="shared" ca="1" si="10"/>
        <v/>
      </c>
      <c r="AB33" s="353" t="str">
        <f t="shared" ca="1" si="10"/>
        <v/>
      </c>
      <c r="AC33" s="351">
        <f t="shared" ca="1" si="11"/>
        <v>1</v>
      </c>
      <c r="AD33" s="350">
        <f ca="1">N33</f>
        <v>0</v>
      </c>
      <c r="AE33" s="350" t="str">
        <f ca="1">IF(OR(AD33="",AD33=0),"",60*U33/AD33)</f>
        <v/>
      </c>
    </row>
    <row r="34" spans="1:31" x14ac:dyDescent="0.3">
      <c r="A34" s="350"/>
      <c r="B34" s="351" t="str">
        <f ca="1">IF($B33="","",IF(INDIRECT(ADDRESS($B33+1,C$1-1,1,,"Score"))="SP",$B33+1,""))</f>
        <v/>
      </c>
      <c r="C34" s="352" t="str">
        <f t="shared" ca="1" si="6"/>
        <v/>
      </c>
      <c r="D34" s="351" t="str">
        <f t="shared" ca="1" si="6"/>
        <v/>
      </c>
      <c r="E34" s="350"/>
      <c r="F34" s="350"/>
      <c r="G34" s="353"/>
      <c r="H34" s="354"/>
      <c r="I34" s="355"/>
      <c r="J34" s="353" t="str">
        <f t="shared" ca="1" si="7"/>
        <v/>
      </c>
      <c r="K34" s="353" t="str">
        <f t="shared" ca="1" si="7"/>
        <v/>
      </c>
      <c r="L34" s="353" t="str">
        <f t="shared" ca="1" si="7"/>
        <v/>
      </c>
      <c r="M34" s="351" t="str">
        <f t="shared" ca="1" si="8"/>
        <v/>
      </c>
      <c r="N34" s="350"/>
      <c r="O34" s="350"/>
      <c r="Q34" s="350"/>
      <c r="R34" s="351" t="str">
        <f ca="1">IF($R33="","",IF(INDIRECT(ADDRESS($R33+1,S$1-1,1,,"Score"))="SP",$R33+1,""))</f>
        <v/>
      </c>
      <c r="S34" s="352" t="str">
        <f t="shared" ca="1" si="9"/>
        <v/>
      </c>
      <c r="T34" s="351" t="str">
        <f t="shared" ca="1" si="9"/>
        <v/>
      </c>
      <c r="U34" s="350"/>
      <c r="V34" s="350"/>
      <c r="W34" s="353"/>
      <c r="X34" s="354"/>
      <c r="Y34" s="355"/>
      <c r="Z34" s="353" t="str">
        <f t="shared" ca="1" si="10"/>
        <v/>
      </c>
      <c r="AA34" s="353" t="str">
        <f t="shared" ca="1" si="10"/>
        <v/>
      </c>
      <c r="AB34" s="353" t="str">
        <f t="shared" ca="1" si="10"/>
        <v/>
      </c>
      <c r="AC34" s="351" t="str">
        <f t="shared" ca="1" si="11"/>
        <v/>
      </c>
      <c r="AD34" s="350"/>
      <c r="AE34" s="350"/>
    </row>
    <row r="35" spans="1:31" x14ac:dyDescent="0.25">
      <c r="A35" s="331">
        <f>A33+1</f>
        <v>17</v>
      </c>
      <c r="B35" s="329">
        <f>IF(ISNA(MATCH($A35,Score!A$4:A$41,0)),"",MATCH($A35,Score!A$4:A$41,0)+ROW(Score!A$3))</f>
        <v>20</v>
      </c>
      <c r="C35" s="330" t="str">
        <f t="shared" ca="1" si="6"/>
        <v>1618</v>
      </c>
      <c r="D35" s="329">
        <f t="shared" ca="1" si="6"/>
        <v>4</v>
      </c>
      <c r="E35" s="331">
        <f ca="1">IF(B35="","",SUM(D35,D36))</f>
        <v>4</v>
      </c>
      <c r="F35" s="331">
        <f ca="1">IF(B35="","",E35-U35)</f>
        <v>4</v>
      </c>
      <c r="G35" s="359" t="str">
        <f ca="1">IF($B35="","",IF(ISBLANK(INDIRECT(ADDRESS($B35,G$1,1,,"Score"))),"",1))</f>
        <v/>
      </c>
      <c r="H35" s="359">
        <f ca="1">IF($B35="","",IF(ISBLANK(INDIRECT(ADDRESS($B35,H$1,1,,"Score"))),"",1))</f>
        <v>1</v>
      </c>
      <c r="I35" s="349">
        <f ca="1">IF(H35=1,F35,"")</f>
        <v>4</v>
      </c>
      <c r="J35" s="359" t="str">
        <f t="shared" ca="1" si="7"/>
        <v/>
      </c>
      <c r="K35" s="359" t="str">
        <f t="shared" ca="1" si="7"/>
        <v/>
      </c>
      <c r="L35" s="359" t="str">
        <f t="shared" ca="1" si="7"/>
        <v/>
      </c>
      <c r="M35" s="329">
        <f t="shared" ca="1" si="8"/>
        <v>1</v>
      </c>
      <c r="N35" s="231">
        <f ca="1">IF(ISNA(MATCH($A35,'Game Clock'!A$11:A$40,0)),"",INDIRECT(ADDRESS(MATCH($A35,'Game Clock'!A$11:A$40,0)+ROW('Game Clock'!A$10),N$1,1,,"Game Clock")))</f>
        <v>0</v>
      </c>
      <c r="O35" s="231" t="str">
        <f ca="1">IF(OR(N35="",N35=0),"",60*E35/N35)</f>
        <v/>
      </c>
      <c r="Q35" s="331">
        <f>Q33+1</f>
        <v>17</v>
      </c>
      <c r="R35" s="329">
        <f>IF(ISNA(MATCH($Q35,Score!T$4:T$41,0)),"",MATCH($Q35,Score!T$4:T$41,0)++ROW(Score!T$3))</f>
        <v>20</v>
      </c>
      <c r="S35" s="330" t="str">
        <f t="shared" ca="1" si="9"/>
        <v>9</v>
      </c>
      <c r="T35" s="329">
        <f t="shared" ca="1" si="9"/>
        <v>0</v>
      </c>
      <c r="U35" s="331">
        <f ca="1">IF(R35="","",SUM(T35,T36))</f>
        <v>0</v>
      </c>
      <c r="V35" s="331">
        <f ca="1">IF(R35="","",U35-E35)</f>
        <v>-4</v>
      </c>
      <c r="W35" s="359" t="str">
        <f ca="1">IF($R35="","",IF(ISBLANK(INDIRECT(ADDRESS($R35,W$1,1,,"Score"))),"",1))</f>
        <v/>
      </c>
      <c r="X35" s="359" t="str">
        <f ca="1">IF($R35="","",IF(ISBLANK(INDIRECT(ADDRESS($R35,X$1,1,,"Score"))),"",1))</f>
        <v/>
      </c>
      <c r="Y35" s="349" t="str">
        <f ca="1">IF(X35=1,V35,"")</f>
        <v/>
      </c>
      <c r="Z35" s="359" t="str">
        <f t="shared" ca="1" si="10"/>
        <v/>
      </c>
      <c r="AA35" s="359" t="str">
        <f t="shared" ca="1" si="10"/>
        <v/>
      </c>
      <c r="AB35" s="359" t="str">
        <f t="shared" ca="1" si="10"/>
        <v/>
      </c>
      <c r="AC35" s="329">
        <f t="shared" ca="1" si="11"/>
        <v>1</v>
      </c>
      <c r="AD35" s="231">
        <f ca="1">N35</f>
        <v>0</v>
      </c>
      <c r="AE35" s="231" t="str">
        <f ca="1">IF(OR(AD35="",AD35=0),"",60*U35/AD35)</f>
        <v/>
      </c>
    </row>
    <row r="36" spans="1:31" x14ac:dyDescent="0.25">
      <c r="A36" s="331"/>
      <c r="B36" s="329" t="str">
        <f ca="1">IF($B35="","",IF(INDIRECT(ADDRESS($B35+1,C$1-1,1,,"Score"))="SP",$B35+1,""))</f>
        <v/>
      </c>
      <c r="C36" s="330" t="str">
        <f t="shared" ca="1" si="6"/>
        <v/>
      </c>
      <c r="D36" s="329" t="str">
        <f t="shared" ca="1" si="6"/>
        <v/>
      </c>
      <c r="E36" s="331"/>
      <c r="F36" s="331"/>
      <c r="G36" s="359"/>
      <c r="H36" s="359"/>
      <c r="I36" s="349"/>
      <c r="J36" s="359" t="str">
        <f t="shared" ca="1" si="7"/>
        <v/>
      </c>
      <c r="K36" s="359" t="str">
        <f t="shared" ca="1" si="7"/>
        <v/>
      </c>
      <c r="L36" s="359" t="str">
        <f t="shared" ca="1" si="7"/>
        <v/>
      </c>
      <c r="M36" s="329" t="str">
        <f t="shared" ca="1" si="8"/>
        <v/>
      </c>
      <c r="N36" s="231"/>
      <c r="O36" s="231"/>
      <c r="Q36" s="331"/>
      <c r="R36" s="329" t="str">
        <f ca="1">IF($R35="","",IF(INDIRECT(ADDRESS($R35+1,S$1-1,1,,"Score"))="SP",$R35+1,""))</f>
        <v/>
      </c>
      <c r="S36" s="330" t="str">
        <f t="shared" ca="1" si="9"/>
        <v/>
      </c>
      <c r="T36" s="329" t="str">
        <f t="shared" ca="1" si="9"/>
        <v/>
      </c>
      <c r="U36" s="331"/>
      <c r="V36" s="331"/>
      <c r="W36" s="359"/>
      <c r="X36" s="359"/>
      <c r="Y36" s="349"/>
      <c r="Z36" s="359" t="str">
        <f t="shared" ca="1" si="10"/>
        <v/>
      </c>
      <c r="AA36" s="359" t="str">
        <f t="shared" ca="1" si="10"/>
        <v/>
      </c>
      <c r="AB36" s="359" t="str">
        <f t="shared" ca="1" si="10"/>
        <v/>
      </c>
      <c r="AC36" s="329" t="str">
        <f t="shared" ca="1" si="11"/>
        <v/>
      </c>
      <c r="AD36" s="231"/>
      <c r="AE36" s="231"/>
    </row>
    <row r="37" spans="1:31" x14ac:dyDescent="0.25">
      <c r="A37" s="350">
        <f>A35+1</f>
        <v>18</v>
      </c>
      <c r="B37" s="351">
        <f>IF(ISNA(MATCH($A37,Score!A$4:A$41,0)),"",MATCH($A37,Score!A$4:A$41,0)+ROW(Score!A$3))</f>
        <v>21</v>
      </c>
      <c r="C37" s="352" t="str">
        <f t="shared" ca="1" si="6"/>
        <v>23</v>
      </c>
      <c r="D37" s="351">
        <f t="shared" ca="1" si="6"/>
        <v>0</v>
      </c>
      <c r="E37" s="350">
        <f ca="1">IF(B37="","",SUM(D37,D38))</f>
        <v>0</v>
      </c>
      <c r="F37" s="350">
        <f ca="1">IF(B37="","",E37-U37)</f>
        <v>-5</v>
      </c>
      <c r="G37" s="353" t="str">
        <f ca="1">IF($B37="","",IF(ISBLANK(INDIRECT(ADDRESS($B37,G$1,1,,"Score"))),"",1))</f>
        <v/>
      </c>
      <c r="H37" s="353" t="str">
        <f ca="1">IF($B37="","",IF(ISBLANK(INDIRECT(ADDRESS($B37,H$1,1,,"Score"))),"",1))</f>
        <v/>
      </c>
      <c r="I37" s="355" t="str">
        <f ca="1">IF(H37=1,F37,"")</f>
        <v/>
      </c>
      <c r="J37" s="353" t="str">
        <f t="shared" ca="1" si="7"/>
        <v/>
      </c>
      <c r="K37" s="353" t="str">
        <f t="shared" ca="1" si="7"/>
        <v/>
      </c>
      <c r="L37" s="353">
        <f t="shared" ca="1" si="7"/>
        <v>1</v>
      </c>
      <c r="M37" s="351">
        <f t="shared" ca="1" si="8"/>
        <v>0</v>
      </c>
      <c r="N37" s="350">
        <f ca="1">IF(ISNA(MATCH($A37,'Game Clock'!A$11:A$40,0)),"",INDIRECT(ADDRESS(MATCH($A37,'Game Clock'!A$11:A$40,0)+ROW('Game Clock'!A$10),N$1,1,,"Game Clock")))</f>
        <v>0</v>
      </c>
      <c r="O37" s="350" t="str">
        <f ca="1">IF(OR(N37="",N37=0),"",60*E37/N37)</f>
        <v/>
      </c>
      <c r="Q37" s="350">
        <f>Q35+1</f>
        <v>18</v>
      </c>
      <c r="R37" s="351">
        <f>IF(ISNA(MATCH($Q37,Score!T$4:T$41,0)),"",MATCH($Q37,Score!T$4:T$41,0)++ROW(Score!T$3))</f>
        <v>21</v>
      </c>
      <c r="S37" s="352" t="str">
        <f t="shared" ca="1" si="9"/>
        <v>69</v>
      </c>
      <c r="T37" s="351">
        <f t="shared" ca="1" si="9"/>
        <v>5</v>
      </c>
      <c r="U37" s="350">
        <f ca="1">IF(R37="","",SUM(T37,T38))</f>
        <v>5</v>
      </c>
      <c r="V37" s="350">
        <f ca="1">IF(R37="","",U37-E37)</f>
        <v>5</v>
      </c>
      <c r="W37" s="353" t="str">
        <f ca="1">IF($R37="","",IF(ISBLANK(INDIRECT(ADDRESS($R37,W$1,1,,"Score"))),"",1))</f>
        <v/>
      </c>
      <c r="X37" s="353">
        <f ca="1">IF($R37="","",IF(ISBLANK(INDIRECT(ADDRESS($R37,X$1,1,,"Score"))),"",1))</f>
        <v>1</v>
      </c>
      <c r="Y37" s="355">
        <f ca="1">IF(X37=1,V37,"")</f>
        <v>5</v>
      </c>
      <c r="Z37" s="353">
        <f t="shared" ca="1" si="10"/>
        <v>1</v>
      </c>
      <c r="AA37" s="353" t="str">
        <f t="shared" ca="1" si="10"/>
        <v/>
      </c>
      <c r="AB37" s="353" t="str">
        <f t="shared" ca="1" si="10"/>
        <v/>
      </c>
      <c r="AC37" s="351">
        <f t="shared" ca="1" si="11"/>
        <v>1</v>
      </c>
      <c r="AD37" s="350">
        <f ca="1">N37</f>
        <v>0</v>
      </c>
      <c r="AE37" s="350" t="str">
        <f ca="1">IF(OR(AD37="",AD37=0),"",60*U37/AD37)</f>
        <v/>
      </c>
    </row>
    <row r="38" spans="1:31" x14ac:dyDescent="0.3">
      <c r="A38" s="350"/>
      <c r="B38" s="351" t="str">
        <f ca="1">IF($B37="","",IF(INDIRECT(ADDRESS($B37+1,C$1-1,1,,"Score"))="SP",$B37+1,""))</f>
        <v/>
      </c>
      <c r="C38" s="352" t="str">
        <f t="shared" ca="1" si="6"/>
        <v/>
      </c>
      <c r="D38" s="351" t="str">
        <f t="shared" ca="1" si="6"/>
        <v/>
      </c>
      <c r="E38" s="350"/>
      <c r="F38" s="350"/>
      <c r="G38" s="353"/>
      <c r="H38" s="354"/>
      <c r="I38" s="355"/>
      <c r="J38" s="353" t="str">
        <f t="shared" ca="1" si="7"/>
        <v/>
      </c>
      <c r="K38" s="353" t="str">
        <f t="shared" ca="1" si="7"/>
        <v/>
      </c>
      <c r="L38" s="353" t="str">
        <f t="shared" ca="1" si="7"/>
        <v/>
      </c>
      <c r="M38" s="351" t="str">
        <f t="shared" ca="1" si="8"/>
        <v/>
      </c>
      <c r="N38" s="350"/>
      <c r="O38" s="350"/>
      <c r="Q38" s="350"/>
      <c r="R38" s="351" t="str">
        <f ca="1">IF($R37="","",IF(INDIRECT(ADDRESS($R37+1,S$1-1,1,,"Score"))="SP",$R37+1,""))</f>
        <v/>
      </c>
      <c r="S38" s="352" t="str">
        <f t="shared" ca="1" si="9"/>
        <v/>
      </c>
      <c r="T38" s="351" t="str">
        <f t="shared" ca="1" si="9"/>
        <v/>
      </c>
      <c r="U38" s="350"/>
      <c r="V38" s="350"/>
      <c r="W38" s="353"/>
      <c r="X38" s="354"/>
      <c r="Y38" s="355"/>
      <c r="Z38" s="353" t="str">
        <f t="shared" ca="1" si="10"/>
        <v/>
      </c>
      <c r="AA38" s="353" t="str">
        <f t="shared" ca="1" si="10"/>
        <v/>
      </c>
      <c r="AB38" s="353" t="str">
        <f t="shared" ca="1" si="10"/>
        <v/>
      </c>
      <c r="AC38" s="351" t="str">
        <f t="shared" ca="1" si="11"/>
        <v/>
      </c>
      <c r="AD38" s="350"/>
      <c r="AE38" s="350"/>
    </row>
    <row r="39" spans="1:31" x14ac:dyDescent="0.25">
      <c r="A39" s="331">
        <f>A37+1</f>
        <v>19</v>
      </c>
      <c r="B39" s="329">
        <f>IF(ISNA(MATCH($A39,Score!A$4:A$41,0)),"",MATCH($A39,Score!A$4:A$41,0)+ROW(Score!A$3))</f>
        <v>22</v>
      </c>
      <c r="C39" s="330" t="str">
        <f t="shared" ca="1" si="6"/>
        <v>23</v>
      </c>
      <c r="D39" s="329">
        <f t="shared" ca="1" si="6"/>
        <v>0</v>
      </c>
      <c r="E39" s="331">
        <f ca="1">IF(B39="","",SUM(D39,D40))</f>
        <v>0</v>
      </c>
      <c r="F39" s="331">
        <f ca="1">IF(B39="","",E39-U39)</f>
        <v>0</v>
      </c>
      <c r="G39" s="359" t="str">
        <f ca="1">IF($B39="","",IF(ISBLANK(INDIRECT(ADDRESS($B39,G$1,1,,"Score"))),"",1))</f>
        <v/>
      </c>
      <c r="H39" s="359" t="str">
        <f ca="1">IF($B39="","",IF(ISBLANK(INDIRECT(ADDRESS($B39,H$1,1,,"Score"))),"",1))</f>
        <v/>
      </c>
      <c r="I39" s="349" t="str">
        <f ca="1">IF(H39=1,F39,"")</f>
        <v/>
      </c>
      <c r="J39" s="359" t="str">
        <f t="shared" ca="1" si="7"/>
        <v/>
      </c>
      <c r="K39" s="359" t="str">
        <f t="shared" ca="1" si="7"/>
        <v/>
      </c>
      <c r="L39" s="359" t="str">
        <f t="shared" ca="1" si="7"/>
        <v/>
      </c>
      <c r="M39" s="329">
        <f t="shared" ca="1" si="8"/>
        <v>1</v>
      </c>
      <c r="N39" s="231">
        <f ca="1">IF(ISNA(MATCH($A39,'Game Clock'!A$11:A$40,0)),"",INDIRECT(ADDRESS(MATCH($A39,'Game Clock'!A$11:A$40,0)+ROW('Game Clock'!A$10),N$1,1,,"Game Clock")))</f>
        <v>0</v>
      </c>
      <c r="O39" s="231" t="str">
        <f ca="1">IF(OR(N39="",N39=0),"",60*E39/N39)</f>
        <v/>
      </c>
      <c r="Q39" s="331">
        <f>Q37+1</f>
        <v>19</v>
      </c>
      <c r="R39" s="329">
        <f>IF(ISNA(MATCH($Q39,Score!T$4:T$41,0)),"",MATCH($Q39,Score!T$4:T$41,0)++ROW(Score!T$3))</f>
        <v>22</v>
      </c>
      <c r="S39" s="330" t="str">
        <f t="shared" ca="1" si="9"/>
        <v>22</v>
      </c>
      <c r="T39" s="329">
        <f t="shared" ca="1" si="9"/>
        <v>0</v>
      </c>
      <c r="U39" s="331">
        <f ca="1">IF(R39="","",SUM(T39,T40))</f>
        <v>0</v>
      </c>
      <c r="V39" s="331">
        <f ca="1">IF(R39="","",U39-E39)</f>
        <v>0</v>
      </c>
      <c r="W39" s="359" t="str">
        <f ca="1">IF($R39="","",IF(ISBLANK(INDIRECT(ADDRESS($R39,W$1,1,,"Score"))),"",1))</f>
        <v/>
      </c>
      <c r="X39" s="359">
        <f ca="1">IF($R39="","",IF(ISBLANK(INDIRECT(ADDRESS($R39,X$1,1,,"Score"))),"",1))</f>
        <v>1</v>
      </c>
      <c r="Y39" s="349">
        <f ca="1">IF(X39=1,V39,"")</f>
        <v>0</v>
      </c>
      <c r="Z39" s="359">
        <f t="shared" ca="1" si="10"/>
        <v>1</v>
      </c>
      <c r="AA39" s="359" t="str">
        <f t="shared" ca="1" si="10"/>
        <v/>
      </c>
      <c r="AB39" s="359" t="str">
        <f t="shared" ca="1" si="10"/>
        <v/>
      </c>
      <c r="AC39" s="329">
        <f t="shared" ca="1" si="11"/>
        <v>1</v>
      </c>
      <c r="AD39" s="231">
        <f ca="1">N39</f>
        <v>0</v>
      </c>
      <c r="AE39" s="231" t="str">
        <f ca="1">IF(OR(AD39="",AD39=0),"",60*U39/AD39)</f>
        <v/>
      </c>
    </row>
    <row r="40" spans="1:31" x14ac:dyDescent="0.25">
      <c r="A40" s="331"/>
      <c r="B40" s="329" t="str">
        <f ca="1">IF($B39="","",IF(INDIRECT(ADDRESS($B39+1,C$1-1,1,,"Score"))="SP",$B39+1,""))</f>
        <v/>
      </c>
      <c r="C40" s="330" t="str">
        <f t="shared" ca="1" si="6"/>
        <v/>
      </c>
      <c r="D40" s="329" t="str">
        <f t="shared" ca="1" si="6"/>
        <v/>
      </c>
      <c r="E40" s="331"/>
      <c r="F40" s="331"/>
      <c r="G40" s="359"/>
      <c r="H40" s="359"/>
      <c r="I40" s="349"/>
      <c r="J40" s="359" t="str">
        <f t="shared" ca="1" si="7"/>
        <v/>
      </c>
      <c r="K40" s="359" t="str">
        <f t="shared" ca="1" si="7"/>
        <v/>
      </c>
      <c r="L40" s="359" t="str">
        <f t="shared" ca="1" si="7"/>
        <v/>
      </c>
      <c r="M40" s="329" t="str">
        <f t="shared" ca="1" si="8"/>
        <v/>
      </c>
      <c r="N40" s="231"/>
      <c r="O40" s="231"/>
      <c r="Q40" s="331"/>
      <c r="R40" s="329" t="str">
        <f ca="1">IF($R39="","",IF(INDIRECT(ADDRESS($R39+1,S$1-1,1,,"Score"))="SP",$R39+1,""))</f>
        <v/>
      </c>
      <c r="S40" s="330" t="str">
        <f t="shared" ca="1" si="9"/>
        <v/>
      </c>
      <c r="T40" s="329" t="str">
        <f t="shared" ca="1" si="9"/>
        <v/>
      </c>
      <c r="U40" s="331"/>
      <c r="V40" s="331"/>
      <c r="W40" s="359"/>
      <c r="X40" s="359"/>
      <c r="Y40" s="349"/>
      <c r="Z40" s="359" t="str">
        <f t="shared" ca="1" si="10"/>
        <v/>
      </c>
      <c r="AA40" s="359" t="str">
        <f t="shared" ca="1" si="10"/>
        <v/>
      </c>
      <c r="AB40" s="359" t="str">
        <f t="shared" ca="1" si="10"/>
        <v/>
      </c>
      <c r="AC40" s="329" t="str">
        <f t="shared" ca="1" si="11"/>
        <v/>
      </c>
      <c r="AD40" s="231"/>
      <c r="AE40" s="231"/>
    </row>
    <row r="41" spans="1:31" x14ac:dyDescent="0.25">
      <c r="A41" s="350">
        <f>A39+1</f>
        <v>20</v>
      </c>
      <c r="B41" s="351">
        <f>IF(ISNA(MATCH($A41,Score!A$4:A$41,0)),"",MATCH($A41,Score!A$4:A$41,0)+ROW(Score!A$3))</f>
        <v>23</v>
      </c>
      <c r="C41" s="352" t="str">
        <f t="shared" ca="1" si="6"/>
        <v>761</v>
      </c>
      <c r="D41" s="351">
        <f t="shared" ca="1" si="6"/>
        <v>0</v>
      </c>
      <c r="E41" s="350">
        <f ca="1">IF(B41="","",SUM(D41,D42))</f>
        <v>0</v>
      </c>
      <c r="F41" s="350">
        <f ca="1">IF(B41="","",E41-U41)</f>
        <v>0</v>
      </c>
      <c r="G41" s="353" t="str">
        <f ca="1">IF($B41="","",IF(ISBLANK(INDIRECT(ADDRESS($B41,G$1,1,,"Score"))),"",1))</f>
        <v/>
      </c>
      <c r="H41" s="353" t="str">
        <f ca="1">IF($B41="","",IF(ISBLANK(INDIRECT(ADDRESS($B41,H$1,1,,"Score"))),"",1))</f>
        <v/>
      </c>
      <c r="I41" s="355" t="str">
        <f ca="1">IF(H41=1,F41,"")</f>
        <v/>
      </c>
      <c r="J41" s="353" t="str">
        <f t="shared" ca="1" si="7"/>
        <v/>
      </c>
      <c r="K41" s="353" t="str">
        <f t="shared" ca="1" si="7"/>
        <v/>
      </c>
      <c r="L41" s="353">
        <f t="shared" ca="1" si="7"/>
        <v>1</v>
      </c>
      <c r="M41" s="351">
        <f t="shared" ca="1" si="8"/>
        <v>0</v>
      </c>
      <c r="N41" s="350">
        <f ca="1">IF(ISNA(MATCH($A41,'Game Clock'!A$11:A$40,0)),"",INDIRECT(ADDRESS(MATCH($A41,'Game Clock'!A$11:A$40,0)+ROW('Game Clock'!A$10),N$1,1,,"Game Clock")))</f>
        <v>0</v>
      </c>
      <c r="O41" s="350" t="str">
        <f ca="1">IF(OR(N41="",N41=0),"",60*E41/N41)</f>
        <v/>
      </c>
      <c r="Q41" s="350">
        <f>Q39+1</f>
        <v>20</v>
      </c>
      <c r="R41" s="351">
        <f>IF(ISNA(MATCH($Q41,Score!T$4:T$41,0)),"",MATCH($Q41,Score!T$4:T$41,0)++ROW(Score!T$3))</f>
        <v>23</v>
      </c>
      <c r="S41" s="352" t="str">
        <f t="shared" ca="1" si="9"/>
        <v>9</v>
      </c>
      <c r="T41" s="351">
        <f t="shared" ca="1" si="9"/>
        <v>0</v>
      </c>
      <c r="U41" s="350">
        <f ca="1">IF(R41="","",SUM(T41,T42))</f>
        <v>0</v>
      </c>
      <c r="V41" s="350">
        <f ca="1">IF(R41="","",U41-E41)</f>
        <v>0</v>
      </c>
      <c r="W41" s="353" t="str">
        <f ca="1">IF($R41="","",IF(ISBLANK(INDIRECT(ADDRESS($R41,W$1,1,,"Score"))),"",1))</f>
        <v/>
      </c>
      <c r="X41" s="353">
        <f ca="1">IF($R41="","",IF(ISBLANK(INDIRECT(ADDRESS($R41,X$1,1,,"Score"))),"",1))</f>
        <v>1</v>
      </c>
      <c r="Y41" s="355">
        <f ca="1">IF(X41=1,V41,"")</f>
        <v>0</v>
      </c>
      <c r="Z41" s="353">
        <f t="shared" ca="1" si="10"/>
        <v>1</v>
      </c>
      <c r="AA41" s="353" t="str">
        <f t="shared" ca="1" si="10"/>
        <v/>
      </c>
      <c r="AB41" s="353" t="str">
        <f t="shared" ca="1" si="10"/>
        <v/>
      </c>
      <c r="AC41" s="351">
        <f t="shared" ca="1" si="11"/>
        <v>1</v>
      </c>
      <c r="AD41" s="350">
        <f ca="1">N41</f>
        <v>0</v>
      </c>
      <c r="AE41" s="350" t="str">
        <f ca="1">IF(OR(AD41="",AD41=0),"",60*U41/AD41)</f>
        <v/>
      </c>
    </row>
    <row r="42" spans="1:31" x14ac:dyDescent="0.3">
      <c r="A42" s="350"/>
      <c r="B42" s="351" t="str">
        <f ca="1">IF($B41="","",IF(INDIRECT(ADDRESS($B41+1,C$1-1,1,,"Score"))="SP",$B41+1,""))</f>
        <v/>
      </c>
      <c r="C42" s="352" t="str">
        <f t="shared" ca="1" si="6"/>
        <v/>
      </c>
      <c r="D42" s="351" t="str">
        <f t="shared" ca="1" si="6"/>
        <v/>
      </c>
      <c r="E42" s="350"/>
      <c r="F42" s="350"/>
      <c r="G42" s="353"/>
      <c r="H42" s="354"/>
      <c r="I42" s="355"/>
      <c r="J42" s="353" t="str">
        <f t="shared" ca="1" si="7"/>
        <v/>
      </c>
      <c r="K42" s="353" t="str">
        <f t="shared" ca="1" si="7"/>
        <v/>
      </c>
      <c r="L42" s="353" t="str">
        <f t="shared" ca="1" si="7"/>
        <v/>
      </c>
      <c r="M42" s="351" t="str">
        <f t="shared" ca="1" si="8"/>
        <v/>
      </c>
      <c r="N42" s="350"/>
      <c r="O42" s="350"/>
      <c r="Q42" s="350"/>
      <c r="R42" s="351" t="str">
        <f ca="1">IF($R41="","",IF(INDIRECT(ADDRESS($R41+1,S$1-1,1,,"Score"))="SP",$R41+1,""))</f>
        <v/>
      </c>
      <c r="S42" s="352" t="str">
        <f t="shared" ca="1" si="9"/>
        <v/>
      </c>
      <c r="T42" s="351" t="str">
        <f t="shared" ca="1" si="9"/>
        <v/>
      </c>
      <c r="U42" s="350"/>
      <c r="V42" s="350"/>
      <c r="W42" s="353"/>
      <c r="X42" s="354"/>
      <c r="Y42" s="355"/>
      <c r="Z42" s="353" t="str">
        <f t="shared" ca="1" si="10"/>
        <v/>
      </c>
      <c r="AA42" s="353" t="str">
        <f t="shared" ca="1" si="10"/>
        <v/>
      </c>
      <c r="AB42" s="353" t="str">
        <f t="shared" ca="1" si="10"/>
        <v/>
      </c>
      <c r="AC42" s="351" t="str">
        <f t="shared" ca="1" si="11"/>
        <v/>
      </c>
      <c r="AD42" s="350"/>
      <c r="AE42" s="350"/>
    </row>
    <row r="43" spans="1:31" x14ac:dyDescent="0.25">
      <c r="A43" s="331">
        <f>A41+1</f>
        <v>21</v>
      </c>
      <c r="B43" s="329">
        <f>IF(ISNA(MATCH($A43,Score!A$4:A$41,0)),"",MATCH($A43,Score!A$4:A$41,0)+ROW(Score!A$3))</f>
        <v>24</v>
      </c>
      <c r="C43" s="330" t="str">
        <f t="shared" ref="C43:D58" ca="1" si="12">IF($B43="","",INDIRECT(ADDRESS($B43,C$1,1,,"Score")))</f>
        <v>911</v>
      </c>
      <c r="D43" s="329">
        <f t="shared" ca="1" si="12"/>
        <v>0</v>
      </c>
      <c r="E43" s="331">
        <f ca="1">IF(B43="","",SUM(D43,D44))</f>
        <v>0</v>
      </c>
      <c r="F43" s="331">
        <f ca="1">IF(B43="","",E43-U43)</f>
        <v>0</v>
      </c>
      <c r="G43" s="359" t="str">
        <f ca="1">IF($B43="","",IF(ISBLANK(INDIRECT(ADDRESS($B43,G$1,1,,"Score"))),"",1))</f>
        <v/>
      </c>
      <c r="H43" s="359" t="str">
        <f ca="1">IF($B43="","",IF(ISBLANK(INDIRECT(ADDRESS($B43,H$1,1,,"Score"))),"",1))</f>
        <v/>
      </c>
      <c r="I43" s="349" t="str">
        <f ca="1">IF(H43=1,F43,"")</f>
        <v/>
      </c>
      <c r="J43" s="359" t="str">
        <f t="shared" ref="J43:L58" ca="1" si="13">IF($B43="","",IF(ISBLANK(INDIRECT(ADDRESS($B43,J$1,1,,"Score"))),"",1))</f>
        <v/>
      </c>
      <c r="K43" s="359" t="str">
        <f t="shared" ca="1" si="13"/>
        <v/>
      </c>
      <c r="L43" s="359" t="str">
        <f t="shared" ca="1" si="13"/>
        <v/>
      </c>
      <c r="M43" s="329">
        <f t="shared" ref="M43:M58" ca="1" si="14">IF($B43="","",INDIRECT(ADDRESS($B43,M$1,1,,"Score")))</f>
        <v>1</v>
      </c>
      <c r="N43" s="231">
        <f ca="1">IF(ISNA(MATCH($A43,'Game Clock'!A$11:A$40,0)),"",INDIRECT(ADDRESS(MATCH($A43,'Game Clock'!A$11:A$40,0)+ROW('Game Clock'!A$10),N$1,1,,"Game Clock")))</f>
        <v>0</v>
      </c>
      <c r="O43" s="231" t="str">
        <f ca="1">IF(OR(N43="",N43=0),"",60*E43/N43)</f>
        <v/>
      </c>
      <c r="Q43" s="331">
        <f>Q41+1</f>
        <v>21</v>
      </c>
      <c r="R43" s="329">
        <f>IF(ISNA(MATCH($Q43,Score!T$4:T$41,0)),"",MATCH($Q43,Score!T$4:T$41,0)++ROW(Score!T$3))</f>
        <v>24</v>
      </c>
      <c r="S43" s="330" t="str">
        <f t="shared" ref="S43:T58" ca="1" si="15">IF($R43="","",INDIRECT(ADDRESS($R43,S$1,1,,"Score")))</f>
        <v>69</v>
      </c>
      <c r="T43" s="329">
        <f t="shared" ca="1" si="15"/>
        <v>0</v>
      </c>
      <c r="U43" s="331">
        <f ca="1">IF(R43="","",SUM(T43,T44))</f>
        <v>0</v>
      </c>
      <c r="V43" s="331">
        <f ca="1">IF(R43="","",U43-E43)</f>
        <v>0</v>
      </c>
      <c r="W43" s="359" t="str">
        <f ca="1">IF($R43="","",IF(ISBLANK(INDIRECT(ADDRESS($R43,W$1,1,,"Score"))),"",1))</f>
        <v/>
      </c>
      <c r="X43" s="359">
        <f ca="1">IF($R43="","",IF(ISBLANK(INDIRECT(ADDRESS($R43,X$1,1,,"Score"))),"",1))</f>
        <v>1</v>
      </c>
      <c r="Y43" s="349">
        <f ca="1">IF(X43=1,V43,"")</f>
        <v>0</v>
      </c>
      <c r="Z43" s="359">
        <f t="shared" ref="Z43:AB58" ca="1" si="16">IF($R43="","",IF(ISBLANK(INDIRECT(ADDRESS($R43,Z$1,1,,"Score"))),"",1))</f>
        <v>1</v>
      </c>
      <c r="AA43" s="359" t="str">
        <f t="shared" ca="1" si="16"/>
        <v/>
      </c>
      <c r="AB43" s="359" t="str">
        <f t="shared" ca="1" si="16"/>
        <v/>
      </c>
      <c r="AC43" s="329">
        <f t="shared" ref="AC43:AC58" ca="1" si="17">IF($R43="","",INDIRECT(ADDRESS($R43,AC$1,1,,"Score")))</f>
        <v>1</v>
      </c>
      <c r="AD43" s="231">
        <f ca="1">N43</f>
        <v>0</v>
      </c>
      <c r="AE43" s="231" t="str">
        <f ca="1">IF(OR(AD43="",AD43=0),"",60*U43/AD43)</f>
        <v/>
      </c>
    </row>
    <row r="44" spans="1:31" x14ac:dyDescent="0.25">
      <c r="A44" s="331"/>
      <c r="B44" s="329" t="str">
        <f ca="1">IF($B43="","",IF(INDIRECT(ADDRESS($B43+1,C$1-1,1,,"Score"))="SP",$B43+1,""))</f>
        <v/>
      </c>
      <c r="C44" s="330" t="str">
        <f t="shared" ca="1" si="12"/>
        <v/>
      </c>
      <c r="D44" s="329" t="str">
        <f t="shared" ca="1" si="12"/>
        <v/>
      </c>
      <c r="E44" s="331"/>
      <c r="F44" s="331"/>
      <c r="G44" s="359"/>
      <c r="H44" s="359"/>
      <c r="I44" s="349"/>
      <c r="J44" s="359" t="str">
        <f t="shared" ca="1" si="13"/>
        <v/>
      </c>
      <c r="K44" s="359" t="str">
        <f t="shared" ca="1" si="13"/>
        <v/>
      </c>
      <c r="L44" s="359" t="str">
        <f t="shared" ca="1" si="13"/>
        <v/>
      </c>
      <c r="M44" s="329" t="str">
        <f t="shared" ca="1" si="14"/>
        <v/>
      </c>
      <c r="N44" s="231"/>
      <c r="O44" s="231"/>
      <c r="Q44" s="331"/>
      <c r="R44" s="329" t="str">
        <f ca="1">IF($R43="","",IF(INDIRECT(ADDRESS($R43+1,S$1-1,1,,"Score"))="SP",$R43+1,""))</f>
        <v/>
      </c>
      <c r="S44" s="330" t="str">
        <f t="shared" ca="1" si="15"/>
        <v/>
      </c>
      <c r="T44" s="329" t="str">
        <f t="shared" ca="1" si="15"/>
        <v/>
      </c>
      <c r="U44" s="331"/>
      <c r="V44" s="331"/>
      <c r="W44" s="359"/>
      <c r="X44" s="359"/>
      <c r="Y44" s="349"/>
      <c r="Z44" s="359" t="str">
        <f t="shared" ca="1" si="16"/>
        <v/>
      </c>
      <c r="AA44" s="359" t="str">
        <f t="shared" ca="1" si="16"/>
        <v/>
      </c>
      <c r="AB44" s="359" t="str">
        <f t="shared" ca="1" si="16"/>
        <v/>
      </c>
      <c r="AC44" s="329" t="str">
        <f t="shared" ca="1" si="17"/>
        <v/>
      </c>
      <c r="AD44" s="231"/>
      <c r="AE44" s="231"/>
    </row>
    <row r="45" spans="1:31" x14ac:dyDescent="0.25">
      <c r="A45" s="350">
        <f>A43+1</f>
        <v>22</v>
      </c>
      <c r="B45" s="351">
        <f>IF(ISNA(MATCH($A45,Score!A$4:A$41,0)),"",MATCH($A45,Score!A$4:A$41,0)+ROW(Score!A$3))</f>
        <v>25</v>
      </c>
      <c r="C45" s="352" t="str">
        <f t="shared" ca="1" si="12"/>
        <v>1618</v>
      </c>
      <c r="D45" s="351">
        <f t="shared" ca="1" si="12"/>
        <v>0</v>
      </c>
      <c r="E45" s="350">
        <f ca="1">IF(B45="","",SUM(D45,D46))</f>
        <v>0</v>
      </c>
      <c r="F45" s="350">
        <f ca="1">IF(B45="","",E45-U45)</f>
        <v>-2</v>
      </c>
      <c r="G45" s="353" t="str">
        <f ca="1">IF($B45="","",IF(ISBLANK(INDIRECT(ADDRESS($B45,G$1,1,,"Score"))),"",1))</f>
        <v/>
      </c>
      <c r="H45" s="353" t="str">
        <f ca="1">IF($B45="","",IF(ISBLANK(INDIRECT(ADDRESS($B45,H$1,1,,"Score"))),"",1))</f>
        <v/>
      </c>
      <c r="I45" s="355" t="str">
        <f ca="1">IF(H45=1,F45,"")</f>
        <v/>
      </c>
      <c r="J45" s="353" t="str">
        <f t="shared" ca="1" si="13"/>
        <v/>
      </c>
      <c r="K45" s="353" t="str">
        <f t="shared" ca="1" si="13"/>
        <v/>
      </c>
      <c r="L45" s="353" t="str">
        <f t="shared" ca="1" si="13"/>
        <v/>
      </c>
      <c r="M45" s="351">
        <f t="shared" ca="1" si="14"/>
        <v>1</v>
      </c>
      <c r="N45" s="350">
        <f ca="1">IF(ISNA(MATCH($A45,'Game Clock'!A$11:A$40,0)),"",INDIRECT(ADDRESS(MATCH($A45,'Game Clock'!A$11:A$40,0)+ROW('Game Clock'!A$10),N$1,1,,"Game Clock")))</f>
        <v>0</v>
      </c>
      <c r="O45" s="350" t="str">
        <f ca="1">IF(OR(N45="",N45=0),"",60*E45/N45)</f>
        <v/>
      </c>
      <c r="Q45" s="350">
        <f>Q43+1</f>
        <v>22</v>
      </c>
      <c r="R45" s="351">
        <f>IF(ISNA(MATCH($Q45,Score!T$4:T$41,0)),"",MATCH($Q45,Score!T$4:T$41,0)++ROW(Score!T$3))</f>
        <v>25</v>
      </c>
      <c r="S45" s="352" t="str">
        <f t="shared" ca="1" si="15"/>
        <v>22</v>
      </c>
      <c r="T45" s="351">
        <f t="shared" ca="1" si="15"/>
        <v>2</v>
      </c>
      <c r="U45" s="350">
        <f ca="1">IF(R45="","",SUM(T45,T46))</f>
        <v>2</v>
      </c>
      <c r="V45" s="350">
        <f ca="1">IF(R45="","",U45-E45)</f>
        <v>2</v>
      </c>
      <c r="W45" s="353" t="str">
        <f ca="1">IF($R45="","",IF(ISBLANK(INDIRECT(ADDRESS($R45,W$1,1,,"Score"))),"",1))</f>
        <v/>
      </c>
      <c r="X45" s="353">
        <f ca="1">IF($R45="","",IF(ISBLANK(INDIRECT(ADDRESS($R45,X$1,1,,"Score"))),"",1))</f>
        <v>1</v>
      </c>
      <c r="Y45" s="355">
        <f ca="1">IF(X45=1,V45,"")</f>
        <v>2</v>
      </c>
      <c r="Z45" s="353">
        <f t="shared" ca="1" si="16"/>
        <v>1</v>
      </c>
      <c r="AA45" s="353" t="str">
        <f t="shared" ca="1" si="16"/>
        <v/>
      </c>
      <c r="AB45" s="353" t="str">
        <f t="shared" ca="1" si="16"/>
        <v/>
      </c>
      <c r="AC45" s="351">
        <f t="shared" ca="1" si="17"/>
        <v>1</v>
      </c>
      <c r="AD45" s="350">
        <f ca="1">N45</f>
        <v>0</v>
      </c>
      <c r="AE45" s="350" t="str">
        <f ca="1">IF(OR(AD45="",AD45=0),"",60*U45/AD45)</f>
        <v/>
      </c>
    </row>
    <row r="46" spans="1:31" x14ac:dyDescent="0.3">
      <c r="A46" s="350"/>
      <c r="B46" s="351" t="str">
        <f ca="1">IF($B45="","",IF(INDIRECT(ADDRESS($B45+1,C$1-1,1,,"Score"))="SP",$B45+1,""))</f>
        <v/>
      </c>
      <c r="C46" s="352" t="str">
        <f t="shared" ca="1" si="12"/>
        <v/>
      </c>
      <c r="D46" s="351" t="str">
        <f t="shared" ca="1" si="12"/>
        <v/>
      </c>
      <c r="E46" s="350"/>
      <c r="F46" s="350"/>
      <c r="G46" s="353"/>
      <c r="H46" s="354"/>
      <c r="I46" s="355"/>
      <c r="J46" s="353" t="str">
        <f t="shared" ca="1" si="13"/>
        <v/>
      </c>
      <c r="K46" s="353" t="str">
        <f t="shared" ca="1" si="13"/>
        <v/>
      </c>
      <c r="L46" s="353" t="str">
        <f t="shared" ca="1" si="13"/>
        <v/>
      </c>
      <c r="M46" s="351" t="str">
        <f t="shared" ca="1" si="14"/>
        <v/>
      </c>
      <c r="N46" s="350"/>
      <c r="O46" s="350"/>
      <c r="Q46" s="350"/>
      <c r="R46" s="351" t="str">
        <f ca="1">IF($R45="","",IF(INDIRECT(ADDRESS($R45+1,S$1-1,1,,"Score"))="SP",$R45+1,""))</f>
        <v/>
      </c>
      <c r="S46" s="352" t="str">
        <f t="shared" ca="1" si="15"/>
        <v/>
      </c>
      <c r="T46" s="351" t="str">
        <f t="shared" ca="1" si="15"/>
        <v/>
      </c>
      <c r="U46" s="350"/>
      <c r="V46" s="350"/>
      <c r="W46" s="353"/>
      <c r="X46" s="354"/>
      <c r="Y46" s="355"/>
      <c r="Z46" s="353" t="str">
        <f t="shared" ca="1" si="16"/>
        <v/>
      </c>
      <c r="AA46" s="353" t="str">
        <f t="shared" ca="1" si="16"/>
        <v/>
      </c>
      <c r="AB46" s="353" t="str">
        <f t="shared" ca="1" si="16"/>
        <v/>
      </c>
      <c r="AC46" s="351" t="str">
        <f t="shared" ca="1" si="17"/>
        <v/>
      </c>
      <c r="AD46" s="350"/>
      <c r="AE46" s="350"/>
    </row>
    <row r="47" spans="1:31" x14ac:dyDescent="0.25">
      <c r="A47" s="331">
        <f>A45+1</f>
        <v>23</v>
      </c>
      <c r="B47" s="329">
        <f>IF(ISNA(MATCH($A47,Score!A$4:A$41,0)),"",MATCH($A47,Score!A$4:A$41,0)+ROW(Score!A$3))</f>
        <v>26</v>
      </c>
      <c r="C47" s="330" t="str">
        <f t="shared" ca="1" si="12"/>
        <v>23</v>
      </c>
      <c r="D47" s="329">
        <f t="shared" ca="1" si="12"/>
        <v>19</v>
      </c>
      <c r="E47" s="331">
        <f ca="1">IF(B47="","",SUM(D47,D48))</f>
        <v>19</v>
      </c>
      <c r="F47" s="331">
        <f ca="1">IF(B47="","",E47-U47)</f>
        <v>19</v>
      </c>
      <c r="G47" s="359" t="str">
        <f ca="1">IF($B47="","",IF(ISBLANK(INDIRECT(ADDRESS($B47,G$1,1,,"Score"))),"",1))</f>
        <v/>
      </c>
      <c r="H47" s="359">
        <f ca="1">IF($B47="","",IF(ISBLANK(INDIRECT(ADDRESS($B47,H$1,1,,"Score"))),"",1))</f>
        <v>1</v>
      </c>
      <c r="I47" s="349">
        <f ca="1">IF(H47=1,F47,"")</f>
        <v>19</v>
      </c>
      <c r="J47" s="359" t="str">
        <f t="shared" ca="1" si="13"/>
        <v/>
      </c>
      <c r="K47" s="359" t="str">
        <f t="shared" ca="1" si="13"/>
        <v/>
      </c>
      <c r="L47" s="359" t="str">
        <f t="shared" ca="1" si="13"/>
        <v/>
      </c>
      <c r="M47" s="329">
        <f t="shared" ca="1" si="14"/>
        <v>4</v>
      </c>
      <c r="N47" s="231">
        <f ca="1">IF(ISNA(MATCH($A47,'Game Clock'!A$11:A$40,0)),"",INDIRECT(ADDRESS(MATCH($A47,'Game Clock'!A$11:A$40,0)+ROW('Game Clock'!A$10),N$1,1,,"Game Clock")))</f>
        <v>0</v>
      </c>
      <c r="O47" s="231" t="str">
        <f ca="1">IF(OR(N47="",N47=0),"",60*E47/N47)</f>
        <v/>
      </c>
      <c r="Q47" s="331">
        <f>Q45+1</f>
        <v>23</v>
      </c>
      <c r="R47" s="329">
        <f>IF(ISNA(MATCH($Q47,Score!T$4:T$41,0)),"",MATCH($Q47,Score!T$4:T$41,0)++ROW(Score!T$3))</f>
        <v>26</v>
      </c>
      <c r="S47" s="330" t="str">
        <f t="shared" ca="1" si="15"/>
        <v>9</v>
      </c>
      <c r="T47" s="329">
        <f t="shared" ca="1" si="15"/>
        <v>0</v>
      </c>
      <c r="U47" s="331">
        <f ca="1">IF(R47="","",SUM(T47,T48))</f>
        <v>0</v>
      </c>
      <c r="V47" s="331">
        <f ca="1">IF(R47="","",U47-E47)</f>
        <v>-19</v>
      </c>
      <c r="W47" s="359" t="str">
        <f ca="1">IF($R47="","",IF(ISBLANK(INDIRECT(ADDRESS($R47,W$1,1,,"Score"))),"",1))</f>
        <v/>
      </c>
      <c r="X47" s="359" t="str">
        <f ca="1">IF($R47="","",IF(ISBLANK(INDIRECT(ADDRESS($R47,X$1,1,,"Score"))),"",1))</f>
        <v/>
      </c>
      <c r="Y47" s="349" t="str">
        <f ca="1">IF(X47=1,V47,"")</f>
        <v/>
      </c>
      <c r="Z47" s="359" t="str">
        <f t="shared" ca="1" si="16"/>
        <v/>
      </c>
      <c r="AA47" s="359" t="str">
        <f t="shared" ca="1" si="16"/>
        <v/>
      </c>
      <c r="AB47" s="359">
        <f t="shared" ca="1" si="16"/>
        <v>1</v>
      </c>
      <c r="AC47" s="329">
        <f t="shared" ca="1" si="17"/>
        <v>0</v>
      </c>
      <c r="AD47" s="231">
        <f ca="1">N47</f>
        <v>0</v>
      </c>
      <c r="AE47" s="231" t="str">
        <f ca="1">IF(OR(AD47="",AD47=0),"",60*U47/AD47)</f>
        <v/>
      </c>
    </row>
    <row r="48" spans="1:31" x14ac:dyDescent="0.25">
      <c r="A48" s="331"/>
      <c r="B48" s="329" t="str">
        <f ca="1">IF($B47="","",IF(INDIRECT(ADDRESS($B47+1,C$1-1,1,,"Score"))="SP",$B47+1,""))</f>
        <v/>
      </c>
      <c r="C48" s="330" t="str">
        <f t="shared" ca="1" si="12"/>
        <v/>
      </c>
      <c r="D48" s="329" t="str">
        <f t="shared" ca="1" si="12"/>
        <v/>
      </c>
      <c r="E48" s="331"/>
      <c r="F48" s="331"/>
      <c r="G48" s="359"/>
      <c r="H48" s="359"/>
      <c r="I48" s="349"/>
      <c r="J48" s="359" t="str">
        <f t="shared" ca="1" si="13"/>
        <v/>
      </c>
      <c r="K48" s="359" t="str">
        <f t="shared" ca="1" si="13"/>
        <v/>
      </c>
      <c r="L48" s="359" t="str">
        <f t="shared" ca="1" si="13"/>
        <v/>
      </c>
      <c r="M48" s="329" t="str">
        <f t="shared" ca="1" si="14"/>
        <v/>
      </c>
      <c r="N48" s="231"/>
      <c r="O48" s="231"/>
      <c r="Q48" s="331"/>
      <c r="R48" s="329" t="str">
        <f ca="1">IF($R47="","",IF(INDIRECT(ADDRESS($R47+1,S$1-1,1,,"Score"))="SP",$R47+1,""))</f>
        <v/>
      </c>
      <c r="S48" s="330" t="str">
        <f t="shared" ca="1" si="15"/>
        <v/>
      </c>
      <c r="T48" s="329" t="str">
        <f t="shared" ca="1" si="15"/>
        <v/>
      </c>
      <c r="U48" s="331"/>
      <c r="V48" s="331"/>
      <c r="W48" s="359"/>
      <c r="X48" s="359"/>
      <c r="Y48" s="349"/>
      <c r="Z48" s="359" t="str">
        <f t="shared" ca="1" si="16"/>
        <v/>
      </c>
      <c r="AA48" s="359" t="str">
        <f t="shared" ca="1" si="16"/>
        <v/>
      </c>
      <c r="AB48" s="359" t="str">
        <f t="shared" ca="1" si="16"/>
        <v/>
      </c>
      <c r="AC48" s="329" t="str">
        <f t="shared" ca="1" si="17"/>
        <v/>
      </c>
      <c r="AD48" s="231"/>
      <c r="AE48" s="231"/>
    </row>
    <row r="49" spans="1:31" x14ac:dyDescent="0.25">
      <c r="A49" s="350">
        <f>A47+1</f>
        <v>24</v>
      </c>
      <c r="B49" s="351" t="str">
        <f>IF(ISNA(MATCH($A49,Score!A$4:A$41,0)),"",MATCH($A49,Score!A$4:A$41,0)+ROW(Score!A$3))</f>
        <v/>
      </c>
      <c r="C49" s="352" t="str">
        <f t="shared" ca="1" si="12"/>
        <v/>
      </c>
      <c r="D49" s="351" t="str">
        <f t="shared" ca="1" si="12"/>
        <v/>
      </c>
      <c r="E49" s="350" t="str">
        <f>IF(B49="","",SUM(D49,D50))</f>
        <v/>
      </c>
      <c r="F49" s="350" t="str">
        <f>IF(B49="","",E49-U49)</f>
        <v/>
      </c>
      <c r="G49" s="353" t="str">
        <f ca="1">IF($B49="","",IF(ISBLANK(INDIRECT(ADDRESS($B49,G$1,1,,"Score"))),"",1))</f>
        <v/>
      </c>
      <c r="H49" s="353" t="str">
        <f ca="1">IF($B49="","",IF(ISBLANK(INDIRECT(ADDRESS($B49,H$1,1,,"Score"))),"",1))</f>
        <v/>
      </c>
      <c r="I49" s="355" t="str">
        <f ca="1">IF(H49=1,F49,"")</f>
        <v/>
      </c>
      <c r="J49" s="353" t="str">
        <f t="shared" ca="1" si="13"/>
        <v/>
      </c>
      <c r="K49" s="353" t="str">
        <f t="shared" ca="1" si="13"/>
        <v/>
      </c>
      <c r="L49" s="353" t="str">
        <f t="shared" ca="1" si="13"/>
        <v/>
      </c>
      <c r="M49" s="351" t="str">
        <f t="shared" ca="1" si="14"/>
        <v/>
      </c>
      <c r="N49" s="350" t="str">
        <f ca="1">IF(ISNA(MATCH($A49,'Game Clock'!A$11:A$40,0)),"",INDIRECT(ADDRESS(MATCH($A49,'Game Clock'!A$11:A$40,0)+ROW('Game Clock'!A$10),N$1,1,,"Game Clock")))</f>
        <v/>
      </c>
      <c r="O49" s="350" t="str">
        <f ca="1">IF(OR(N49="",N49=0),"",60*E49/N49)</f>
        <v/>
      </c>
      <c r="Q49" s="350">
        <f>Q47+1</f>
        <v>24</v>
      </c>
      <c r="R49" s="351" t="str">
        <f>IF(ISNA(MATCH($Q49,Score!T$4:T$41,0)),"",MATCH($Q49,Score!T$4:T$41,0)++ROW(Score!T$3))</f>
        <v/>
      </c>
      <c r="S49" s="352" t="str">
        <f t="shared" ca="1" si="15"/>
        <v/>
      </c>
      <c r="T49" s="351" t="str">
        <f t="shared" ca="1" si="15"/>
        <v/>
      </c>
      <c r="U49" s="350" t="str">
        <f>IF(R49="","",SUM(T49,T50))</f>
        <v/>
      </c>
      <c r="V49" s="350" t="str">
        <f>IF(R49="","",U49-E49)</f>
        <v/>
      </c>
      <c r="W49" s="353" t="str">
        <f ca="1">IF($R49="","",IF(ISBLANK(INDIRECT(ADDRESS($R49,W$1,1,,"Score"))),"",1))</f>
        <v/>
      </c>
      <c r="X49" s="353" t="str">
        <f ca="1">IF($R49="","",IF(ISBLANK(INDIRECT(ADDRESS($R49,X$1,1,,"Score"))),"",1))</f>
        <v/>
      </c>
      <c r="Y49" s="355" t="str">
        <f ca="1">IF(X49=1,V49,"")</f>
        <v/>
      </c>
      <c r="Z49" s="353" t="str">
        <f t="shared" ca="1" si="16"/>
        <v/>
      </c>
      <c r="AA49" s="353" t="str">
        <f t="shared" ca="1" si="16"/>
        <v/>
      </c>
      <c r="AB49" s="353" t="str">
        <f t="shared" ca="1" si="16"/>
        <v/>
      </c>
      <c r="AC49" s="351" t="str">
        <f t="shared" ca="1" si="17"/>
        <v/>
      </c>
      <c r="AD49" s="350" t="str">
        <f ca="1">N49</f>
        <v/>
      </c>
      <c r="AE49" s="350" t="str">
        <f ca="1">IF(OR(AD49="",AD49=0),"",60*U49/AD49)</f>
        <v/>
      </c>
    </row>
    <row r="50" spans="1:31" x14ac:dyDescent="0.3">
      <c r="A50" s="350"/>
      <c r="B50" s="351" t="str">
        <f ca="1">IF($B49="","",IF(INDIRECT(ADDRESS($B49+1,C$1-1,1,,"Score"))="SP",$B49+1,""))</f>
        <v/>
      </c>
      <c r="C50" s="352" t="str">
        <f t="shared" ca="1" si="12"/>
        <v/>
      </c>
      <c r="D50" s="351" t="str">
        <f t="shared" ca="1" si="12"/>
        <v/>
      </c>
      <c r="E50" s="350"/>
      <c r="F50" s="350"/>
      <c r="G50" s="353"/>
      <c r="H50" s="354"/>
      <c r="I50" s="355"/>
      <c r="J50" s="353" t="str">
        <f t="shared" ca="1" si="13"/>
        <v/>
      </c>
      <c r="K50" s="353" t="str">
        <f t="shared" ca="1" si="13"/>
        <v/>
      </c>
      <c r="L50" s="353" t="str">
        <f t="shared" ca="1" si="13"/>
        <v/>
      </c>
      <c r="M50" s="351" t="str">
        <f t="shared" ca="1" si="14"/>
        <v/>
      </c>
      <c r="N50" s="350"/>
      <c r="O50" s="350"/>
      <c r="Q50" s="350"/>
      <c r="R50" s="351" t="str">
        <f ca="1">IF($R49="","",IF(INDIRECT(ADDRESS($R49+1,S$1-1,1,,"Score"))="SP",$R49+1,""))</f>
        <v/>
      </c>
      <c r="S50" s="352" t="str">
        <f t="shared" ca="1" si="15"/>
        <v/>
      </c>
      <c r="T50" s="351" t="str">
        <f t="shared" ca="1" si="15"/>
        <v/>
      </c>
      <c r="U50" s="350"/>
      <c r="V50" s="350"/>
      <c r="W50" s="353"/>
      <c r="X50" s="354"/>
      <c r="Y50" s="355"/>
      <c r="Z50" s="353" t="str">
        <f t="shared" ca="1" si="16"/>
        <v/>
      </c>
      <c r="AA50" s="353" t="str">
        <f t="shared" ca="1" si="16"/>
        <v/>
      </c>
      <c r="AB50" s="353" t="str">
        <f t="shared" ca="1" si="16"/>
        <v/>
      </c>
      <c r="AC50" s="351" t="str">
        <f t="shared" ca="1" si="17"/>
        <v/>
      </c>
      <c r="AD50" s="350"/>
      <c r="AE50" s="350"/>
    </row>
    <row r="51" spans="1:31" x14ac:dyDescent="0.25">
      <c r="A51" s="331">
        <f>A49+1</f>
        <v>25</v>
      </c>
      <c r="B51" s="329" t="str">
        <f>IF(ISNA(MATCH($A51,Score!A$4:A$41,0)),"",MATCH($A51,Score!A$4:A$41,0)+ROW(Score!A$3))</f>
        <v/>
      </c>
      <c r="C51" s="330" t="str">
        <f t="shared" ca="1" si="12"/>
        <v/>
      </c>
      <c r="D51" s="329" t="str">
        <f t="shared" ca="1" si="12"/>
        <v/>
      </c>
      <c r="E51" s="331" t="str">
        <f>IF(B51="","",SUM(D51,D52))</f>
        <v/>
      </c>
      <c r="F51" s="331" t="str">
        <f>IF(B51="","",E51-U51)</f>
        <v/>
      </c>
      <c r="G51" s="359" t="str">
        <f ca="1">IF($B51="","",IF(ISBLANK(INDIRECT(ADDRESS($B51,G$1,1,,"Score"))),"",1))</f>
        <v/>
      </c>
      <c r="H51" s="359" t="str">
        <f ca="1">IF($B51="","",IF(ISBLANK(INDIRECT(ADDRESS($B51,H$1,1,,"Score"))),"",1))</f>
        <v/>
      </c>
      <c r="I51" s="349" t="str">
        <f ca="1">IF(H51=1,F51,"")</f>
        <v/>
      </c>
      <c r="J51" s="359" t="str">
        <f t="shared" ca="1" si="13"/>
        <v/>
      </c>
      <c r="K51" s="359" t="str">
        <f t="shared" ca="1" si="13"/>
        <v/>
      </c>
      <c r="L51" s="359" t="str">
        <f t="shared" ca="1" si="13"/>
        <v/>
      </c>
      <c r="M51" s="329" t="str">
        <f t="shared" ca="1" si="14"/>
        <v/>
      </c>
      <c r="N51" s="231" t="str">
        <f ca="1">IF(ISNA(MATCH($A51,'Game Clock'!A$11:A$40,0)),"",INDIRECT(ADDRESS(MATCH($A51,'Game Clock'!A$11:A$40,0)+ROW('Game Clock'!A$10),N$1,1,,"Game Clock")))</f>
        <v/>
      </c>
      <c r="O51" s="231" t="str">
        <f ca="1">IF(OR(N51="",N51=0),"",60*E51/N51)</f>
        <v/>
      </c>
      <c r="Q51" s="331">
        <f>Q49+1</f>
        <v>25</v>
      </c>
      <c r="R51" s="329" t="str">
        <f>IF(ISNA(MATCH($Q51,Score!T$4:T$41,0)),"",MATCH($Q51,Score!T$4:T$41,0)++ROW(Score!T$3))</f>
        <v/>
      </c>
      <c r="S51" s="330" t="str">
        <f t="shared" ca="1" si="15"/>
        <v/>
      </c>
      <c r="T51" s="329" t="str">
        <f t="shared" ca="1" si="15"/>
        <v/>
      </c>
      <c r="U51" s="331" t="str">
        <f>IF(R51="","",SUM(T51,T52))</f>
        <v/>
      </c>
      <c r="V51" s="331" t="str">
        <f>IF(R51="","",U51-E51)</f>
        <v/>
      </c>
      <c r="W51" s="359" t="str">
        <f ca="1">IF($R51="","",IF(ISBLANK(INDIRECT(ADDRESS($R51,W$1,1,,"Score"))),"",1))</f>
        <v/>
      </c>
      <c r="X51" s="359" t="str">
        <f ca="1">IF($R51="","",IF(ISBLANK(INDIRECT(ADDRESS($R51,X$1,1,,"Score"))),"",1))</f>
        <v/>
      </c>
      <c r="Y51" s="349" t="str">
        <f ca="1">IF(X51=1,V51,"")</f>
        <v/>
      </c>
      <c r="Z51" s="359" t="str">
        <f t="shared" ca="1" si="16"/>
        <v/>
      </c>
      <c r="AA51" s="359" t="str">
        <f t="shared" ca="1" si="16"/>
        <v/>
      </c>
      <c r="AB51" s="359" t="str">
        <f t="shared" ca="1" si="16"/>
        <v/>
      </c>
      <c r="AC51" s="329" t="str">
        <f t="shared" ca="1" si="17"/>
        <v/>
      </c>
      <c r="AD51" s="231" t="str">
        <f ca="1">N51</f>
        <v/>
      </c>
      <c r="AE51" s="231" t="str">
        <f ca="1">IF(OR(AD51="",AD51=0),"",60*U51/AD51)</f>
        <v/>
      </c>
    </row>
    <row r="52" spans="1:31" x14ac:dyDescent="0.25">
      <c r="A52" s="331"/>
      <c r="B52" s="329" t="str">
        <f ca="1">IF($B51="","",IF(INDIRECT(ADDRESS($B51+1,C$1-1,1,,"Score"))="SP",$B51+1,""))</f>
        <v/>
      </c>
      <c r="C52" s="330" t="str">
        <f t="shared" ca="1" si="12"/>
        <v/>
      </c>
      <c r="D52" s="329" t="str">
        <f t="shared" ca="1" si="12"/>
        <v/>
      </c>
      <c r="E52" s="331"/>
      <c r="F52" s="331"/>
      <c r="G52" s="359"/>
      <c r="H52" s="359"/>
      <c r="I52" s="349"/>
      <c r="J52" s="359" t="str">
        <f t="shared" ca="1" si="13"/>
        <v/>
      </c>
      <c r="K52" s="359" t="str">
        <f t="shared" ca="1" si="13"/>
        <v/>
      </c>
      <c r="L52" s="359" t="str">
        <f t="shared" ca="1" si="13"/>
        <v/>
      </c>
      <c r="M52" s="329" t="str">
        <f t="shared" ca="1" si="14"/>
        <v/>
      </c>
      <c r="N52" s="231"/>
      <c r="O52" s="231"/>
      <c r="Q52" s="331"/>
      <c r="R52" s="329" t="str">
        <f ca="1">IF($R51="","",IF(INDIRECT(ADDRESS($R51+1,S$1-1,1,,"Score"))="SP",$R51+1,""))</f>
        <v/>
      </c>
      <c r="S52" s="330" t="str">
        <f t="shared" ca="1" si="15"/>
        <v/>
      </c>
      <c r="T52" s="329" t="str">
        <f t="shared" ca="1" si="15"/>
        <v/>
      </c>
      <c r="U52" s="331"/>
      <c r="V52" s="331"/>
      <c r="W52" s="359"/>
      <c r="X52" s="359"/>
      <c r="Y52" s="349"/>
      <c r="Z52" s="359" t="str">
        <f t="shared" ca="1" si="16"/>
        <v/>
      </c>
      <c r="AA52" s="359" t="str">
        <f t="shared" ca="1" si="16"/>
        <v/>
      </c>
      <c r="AB52" s="359" t="str">
        <f t="shared" ca="1" si="16"/>
        <v/>
      </c>
      <c r="AC52" s="329" t="str">
        <f t="shared" ca="1" si="17"/>
        <v/>
      </c>
      <c r="AD52" s="231"/>
      <c r="AE52" s="231"/>
    </row>
    <row r="53" spans="1:31" x14ac:dyDescent="0.25">
      <c r="A53" s="350">
        <f>A51+1</f>
        <v>26</v>
      </c>
      <c r="B53" s="351" t="str">
        <f>IF(ISNA(MATCH($A53,Score!A$4:A$41,0)),"",MATCH($A53,Score!A$4:A$41,0)+ROW(Score!A$3))</f>
        <v/>
      </c>
      <c r="C53" s="352" t="str">
        <f t="shared" ca="1" si="12"/>
        <v/>
      </c>
      <c r="D53" s="351" t="str">
        <f t="shared" ca="1" si="12"/>
        <v/>
      </c>
      <c r="E53" s="350" t="str">
        <f>IF(B53="","",SUM(D53,D54))</f>
        <v/>
      </c>
      <c r="F53" s="350" t="str">
        <f>IF(B53="","",E53-U53)</f>
        <v/>
      </c>
      <c r="G53" s="353" t="str">
        <f ca="1">IF($B53="","",IF(ISBLANK(INDIRECT(ADDRESS($B53,G$1,1,,"Score"))),"",1))</f>
        <v/>
      </c>
      <c r="H53" s="353" t="str">
        <f ca="1">IF($B53="","",IF(ISBLANK(INDIRECT(ADDRESS($B53,H$1,1,,"Score"))),"",1))</f>
        <v/>
      </c>
      <c r="I53" s="355" t="str">
        <f ca="1">IF(H53=1,F53,"")</f>
        <v/>
      </c>
      <c r="J53" s="353" t="str">
        <f t="shared" ca="1" si="13"/>
        <v/>
      </c>
      <c r="K53" s="353" t="str">
        <f t="shared" ca="1" si="13"/>
        <v/>
      </c>
      <c r="L53" s="353" t="str">
        <f t="shared" ca="1" si="13"/>
        <v/>
      </c>
      <c r="M53" s="351" t="str">
        <f t="shared" ca="1" si="14"/>
        <v/>
      </c>
      <c r="N53" s="350" t="str">
        <f ca="1">IF(ISNA(MATCH($A53,'Game Clock'!A$11:A$40,0)),"",INDIRECT(ADDRESS(MATCH($A53,'Game Clock'!A$11:A$40,0)+ROW('Game Clock'!A$10),N$1,1,,"Game Clock")))</f>
        <v/>
      </c>
      <c r="O53" s="350" t="str">
        <f ca="1">IF(OR(N53="",N53=0),"",60*E53/N53)</f>
        <v/>
      </c>
      <c r="Q53" s="350">
        <f>Q51+1</f>
        <v>26</v>
      </c>
      <c r="R53" s="351" t="str">
        <f>IF(ISNA(MATCH($Q53,Score!T$4:T$41,0)),"",MATCH($Q53,Score!T$4:T$41,0)++ROW(Score!T$3))</f>
        <v/>
      </c>
      <c r="S53" s="352" t="str">
        <f t="shared" ca="1" si="15"/>
        <v/>
      </c>
      <c r="T53" s="351" t="str">
        <f t="shared" ca="1" si="15"/>
        <v/>
      </c>
      <c r="U53" s="350" t="str">
        <f>IF(R53="","",SUM(T53,T54))</f>
        <v/>
      </c>
      <c r="V53" s="350" t="str">
        <f>IF(R53="","",U53-E53)</f>
        <v/>
      </c>
      <c r="W53" s="353" t="str">
        <f ca="1">IF($R53="","",IF(ISBLANK(INDIRECT(ADDRESS($R53,W$1,1,,"Score"))),"",1))</f>
        <v/>
      </c>
      <c r="X53" s="353" t="str">
        <f ca="1">IF($R53="","",IF(ISBLANK(INDIRECT(ADDRESS($R53,X$1,1,,"Score"))),"",1))</f>
        <v/>
      </c>
      <c r="Y53" s="355" t="str">
        <f ca="1">IF(X53=1,V53,"")</f>
        <v/>
      </c>
      <c r="Z53" s="353" t="str">
        <f t="shared" ca="1" si="16"/>
        <v/>
      </c>
      <c r="AA53" s="353" t="str">
        <f t="shared" ca="1" si="16"/>
        <v/>
      </c>
      <c r="AB53" s="353" t="str">
        <f t="shared" ca="1" si="16"/>
        <v/>
      </c>
      <c r="AC53" s="351" t="str">
        <f t="shared" ca="1" si="17"/>
        <v/>
      </c>
      <c r="AD53" s="350" t="str">
        <f ca="1">N53</f>
        <v/>
      </c>
      <c r="AE53" s="350" t="str">
        <f ca="1">IF(OR(AD53="",AD53=0),"",60*U53/AD53)</f>
        <v/>
      </c>
    </row>
    <row r="54" spans="1:31" x14ac:dyDescent="0.3">
      <c r="A54" s="350"/>
      <c r="B54" s="351" t="str">
        <f ca="1">IF($B53="","",IF(INDIRECT(ADDRESS($B53+1,C$1-1,1,,"Score"))="SP",$B53+1,""))</f>
        <v/>
      </c>
      <c r="C54" s="352" t="str">
        <f t="shared" ca="1" si="12"/>
        <v/>
      </c>
      <c r="D54" s="351" t="str">
        <f t="shared" ca="1" si="12"/>
        <v/>
      </c>
      <c r="E54" s="350"/>
      <c r="F54" s="350"/>
      <c r="G54" s="353"/>
      <c r="H54" s="354"/>
      <c r="I54" s="355"/>
      <c r="J54" s="353" t="str">
        <f t="shared" ca="1" si="13"/>
        <v/>
      </c>
      <c r="K54" s="353" t="str">
        <f t="shared" ca="1" si="13"/>
        <v/>
      </c>
      <c r="L54" s="353" t="str">
        <f t="shared" ca="1" si="13"/>
        <v/>
      </c>
      <c r="M54" s="351" t="str">
        <f t="shared" ca="1" si="14"/>
        <v/>
      </c>
      <c r="N54" s="350"/>
      <c r="O54" s="350"/>
      <c r="Q54" s="350"/>
      <c r="R54" s="351" t="str">
        <f ca="1">IF($R53="","",IF(INDIRECT(ADDRESS($R53+1,S$1-1,1,,"Score"))="SP",$R53+1,""))</f>
        <v/>
      </c>
      <c r="S54" s="352" t="str">
        <f t="shared" ca="1" si="15"/>
        <v/>
      </c>
      <c r="T54" s="351" t="str">
        <f t="shared" ca="1" si="15"/>
        <v/>
      </c>
      <c r="U54" s="350"/>
      <c r="V54" s="350"/>
      <c r="W54" s="353"/>
      <c r="X54" s="354"/>
      <c r="Y54" s="355"/>
      <c r="Z54" s="353" t="str">
        <f t="shared" ca="1" si="16"/>
        <v/>
      </c>
      <c r="AA54" s="353" t="str">
        <f t="shared" ca="1" si="16"/>
        <v/>
      </c>
      <c r="AB54" s="353" t="str">
        <f t="shared" ca="1" si="16"/>
        <v/>
      </c>
      <c r="AC54" s="351" t="str">
        <f t="shared" ca="1" si="17"/>
        <v/>
      </c>
      <c r="AD54" s="350"/>
      <c r="AE54" s="350"/>
    </row>
    <row r="55" spans="1:31" x14ac:dyDescent="0.25">
      <c r="A55" s="331">
        <f>A53+1</f>
        <v>27</v>
      </c>
      <c r="B55" s="329" t="str">
        <f>IF(ISNA(MATCH($A55,Score!A$4:A$41,0)),"",MATCH($A55,Score!A$4:A$41,0)+ROW(Score!A$3))</f>
        <v/>
      </c>
      <c r="C55" s="330" t="str">
        <f t="shared" ca="1" si="12"/>
        <v/>
      </c>
      <c r="D55" s="329" t="str">
        <f t="shared" ca="1" si="12"/>
        <v/>
      </c>
      <c r="E55" s="331" t="str">
        <f>IF(B55="","",SUM(D55,D56))</f>
        <v/>
      </c>
      <c r="F55" s="331" t="str">
        <f>IF(B55="","",E55-U55)</f>
        <v/>
      </c>
      <c r="G55" s="359" t="str">
        <f ca="1">IF($B55="","",IF(ISBLANK(INDIRECT(ADDRESS($B55,G$1,1,,"Score"))),"",1))</f>
        <v/>
      </c>
      <c r="H55" s="359" t="str">
        <f ca="1">IF($B55="","",IF(ISBLANK(INDIRECT(ADDRESS($B55,H$1,1,,"Score"))),"",1))</f>
        <v/>
      </c>
      <c r="I55" s="349" t="str">
        <f ca="1">IF(H55=1,F55,"")</f>
        <v/>
      </c>
      <c r="J55" s="359" t="str">
        <f t="shared" ca="1" si="13"/>
        <v/>
      </c>
      <c r="K55" s="359" t="str">
        <f t="shared" ca="1" si="13"/>
        <v/>
      </c>
      <c r="L55" s="359" t="str">
        <f t="shared" ca="1" si="13"/>
        <v/>
      </c>
      <c r="M55" s="329" t="str">
        <f t="shared" ca="1" si="14"/>
        <v/>
      </c>
      <c r="N55" s="231" t="str">
        <f ca="1">IF(ISNA(MATCH($A55,'Game Clock'!A$11:A$40,0)),"",INDIRECT(ADDRESS(MATCH($A55,'Game Clock'!A$11:A$40,0)+ROW('Game Clock'!A$10),N$1,1,,"Game Clock")))</f>
        <v/>
      </c>
      <c r="O55" s="231" t="str">
        <f ca="1">IF(OR(N55="",N55=0),"",60*E55/N55)</f>
        <v/>
      </c>
      <c r="Q55" s="331">
        <f>Q53+1</f>
        <v>27</v>
      </c>
      <c r="R55" s="329" t="str">
        <f>IF(ISNA(MATCH($Q55,Score!T$4:T$41,0)),"",MATCH($Q55,Score!T$4:T$41,0)++ROW(Score!T$3))</f>
        <v/>
      </c>
      <c r="S55" s="330" t="str">
        <f t="shared" ca="1" si="15"/>
        <v/>
      </c>
      <c r="T55" s="329" t="str">
        <f t="shared" ca="1" si="15"/>
        <v/>
      </c>
      <c r="U55" s="331" t="str">
        <f>IF(R55="","",SUM(T55,T56))</f>
        <v/>
      </c>
      <c r="V55" s="331" t="str">
        <f>IF(R55="","",U55-E55)</f>
        <v/>
      </c>
      <c r="W55" s="359" t="str">
        <f ca="1">IF($R55="","",IF(ISBLANK(INDIRECT(ADDRESS($R55,W$1,1,,"Score"))),"",1))</f>
        <v/>
      </c>
      <c r="X55" s="359" t="str">
        <f ca="1">IF($R55="","",IF(ISBLANK(INDIRECT(ADDRESS($R55,X$1,1,,"Score"))),"",1))</f>
        <v/>
      </c>
      <c r="Y55" s="349" t="str">
        <f ca="1">IF(X55=1,V55,"")</f>
        <v/>
      </c>
      <c r="Z55" s="359" t="str">
        <f t="shared" ca="1" si="16"/>
        <v/>
      </c>
      <c r="AA55" s="359" t="str">
        <f t="shared" ca="1" si="16"/>
        <v/>
      </c>
      <c r="AB55" s="359" t="str">
        <f t="shared" ca="1" si="16"/>
        <v/>
      </c>
      <c r="AC55" s="329" t="str">
        <f t="shared" ca="1" si="17"/>
        <v/>
      </c>
      <c r="AD55" s="231" t="str">
        <f ca="1">N55</f>
        <v/>
      </c>
      <c r="AE55" s="231" t="str">
        <f ca="1">IF(OR(AD55="",AD55=0),"",60*U55/AD55)</f>
        <v/>
      </c>
    </row>
    <row r="56" spans="1:31" x14ac:dyDescent="0.25">
      <c r="A56" s="331"/>
      <c r="B56" s="329" t="str">
        <f ca="1">IF($B55="","",IF(INDIRECT(ADDRESS($B55+1,C$1-1,1,,"Score"))="SP",$B55+1,""))</f>
        <v/>
      </c>
      <c r="C56" s="330" t="str">
        <f t="shared" ca="1" si="12"/>
        <v/>
      </c>
      <c r="D56" s="329" t="str">
        <f t="shared" ca="1" si="12"/>
        <v/>
      </c>
      <c r="E56" s="331"/>
      <c r="F56" s="331"/>
      <c r="G56" s="359"/>
      <c r="H56" s="359"/>
      <c r="I56" s="349"/>
      <c r="J56" s="359" t="str">
        <f t="shared" ca="1" si="13"/>
        <v/>
      </c>
      <c r="K56" s="359" t="str">
        <f t="shared" ca="1" si="13"/>
        <v/>
      </c>
      <c r="L56" s="359" t="str">
        <f t="shared" ca="1" si="13"/>
        <v/>
      </c>
      <c r="M56" s="329" t="str">
        <f t="shared" ca="1" si="14"/>
        <v/>
      </c>
      <c r="N56" s="231"/>
      <c r="O56" s="231"/>
      <c r="Q56" s="331"/>
      <c r="R56" s="329" t="str">
        <f ca="1">IF($R55="","",IF(INDIRECT(ADDRESS($R55+1,S$1-1,1,,"Score"))="SP",$R55+1,""))</f>
        <v/>
      </c>
      <c r="S56" s="330" t="str">
        <f t="shared" ca="1" si="15"/>
        <v/>
      </c>
      <c r="T56" s="329" t="str">
        <f t="shared" ca="1" si="15"/>
        <v/>
      </c>
      <c r="U56" s="331"/>
      <c r="V56" s="331"/>
      <c r="W56" s="359"/>
      <c r="X56" s="359"/>
      <c r="Y56" s="349"/>
      <c r="Z56" s="359" t="str">
        <f t="shared" ca="1" si="16"/>
        <v/>
      </c>
      <c r="AA56" s="359" t="str">
        <f t="shared" ca="1" si="16"/>
        <v/>
      </c>
      <c r="AB56" s="359" t="str">
        <f t="shared" ca="1" si="16"/>
        <v/>
      </c>
      <c r="AC56" s="329" t="str">
        <f t="shared" ca="1" si="17"/>
        <v/>
      </c>
      <c r="AD56" s="231"/>
      <c r="AE56" s="231"/>
    </row>
    <row r="57" spans="1:31" x14ac:dyDescent="0.25">
      <c r="A57" s="350">
        <f>A55+1</f>
        <v>28</v>
      </c>
      <c r="B57" s="351" t="str">
        <f>IF(ISNA(MATCH($A57,Score!A$4:A$41,0)),"",MATCH($A57,Score!A$4:A$41,0)+ROW(Score!A$3))</f>
        <v/>
      </c>
      <c r="C57" s="352" t="str">
        <f t="shared" ca="1" si="12"/>
        <v/>
      </c>
      <c r="D57" s="351" t="str">
        <f t="shared" ca="1" si="12"/>
        <v/>
      </c>
      <c r="E57" s="350" t="str">
        <f>IF(B57="","",SUM(D57,D58))</f>
        <v/>
      </c>
      <c r="F57" s="350" t="str">
        <f>IF(B57="","",E57-U57)</f>
        <v/>
      </c>
      <c r="G57" s="353" t="str">
        <f ca="1">IF($B57="","",IF(ISBLANK(INDIRECT(ADDRESS($B57,G$1,1,,"Score"))),"",1))</f>
        <v/>
      </c>
      <c r="H57" s="353" t="str">
        <f ca="1">IF($B57="","",IF(ISBLANK(INDIRECT(ADDRESS($B57,H$1,1,,"Score"))),"",1))</f>
        <v/>
      </c>
      <c r="I57" s="355" t="str">
        <f ca="1">IF(H57=1,F57,"")</f>
        <v/>
      </c>
      <c r="J57" s="353" t="str">
        <f t="shared" ca="1" si="13"/>
        <v/>
      </c>
      <c r="K57" s="353" t="str">
        <f t="shared" ca="1" si="13"/>
        <v/>
      </c>
      <c r="L57" s="353" t="str">
        <f t="shared" ca="1" si="13"/>
        <v/>
      </c>
      <c r="M57" s="351" t="str">
        <f t="shared" ca="1" si="14"/>
        <v/>
      </c>
      <c r="N57" s="350" t="str">
        <f ca="1">IF(ISNA(MATCH($A57,'Game Clock'!A$11:A$40,0)),"",INDIRECT(ADDRESS(MATCH($A57,'Game Clock'!A$11:A$40,0)+ROW('Game Clock'!A$10),N$1,1,,"Game Clock")))</f>
        <v/>
      </c>
      <c r="O57" s="350" t="str">
        <f ca="1">IF(OR(N57="",N57=0),"",60*E57/N57)</f>
        <v/>
      </c>
      <c r="Q57" s="350">
        <f>Q55+1</f>
        <v>28</v>
      </c>
      <c r="R57" s="351" t="str">
        <f>IF(ISNA(MATCH($Q57,Score!T$4:T$41,0)),"",MATCH($Q57,Score!T$4:T$41,0)++ROW(Score!T$3))</f>
        <v/>
      </c>
      <c r="S57" s="352" t="str">
        <f t="shared" ca="1" si="15"/>
        <v/>
      </c>
      <c r="T57" s="351" t="str">
        <f t="shared" ca="1" si="15"/>
        <v/>
      </c>
      <c r="U57" s="350" t="str">
        <f>IF(R57="","",SUM(T57,T58))</f>
        <v/>
      </c>
      <c r="V57" s="350" t="str">
        <f>IF(R57="","",U57-E57)</f>
        <v/>
      </c>
      <c r="W57" s="353" t="str">
        <f ca="1">IF($R57="","",IF(ISBLANK(INDIRECT(ADDRESS($R57,W$1,1,,"Score"))),"",1))</f>
        <v/>
      </c>
      <c r="X57" s="353" t="str">
        <f ca="1">IF($R57="","",IF(ISBLANK(INDIRECT(ADDRESS($R57,X$1,1,,"Score"))),"",1))</f>
        <v/>
      </c>
      <c r="Y57" s="355" t="str">
        <f ca="1">IF(X57=1,V57,"")</f>
        <v/>
      </c>
      <c r="Z57" s="353" t="str">
        <f t="shared" ca="1" si="16"/>
        <v/>
      </c>
      <c r="AA57" s="353" t="str">
        <f t="shared" ca="1" si="16"/>
        <v/>
      </c>
      <c r="AB57" s="353" t="str">
        <f t="shared" ca="1" si="16"/>
        <v/>
      </c>
      <c r="AC57" s="351" t="str">
        <f t="shared" ca="1" si="17"/>
        <v/>
      </c>
      <c r="AD57" s="350" t="str">
        <f ca="1">N57</f>
        <v/>
      </c>
      <c r="AE57" s="350" t="str">
        <f ca="1">IF(OR(AD57="",AD57=0),"",60*U57/AD57)</f>
        <v/>
      </c>
    </row>
    <row r="58" spans="1:31" x14ac:dyDescent="0.3">
      <c r="A58" s="350"/>
      <c r="B58" s="351" t="str">
        <f ca="1">IF($B57="","",IF(INDIRECT(ADDRESS($B57+1,C$1-1,1,,"Score"))="SP",$B57+1,""))</f>
        <v/>
      </c>
      <c r="C58" s="352" t="str">
        <f t="shared" ca="1" si="12"/>
        <v/>
      </c>
      <c r="D58" s="351" t="str">
        <f t="shared" ca="1" si="12"/>
        <v/>
      </c>
      <c r="E58" s="350"/>
      <c r="F58" s="350"/>
      <c r="G58" s="353"/>
      <c r="H58" s="354"/>
      <c r="I58" s="355"/>
      <c r="J58" s="353" t="str">
        <f t="shared" ca="1" si="13"/>
        <v/>
      </c>
      <c r="K58" s="353" t="str">
        <f t="shared" ca="1" si="13"/>
        <v/>
      </c>
      <c r="L58" s="353" t="str">
        <f t="shared" ca="1" si="13"/>
        <v/>
      </c>
      <c r="M58" s="351" t="str">
        <f t="shared" ca="1" si="14"/>
        <v/>
      </c>
      <c r="N58" s="350"/>
      <c r="O58" s="350"/>
      <c r="Q58" s="350"/>
      <c r="R58" s="351" t="str">
        <f ca="1">IF($R57="","",IF(INDIRECT(ADDRESS($R57+1,S$1-1,1,,"Score"))="SP",$R57+1,""))</f>
        <v/>
      </c>
      <c r="S58" s="352" t="str">
        <f t="shared" ca="1" si="15"/>
        <v/>
      </c>
      <c r="T58" s="351" t="str">
        <f t="shared" ca="1" si="15"/>
        <v/>
      </c>
      <c r="U58" s="350"/>
      <c r="V58" s="350"/>
      <c r="W58" s="353"/>
      <c r="X58" s="354"/>
      <c r="Y58" s="355"/>
      <c r="Z58" s="353" t="str">
        <f t="shared" ca="1" si="16"/>
        <v/>
      </c>
      <c r="AA58" s="353" t="str">
        <f t="shared" ca="1" si="16"/>
        <v/>
      </c>
      <c r="AB58" s="353" t="str">
        <f t="shared" ca="1" si="16"/>
        <v/>
      </c>
      <c r="AC58" s="351" t="str">
        <f t="shared" ca="1" si="17"/>
        <v/>
      </c>
      <c r="AD58" s="350"/>
      <c r="AE58" s="350"/>
    </row>
    <row r="59" spans="1:31" x14ac:dyDescent="0.25">
      <c r="A59" s="331">
        <f>A57+1</f>
        <v>29</v>
      </c>
      <c r="B59" s="329" t="str">
        <f>IF(ISNA(MATCH($A59,Score!A$4:A$41,0)),"",MATCH($A59,Score!A$4:A$41,0)+ROW(Score!A$3))</f>
        <v/>
      </c>
      <c r="C59" s="330" t="str">
        <f t="shared" ref="C59:D74" ca="1" si="18">IF($B59="","",INDIRECT(ADDRESS($B59,C$1,1,,"Score")))</f>
        <v/>
      </c>
      <c r="D59" s="329" t="str">
        <f t="shared" ca="1" si="18"/>
        <v/>
      </c>
      <c r="E59" s="331" t="str">
        <f>IF(B59="","",SUM(D59,D60))</f>
        <v/>
      </c>
      <c r="F59" s="331" t="str">
        <f>IF(B59="","",E59-U59)</f>
        <v/>
      </c>
      <c r="G59" s="359" t="str">
        <f ca="1">IF($B59="","",IF(ISBLANK(INDIRECT(ADDRESS($B59,G$1,1,,"Score"))),"",1))</f>
        <v/>
      </c>
      <c r="H59" s="359" t="str">
        <f ca="1">IF($B59="","",IF(ISBLANK(INDIRECT(ADDRESS($B59,H$1,1,,"Score"))),"",1))</f>
        <v/>
      </c>
      <c r="I59" s="349" t="str">
        <f ca="1">IF(H59=1,F59,"")</f>
        <v/>
      </c>
      <c r="J59" s="359" t="str">
        <f t="shared" ref="J59:L74" ca="1" si="19">IF($B59="","",IF(ISBLANK(INDIRECT(ADDRESS($B59,J$1,1,,"Score"))),"",1))</f>
        <v/>
      </c>
      <c r="K59" s="359" t="str">
        <f t="shared" ca="1" si="19"/>
        <v/>
      </c>
      <c r="L59" s="359" t="str">
        <f t="shared" ca="1" si="19"/>
        <v/>
      </c>
      <c r="M59" s="329" t="str">
        <f t="shared" ref="M59:M78" ca="1" si="20">IF($B59="","",INDIRECT(ADDRESS($B59,M$1,1,,"Score")))</f>
        <v/>
      </c>
      <c r="N59" s="231" t="str">
        <f ca="1">IF(ISNA(MATCH($A59,'Game Clock'!A$11:A$40,0)),"",INDIRECT(ADDRESS(MATCH($A59,'Game Clock'!A$11:A$40,0)+ROW('Game Clock'!A$10),N$1,1,,"Game Clock")))</f>
        <v/>
      </c>
      <c r="O59" s="231" t="str">
        <f ca="1">IF(OR(N59="",N59=0),"",60*E59/N59)</f>
        <v/>
      </c>
      <c r="Q59" s="331">
        <f>Q57+1</f>
        <v>29</v>
      </c>
      <c r="R59" s="329" t="str">
        <f>IF(ISNA(MATCH($Q59,Score!T$4:T$41,0)),"",MATCH($Q59,Score!T$4:T$41,0)++ROW(Score!T$3))</f>
        <v/>
      </c>
      <c r="S59" s="330" t="str">
        <f t="shared" ref="S59:T74" ca="1" si="21">IF($R59="","",INDIRECT(ADDRESS($R59,S$1,1,,"Score")))</f>
        <v/>
      </c>
      <c r="T59" s="329" t="str">
        <f t="shared" ca="1" si="21"/>
        <v/>
      </c>
      <c r="U59" s="331" t="str">
        <f>IF(R59="","",SUM(T59,T60))</f>
        <v/>
      </c>
      <c r="V59" s="331" t="str">
        <f>IF(R59="","",U59-E59)</f>
        <v/>
      </c>
      <c r="W59" s="359" t="str">
        <f ca="1">IF($R59="","",IF(ISBLANK(INDIRECT(ADDRESS($R59,W$1,1,,"Score"))),"",1))</f>
        <v/>
      </c>
      <c r="X59" s="359" t="str">
        <f ca="1">IF($R59="","",IF(ISBLANK(INDIRECT(ADDRESS($R59,X$1,1,,"Score"))),"",1))</f>
        <v/>
      </c>
      <c r="Y59" s="349" t="str">
        <f ca="1">IF(X59=1,V59,"")</f>
        <v/>
      </c>
      <c r="Z59" s="359" t="str">
        <f t="shared" ref="Z59:AB74" ca="1" si="22">IF($R59="","",IF(ISBLANK(INDIRECT(ADDRESS($R59,Z$1,1,,"Score"))),"",1))</f>
        <v/>
      </c>
      <c r="AA59" s="359" t="str">
        <f t="shared" ca="1" si="22"/>
        <v/>
      </c>
      <c r="AB59" s="359" t="str">
        <f t="shared" ca="1" si="22"/>
        <v/>
      </c>
      <c r="AC59" s="329" t="str">
        <f t="shared" ref="AC59:AC78" ca="1" si="23">IF($R59="","",INDIRECT(ADDRESS($R59,AC$1,1,,"Score")))</f>
        <v/>
      </c>
      <c r="AD59" s="231" t="str">
        <f ca="1">N59</f>
        <v/>
      </c>
      <c r="AE59" s="231" t="str">
        <f ca="1">IF(OR(AD59="",AD59=0),"",60*U59/AD59)</f>
        <v/>
      </c>
    </row>
    <row r="60" spans="1:31" x14ac:dyDescent="0.25">
      <c r="A60" s="331"/>
      <c r="B60" s="329" t="str">
        <f ca="1">IF($B59="","",IF(INDIRECT(ADDRESS($B59+1,C$1-1,1,,"Score"))="SP",$B59+1,""))</f>
        <v/>
      </c>
      <c r="C60" s="330" t="str">
        <f t="shared" ca="1" si="18"/>
        <v/>
      </c>
      <c r="D60" s="329" t="str">
        <f t="shared" ca="1" si="18"/>
        <v/>
      </c>
      <c r="E60" s="331"/>
      <c r="F60" s="331"/>
      <c r="G60" s="359"/>
      <c r="H60" s="359"/>
      <c r="I60" s="349"/>
      <c r="J60" s="359" t="str">
        <f t="shared" ca="1" si="19"/>
        <v/>
      </c>
      <c r="K60" s="359" t="str">
        <f t="shared" ca="1" si="19"/>
        <v/>
      </c>
      <c r="L60" s="359" t="str">
        <f t="shared" ca="1" si="19"/>
        <v/>
      </c>
      <c r="M60" s="329" t="str">
        <f t="shared" ca="1" si="20"/>
        <v/>
      </c>
      <c r="N60" s="231"/>
      <c r="O60" s="231"/>
      <c r="Q60" s="331"/>
      <c r="R60" s="329" t="str">
        <f ca="1">IF($R59="","",IF(INDIRECT(ADDRESS($R59+1,S$1-1,1,,"Score"))="SP",$R59+1,""))</f>
        <v/>
      </c>
      <c r="S60" s="330" t="str">
        <f t="shared" ca="1" si="21"/>
        <v/>
      </c>
      <c r="T60" s="329" t="str">
        <f t="shared" ca="1" si="21"/>
        <v/>
      </c>
      <c r="U60" s="331"/>
      <c r="V60" s="331"/>
      <c r="W60" s="359"/>
      <c r="X60" s="359"/>
      <c r="Y60" s="349"/>
      <c r="Z60" s="359" t="str">
        <f t="shared" ca="1" si="22"/>
        <v/>
      </c>
      <c r="AA60" s="359" t="str">
        <f t="shared" ca="1" si="22"/>
        <v/>
      </c>
      <c r="AB60" s="359" t="str">
        <f t="shared" ca="1" si="22"/>
        <v/>
      </c>
      <c r="AC60" s="329" t="str">
        <f t="shared" ca="1" si="23"/>
        <v/>
      </c>
      <c r="AD60" s="231"/>
      <c r="AE60" s="231"/>
    </row>
    <row r="61" spans="1:31" x14ac:dyDescent="0.25">
      <c r="A61" s="350">
        <f>A59+1</f>
        <v>30</v>
      </c>
      <c r="B61" s="351" t="str">
        <f>IF(ISNA(MATCH($A61,Score!A$4:A$41,0)),"",MATCH($A61,Score!A$4:A$41,0)+ROW(Score!A$3))</f>
        <v/>
      </c>
      <c r="C61" s="352" t="str">
        <f t="shared" ca="1" si="18"/>
        <v/>
      </c>
      <c r="D61" s="351" t="str">
        <f t="shared" ca="1" si="18"/>
        <v/>
      </c>
      <c r="E61" s="350" t="str">
        <f>IF(B61="","",SUM(D61,D62))</f>
        <v/>
      </c>
      <c r="F61" s="350" t="str">
        <f>IF(B61="","",E61-U61)</f>
        <v/>
      </c>
      <c r="G61" s="353" t="str">
        <f ca="1">IF($B61="","",IF(ISBLANK(INDIRECT(ADDRESS($B61,G$1,1,,"Score"))),"",1))</f>
        <v/>
      </c>
      <c r="H61" s="353" t="str">
        <f ca="1">IF($B61="","",IF(ISBLANK(INDIRECT(ADDRESS($B61,H$1,1,,"Score"))),"",1))</f>
        <v/>
      </c>
      <c r="I61" s="355" t="str">
        <f ca="1">IF(H61=1,F61,"")</f>
        <v/>
      </c>
      <c r="J61" s="353" t="str">
        <f t="shared" ca="1" si="19"/>
        <v/>
      </c>
      <c r="K61" s="353" t="str">
        <f t="shared" ca="1" si="19"/>
        <v/>
      </c>
      <c r="L61" s="353" t="str">
        <f t="shared" ca="1" si="19"/>
        <v/>
      </c>
      <c r="M61" s="351" t="str">
        <f t="shared" ca="1" si="20"/>
        <v/>
      </c>
      <c r="N61" s="350" t="str">
        <f ca="1">IF(ISNA(MATCH($A61,'Game Clock'!A$11:A$40,0)),"",INDIRECT(ADDRESS(MATCH($A61,'Game Clock'!A$11:A$40,0)+ROW('Game Clock'!A$10),N$1,1,,"Game Clock")))</f>
        <v/>
      </c>
      <c r="O61" s="350" t="str">
        <f ca="1">IF(OR(N61="",N61=0),"",60*E61/N61)</f>
        <v/>
      </c>
      <c r="Q61" s="350">
        <f>Q59+1</f>
        <v>30</v>
      </c>
      <c r="R61" s="351" t="str">
        <f>IF(ISNA(MATCH($Q61,Score!T$4:T$41,0)),"",MATCH($Q61,Score!T$4:T$41,0)++ROW(Score!T$3))</f>
        <v/>
      </c>
      <c r="S61" s="352" t="str">
        <f t="shared" ca="1" si="21"/>
        <v/>
      </c>
      <c r="T61" s="351" t="str">
        <f t="shared" ca="1" si="21"/>
        <v/>
      </c>
      <c r="U61" s="350" t="str">
        <f>IF(R61="","",SUM(T61,T62))</f>
        <v/>
      </c>
      <c r="V61" s="350" t="str">
        <f>IF(R61="","",U61-E61)</f>
        <v/>
      </c>
      <c r="W61" s="353" t="str">
        <f ca="1">IF($R61="","",IF(ISBLANK(INDIRECT(ADDRESS($R61,W$1,1,,"Score"))),"",1))</f>
        <v/>
      </c>
      <c r="X61" s="353" t="str">
        <f ca="1">IF($R61="","",IF(ISBLANK(INDIRECT(ADDRESS($R61,X$1,1,,"Score"))),"",1))</f>
        <v/>
      </c>
      <c r="Y61" s="355" t="str">
        <f ca="1">IF(X61=1,V61,"")</f>
        <v/>
      </c>
      <c r="Z61" s="353" t="str">
        <f t="shared" ca="1" si="22"/>
        <v/>
      </c>
      <c r="AA61" s="353" t="str">
        <f t="shared" ca="1" si="22"/>
        <v/>
      </c>
      <c r="AB61" s="353" t="str">
        <f t="shared" ca="1" si="22"/>
        <v/>
      </c>
      <c r="AC61" s="351" t="str">
        <f t="shared" ca="1" si="23"/>
        <v/>
      </c>
      <c r="AD61" s="350" t="str">
        <f ca="1">N61</f>
        <v/>
      </c>
      <c r="AE61" s="350" t="str">
        <f ca="1">IF(OR(AD61="",AD61=0),"",60*U61/AD61)</f>
        <v/>
      </c>
    </row>
    <row r="62" spans="1:31" x14ac:dyDescent="0.3">
      <c r="A62" s="350"/>
      <c r="B62" s="351" t="str">
        <f ca="1">IF($B61="","",IF(INDIRECT(ADDRESS($B61+1,C$1-1,1,,"Score"))="SP",$B61+1,""))</f>
        <v/>
      </c>
      <c r="C62" s="352" t="str">
        <f t="shared" ca="1" si="18"/>
        <v/>
      </c>
      <c r="D62" s="351" t="str">
        <f t="shared" ca="1" si="18"/>
        <v/>
      </c>
      <c r="E62" s="350"/>
      <c r="F62" s="350"/>
      <c r="G62" s="353"/>
      <c r="H62" s="354"/>
      <c r="I62" s="355"/>
      <c r="J62" s="353" t="str">
        <f t="shared" ca="1" si="19"/>
        <v/>
      </c>
      <c r="K62" s="353" t="str">
        <f t="shared" ca="1" si="19"/>
        <v/>
      </c>
      <c r="L62" s="353" t="str">
        <f t="shared" ca="1" si="19"/>
        <v/>
      </c>
      <c r="M62" s="351" t="str">
        <f t="shared" ca="1" si="20"/>
        <v/>
      </c>
      <c r="N62" s="350"/>
      <c r="O62" s="350"/>
      <c r="Q62" s="350"/>
      <c r="R62" s="351" t="str">
        <f ca="1">IF($R61="","",IF(INDIRECT(ADDRESS($R61+1,S$1-1,1,,"Score"))="SP",$R61+1,""))</f>
        <v/>
      </c>
      <c r="S62" s="352" t="str">
        <f t="shared" ca="1" si="21"/>
        <v/>
      </c>
      <c r="T62" s="351" t="str">
        <f t="shared" ca="1" si="21"/>
        <v/>
      </c>
      <c r="U62" s="350"/>
      <c r="V62" s="350"/>
      <c r="W62" s="353"/>
      <c r="X62" s="354"/>
      <c r="Y62" s="355"/>
      <c r="Z62" s="353" t="str">
        <f t="shared" ca="1" si="22"/>
        <v/>
      </c>
      <c r="AA62" s="353" t="str">
        <f t="shared" ca="1" si="22"/>
        <v/>
      </c>
      <c r="AB62" s="353" t="str">
        <f t="shared" ca="1" si="22"/>
        <v/>
      </c>
      <c r="AC62" s="351" t="str">
        <f t="shared" ca="1" si="23"/>
        <v/>
      </c>
      <c r="AD62" s="350"/>
      <c r="AE62" s="350"/>
    </row>
    <row r="63" spans="1:31" x14ac:dyDescent="0.25">
      <c r="A63" s="331">
        <f>A61+1</f>
        <v>31</v>
      </c>
      <c r="B63" s="329" t="str">
        <f>IF(ISNA(MATCH($A63,Score!A$4:A$41,0)),"",MATCH($A63,Score!A$4:A$41,0)+ROW(Score!A$3))</f>
        <v/>
      </c>
      <c r="C63" s="330" t="str">
        <f t="shared" ca="1" si="18"/>
        <v/>
      </c>
      <c r="D63" s="329" t="str">
        <f t="shared" ca="1" si="18"/>
        <v/>
      </c>
      <c r="E63" s="331" t="str">
        <f>IF(B63="","",SUM(D63,D64))</f>
        <v/>
      </c>
      <c r="F63" s="331" t="str">
        <f>IF(B63="","",E63-U63)</f>
        <v/>
      </c>
      <c r="G63" s="359" t="str">
        <f ca="1">IF($B63="","",IF(ISBLANK(INDIRECT(ADDRESS($B63,G$1,1,,"Score"))),"",1))</f>
        <v/>
      </c>
      <c r="H63" s="359" t="str">
        <f ca="1">IF($B63="","",IF(ISBLANK(INDIRECT(ADDRESS($B63,H$1,1,,"Score"))),"",1))</f>
        <v/>
      </c>
      <c r="I63" s="349" t="str">
        <f ca="1">IF(H63=1,F63,"")</f>
        <v/>
      </c>
      <c r="J63" s="359" t="str">
        <f t="shared" ca="1" si="19"/>
        <v/>
      </c>
      <c r="K63" s="359" t="str">
        <f t="shared" ca="1" si="19"/>
        <v/>
      </c>
      <c r="L63" s="359" t="str">
        <f t="shared" ca="1" si="19"/>
        <v/>
      </c>
      <c r="M63" s="329" t="str">
        <f t="shared" ca="1" si="20"/>
        <v/>
      </c>
      <c r="N63" s="231" t="str">
        <f ca="1">IF(ISNA(MATCH($A63,'Game Clock'!A$11:A$40,0)),"",INDIRECT(ADDRESS(MATCH($A63,'Game Clock'!A$11:A$40,0)+ROW('Game Clock'!A$10),N$1,1,,"Game Clock")))</f>
        <v/>
      </c>
      <c r="O63" s="231" t="str">
        <f ca="1">IF(OR(N63="",N63=0),"",60*E63/N63)</f>
        <v/>
      </c>
      <c r="Q63" s="331">
        <f>Q61+1</f>
        <v>31</v>
      </c>
      <c r="R63" s="329" t="str">
        <f>IF(ISNA(MATCH($Q63,Score!T$4:T$41,0)),"",MATCH($Q63,Score!T$4:T$41,0)++ROW(Score!T$3))</f>
        <v/>
      </c>
      <c r="S63" s="330" t="str">
        <f t="shared" ca="1" si="21"/>
        <v/>
      </c>
      <c r="T63" s="329" t="str">
        <f t="shared" ca="1" si="21"/>
        <v/>
      </c>
      <c r="U63" s="331" t="str">
        <f>IF(R63="","",SUM(T63,T64))</f>
        <v/>
      </c>
      <c r="V63" s="331" t="str">
        <f>IF(R63="","",U63-E63)</f>
        <v/>
      </c>
      <c r="W63" s="359" t="str">
        <f ca="1">IF($R63="","",IF(ISBLANK(INDIRECT(ADDRESS($R63,W$1,1,,"Score"))),"",1))</f>
        <v/>
      </c>
      <c r="X63" s="359" t="str">
        <f ca="1">IF($R63="","",IF(ISBLANK(INDIRECT(ADDRESS($R63,X$1,1,,"Score"))),"",1))</f>
        <v/>
      </c>
      <c r="Y63" s="349" t="str">
        <f ca="1">IF(X63=1,V63,"")</f>
        <v/>
      </c>
      <c r="Z63" s="359" t="str">
        <f t="shared" ca="1" si="22"/>
        <v/>
      </c>
      <c r="AA63" s="359" t="str">
        <f t="shared" ca="1" si="22"/>
        <v/>
      </c>
      <c r="AB63" s="359" t="str">
        <f t="shared" ca="1" si="22"/>
        <v/>
      </c>
      <c r="AC63" s="329" t="str">
        <f t="shared" ca="1" si="23"/>
        <v/>
      </c>
      <c r="AD63" s="231" t="str">
        <f ca="1">N63</f>
        <v/>
      </c>
      <c r="AE63" s="231" t="str">
        <f ca="1">IF(OR(AD63="",AD63=0),"",60*U63/AD63)</f>
        <v/>
      </c>
    </row>
    <row r="64" spans="1:31" x14ac:dyDescent="0.25">
      <c r="A64" s="331"/>
      <c r="B64" s="329" t="str">
        <f ca="1">IF($B63="","",IF(INDIRECT(ADDRESS($B63+1,C$1-1,1,,"Score"))="SP",$B63+1,""))</f>
        <v/>
      </c>
      <c r="C64" s="330" t="str">
        <f t="shared" ca="1" si="18"/>
        <v/>
      </c>
      <c r="D64" s="329" t="str">
        <f t="shared" ca="1" si="18"/>
        <v/>
      </c>
      <c r="E64" s="331"/>
      <c r="F64" s="331"/>
      <c r="G64" s="359"/>
      <c r="H64" s="359"/>
      <c r="I64" s="349"/>
      <c r="J64" s="359" t="str">
        <f t="shared" ca="1" si="19"/>
        <v/>
      </c>
      <c r="K64" s="359" t="str">
        <f t="shared" ca="1" si="19"/>
        <v/>
      </c>
      <c r="L64" s="359" t="str">
        <f t="shared" ca="1" si="19"/>
        <v/>
      </c>
      <c r="M64" s="329" t="str">
        <f t="shared" ca="1" si="20"/>
        <v/>
      </c>
      <c r="N64" s="231"/>
      <c r="O64" s="231"/>
      <c r="Q64" s="331"/>
      <c r="R64" s="329" t="str">
        <f ca="1">IF($R63="","",IF(INDIRECT(ADDRESS($R63+1,S$1-1,1,,"Score"))="SP",$R63+1,""))</f>
        <v/>
      </c>
      <c r="S64" s="330" t="str">
        <f t="shared" ca="1" si="21"/>
        <v/>
      </c>
      <c r="T64" s="329" t="str">
        <f t="shared" ca="1" si="21"/>
        <v/>
      </c>
      <c r="U64" s="331"/>
      <c r="V64" s="331"/>
      <c r="W64" s="359"/>
      <c r="X64" s="359"/>
      <c r="Y64" s="349"/>
      <c r="Z64" s="359" t="str">
        <f t="shared" ca="1" si="22"/>
        <v/>
      </c>
      <c r="AA64" s="359" t="str">
        <f t="shared" ca="1" si="22"/>
        <v/>
      </c>
      <c r="AB64" s="359" t="str">
        <f t="shared" ca="1" si="22"/>
        <v/>
      </c>
      <c r="AC64" s="329" t="str">
        <f t="shared" ca="1" si="23"/>
        <v/>
      </c>
      <c r="AD64" s="231"/>
      <c r="AE64" s="231"/>
    </row>
    <row r="65" spans="1:31" x14ac:dyDescent="0.25">
      <c r="A65" s="350">
        <f>A63+1</f>
        <v>32</v>
      </c>
      <c r="B65" s="351" t="str">
        <f>IF(ISNA(MATCH($A65,Score!A$4:A$41,0)),"",MATCH($A65,Score!A$4:A$41,0)+ROW(Score!A$3))</f>
        <v/>
      </c>
      <c r="C65" s="352" t="str">
        <f t="shared" ca="1" si="18"/>
        <v/>
      </c>
      <c r="D65" s="351" t="str">
        <f t="shared" ca="1" si="18"/>
        <v/>
      </c>
      <c r="E65" s="350" t="str">
        <f>IF(B65="","",SUM(D65,D66))</f>
        <v/>
      </c>
      <c r="F65" s="350" t="str">
        <f>IF(B65="","",E65-U65)</f>
        <v/>
      </c>
      <c r="G65" s="353" t="str">
        <f ca="1">IF($B65="","",IF(ISBLANK(INDIRECT(ADDRESS($B65,G$1,1,,"Score"))),"",1))</f>
        <v/>
      </c>
      <c r="H65" s="353" t="str">
        <f ca="1">IF($B65="","",IF(ISBLANK(INDIRECT(ADDRESS($B65,H$1,1,,"Score"))),"",1))</f>
        <v/>
      </c>
      <c r="I65" s="355" t="str">
        <f ca="1">IF(H65=1,F65,"")</f>
        <v/>
      </c>
      <c r="J65" s="353" t="str">
        <f t="shared" ca="1" si="19"/>
        <v/>
      </c>
      <c r="K65" s="353" t="str">
        <f t="shared" ca="1" si="19"/>
        <v/>
      </c>
      <c r="L65" s="353" t="str">
        <f t="shared" ca="1" si="19"/>
        <v/>
      </c>
      <c r="M65" s="351" t="str">
        <f t="shared" ca="1" si="20"/>
        <v/>
      </c>
      <c r="N65" s="350" t="str">
        <f ca="1">IF(ISNA(MATCH($A65,'Game Clock'!A$11:A$40,0)),"",INDIRECT(ADDRESS(MATCH($A65,'Game Clock'!A$11:A$40,0)+ROW('Game Clock'!A$10),N$1,1,,"Game Clock")))</f>
        <v/>
      </c>
      <c r="O65" s="350" t="str">
        <f ca="1">IF(OR(N65="",N65=0),"",60*E65/N65)</f>
        <v/>
      </c>
      <c r="Q65" s="350">
        <f>Q63+1</f>
        <v>32</v>
      </c>
      <c r="R65" s="351" t="str">
        <f>IF(ISNA(MATCH($Q65,Score!T$4:T$41,0)),"",MATCH($Q65,Score!T$4:T$41,0)++ROW(Score!T$3))</f>
        <v/>
      </c>
      <c r="S65" s="352" t="str">
        <f t="shared" ca="1" si="21"/>
        <v/>
      </c>
      <c r="T65" s="351" t="str">
        <f t="shared" ca="1" si="21"/>
        <v/>
      </c>
      <c r="U65" s="350" t="str">
        <f>IF(R65="","",SUM(T65,T66))</f>
        <v/>
      </c>
      <c r="V65" s="350" t="str">
        <f>IF(R65="","",U65-E65)</f>
        <v/>
      </c>
      <c r="W65" s="353" t="str">
        <f ca="1">IF($R65="","",IF(ISBLANK(INDIRECT(ADDRESS($R65,W$1,1,,"Score"))),"",1))</f>
        <v/>
      </c>
      <c r="X65" s="353" t="str">
        <f ca="1">IF($R65="","",IF(ISBLANK(INDIRECT(ADDRESS($R65,X$1,1,,"Score"))),"",1))</f>
        <v/>
      </c>
      <c r="Y65" s="355" t="str">
        <f ca="1">IF(X65=1,V65,"")</f>
        <v/>
      </c>
      <c r="Z65" s="353" t="str">
        <f t="shared" ca="1" si="22"/>
        <v/>
      </c>
      <c r="AA65" s="353" t="str">
        <f t="shared" ca="1" si="22"/>
        <v/>
      </c>
      <c r="AB65" s="353" t="str">
        <f t="shared" ca="1" si="22"/>
        <v/>
      </c>
      <c r="AC65" s="351" t="str">
        <f t="shared" ca="1" si="23"/>
        <v/>
      </c>
      <c r="AD65" s="350" t="str">
        <f ca="1">N65</f>
        <v/>
      </c>
      <c r="AE65" s="350" t="str">
        <f ca="1">IF(OR(AD65="",AD65=0),"",60*U65/AD65)</f>
        <v/>
      </c>
    </row>
    <row r="66" spans="1:31" x14ac:dyDescent="0.3">
      <c r="A66" s="350"/>
      <c r="B66" s="351" t="str">
        <f ca="1">IF($B65="","",IF(INDIRECT(ADDRESS($B65+1,C$1-1,1,,"Score"))="SP",$B65+1,""))</f>
        <v/>
      </c>
      <c r="C66" s="352" t="str">
        <f t="shared" ca="1" si="18"/>
        <v/>
      </c>
      <c r="D66" s="351" t="str">
        <f t="shared" ca="1" si="18"/>
        <v/>
      </c>
      <c r="E66" s="350"/>
      <c r="F66" s="350"/>
      <c r="G66" s="353"/>
      <c r="H66" s="354"/>
      <c r="I66" s="355"/>
      <c r="J66" s="353" t="str">
        <f t="shared" ca="1" si="19"/>
        <v/>
      </c>
      <c r="K66" s="353" t="str">
        <f t="shared" ca="1" si="19"/>
        <v/>
      </c>
      <c r="L66" s="353" t="str">
        <f t="shared" ca="1" si="19"/>
        <v/>
      </c>
      <c r="M66" s="351" t="str">
        <f t="shared" ca="1" si="20"/>
        <v/>
      </c>
      <c r="N66" s="350"/>
      <c r="O66" s="350"/>
      <c r="Q66" s="350"/>
      <c r="R66" s="351" t="str">
        <f ca="1">IF($R65="","",IF(INDIRECT(ADDRESS($R65+1,S$1-1,1,,"Score"))="SP",$R65+1,""))</f>
        <v/>
      </c>
      <c r="S66" s="352" t="str">
        <f t="shared" ca="1" si="21"/>
        <v/>
      </c>
      <c r="T66" s="351" t="str">
        <f t="shared" ca="1" si="21"/>
        <v/>
      </c>
      <c r="U66" s="350"/>
      <c r="V66" s="350"/>
      <c r="W66" s="353"/>
      <c r="X66" s="354"/>
      <c r="Y66" s="355"/>
      <c r="Z66" s="353" t="str">
        <f t="shared" ca="1" si="22"/>
        <v/>
      </c>
      <c r="AA66" s="353" t="str">
        <f t="shared" ca="1" si="22"/>
        <v/>
      </c>
      <c r="AB66" s="353" t="str">
        <f t="shared" ca="1" si="22"/>
        <v/>
      </c>
      <c r="AC66" s="351" t="str">
        <f t="shared" ca="1" si="23"/>
        <v/>
      </c>
      <c r="AD66" s="350"/>
      <c r="AE66" s="350"/>
    </row>
    <row r="67" spans="1:31" x14ac:dyDescent="0.25">
      <c r="A67" s="331">
        <f>A65+1</f>
        <v>33</v>
      </c>
      <c r="B67" s="329" t="str">
        <f>IF(ISNA(MATCH($A67,Score!A$4:A$41,0)),"",MATCH($A67,Score!A$4:A$41,0)+ROW(Score!A$3))</f>
        <v/>
      </c>
      <c r="C67" s="330" t="str">
        <f t="shared" ca="1" si="18"/>
        <v/>
      </c>
      <c r="D67" s="329" t="str">
        <f t="shared" ca="1" si="18"/>
        <v/>
      </c>
      <c r="E67" s="331" t="str">
        <f>IF(B67="","",SUM(D67,D68))</f>
        <v/>
      </c>
      <c r="F67" s="331" t="str">
        <f>IF(B67="","",E67-U67)</f>
        <v/>
      </c>
      <c r="G67" s="359" t="str">
        <f ca="1">IF($B67="","",IF(ISBLANK(INDIRECT(ADDRESS($B67,G$1,1,,"Score"))),"",1))</f>
        <v/>
      </c>
      <c r="H67" s="359" t="str">
        <f ca="1">IF($B67="","",IF(ISBLANK(INDIRECT(ADDRESS($B67,H$1,1,,"Score"))),"",1))</f>
        <v/>
      </c>
      <c r="I67" s="349" t="str">
        <f ca="1">IF(H67=1,F67,"")</f>
        <v/>
      </c>
      <c r="J67" s="359" t="str">
        <f t="shared" ca="1" si="19"/>
        <v/>
      </c>
      <c r="K67" s="359" t="str">
        <f t="shared" ca="1" si="19"/>
        <v/>
      </c>
      <c r="L67" s="359" t="str">
        <f t="shared" ca="1" si="19"/>
        <v/>
      </c>
      <c r="M67" s="329" t="str">
        <f t="shared" ca="1" si="20"/>
        <v/>
      </c>
      <c r="N67" s="231" t="str">
        <f ca="1">IF(ISNA(MATCH($A67,'Game Clock'!A$11:A$40,0)),"",INDIRECT(ADDRESS(MATCH($A67,'Game Clock'!A$11:A$40,0)+ROW('Game Clock'!A$10),N$1,1,,"Game Clock")))</f>
        <v/>
      </c>
      <c r="O67" s="231" t="str">
        <f ca="1">IF(OR(N67="",N67=0),"",60*E67/N67)</f>
        <v/>
      </c>
      <c r="Q67" s="331">
        <f>Q65+1</f>
        <v>33</v>
      </c>
      <c r="R67" s="329" t="str">
        <f>IF(ISNA(MATCH($Q67,Score!T$4:T$41,0)),"",MATCH($Q67,Score!T$4:T$41,0)++ROW(Score!T$3))</f>
        <v/>
      </c>
      <c r="S67" s="330" t="str">
        <f t="shared" ca="1" si="21"/>
        <v/>
      </c>
      <c r="T67" s="329" t="str">
        <f t="shared" ca="1" si="21"/>
        <v/>
      </c>
      <c r="U67" s="331" t="str">
        <f>IF(R67="","",SUM(T67,T68))</f>
        <v/>
      </c>
      <c r="V67" s="331" t="str">
        <f>IF(R67="","",U67-E67)</f>
        <v/>
      </c>
      <c r="W67" s="359" t="str">
        <f ca="1">IF($R67="","",IF(ISBLANK(INDIRECT(ADDRESS($R67,W$1,1,,"Score"))),"",1))</f>
        <v/>
      </c>
      <c r="X67" s="359" t="str">
        <f ca="1">IF($R67="","",IF(ISBLANK(INDIRECT(ADDRESS($R67,X$1,1,,"Score"))),"",1))</f>
        <v/>
      </c>
      <c r="Y67" s="349" t="str">
        <f ca="1">IF(X67=1,V67,"")</f>
        <v/>
      </c>
      <c r="Z67" s="359" t="str">
        <f t="shared" ca="1" si="22"/>
        <v/>
      </c>
      <c r="AA67" s="359" t="str">
        <f t="shared" ca="1" si="22"/>
        <v/>
      </c>
      <c r="AB67" s="359" t="str">
        <f t="shared" ca="1" si="22"/>
        <v/>
      </c>
      <c r="AC67" s="329" t="str">
        <f t="shared" ca="1" si="23"/>
        <v/>
      </c>
      <c r="AD67" s="231" t="str">
        <f ca="1">N67</f>
        <v/>
      </c>
      <c r="AE67" s="231" t="str">
        <f ca="1">IF(OR(AD67="",AD67=0),"",60*U67/AD67)</f>
        <v/>
      </c>
    </row>
    <row r="68" spans="1:31" x14ac:dyDescent="0.25">
      <c r="A68" s="331"/>
      <c r="B68" s="329" t="str">
        <f ca="1">IF($B67="","",IF(INDIRECT(ADDRESS($B67+1,C$1-1,1,,"Score"))="SP",$B67+1,""))</f>
        <v/>
      </c>
      <c r="C68" s="330" t="str">
        <f t="shared" ca="1" si="18"/>
        <v/>
      </c>
      <c r="D68" s="329" t="str">
        <f t="shared" ca="1" si="18"/>
        <v/>
      </c>
      <c r="E68" s="331"/>
      <c r="F68" s="331"/>
      <c r="G68" s="359"/>
      <c r="H68" s="359"/>
      <c r="I68" s="349"/>
      <c r="J68" s="359" t="str">
        <f t="shared" ca="1" si="19"/>
        <v/>
      </c>
      <c r="K68" s="359" t="str">
        <f t="shared" ca="1" si="19"/>
        <v/>
      </c>
      <c r="L68" s="359" t="str">
        <f t="shared" ca="1" si="19"/>
        <v/>
      </c>
      <c r="M68" s="329" t="str">
        <f t="shared" ca="1" si="20"/>
        <v/>
      </c>
      <c r="N68" s="231"/>
      <c r="O68" s="231"/>
      <c r="Q68" s="331"/>
      <c r="R68" s="329" t="str">
        <f ca="1">IF($R67="","",IF(INDIRECT(ADDRESS($R67+1,S$1-1,1,,"Score"))="SP",$R67+1,""))</f>
        <v/>
      </c>
      <c r="S68" s="330" t="str">
        <f t="shared" ca="1" si="21"/>
        <v/>
      </c>
      <c r="T68" s="329" t="str">
        <f t="shared" ca="1" si="21"/>
        <v/>
      </c>
      <c r="U68" s="331"/>
      <c r="V68" s="331"/>
      <c r="W68" s="359"/>
      <c r="X68" s="359"/>
      <c r="Y68" s="349"/>
      <c r="Z68" s="359" t="str">
        <f t="shared" ca="1" si="22"/>
        <v/>
      </c>
      <c r="AA68" s="359" t="str">
        <f t="shared" ca="1" si="22"/>
        <v/>
      </c>
      <c r="AB68" s="359" t="str">
        <f t="shared" ca="1" si="22"/>
        <v/>
      </c>
      <c r="AC68" s="329" t="str">
        <f t="shared" ca="1" si="23"/>
        <v/>
      </c>
      <c r="AD68" s="231"/>
      <c r="AE68" s="231"/>
    </row>
    <row r="69" spans="1:31" x14ac:dyDescent="0.25">
      <c r="A69" s="350">
        <f>A67+1</f>
        <v>34</v>
      </c>
      <c r="B69" s="351" t="str">
        <f>IF(ISNA(MATCH($A69,Score!A$4:A$41,0)),"",MATCH($A69,Score!A$4:A$41,0)+ROW(Score!A$3))</f>
        <v/>
      </c>
      <c r="C69" s="352" t="str">
        <f t="shared" ca="1" si="18"/>
        <v/>
      </c>
      <c r="D69" s="351" t="str">
        <f t="shared" ca="1" si="18"/>
        <v/>
      </c>
      <c r="E69" s="350" t="str">
        <f>IF(B69="","",SUM(D69,D70))</f>
        <v/>
      </c>
      <c r="F69" s="350" t="str">
        <f>IF(B69="","",E69-U69)</f>
        <v/>
      </c>
      <c r="G69" s="353" t="str">
        <f ca="1">IF($B69="","",IF(ISBLANK(INDIRECT(ADDRESS($B69,G$1,1,,"Score"))),"",1))</f>
        <v/>
      </c>
      <c r="H69" s="353" t="str">
        <f ca="1">IF($B69="","",IF(ISBLANK(INDIRECT(ADDRESS($B69,H$1,1,,"Score"))),"",1))</f>
        <v/>
      </c>
      <c r="I69" s="355" t="str">
        <f ca="1">IF(H69=1,F69,"")</f>
        <v/>
      </c>
      <c r="J69" s="353" t="str">
        <f t="shared" ca="1" si="19"/>
        <v/>
      </c>
      <c r="K69" s="353" t="str">
        <f t="shared" ca="1" si="19"/>
        <v/>
      </c>
      <c r="L69" s="353" t="str">
        <f t="shared" ca="1" si="19"/>
        <v/>
      </c>
      <c r="M69" s="351" t="str">
        <f t="shared" ca="1" si="20"/>
        <v/>
      </c>
      <c r="N69" s="350" t="str">
        <f ca="1">IF(ISNA(MATCH($A69,'Game Clock'!A$11:A$40,0)),"",INDIRECT(ADDRESS(MATCH($A69,'Game Clock'!A$11:A$40,0)+ROW('Game Clock'!A$10),N$1,1,,"Game Clock")))</f>
        <v/>
      </c>
      <c r="O69" s="350" t="str">
        <f ca="1">IF(OR(N69="",N69=0),"",60*E69/N69)</f>
        <v/>
      </c>
      <c r="Q69" s="350">
        <f>Q67+1</f>
        <v>34</v>
      </c>
      <c r="R69" s="351" t="str">
        <f>IF(ISNA(MATCH($Q69,Score!T$4:T$41,0)),"",MATCH($Q69,Score!T$4:T$41,0)++ROW(Score!T$3))</f>
        <v/>
      </c>
      <c r="S69" s="352" t="str">
        <f t="shared" ca="1" si="21"/>
        <v/>
      </c>
      <c r="T69" s="351" t="str">
        <f t="shared" ca="1" si="21"/>
        <v/>
      </c>
      <c r="U69" s="350" t="str">
        <f>IF(R69="","",SUM(T69,T70))</f>
        <v/>
      </c>
      <c r="V69" s="350" t="str">
        <f>IF(R69="","",U69-E69)</f>
        <v/>
      </c>
      <c r="W69" s="353" t="str">
        <f ca="1">IF($R69="","",IF(ISBLANK(INDIRECT(ADDRESS($R69,W$1,1,,"Score"))),"",1))</f>
        <v/>
      </c>
      <c r="X69" s="353" t="str">
        <f ca="1">IF($R69="","",IF(ISBLANK(INDIRECT(ADDRESS($R69,X$1,1,,"Score"))),"",1))</f>
        <v/>
      </c>
      <c r="Y69" s="355" t="str">
        <f ca="1">IF(X69=1,V69,"")</f>
        <v/>
      </c>
      <c r="Z69" s="353" t="str">
        <f t="shared" ca="1" si="22"/>
        <v/>
      </c>
      <c r="AA69" s="353" t="str">
        <f t="shared" ca="1" si="22"/>
        <v/>
      </c>
      <c r="AB69" s="353" t="str">
        <f t="shared" ca="1" si="22"/>
        <v/>
      </c>
      <c r="AC69" s="351" t="str">
        <f t="shared" ca="1" si="23"/>
        <v/>
      </c>
      <c r="AD69" s="350" t="str">
        <f ca="1">N69</f>
        <v/>
      </c>
      <c r="AE69" s="350" t="str">
        <f ca="1">IF(OR(AD69="",AD69=0),"",60*U69/AD69)</f>
        <v/>
      </c>
    </row>
    <row r="70" spans="1:31" x14ac:dyDescent="0.3">
      <c r="A70" s="350"/>
      <c r="B70" s="351" t="str">
        <f ca="1">IF($B69="","",IF(INDIRECT(ADDRESS($B69+1,C$1-1,1,,"Score"))="SP",$B69+1,""))</f>
        <v/>
      </c>
      <c r="C70" s="352" t="str">
        <f t="shared" ca="1" si="18"/>
        <v/>
      </c>
      <c r="D70" s="351" t="str">
        <f t="shared" ca="1" si="18"/>
        <v/>
      </c>
      <c r="E70" s="350"/>
      <c r="F70" s="350"/>
      <c r="G70" s="353"/>
      <c r="H70" s="354"/>
      <c r="I70" s="355"/>
      <c r="J70" s="353" t="str">
        <f t="shared" ca="1" si="19"/>
        <v/>
      </c>
      <c r="K70" s="353" t="str">
        <f t="shared" ca="1" si="19"/>
        <v/>
      </c>
      <c r="L70" s="353" t="str">
        <f t="shared" ca="1" si="19"/>
        <v/>
      </c>
      <c r="M70" s="351" t="str">
        <f t="shared" ca="1" si="20"/>
        <v/>
      </c>
      <c r="N70" s="350"/>
      <c r="O70" s="350"/>
      <c r="Q70" s="350"/>
      <c r="R70" s="351" t="str">
        <f ca="1">IF($R69="","",IF(INDIRECT(ADDRESS($R69+1,S$1-1,1,,"Score"))="SP",$R69+1,""))</f>
        <v/>
      </c>
      <c r="S70" s="352" t="str">
        <f t="shared" ca="1" si="21"/>
        <v/>
      </c>
      <c r="T70" s="351" t="str">
        <f t="shared" ca="1" si="21"/>
        <v/>
      </c>
      <c r="U70" s="350"/>
      <c r="V70" s="350"/>
      <c r="W70" s="353"/>
      <c r="X70" s="354"/>
      <c r="Y70" s="355"/>
      <c r="Z70" s="353" t="str">
        <f t="shared" ca="1" si="22"/>
        <v/>
      </c>
      <c r="AA70" s="353" t="str">
        <f t="shared" ca="1" si="22"/>
        <v/>
      </c>
      <c r="AB70" s="353" t="str">
        <f t="shared" ca="1" si="22"/>
        <v/>
      </c>
      <c r="AC70" s="351" t="str">
        <f t="shared" ca="1" si="23"/>
        <v/>
      </c>
      <c r="AD70" s="350"/>
      <c r="AE70" s="350"/>
    </row>
    <row r="71" spans="1:31" x14ac:dyDescent="0.25">
      <c r="A71" s="331">
        <f>A69+1</f>
        <v>35</v>
      </c>
      <c r="B71" s="329" t="str">
        <f>IF(ISNA(MATCH($A71,Score!A$4:A$41,0)),"",MATCH($A71,Score!A$4:A$41,0)+ROW(Score!A$3))</f>
        <v/>
      </c>
      <c r="C71" s="330" t="str">
        <f t="shared" ca="1" si="18"/>
        <v/>
      </c>
      <c r="D71" s="329" t="str">
        <f t="shared" ca="1" si="18"/>
        <v/>
      </c>
      <c r="E71" s="331" t="str">
        <f>IF(B71="","",SUM(D71,D72))</f>
        <v/>
      </c>
      <c r="F71" s="331" t="str">
        <f>IF(B71="","",E71-U71)</f>
        <v/>
      </c>
      <c r="G71" s="359" t="str">
        <f ca="1">IF($B71="","",IF(ISBLANK(INDIRECT(ADDRESS($B71,G$1,1,,"Score"))),"",1))</f>
        <v/>
      </c>
      <c r="H71" s="359" t="str">
        <f ca="1">IF($B71="","",IF(ISBLANK(INDIRECT(ADDRESS($B71,H$1,1,,"Score"))),"",1))</f>
        <v/>
      </c>
      <c r="I71" s="349" t="str">
        <f ca="1">IF(H71=1,F71,"")</f>
        <v/>
      </c>
      <c r="J71" s="359" t="str">
        <f t="shared" ca="1" si="19"/>
        <v/>
      </c>
      <c r="K71" s="359" t="str">
        <f t="shared" ca="1" si="19"/>
        <v/>
      </c>
      <c r="L71" s="359" t="str">
        <f t="shared" ca="1" si="19"/>
        <v/>
      </c>
      <c r="M71" s="329" t="str">
        <f t="shared" ca="1" si="20"/>
        <v/>
      </c>
      <c r="N71" s="231" t="str">
        <f ca="1">IF(ISNA(MATCH($A71,'Game Clock'!A$11:A$40,0)),"",INDIRECT(ADDRESS(MATCH($A71,'Game Clock'!A$11:A$40,0)+ROW('Game Clock'!A$10),N$1,1,,"Game Clock")))</f>
        <v/>
      </c>
      <c r="O71" s="231" t="str">
        <f ca="1">IF(OR(N71="",N71=0),"",60*E71/N71)</f>
        <v/>
      </c>
      <c r="Q71" s="331">
        <f>Q69+1</f>
        <v>35</v>
      </c>
      <c r="R71" s="329" t="str">
        <f>IF(ISNA(MATCH($Q71,Score!T$4:T$41,0)),"",MATCH($Q71,Score!T$4:T$41,0)++ROW(Score!T$3))</f>
        <v/>
      </c>
      <c r="S71" s="330" t="str">
        <f t="shared" ca="1" si="21"/>
        <v/>
      </c>
      <c r="T71" s="329" t="str">
        <f t="shared" ca="1" si="21"/>
        <v/>
      </c>
      <c r="U71" s="331" t="str">
        <f>IF(R71="","",SUM(T71,T72))</f>
        <v/>
      </c>
      <c r="V71" s="331" t="str">
        <f>IF(R71="","",U71-E71)</f>
        <v/>
      </c>
      <c r="W71" s="359" t="str">
        <f ca="1">IF($R71="","",IF(ISBLANK(INDIRECT(ADDRESS($R71,W$1,1,,"Score"))),"",1))</f>
        <v/>
      </c>
      <c r="X71" s="359" t="str">
        <f ca="1">IF($R71="","",IF(ISBLANK(INDIRECT(ADDRESS($R71,X$1,1,,"Score"))),"",1))</f>
        <v/>
      </c>
      <c r="Y71" s="349" t="str">
        <f ca="1">IF(X71=1,V71,"")</f>
        <v/>
      </c>
      <c r="Z71" s="359" t="str">
        <f t="shared" ca="1" si="22"/>
        <v/>
      </c>
      <c r="AA71" s="359" t="str">
        <f t="shared" ca="1" si="22"/>
        <v/>
      </c>
      <c r="AB71" s="359" t="str">
        <f t="shared" ca="1" si="22"/>
        <v/>
      </c>
      <c r="AC71" s="329" t="str">
        <f t="shared" ca="1" si="23"/>
        <v/>
      </c>
      <c r="AD71" s="231" t="str">
        <f ca="1">N71</f>
        <v/>
      </c>
      <c r="AE71" s="231" t="str">
        <f ca="1">IF(OR(AD71="",AD71=0),"",60*U71/AD71)</f>
        <v/>
      </c>
    </row>
    <row r="72" spans="1:31" x14ac:dyDescent="0.25">
      <c r="A72" s="331"/>
      <c r="B72" s="329" t="str">
        <f ca="1">IF($B71="","",IF(INDIRECT(ADDRESS($B71+1,C$1-1,1,,"Score"))="SP",$B71+1,""))</f>
        <v/>
      </c>
      <c r="C72" s="330" t="str">
        <f t="shared" ca="1" si="18"/>
        <v/>
      </c>
      <c r="D72" s="329" t="str">
        <f t="shared" ca="1" si="18"/>
        <v/>
      </c>
      <c r="E72" s="331"/>
      <c r="F72" s="331"/>
      <c r="G72" s="359"/>
      <c r="H72" s="359"/>
      <c r="I72" s="349"/>
      <c r="J72" s="359" t="str">
        <f t="shared" ca="1" si="19"/>
        <v/>
      </c>
      <c r="K72" s="359" t="str">
        <f t="shared" ca="1" si="19"/>
        <v/>
      </c>
      <c r="L72" s="359" t="str">
        <f t="shared" ca="1" si="19"/>
        <v/>
      </c>
      <c r="M72" s="329" t="str">
        <f t="shared" ca="1" si="20"/>
        <v/>
      </c>
      <c r="N72" s="231"/>
      <c r="O72" s="231"/>
      <c r="Q72" s="331"/>
      <c r="R72" s="329" t="str">
        <f ca="1">IF($R71="","",IF(INDIRECT(ADDRESS($R71+1,S$1-1,1,,"Score"))="SP",$R71+1,""))</f>
        <v/>
      </c>
      <c r="S72" s="330" t="str">
        <f t="shared" ca="1" si="21"/>
        <v/>
      </c>
      <c r="T72" s="329" t="str">
        <f t="shared" ca="1" si="21"/>
        <v/>
      </c>
      <c r="U72" s="331"/>
      <c r="V72" s="331"/>
      <c r="W72" s="359"/>
      <c r="X72" s="359"/>
      <c r="Y72" s="349"/>
      <c r="Z72" s="359" t="str">
        <f t="shared" ca="1" si="22"/>
        <v/>
      </c>
      <c r="AA72" s="359" t="str">
        <f t="shared" ca="1" si="22"/>
        <v/>
      </c>
      <c r="AB72" s="359" t="str">
        <f t="shared" ca="1" si="22"/>
        <v/>
      </c>
      <c r="AC72" s="329" t="str">
        <f t="shared" ca="1" si="23"/>
        <v/>
      </c>
      <c r="AD72" s="231"/>
      <c r="AE72" s="231"/>
    </row>
    <row r="73" spans="1:31" x14ac:dyDescent="0.25">
      <c r="A73" s="350">
        <f>A71+1</f>
        <v>36</v>
      </c>
      <c r="B73" s="351" t="str">
        <f>IF(ISNA(MATCH($A73,Score!A$4:A$41,0)),"",MATCH($A73,Score!A$4:A$41,0)+ROW(Score!A$3))</f>
        <v/>
      </c>
      <c r="C73" s="352" t="str">
        <f t="shared" ca="1" si="18"/>
        <v/>
      </c>
      <c r="D73" s="351" t="str">
        <f t="shared" ca="1" si="18"/>
        <v/>
      </c>
      <c r="E73" s="350" t="str">
        <f>IF(B73="","",SUM(D73,D74))</f>
        <v/>
      </c>
      <c r="F73" s="350" t="str">
        <f>IF(B73="","",E73-U73)</f>
        <v/>
      </c>
      <c r="G73" s="353" t="str">
        <f ca="1">IF($B73="","",IF(ISBLANK(INDIRECT(ADDRESS($B73,G$1,1,,"Score"))),"",1))</f>
        <v/>
      </c>
      <c r="H73" s="353" t="str">
        <f ca="1">IF($B73="","",IF(ISBLANK(INDIRECT(ADDRESS($B73,H$1,1,,"Score"))),"",1))</f>
        <v/>
      </c>
      <c r="I73" s="355" t="str">
        <f ca="1">IF(H73=1,F73,"")</f>
        <v/>
      </c>
      <c r="J73" s="353" t="str">
        <f t="shared" ca="1" si="19"/>
        <v/>
      </c>
      <c r="K73" s="353" t="str">
        <f t="shared" ca="1" si="19"/>
        <v/>
      </c>
      <c r="L73" s="353" t="str">
        <f t="shared" ca="1" si="19"/>
        <v/>
      </c>
      <c r="M73" s="351" t="str">
        <f t="shared" ca="1" si="20"/>
        <v/>
      </c>
      <c r="N73" s="350" t="str">
        <f ca="1">IF(ISNA(MATCH($A73,'Game Clock'!A$11:A$40,0)),"",INDIRECT(ADDRESS(MATCH($A73,'Game Clock'!A$11:A$40,0)+ROW('Game Clock'!A$10),N$1,1,,"Game Clock")))</f>
        <v/>
      </c>
      <c r="O73" s="350" t="str">
        <f ca="1">IF(OR(N73="",N73=0),"",60*E73/N73)</f>
        <v/>
      </c>
      <c r="Q73" s="350">
        <f>Q71+1</f>
        <v>36</v>
      </c>
      <c r="R73" s="351" t="str">
        <f>IF(ISNA(MATCH($Q73,Score!T$4:T$41,0)),"",MATCH($Q73,Score!T$4:T$41,0)++ROW(Score!T$3))</f>
        <v/>
      </c>
      <c r="S73" s="352" t="str">
        <f t="shared" ca="1" si="21"/>
        <v/>
      </c>
      <c r="T73" s="351" t="str">
        <f t="shared" ca="1" si="21"/>
        <v/>
      </c>
      <c r="U73" s="350" t="str">
        <f>IF(R73="","",SUM(T73,T74))</f>
        <v/>
      </c>
      <c r="V73" s="350" t="str">
        <f>IF(R73="","",U73-E73)</f>
        <v/>
      </c>
      <c r="W73" s="353" t="str">
        <f ca="1">IF($R73="","",IF(ISBLANK(INDIRECT(ADDRESS($R73,W$1,1,,"Score"))),"",1))</f>
        <v/>
      </c>
      <c r="X73" s="353" t="str">
        <f ca="1">IF($R73="","",IF(ISBLANK(INDIRECT(ADDRESS($R73,X$1,1,,"Score"))),"",1))</f>
        <v/>
      </c>
      <c r="Y73" s="355" t="str">
        <f ca="1">IF(X73=1,V73,"")</f>
        <v/>
      </c>
      <c r="Z73" s="353" t="str">
        <f t="shared" ca="1" si="22"/>
        <v/>
      </c>
      <c r="AA73" s="353" t="str">
        <f t="shared" ca="1" si="22"/>
        <v/>
      </c>
      <c r="AB73" s="353" t="str">
        <f t="shared" ca="1" si="22"/>
        <v/>
      </c>
      <c r="AC73" s="351" t="str">
        <f t="shared" ca="1" si="23"/>
        <v/>
      </c>
      <c r="AD73" s="350" t="str">
        <f ca="1">N73</f>
        <v/>
      </c>
      <c r="AE73" s="350" t="str">
        <f ca="1">IF(OR(AD73="",AD73=0),"",60*U73/AD73)</f>
        <v/>
      </c>
    </row>
    <row r="74" spans="1:31" x14ac:dyDescent="0.3">
      <c r="A74" s="350"/>
      <c r="B74" s="351" t="str">
        <f ca="1">IF($B73="","",IF(INDIRECT(ADDRESS($B73+1,C$1-1,1,,"Score"))="SP",$B73+1,""))</f>
        <v/>
      </c>
      <c r="C74" s="352" t="str">
        <f t="shared" ca="1" si="18"/>
        <v/>
      </c>
      <c r="D74" s="351" t="str">
        <f t="shared" ca="1" si="18"/>
        <v/>
      </c>
      <c r="E74" s="350"/>
      <c r="F74" s="350"/>
      <c r="G74" s="353"/>
      <c r="H74" s="354"/>
      <c r="I74" s="355"/>
      <c r="J74" s="353" t="str">
        <f t="shared" ca="1" si="19"/>
        <v/>
      </c>
      <c r="K74" s="353" t="str">
        <f t="shared" ca="1" si="19"/>
        <v/>
      </c>
      <c r="L74" s="353" t="str">
        <f t="shared" ca="1" si="19"/>
        <v/>
      </c>
      <c r="M74" s="351" t="str">
        <f t="shared" ca="1" si="20"/>
        <v/>
      </c>
      <c r="N74" s="350"/>
      <c r="O74" s="350"/>
      <c r="Q74" s="350"/>
      <c r="R74" s="351" t="str">
        <f ca="1">IF($R73="","",IF(INDIRECT(ADDRESS($R73+1,S$1-1,1,,"Score"))="SP",$R73+1,""))</f>
        <v/>
      </c>
      <c r="S74" s="352" t="str">
        <f t="shared" ca="1" si="21"/>
        <v/>
      </c>
      <c r="T74" s="351" t="str">
        <f t="shared" ca="1" si="21"/>
        <v/>
      </c>
      <c r="U74" s="350"/>
      <c r="V74" s="350"/>
      <c r="W74" s="353"/>
      <c r="X74" s="354"/>
      <c r="Y74" s="355"/>
      <c r="Z74" s="353" t="str">
        <f t="shared" ca="1" si="22"/>
        <v/>
      </c>
      <c r="AA74" s="353" t="str">
        <f t="shared" ca="1" si="22"/>
        <v/>
      </c>
      <c r="AB74" s="353" t="str">
        <f t="shared" ca="1" si="22"/>
        <v/>
      </c>
      <c r="AC74" s="351" t="str">
        <f t="shared" ca="1" si="23"/>
        <v/>
      </c>
      <c r="AD74" s="350"/>
      <c r="AE74" s="350"/>
    </row>
    <row r="75" spans="1:31" x14ac:dyDescent="0.25">
      <c r="A75" s="331">
        <f>A73+1</f>
        <v>37</v>
      </c>
      <c r="B75" s="329" t="str">
        <f>IF(ISNA(MATCH($A75,Score!A$4:A$41,0)),"",MATCH($A75,Score!A$4:A$41,0)+ROW(Score!A$3))</f>
        <v/>
      </c>
      <c r="C75" s="330" t="str">
        <f t="shared" ref="C75:D78" ca="1" si="24">IF($B75="","",INDIRECT(ADDRESS($B75,C$1,1,,"Score")))</f>
        <v/>
      </c>
      <c r="D75" s="329" t="str">
        <f t="shared" ca="1" si="24"/>
        <v/>
      </c>
      <c r="E75" s="331" t="str">
        <f>IF(B75="","",SUM(D75,D76))</f>
        <v/>
      </c>
      <c r="F75" s="331" t="str">
        <f>IF(B75="","",E75-U75)</f>
        <v/>
      </c>
      <c r="G75" s="359" t="str">
        <f ca="1">IF($B75="","",IF(ISBLANK(INDIRECT(ADDRESS($B75,G$1,1,,"Score"))),"",1))</f>
        <v/>
      </c>
      <c r="H75" s="359" t="str">
        <f ca="1">IF($B75="","",IF(ISBLANK(INDIRECT(ADDRESS($B75,H$1,1,,"Score"))),"",1))</f>
        <v/>
      </c>
      <c r="I75" s="349" t="str">
        <f ca="1">IF(H75=1,F75,"")</f>
        <v/>
      </c>
      <c r="J75" s="359" t="str">
        <f t="shared" ref="J75:L78" ca="1" si="25">IF($B75="","",IF(ISBLANK(INDIRECT(ADDRESS($B75,J$1,1,,"Score"))),"",1))</f>
        <v/>
      </c>
      <c r="K75" s="359" t="str">
        <f t="shared" ca="1" si="25"/>
        <v/>
      </c>
      <c r="L75" s="359" t="str">
        <f t="shared" ca="1" si="25"/>
        <v/>
      </c>
      <c r="M75" s="329" t="str">
        <f t="shared" ca="1" si="20"/>
        <v/>
      </c>
      <c r="N75" s="231" t="str">
        <f ca="1">IF(ISNA(MATCH($A75,'Game Clock'!A$11:A$40,0)),"",INDIRECT(ADDRESS(MATCH($A75,'Game Clock'!A$11:A$40,0)+ROW('Game Clock'!A$10),N$1,1,,"Game Clock")))</f>
        <v/>
      </c>
      <c r="O75" s="231" t="str">
        <f ca="1">IF(OR(N75="",N75=0),"",60*E75/N75)</f>
        <v/>
      </c>
      <c r="Q75" s="331">
        <f>Q73+1</f>
        <v>37</v>
      </c>
      <c r="R75" s="329" t="str">
        <f>IF(ISNA(MATCH($Q75,Score!T$4:T$41,0)),"",MATCH($Q75,Score!T$4:T$41,0)++ROW(Score!T$3))</f>
        <v/>
      </c>
      <c r="S75" s="330" t="str">
        <f t="shared" ref="S75:T78" ca="1" si="26">IF($R75="","",INDIRECT(ADDRESS($R75,S$1,1,,"Score")))</f>
        <v/>
      </c>
      <c r="T75" s="329" t="str">
        <f t="shared" ca="1" si="26"/>
        <v/>
      </c>
      <c r="U75" s="331" t="str">
        <f>IF(R75="","",SUM(T75,T76))</f>
        <v/>
      </c>
      <c r="V75" s="331" t="str">
        <f>IF(R75="","",U75-E75)</f>
        <v/>
      </c>
      <c r="W75" s="359" t="str">
        <f ca="1">IF($R75="","",IF(ISBLANK(INDIRECT(ADDRESS($R75,W$1,1,,"Score"))),"",1))</f>
        <v/>
      </c>
      <c r="X75" s="359" t="str">
        <f ca="1">IF($R75="","",IF(ISBLANK(INDIRECT(ADDRESS($R75,X$1,1,,"Score"))),"",1))</f>
        <v/>
      </c>
      <c r="Y75" s="349" t="str">
        <f ca="1">IF(X75=1,V75,"")</f>
        <v/>
      </c>
      <c r="Z75" s="359" t="str">
        <f t="shared" ref="Z75:AB78" ca="1" si="27">IF($R75="","",IF(ISBLANK(INDIRECT(ADDRESS($R75,Z$1,1,,"Score"))),"",1))</f>
        <v/>
      </c>
      <c r="AA75" s="359" t="str">
        <f t="shared" ca="1" si="27"/>
        <v/>
      </c>
      <c r="AB75" s="359" t="str">
        <f t="shared" ca="1" si="27"/>
        <v/>
      </c>
      <c r="AC75" s="329" t="str">
        <f t="shared" ca="1" si="23"/>
        <v/>
      </c>
      <c r="AD75" s="231" t="str">
        <f ca="1">N75</f>
        <v/>
      </c>
      <c r="AE75" s="231" t="str">
        <f ca="1">IF(OR(AD75="",AD75=0),"",60*U75/AD75)</f>
        <v/>
      </c>
    </row>
    <row r="76" spans="1:31" x14ac:dyDescent="0.25">
      <c r="A76" s="331"/>
      <c r="B76" s="329" t="str">
        <f ca="1">IF($B75="","",IF(INDIRECT(ADDRESS($B75+1,C$1-1,1,,"Score"))="SP",$B75+1,""))</f>
        <v/>
      </c>
      <c r="C76" s="330" t="str">
        <f t="shared" ca="1" si="24"/>
        <v/>
      </c>
      <c r="D76" s="329" t="str">
        <f t="shared" ca="1" si="24"/>
        <v/>
      </c>
      <c r="E76" s="331"/>
      <c r="F76" s="331"/>
      <c r="G76" s="359"/>
      <c r="H76" s="359"/>
      <c r="I76" s="349"/>
      <c r="J76" s="359" t="str">
        <f t="shared" ca="1" si="25"/>
        <v/>
      </c>
      <c r="K76" s="359" t="str">
        <f t="shared" ca="1" si="25"/>
        <v/>
      </c>
      <c r="L76" s="359" t="str">
        <f t="shared" ca="1" si="25"/>
        <v/>
      </c>
      <c r="M76" s="329" t="str">
        <f t="shared" ca="1" si="20"/>
        <v/>
      </c>
      <c r="N76" s="231"/>
      <c r="O76" s="231"/>
      <c r="Q76" s="331"/>
      <c r="R76" s="329" t="str">
        <f ca="1">IF($R75="","",IF(INDIRECT(ADDRESS($R75+1,S$1-1,1,,"Score"))="SP",$R75+1,""))</f>
        <v/>
      </c>
      <c r="S76" s="330" t="str">
        <f t="shared" ca="1" si="26"/>
        <v/>
      </c>
      <c r="T76" s="329" t="str">
        <f t="shared" ca="1" si="26"/>
        <v/>
      </c>
      <c r="U76" s="331"/>
      <c r="V76" s="331"/>
      <c r="W76" s="359"/>
      <c r="X76" s="359"/>
      <c r="Y76" s="349"/>
      <c r="Z76" s="359" t="str">
        <f t="shared" ca="1" si="27"/>
        <v/>
      </c>
      <c r="AA76" s="359" t="str">
        <f t="shared" ca="1" si="27"/>
        <v/>
      </c>
      <c r="AB76" s="359" t="str">
        <f t="shared" ca="1" si="27"/>
        <v/>
      </c>
      <c r="AC76" s="329" t="str">
        <f t="shared" ca="1" si="23"/>
        <v/>
      </c>
      <c r="AD76" s="231"/>
      <c r="AE76" s="231"/>
    </row>
    <row r="77" spans="1:31" x14ac:dyDescent="0.25">
      <c r="A77" s="350">
        <f>A75+1</f>
        <v>38</v>
      </c>
      <c r="B77" s="351" t="str">
        <f>IF(ISNA(MATCH($A77,Score!A$4:A$41,0)),"",MATCH($A77,Score!A$4:A$41,0)+ROW(Score!A$3))</f>
        <v/>
      </c>
      <c r="C77" s="352" t="str">
        <f t="shared" ca="1" si="24"/>
        <v/>
      </c>
      <c r="D77" s="351" t="str">
        <f t="shared" ca="1" si="24"/>
        <v/>
      </c>
      <c r="E77" s="350" t="str">
        <f>IF(B77="","",SUM(D77,D78))</f>
        <v/>
      </c>
      <c r="F77" s="350" t="str">
        <f>IF(B77="","",E77-U77)</f>
        <v/>
      </c>
      <c r="G77" s="353" t="str">
        <f ca="1">IF($B77="","",IF(ISBLANK(INDIRECT(ADDRESS($B77,G$1,1,,"Score"))),"",1))</f>
        <v/>
      </c>
      <c r="H77" s="353" t="str">
        <f ca="1">IF($B77="","",IF(ISBLANK(INDIRECT(ADDRESS($B77,H$1,1,,"Score"))),"",1))</f>
        <v/>
      </c>
      <c r="I77" s="355" t="str">
        <f ca="1">IF(H77=1,F77,"")</f>
        <v/>
      </c>
      <c r="J77" s="353" t="str">
        <f t="shared" ca="1" si="25"/>
        <v/>
      </c>
      <c r="K77" s="353" t="str">
        <f t="shared" ca="1" si="25"/>
        <v/>
      </c>
      <c r="L77" s="353" t="str">
        <f t="shared" ca="1" si="25"/>
        <v/>
      </c>
      <c r="M77" s="351" t="str">
        <f t="shared" ca="1" si="20"/>
        <v/>
      </c>
      <c r="N77" s="350" t="str">
        <f ca="1">IF(ISNA(MATCH($A77,'Game Clock'!A$11:A$40,0)),"",INDIRECT(ADDRESS(MATCH($A77,'Game Clock'!A$11:A$40,0)+ROW('Game Clock'!A$10),N$1,1,,"Game Clock")))</f>
        <v/>
      </c>
      <c r="O77" s="350" t="str">
        <f ca="1">IF(OR(N77="",N77=0),"",60*E77/N77)</f>
        <v/>
      </c>
      <c r="Q77" s="350">
        <f>Q75+1</f>
        <v>38</v>
      </c>
      <c r="R77" s="351" t="str">
        <f>IF(ISNA(MATCH($Q77,Score!T$4:T$41,0)),"",MATCH($Q77,Score!T$4:T$41,0)++ROW(Score!T$3))</f>
        <v/>
      </c>
      <c r="S77" s="352" t="str">
        <f t="shared" ca="1" si="26"/>
        <v/>
      </c>
      <c r="T77" s="351" t="str">
        <f t="shared" ca="1" si="26"/>
        <v/>
      </c>
      <c r="U77" s="350" t="str">
        <f>IF(R77="","",SUM(T77,T78))</f>
        <v/>
      </c>
      <c r="V77" s="350" t="str">
        <f>IF(R77="","",U77-E77)</f>
        <v/>
      </c>
      <c r="W77" s="353" t="str">
        <f ca="1">IF($R77="","",IF(ISBLANK(INDIRECT(ADDRESS($R77,W$1,1,,"Score"))),"",1))</f>
        <v/>
      </c>
      <c r="X77" s="353" t="str">
        <f ca="1">IF($R77="","",IF(ISBLANK(INDIRECT(ADDRESS($R77,X$1,1,,"Score"))),"",1))</f>
        <v/>
      </c>
      <c r="Y77" s="355" t="str">
        <f ca="1">IF(X77=1,V77,"")</f>
        <v/>
      </c>
      <c r="Z77" s="353" t="str">
        <f t="shared" ca="1" si="27"/>
        <v/>
      </c>
      <c r="AA77" s="353" t="str">
        <f t="shared" ca="1" si="27"/>
        <v/>
      </c>
      <c r="AB77" s="353" t="str">
        <f t="shared" ca="1" si="27"/>
        <v/>
      </c>
      <c r="AC77" s="351" t="str">
        <f t="shared" ca="1" si="23"/>
        <v/>
      </c>
      <c r="AD77" s="350" t="str">
        <f ca="1">N77</f>
        <v/>
      </c>
      <c r="AE77" s="350" t="str">
        <f ca="1">IF(OR(AD77="",AD77=0),"",60*U77/AD77)</f>
        <v/>
      </c>
    </row>
    <row r="78" spans="1:31" x14ac:dyDescent="0.3">
      <c r="A78" s="350"/>
      <c r="B78" s="351" t="str">
        <f ca="1">IF($B77="","",IF(INDIRECT(ADDRESS($B77+1,C$1-1,1,,"Score"))="SP",$B77+1,""))</f>
        <v/>
      </c>
      <c r="C78" s="352" t="str">
        <f t="shared" ca="1" si="24"/>
        <v/>
      </c>
      <c r="D78" s="351" t="str">
        <f t="shared" ca="1" si="24"/>
        <v/>
      </c>
      <c r="E78" s="350"/>
      <c r="F78" s="350"/>
      <c r="G78" s="353"/>
      <c r="H78" s="354"/>
      <c r="I78" s="355"/>
      <c r="J78" s="353" t="str">
        <f t="shared" ca="1" si="25"/>
        <v/>
      </c>
      <c r="K78" s="353" t="str">
        <f t="shared" ca="1" si="25"/>
        <v/>
      </c>
      <c r="L78" s="353" t="str">
        <f t="shared" ca="1" si="25"/>
        <v/>
      </c>
      <c r="M78" s="351" t="str">
        <f t="shared" ca="1" si="20"/>
        <v/>
      </c>
      <c r="N78" s="350"/>
      <c r="O78" s="350"/>
      <c r="Q78" s="350"/>
      <c r="R78" s="351" t="str">
        <f ca="1">IF($R77="","",IF(INDIRECT(ADDRESS($R77+1,S$1-1,1,,"Score"))="SP",$R77+1,""))</f>
        <v/>
      </c>
      <c r="S78" s="352" t="str">
        <f t="shared" ca="1" si="26"/>
        <v/>
      </c>
      <c r="T78" s="351" t="str">
        <f t="shared" ca="1" si="26"/>
        <v/>
      </c>
      <c r="U78" s="350"/>
      <c r="V78" s="350"/>
      <c r="W78" s="353"/>
      <c r="X78" s="354"/>
      <c r="Y78" s="355"/>
      <c r="Z78" s="353" t="str">
        <f t="shared" ca="1" si="27"/>
        <v/>
      </c>
      <c r="AA78" s="353" t="str">
        <f t="shared" ca="1" si="27"/>
        <v/>
      </c>
      <c r="AB78" s="353" t="str">
        <f t="shared" ca="1" si="27"/>
        <v/>
      </c>
      <c r="AC78" s="351" t="str">
        <f t="shared" ca="1" si="23"/>
        <v/>
      </c>
      <c r="AD78" s="350"/>
      <c r="AE78" s="350"/>
    </row>
    <row r="79" spans="1:31" ht="12.75" customHeight="1" x14ac:dyDescent="0.25">
      <c r="A79" s="1375" t="s">
        <v>31</v>
      </c>
      <c r="B79" s="360"/>
      <c r="C79" s="360"/>
      <c r="D79" s="360"/>
      <c r="E79" s="361">
        <f ca="1">SUM(E3:E78)</f>
        <v>104</v>
      </c>
      <c r="F79" s="362"/>
      <c r="G79" s="358">
        <f ca="1">SUM(G3:G78)</f>
        <v>5</v>
      </c>
      <c r="H79" s="358">
        <f ca="1">SUM(H3:H78)</f>
        <v>9</v>
      </c>
      <c r="I79" s="348"/>
      <c r="J79" s="1376">
        <f ca="1">SUM(J3:J78)</f>
        <v>5</v>
      </c>
      <c r="K79" s="1376">
        <f ca="1">SUM(K3:K78)</f>
        <v>0</v>
      </c>
      <c r="L79" s="358">
        <f ca="1">SUM(L3,L5,L7,L9,L11,L13,L15,L17,L19,L21,L23,L25,L27,L29,L31,L33,L35,L37,L39,L41,L43,L45,L47,L49,L51,L53,L55,L57,L59,L61,L63,L65,L67,L69,L71,L73,L75,L77)</f>
        <v>6</v>
      </c>
      <c r="M79" s="360"/>
      <c r="N79" s="362" t="s">
        <v>32</v>
      </c>
      <c r="O79" s="361" t="str">
        <f ca="1">IF(COUNT(O3:O78),AVERAGE(O3:O78),"")</f>
        <v/>
      </c>
      <c r="Q79" s="1375" t="s">
        <v>31</v>
      </c>
      <c r="R79" s="360"/>
      <c r="S79" s="360"/>
      <c r="T79" s="360"/>
      <c r="U79" s="361">
        <f ca="1">SUM(U3:U78)</f>
        <v>51</v>
      </c>
      <c r="V79" s="362"/>
      <c r="W79" s="358">
        <f ca="1">SUM(W3:W78)</f>
        <v>1</v>
      </c>
      <c r="X79" s="358">
        <f ca="1">SUM(X3:X78)</f>
        <v>14</v>
      </c>
      <c r="Y79" s="348"/>
      <c r="Z79" s="1376">
        <f ca="1">SUM(Z3:Z78)</f>
        <v>14</v>
      </c>
      <c r="AA79" s="1376">
        <f ca="1">SUM(AA3:AA78)</f>
        <v>0</v>
      </c>
      <c r="AB79" s="358">
        <f ca="1">SUM(AB3,AB5,AB7,AB9,AB11,AB13,AB15,AB17,AB19,AB21,AB23,AB25,AB27,AB29,AB31,AB33,AB35,AB37,AB39,AB41,AB43,AB45,AB47,AB49,AB51,AB53,AB55,AB57,AB59,AB61, AB63, AB65, AB67, AB69, AB71,AB73,AB75,AB77)</f>
        <v>2</v>
      </c>
      <c r="AC79" s="360"/>
      <c r="AD79" s="362" t="s">
        <v>32</v>
      </c>
      <c r="AE79" s="361" t="str">
        <f ca="1">IF(COUNT(AE3:AE78),AVERAGE(AE3:AE78),"")</f>
        <v/>
      </c>
    </row>
    <row r="80" spans="1:31" x14ac:dyDescent="0.3">
      <c r="A80" s="1375"/>
      <c r="B80" s="360"/>
      <c r="C80" s="360"/>
      <c r="D80" s="360"/>
      <c r="E80" s="361"/>
      <c r="F80" s="362"/>
      <c r="G80" s="358"/>
      <c r="H80" s="363"/>
      <c r="I80" s="348"/>
      <c r="J80" s="1376"/>
      <c r="K80" s="1376"/>
      <c r="L80" s="358">
        <f ca="1">SUM(L4,L6,L8,L10,L12,L14,L16,L18,L20,L22,L24,L26,L28,L30,L32,L34,L36,L38,L40,L42,L44,L46,L48,L50,L52,L54,L56,L58,L60,L62, L64, L66, L68, L70, L72,L74,L76,L78)</f>
        <v>0</v>
      </c>
      <c r="M80" s="360"/>
      <c r="N80" s="362"/>
      <c r="O80" s="361"/>
      <c r="Q80" s="1375"/>
      <c r="R80" s="360"/>
      <c r="S80" s="360"/>
      <c r="T80" s="360"/>
      <c r="U80" s="361"/>
      <c r="V80" s="362"/>
      <c r="W80" s="358"/>
      <c r="X80" s="363"/>
      <c r="Y80" s="348"/>
      <c r="Z80" s="1376"/>
      <c r="AA80" s="1376"/>
      <c r="AB80" s="358">
        <f ca="1">SUM(AB4,AB6,AB8,AB10,AB12,AB14,AB16,AB18,AB20,AB22,AB24,AB26,AB28,AB30,AB32,AB34,AB36,AB38,AB40,AB42,AB44,AB46,AB48,AB50,AB52,AB54,AB56,AB58,AB60,AB62, AB64, AB66, AB68, AB70, AB72,AB74,AB76,AB78)</f>
        <v>0</v>
      </c>
      <c r="AC80" s="360"/>
      <c r="AD80" s="362"/>
      <c r="AE80" s="361"/>
    </row>
    <row r="86" spans="1:31" x14ac:dyDescent="0.25">
      <c r="A86" s="345" t="s">
        <v>33</v>
      </c>
      <c r="B86" s="345" t="s">
        <v>18</v>
      </c>
      <c r="C86" s="346"/>
      <c r="D86" s="346"/>
      <c r="E86" s="347"/>
      <c r="F86" s="347"/>
      <c r="G86" s="357"/>
      <c r="H86" s="357"/>
      <c r="I86" s="348"/>
      <c r="J86" s="357"/>
      <c r="K86" s="357"/>
      <c r="L86" s="357"/>
      <c r="M86" s="346"/>
      <c r="N86" s="346"/>
      <c r="O86" s="347"/>
      <c r="P86" s="329"/>
      <c r="Q86" s="345" t="s">
        <v>33</v>
      </c>
      <c r="R86" s="345" t="s">
        <v>20</v>
      </c>
      <c r="S86" s="346"/>
      <c r="T86" s="346"/>
      <c r="U86" s="347"/>
      <c r="V86" s="347"/>
      <c r="W86" s="357"/>
      <c r="X86" s="357"/>
      <c r="Y86" s="348"/>
      <c r="Z86" s="357"/>
      <c r="AA86" s="357"/>
      <c r="AB86" s="357"/>
      <c r="AC86" s="346"/>
      <c r="AD86" s="346"/>
      <c r="AE86" s="347"/>
    </row>
    <row r="87" spans="1:31" x14ac:dyDescent="0.25">
      <c r="A87" s="347" t="s">
        <v>8</v>
      </c>
      <c r="B87" s="347" t="s">
        <v>21</v>
      </c>
      <c r="C87" s="347" t="s">
        <v>177</v>
      </c>
      <c r="D87" s="347" t="s">
        <v>241</v>
      </c>
      <c r="E87" s="347" t="s">
        <v>22</v>
      </c>
      <c r="F87" s="347" t="s">
        <v>23</v>
      </c>
      <c r="G87" s="358" t="s">
        <v>24</v>
      </c>
      <c r="H87" s="358" t="s">
        <v>25</v>
      </c>
      <c r="I87" s="348" t="s">
        <v>26</v>
      </c>
      <c r="J87" s="358" t="s">
        <v>27</v>
      </c>
      <c r="K87" s="358" t="s">
        <v>28</v>
      </c>
      <c r="L87" s="358" t="s">
        <v>263</v>
      </c>
      <c r="M87" s="347" t="s">
        <v>185</v>
      </c>
      <c r="N87" s="347" t="s">
        <v>29</v>
      </c>
      <c r="O87" s="347" t="s">
        <v>30</v>
      </c>
      <c r="P87" s="329"/>
      <c r="Q87" s="347" t="s">
        <v>8</v>
      </c>
      <c r="R87" s="347" t="s">
        <v>21</v>
      </c>
      <c r="S87" s="347" t="s">
        <v>177</v>
      </c>
      <c r="T87" s="347" t="s">
        <v>241</v>
      </c>
      <c r="U87" s="347" t="s">
        <v>22</v>
      </c>
      <c r="V87" s="347" t="s">
        <v>23</v>
      </c>
      <c r="W87" s="358" t="s">
        <v>24</v>
      </c>
      <c r="X87" s="358" t="s">
        <v>25</v>
      </c>
      <c r="Y87" s="348" t="s">
        <v>26</v>
      </c>
      <c r="Z87" s="358" t="s">
        <v>27</v>
      </c>
      <c r="AA87" s="358" t="s">
        <v>28</v>
      </c>
      <c r="AB87" s="358" t="s">
        <v>263</v>
      </c>
      <c r="AC87" s="347" t="s">
        <v>185</v>
      </c>
      <c r="AD87" s="347" t="s">
        <v>29</v>
      </c>
      <c r="AE87" s="347" t="s">
        <v>30</v>
      </c>
    </row>
    <row r="88" spans="1:31" x14ac:dyDescent="0.25">
      <c r="A88" s="331">
        <v>1</v>
      </c>
      <c r="B88" s="329">
        <f>IF(ISNA(MATCH($A88,Score!A$51:A$88,0)),"",MATCH($A88,Score!A$51:A$88,0)+ROW(Score!A$50))</f>
        <v>51</v>
      </c>
      <c r="C88" s="330" t="str">
        <f t="shared" ref="C88:D107" ca="1" si="28">IF($B88="","",INDIRECT(ADDRESS($B88,C$1,1,,"Score")))</f>
        <v>911</v>
      </c>
      <c r="D88" s="329">
        <f t="shared" ca="1" si="28"/>
        <v>3</v>
      </c>
      <c r="E88" s="331">
        <f ca="1">IF(B88="","",SUM(D88,D89))</f>
        <v>3</v>
      </c>
      <c r="F88" s="331">
        <f ca="1">IF(B88="","",E88-U88)</f>
        <v>3</v>
      </c>
      <c r="G88" s="359" t="str">
        <f ca="1">IF($B88="","",IF(ISBLANK(INDIRECT(ADDRESS($B88,G$1,1,,"Score"))),"",1))</f>
        <v/>
      </c>
      <c r="H88" s="359">
        <f ca="1">IF($B88="","",IF(ISBLANK(INDIRECT(ADDRESS($B88,H$1,1,,"Score"))),"",1))</f>
        <v>1</v>
      </c>
      <c r="I88" s="349">
        <f ca="1">IF(H88=1,F88,"")</f>
        <v>3</v>
      </c>
      <c r="J88" s="359">
        <f t="shared" ref="J88:L107" ca="1" si="29">IF($B88="","",IF(ISBLANK(INDIRECT(ADDRESS($B88,J$1,1,,"Score"))),"",1))</f>
        <v>1</v>
      </c>
      <c r="K88" s="359" t="str">
        <f t="shared" ca="1" si="29"/>
        <v/>
      </c>
      <c r="L88" s="359" t="str">
        <f t="shared" ca="1" si="29"/>
        <v/>
      </c>
      <c r="M88" s="329">
        <f t="shared" ref="M88:M107" ca="1" si="30">IF($B88="","",INDIRECT(ADDRESS($B88,M$1,1,,"Score")))</f>
        <v>1</v>
      </c>
      <c r="N88" s="231">
        <f ca="1">IF(ISNA(MATCH($A88,'Game Clock'!A$62:A$91,0)),"",INDIRECT(ADDRESS(MATCH($A88,'Game Clock'!A$62:A$91,0)+ROW('Game Clock'!A$61),N$1,1,,"Game Clock")))</f>
        <v>0</v>
      </c>
      <c r="O88" s="231" t="str">
        <f ca="1">IF(OR(N88="",N88=0),"",60*E88/N88)</f>
        <v/>
      </c>
      <c r="P88" s="329"/>
      <c r="Q88" s="331">
        <v>1</v>
      </c>
      <c r="R88" s="329">
        <f>IF(ISNA(MATCH($Q88,Score!T$51:T$88,0)),"",MATCH($Q88,Score!T$51:T$88,0)+ROW(Score!T$50) )</f>
        <v>51</v>
      </c>
      <c r="S88" s="330" t="str">
        <f t="shared" ref="S88:T107" ca="1" si="31">IF($R88="","",INDIRECT(ADDRESS($R88,S$1,1,,"Score")))</f>
        <v>22</v>
      </c>
      <c r="T88" s="329">
        <f t="shared" ca="1" si="31"/>
        <v>0</v>
      </c>
      <c r="U88" s="331">
        <f ca="1">IF(R88="","",SUM(T88,T89))</f>
        <v>0</v>
      </c>
      <c r="V88" s="331">
        <f ca="1">IF(R88="","",U88-E88)</f>
        <v>-3</v>
      </c>
      <c r="W88" s="359" t="str">
        <f ca="1">IF($R88="","",IF(ISBLANK(INDIRECT(ADDRESS($R88,W$1,1,,"Score"))),"",1))</f>
        <v/>
      </c>
      <c r="X88" s="359" t="str">
        <f ca="1">IF($R88="","",IF(ISBLANK(INDIRECT(ADDRESS($R88,X$1,1,,"Score"))),"",1))</f>
        <v/>
      </c>
      <c r="Y88" s="349" t="str">
        <f ca="1">IF(X88=1,V88,"")</f>
        <v/>
      </c>
      <c r="Z88" s="359" t="str">
        <f t="shared" ref="Z88:AB107" ca="1" si="32">IF($R88="","",IF(ISBLANK(INDIRECT(ADDRESS($R88,Z$1,1,,"Score"))),"",1))</f>
        <v/>
      </c>
      <c r="AA88" s="359" t="str">
        <f t="shared" ca="1" si="32"/>
        <v/>
      </c>
      <c r="AB88" s="359" t="str">
        <f t="shared" ca="1" si="32"/>
        <v/>
      </c>
      <c r="AC88" s="329">
        <f t="shared" ref="AC88:AC107" ca="1" si="33">IF($R88="","",INDIRECT(ADDRESS($R88,AC$1,1,,"Score")))</f>
        <v>1</v>
      </c>
      <c r="AD88" s="231">
        <f ca="1">N88</f>
        <v>0</v>
      </c>
      <c r="AE88" s="231" t="str">
        <f ca="1">IF(OR(AD88="",AD88=0),"",60*U88/AD88)</f>
        <v/>
      </c>
    </row>
    <row r="89" spans="1:31" x14ac:dyDescent="0.25">
      <c r="A89" s="331"/>
      <c r="B89" s="329" t="str">
        <f ca="1">IF($B88="","",IF(INDIRECT(ADDRESS($B88+1,C$1-1,1,,"Score"))="SP",$B88+1,""))</f>
        <v/>
      </c>
      <c r="C89" s="330" t="str">
        <f t="shared" ca="1" si="28"/>
        <v/>
      </c>
      <c r="D89" s="329" t="str">
        <f t="shared" ca="1" si="28"/>
        <v/>
      </c>
      <c r="E89" s="331"/>
      <c r="F89" s="331"/>
      <c r="G89" s="359"/>
      <c r="H89" s="359"/>
      <c r="I89" s="349"/>
      <c r="J89" s="359" t="str">
        <f t="shared" ca="1" si="29"/>
        <v/>
      </c>
      <c r="K89" s="359" t="str">
        <f t="shared" ca="1" si="29"/>
        <v/>
      </c>
      <c r="L89" s="359" t="str">
        <f t="shared" ca="1" si="29"/>
        <v/>
      </c>
      <c r="M89" s="329" t="str">
        <f t="shared" ca="1" si="30"/>
        <v/>
      </c>
      <c r="N89" s="231"/>
      <c r="O89" s="231"/>
      <c r="P89" s="329"/>
      <c r="Q89" s="331"/>
      <c r="R89" s="329" t="str">
        <f ca="1">IF($R88="","",IF(INDIRECT(ADDRESS($R88+1,S$1-1,1,,"Score"))="SP",$R88+1,""))</f>
        <v/>
      </c>
      <c r="S89" s="330" t="str">
        <f t="shared" ca="1" si="31"/>
        <v/>
      </c>
      <c r="T89" s="329" t="str">
        <f t="shared" ca="1" si="31"/>
        <v/>
      </c>
      <c r="U89" s="331"/>
      <c r="V89" s="331"/>
      <c r="W89" s="359"/>
      <c r="X89" s="359"/>
      <c r="Y89" s="349"/>
      <c r="Z89" s="359" t="str">
        <f t="shared" ca="1" si="32"/>
        <v/>
      </c>
      <c r="AA89" s="359" t="str">
        <f t="shared" ca="1" si="32"/>
        <v/>
      </c>
      <c r="AB89" s="359" t="str">
        <f t="shared" ca="1" si="32"/>
        <v/>
      </c>
      <c r="AC89" s="329" t="str">
        <f t="shared" ca="1" si="33"/>
        <v/>
      </c>
      <c r="AD89" s="231"/>
      <c r="AE89" s="231"/>
    </row>
    <row r="90" spans="1:31" x14ac:dyDescent="0.25">
      <c r="A90" s="350">
        <f>A88+1</f>
        <v>2</v>
      </c>
      <c r="B90" s="351">
        <f>IF(ISNA(MATCH($A90,Score!A$51:A$88,0)),"",MATCH($A90,Score!A$51:A$88,0)+ROW(Score!A$50))</f>
        <v>52</v>
      </c>
      <c r="C90" s="352" t="str">
        <f t="shared" ca="1" si="28"/>
        <v>761</v>
      </c>
      <c r="D90" s="351">
        <f t="shared" ca="1" si="28"/>
        <v>8</v>
      </c>
      <c r="E90" s="350">
        <f ca="1">IF(B90="","",SUM(D90,D91))</f>
        <v>8</v>
      </c>
      <c r="F90" s="350">
        <f ca="1">IF(B90="","",E90-U90)</f>
        <v>8</v>
      </c>
      <c r="G90" s="353" t="str">
        <f ca="1">IF($B90="","",IF(ISBLANK(INDIRECT(ADDRESS($B90,G$1,1,,"Score"))),"",1))</f>
        <v/>
      </c>
      <c r="H90" s="353">
        <f ca="1">IF($B90="","",IF(ISBLANK(INDIRECT(ADDRESS($B90,H$1,1,,"Score"))),"",1))</f>
        <v>1</v>
      </c>
      <c r="I90" s="355">
        <f ca="1">IF(H90=1,F90,"")</f>
        <v>8</v>
      </c>
      <c r="J90" s="353">
        <f t="shared" ca="1" si="29"/>
        <v>1</v>
      </c>
      <c r="K90" s="353" t="str">
        <f t="shared" ca="1" si="29"/>
        <v/>
      </c>
      <c r="L90" s="353" t="str">
        <f t="shared" ca="1" si="29"/>
        <v/>
      </c>
      <c r="M90" s="351">
        <f t="shared" ca="1" si="30"/>
        <v>2</v>
      </c>
      <c r="N90" s="350">
        <f ca="1">IF(ISNA(MATCH($A90,'Game Clock'!A$62:A$91,0)),"",INDIRECT(ADDRESS(MATCH($A90,'Game Clock'!A$62:A$91,0)+ROW('Game Clock'!A$61),N$1,1,,"Game Clock")))</f>
        <v>0</v>
      </c>
      <c r="O90" s="350" t="str">
        <f ca="1">IF(OR(N90="",N90=0),"",60*E90/N90)</f>
        <v/>
      </c>
      <c r="P90" s="329"/>
      <c r="Q90" s="350">
        <f>Q88+1</f>
        <v>2</v>
      </c>
      <c r="R90" s="351">
        <f>IF(ISNA(MATCH($Q90,Score!T$51:T$88,0)),"",MATCH($Q90,Score!T$51:T$88,0)+ROW(Score!T$50) )</f>
        <v>52</v>
      </c>
      <c r="S90" s="352" t="str">
        <f t="shared" ca="1" si="31"/>
        <v>69</v>
      </c>
      <c r="T90" s="351">
        <f t="shared" ca="1" si="31"/>
        <v>0</v>
      </c>
      <c r="U90" s="350">
        <f ca="1">IF(R90="","",SUM(T90,T91))</f>
        <v>0</v>
      </c>
      <c r="V90" s="350">
        <f ca="1">IF(R90="","",U90-E90)</f>
        <v>-8</v>
      </c>
      <c r="W90" s="353" t="str">
        <f ca="1">IF($R90="","",IF(ISBLANK(INDIRECT(ADDRESS($R90,W$1,1,,"Score"))),"",1))</f>
        <v/>
      </c>
      <c r="X90" s="353" t="str">
        <f ca="1">IF($R90="","",IF(ISBLANK(INDIRECT(ADDRESS($R90,X$1,1,,"Score"))),"",1))</f>
        <v/>
      </c>
      <c r="Y90" s="355" t="str">
        <f ca="1">IF(X90=1,V90,"")</f>
        <v/>
      </c>
      <c r="Z90" s="353" t="str">
        <f t="shared" ca="1" si="32"/>
        <v/>
      </c>
      <c r="AA90" s="353" t="str">
        <f t="shared" ca="1" si="32"/>
        <v/>
      </c>
      <c r="AB90" s="353" t="str">
        <f t="shared" ca="1" si="32"/>
        <v/>
      </c>
      <c r="AC90" s="351">
        <f t="shared" ca="1" si="33"/>
        <v>1</v>
      </c>
      <c r="AD90" s="350">
        <f ca="1">N90</f>
        <v>0</v>
      </c>
      <c r="AE90" s="350" t="str">
        <f ca="1">IF(OR(AD90="",AD90=0),"",60*U90/AD90)</f>
        <v/>
      </c>
    </row>
    <row r="91" spans="1:31" x14ac:dyDescent="0.3">
      <c r="A91" s="350"/>
      <c r="B91" s="351" t="str">
        <f ca="1">IF($B90="","",IF(INDIRECT(ADDRESS($B90+1,C$1-1,1,,"Score"))="SP",$B90+1,""))</f>
        <v/>
      </c>
      <c r="C91" s="352" t="str">
        <f t="shared" ca="1" si="28"/>
        <v/>
      </c>
      <c r="D91" s="351" t="str">
        <f t="shared" ca="1" si="28"/>
        <v/>
      </c>
      <c r="E91" s="350"/>
      <c r="F91" s="350"/>
      <c r="G91" s="353"/>
      <c r="H91" s="354"/>
      <c r="I91" s="355"/>
      <c r="J91" s="353" t="str">
        <f t="shared" ca="1" si="29"/>
        <v/>
      </c>
      <c r="K91" s="353" t="str">
        <f t="shared" ca="1" si="29"/>
        <v/>
      </c>
      <c r="L91" s="353" t="str">
        <f t="shared" ca="1" si="29"/>
        <v/>
      </c>
      <c r="M91" s="351" t="str">
        <f t="shared" ca="1" si="30"/>
        <v/>
      </c>
      <c r="N91" s="350"/>
      <c r="O91" s="350"/>
      <c r="P91" s="329"/>
      <c r="Q91" s="350"/>
      <c r="R91" s="351" t="str">
        <f ca="1">IF($R90="","",IF(INDIRECT(ADDRESS($R90+1,S$1-1,1,,"Score"))="SP",$R90+1,""))</f>
        <v/>
      </c>
      <c r="S91" s="352" t="str">
        <f t="shared" ca="1" si="31"/>
        <v/>
      </c>
      <c r="T91" s="351" t="str">
        <f t="shared" ca="1" si="31"/>
        <v/>
      </c>
      <c r="U91" s="350"/>
      <c r="V91" s="350"/>
      <c r="W91" s="353"/>
      <c r="X91" s="354"/>
      <c r="Y91" s="355"/>
      <c r="Z91" s="353" t="str">
        <f t="shared" ca="1" si="32"/>
        <v/>
      </c>
      <c r="AA91" s="353" t="str">
        <f t="shared" ca="1" si="32"/>
        <v/>
      </c>
      <c r="AB91" s="353" t="str">
        <f t="shared" ca="1" si="32"/>
        <v/>
      </c>
      <c r="AC91" s="351" t="str">
        <f t="shared" ca="1" si="33"/>
        <v/>
      </c>
      <c r="AD91" s="350"/>
      <c r="AE91" s="350"/>
    </row>
    <row r="92" spans="1:31" x14ac:dyDescent="0.25">
      <c r="A92" s="331">
        <f>A90+1</f>
        <v>3</v>
      </c>
      <c r="B92" s="329">
        <f>IF(ISNA(MATCH($A92,Score!A$51:A$88,0)),"",MATCH($A92,Score!A$51:A$88,0)+ROW(Score!A$50))</f>
        <v>53</v>
      </c>
      <c r="C92" s="330" t="str">
        <f t="shared" ca="1" si="28"/>
        <v>1618</v>
      </c>
      <c r="D92" s="329">
        <f t="shared" ca="1" si="28"/>
        <v>0</v>
      </c>
      <c r="E92" s="331">
        <f ca="1">IF(B92="","",SUM(D92,D93))</f>
        <v>0</v>
      </c>
      <c r="F92" s="331">
        <f ca="1">IF(B92="","",E92-U92)</f>
        <v>-2</v>
      </c>
      <c r="G92" s="359" t="str">
        <f ca="1">IF($B92="","",IF(ISBLANK(INDIRECT(ADDRESS($B92,G$1,1,,"Score"))),"",1))</f>
        <v/>
      </c>
      <c r="H92" s="359" t="str">
        <f ca="1">IF($B92="","",IF(ISBLANK(INDIRECT(ADDRESS($B92,H$1,1,,"Score"))),"",1))</f>
        <v/>
      </c>
      <c r="I92" s="349" t="str">
        <f ca="1">IF(H92=1,F92,"")</f>
        <v/>
      </c>
      <c r="J92" s="359" t="str">
        <f t="shared" ca="1" si="29"/>
        <v/>
      </c>
      <c r="K92" s="359" t="str">
        <f t="shared" ca="1" si="29"/>
        <v/>
      </c>
      <c r="L92" s="359" t="str">
        <f t="shared" ca="1" si="29"/>
        <v/>
      </c>
      <c r="M92" s="329">
        <f t="shared" ca="1" si="30"/>
        <v>1</v>
      </c>
      <c r="N92" s="231">
        <f ca="1">IF(ISNA(MATCH($A92,'Game Clock'!A$62:A$91,0)),"",INDIRECT(ADDRESS(MATCH($A92,'Game Clock'!A$62:A$91,0)+ROW('Game Clock'!A$61),N$1,1,,"Game Clock")))</f>
        <v>0</v>
      </c>
      <c r="O92" s="231" t="str">
        <f ca="1">IF(OR(N92="",N92=0),"",60*E92/N92)</f>
        <v/>
      </c>
      <c r="P92" s="329"/>
      <c r="Q92" s="331">
        <f>Q90+1</f>
        <v>3</v>
      </c>
      <c r="R92" s="329">
        <f>IF(ISNA(MATCH($Q92,Score!T$51:T$88,0)),"",MATCH($Q92,Score!T$51:T$88,0)+ROW(Score!T$50) )</f>
        <v>53</v>
      </c>
      <c r="S92" s="330" t="str">
        <f t="shared" ca="1" si="31"/>
        <v>22</v>
      </c>
      <c r="T92" s="329">
        <f t="shared" ca="1" si="31"/>
        <v>2</v>
      </c>
      <c r="U92" s="331">
        <f ca="1">IF(R92="","",SUM(T92,T93))</f>
        <v>2</v>
      </c>
      <c r="V92" s="331">
        <f ca="1">IF(R92="","",U92-E92)</f>
        <v>2</v>
      </c>
      <c r="W92" s="359" t="str">
        <f ca="1">IF($R92="","",IF(ISBLANK(INDIRECT(ADDRESS($R92,W$1,1,,"Score"))),"",1))</f>
        <v/>
      </c>
      <c r="X92" s="359">
        <f ca="1">IF($R92="","",IF(ISBLANK(INDIRECT(ADDRESS($R92,X$1,1,,"Score"))),"",1))</f>
        <v>1</v>
      </c>
      <c r="Y92" s="349">
        <f ca="1">IF(X92=1,V92,"")</f>
        <v>2</v>
      </c>
      <c r="Z92" s="359">
        <f t="shared" ca="1" si="32"/>
        <v>1</v>
      </c>
      <c r="AA92" s="359" t="str">
        <f t="shared" ca="1" si="32"/>
        <v/>
      </c>
      <c r="AB92" s="359" t="str">
        <f t="shared" ca="1" si="32"/>
        <v/>
      </c>
      <c r="AC92" s="329">
        <f t="shared" ca="1" si="33"/>
        <v>1</v>
      </c>
      <c r="AD92" s="231">
        <f ca="1">N92</f>
        <v>0</v>
      </c>
      <c r="AE92" s="231" t="str">
        <f ca="1">IF(OR(AD92="",AD92=0),"",60*U92/AD92)</f>
        <v/>
      </c>
    </row>
    <row r="93" spans="1:31" x14ac:dyDescent="0.25">
      <c r="A93" s="331"/>
      <c r="B93" s="329" t="str">
        <f ca="1">IF($B92="","",IF(INDIRECT(ADDRESS($B92+1,C$1-1,1,,"Score"))="SP",$B92+1,""))</f>
        <v/>
      </c>
      <c r="C93" s="330" t="str">
        <f t="shared" ca="1" si="28"/>
        <v/>
      </c>
      <c r="D93" s="329" t="str">
        <f t="shared" ca="1" si="28"/>
        <v/>
      </c>
      <c r="E93" s="331"/>
      <c r="F93" s="331"/>
      <c r="G93" s="359"/>
      <c r="H93" s="359"/>
      <c r="I93" s="349"/>
      <c r="J93" s="359" t="str">
        <f t="shared" ca="1" si="29"/>
        <v/>
      </c>
      <c r="K93" s="359" t="str">
        <f t="shared" ca="1" si="29"/>
        <v/>
      </c>
      <c r="L93" s="359" t="str">
        <f t="shared" ca="1" si="29"/>
        <v/>
      </c>
      <c r="M93" s="329" t="str">
        <f t="shared" ca="1" si="30"/>
        <v/>
      </c>
      <c r="N93" s="231"/>
      <c r="O93" s="231"/>
      <c r="P93" s="329"/>
      <c r="Q93" s="331"/>
      <c r="R93" s="329" t="str">
        <f ca="1">IF($R92="","",IF(INDIRECT(ADDRESS($R92+1,S$1-1,1,,"Score"))="SP",$R92+1,""))</f>
        <v/>
      </c>
      <c r="S93" s="330" t="str">
        <f t="shared" ca="1" si="31"/>
        <v/>
      </c>
      <c r="T93" s="329" t="str">
        <f t="shared" ca="1" si="31"/>
        <v/>
      </c>
      <c r="U93" s="331"/>
      <c r="V93" s="331"/>
      <c r="W93" s="359"/>
      <c r="X93" s="359"/>
      <c r="Y93" s="349"/>
      <c r="Z93" s="359" t="str">
        <f t="shared" ca="1" si="32"/>
        <v/>
      </c>
      <c r="AA93" s="359" t="str">
        <f t="shared" ca="1" si="32"/>
        <v/>
      </c>
      <c r="AB93" s="359" t="str">
        <f t="shared" ca="1" si="32"/>
        <v/>
      </c>
      <c r="AC93" s="329" t="str">
        <f t="shared" ca="1" si="33"/>
        <v/>
      </c>
      <c r="AD93" s="231"/>
      <c r="AE93" s="231"/>
    </row>
    <row r="94" spans="1:31" x14ac:dyDescent="0.25">
      <c r="A94" s="350">
        <f>A92+1</f>
        <v>4</v>
      </c>
      <c r="B94" s="351">
        <f>IF(ISNA(MATCH($A94,Score!A$51:A$88,0)),"",MATCH($A94,Score!A$51:A$88,0)+ROW(Score!A$50))</f>
        <v>54</v>
      </c>
      <c r="C94" s="352" t="str">
        <f t="shared" ca="1" si="28"/>
        <v>23</v>
      </c>
      <c r="D94" s="351">
        <f t="shared" ca="1" si="28"/>
        <v>0</v>
      </c>
      <c r="E94" s="350">
        <f ca="1">IF(B94="","",SUM(D94,D95))</f>
        <v>0</v>
      </c>
      <c r="F94" s="350">
        <f ca="1">IF(B94="","",E94-U94)</f>
        <v>0</v>
      </c>
      <c r="G94" s="353" t="str">
        <f ca="1">IF($B94="","",IF(ISBLANK(INDIRECT(ADDRESS($B94,G$1,1,,"Score"))),"",1))</f>
        <v/>
      </c>
      <c r="H94" s="353">
        <f ca="1">IF($B94="","",IF(ISBLANK(INDIRECT(ADDRESS($B94,H$1,1,,"Score"))),"",1))</f>
        <v>1</v>
      </c>
      <c r="I94" s="355">
        <f ca="1">IF(H94=1,F94,"")</f>
        <v>0</v>
      </c>
      <c r="J94" s="353">
        <f t="shared" ca="1" si="29"/>
        <v>1</v>
      </c>
      <c r="K94" s="353" t="str">
        <f t="shared" ca="1" si="29"/>
        <v/>
      </c>
      <c r="L94" s="353" t="str">
        <f t="shared" ca="1" si="29"/>
        <v/>
      </c>
      <c r="M94" s="351">
        <f t="shared" ca="1" si="30"/>
        <v>1</v>
      </c>
      <c r="N94" s="350">
        <f ca="1">IF(ISNA(MATCH($A94,'Game Clock'!A$62:A$91,0)),"",INDIRECT(ADDRESS(MATCH($A94,'Game Clock'!A$62:A$91,0)+ROW('Game Clock'!A$61),N$1,1,,"Game Clock")))</f>
        <v>0</v>
      </c>
      <c r="O94" s="350" t="str">
        <f ca="1">IF(OR(N94="",N94=0),"",60*E94/N94)</f>
        <v/>
      </c>
      <c r="P94" s="329"/>
      <c r="Q94" s="350">
        <f>Q92+1</f>
        <v>4</v>
      </c>
      <c r="R94" s="351">
        <f>IF(ISNA(MATCH($Q94,Score!T$51:T$88,0)),"",MATCH($Q94,Score!T$51:T$88,0)+ROW(Score!T$50) )</f>
        <v>54</v>
      </c>
      <c r="S94" s="352" t="str">
        <f t="shared" ca="1" si="31"/>
        <v>69</v>
      </c>
      <c r="T94" s="351">
        <f t="shared" ca="1" si="31"/>
        <v>0</v>
      </c>
      <c r="U94" s="350">
        <f ca="1">IF(R94="","",SUM(T94,T95))</f>
        <v>0</v>
      </c>
      <c r="V94" s="350">
        <f ca="1">IF(R94="","",U94-E94)</f>
        <v>0</v>
      </c>
      <c r="W94" s="353" t="str">
        <f ca="1">IF($R94="","",IF(ISBLANK(INDIRECT(ADDRESS($R94,W$1,1,,"Score"))),"",1))</f>
        <v/>
      </c>
      <c r="X94" s="353" t="str">
        <f ca="1">IF($R94="","",IF(ISBLANK(INDIRECT(ADDRESS($R94,X$1,1,,"Score"))),"",1))</f>
        <v/>
      </c>
      <c r="Y94" s="355" t="str">
        <f ca="1">IF(X94=1,V94,"")</f>
        <v/>
      </c>
      <c r="Z94" s="353" t="str">
        <f t="shared" ca="1" si="32"/>
        <v/>
      </c>
      <c r="AA94" s="353" t="str">
        <f t="shared" ca="1" si="32"/>
        <v/>
      </c>
      <c r="AB94" s="353" t="str">
        <f t="shared" ca="1" si="32"/>
        <v/>
      </c>
      <c r="AC94" s="351">
        <f t="shared" ca="1" si="33"/>
        <v>1</v>
      </c>
      <c r="AD94" s="350">
        <f ca="1">N94</f>
        <v>0</v>
      </c>
      <c r="AE94" s="350" t="str">
        <f ca="1">IF(OR(AD94="",AD94=0),"",60*U94/AD94)</f>
        <v/>
      </c>
    </row>
    <row r="95" spans="1:31" x14ac:dyDescent="0.3">
      <c r="A95" s="350"/>
      <c r="B95" s="351" t="str">
        <f ca="1">IF($B94="","",IF(INDIRECT(ADDRESS($B94+1,C$1-1,1,,"Score"))="SP",$B94+1,""))</f>
        <v/>
      </c>
      <c r="C95" s="352" t="str">
        <f t="shared" ca="1" si="28"/>
        <v/>
      </c>
      <c r="D95" s="351" t="str">
        <f t="shared" ca="1" si="28"/>
        <v/>
      </c>
      <c r="E95" s="350"/>
      <c r="F95" s="350"/>
      <c r="G95" s="353"/>
      <c r="H95" s="354"/>
      <c r="I95" s="355"/>
      <c r="J95" s="353" t="str">
        <f t="shared" ca="1" si="29"/>
        <v/>
      </c>
      <c r="K95" s="353" t="str">
        <f t="shared" ca="1" si="29"/>
        <v/>
      </c>
      <c r="L95" s="353" t="str">
        <f t="shared" ca="1" si="29"/>
        <v/>
      </c>
      <c r="M95" s="351" t="str">
        <f t="shared" ca="1" si="30"/>
        <v/>
      </c>
      <c r="N95" s="350"/>
      <c r="O95" s="350"/>
      <c r="P95" s="329"/>
      <c r="Q95" s="350"/>
      <c r="R95" s="351" t="str">
        <f ca="1">IF($R94="","",IF(INDIRECT(ADDRESS($R94+1,S$1-1,1,,"Score"))="SP",$R94+1,""))</f>
        <v/>
      </c>
      <c r="S95" s="352" t="str">
        <f t="shared" ca="1" si="31"/>
        <v/>
      </c>
      <c r="T95" s="351" t="str">
        <f t="shared" ca="1" si="31"/>
        <v/>
      </c>
      <c r="U95" s="350"/>
      <c r="V95" s="350"/>
      <c r="W95" s="353"/>
      <c r="X95" s="354"/>
      <c r="Y95" s="355"/>
      <c r="Z95" s="353" t="str">
        <f t="shared" ca="1" si="32"/>
        <v/>
      </c>
      <c r="AA95" s="353" t="str">
        <f t="shared" ca="1" si="32"/>
        <v/>
      </c>
      <c r="AB95" s="353" t="str">
        <f t="shared" ca="1" si="32"/>
        <v/>
      </c>
      <c r="AC95" s="351" t="str">
        <f t="shared" ca="1" si="33"/>
        <v/>
      </c>
      <c r="AD95" s="350"/>
      <c r="AE95" s="350"/>
    </row>
    <row r="96" spans="1:31" x14ac:dyDescent="0.25">
      <c r="A96" s="331">
        <f>A94+1</f>
        <v>5</v>
      </c>
      <c r="B96" s="329">
        <f>IF(ISNA(MATCH($A96,Score!A$51:A$88,0)),"",MATCH($A96,Score!A$51:A$88,0)+ROW(Score!A$50))</f>
        <v>55</v>
      </c>
      <c r="C96" s="330" t="str">
        <f t="shared" ca="1" si="28"/>
        <v>911</v>
      </c>
      <c r="D96" s="329">
        <f t="shared" ca="1" si="28"/>
        <v>4</v>
      </c>
      <c r="E96" s="331">
        <f ca="1">IF(B96="","",SUM(D96,D97))</f>
        <v>4</v>
      </c>
      <c r="F96" s="331">
        <f ca="1">IF(B96="","",E96-U96)</f>
        <v>4</v>
      </c>
      <c r="G96" s="359" t="str">
        <f ca="1">IF($B96="","",IF(ISBLANK(INDIRECT(ADDRESS($B96,G$1,1,,"Score"))),"",1))</f>
        <v/>
      </c>
      <c r="H96" s="359">
        <f ca="1">IF($B96="","",IF(ISBLANK(INDIRECT(ADDRESS($B96,H$1,1,,"Score"))),"",1))</f>
        <v>1</v>
      </c>
      <c r="I96" s="349">
        <f ca="1">IF(H96=1,F96,"")</f>
        <v>4</v>
      </c>
      <c r="J96" s="359">
        <f t="shared" ca="1" si="29"/>
        <v>1</v>
      </c>
      <c r="K96" s="359" t="str">
        <f t="shared" ca="1" si="29"/>
        <v/>
      </c>
      <c r="L96" s="359" t="str">
        <f t="shared" ca="1" si="29"/>
        <v/>
      </c>
      <c r="M96" s="329">
        <f t="shared" ca="1" si="30"/>
        <v>1</v>
      </c>
      <c r="N96" s="231">
        <f ca="1">IF(ISNA(MATCH($A96,'Game Clock'!A$62:A$91,0)),"",INDIRECT(ADDRESS(MATCH($A96,'Game Clock'!A$62:A$91,0)+ROW('Game Clock'!A$61),N$1,1,,"Game Clock")))</f>
        <v>0</v>
      </c>
      <c r="O96" s="231" t="str">
        <f ca="1">IF(OR(N96="",N96=0),"",60*E96/N96)</f>
        <v/>
      </c>
      <c r="P96" s="329"/>
      <c r="Q96" s="331">
        <f>Q94+1</f>
        <v>5</v>
      </c>
      <c r="R96" s="329">
        <f>IF(ISNA(MATCH($Q96,Score!T$51:T$88,0)),"",MATCH($Q96,Score!T$51:T$88,0)+ROW(Score!T$50) )</f>
        <v>55</v>
      </c>
      <c r="S96" s="330" t="str">
        <f t="shared" ca="1" si="31"/>
        <v>22</v>
      </c>
      <c r="T96" s="329">
        <f t="shared" ca="1" si="31"/>
        <v>0</v>
      </c>
      <c r="U96" s="331">
        <f ca="1">IF(R96="","",SUM(T96,T97))</f>
        <v>0</v>
      </c>
      <c r="V96" s="331">
        <f ca="1">IF(R96="","",U96-E96)</f>
        <v>-4</v>
      </c>
      <c r="W96" s="359" t="str">
        <f ca="1">IF($R96="","",IF(ISBLANK(INDIRECT(ADDRESS($R96,W$1,1,,"Score"))),"",1))</f>
        <v/>
      </c>
      <c r="X96" s="359" t="str">
        <f ca="1">IF($R96="","",IF(ISBLANK(INDIRECT(ADDRESS($R96,X$1,1,,"Score"))),"",1))</f>
        <v/>
      </c>
      <c r="Y96" s="349" t="str">
        <f ca="1">IF(X96=1,V96,"")</f>
        <v/>
      </c>
      <c r="Z96" s="359" t="str">
        <f t="shared" ca="1" si="32"/>
        <v/>
      </c>
      <c r="AA96" s="359" t="str">
        <f t="shared" ca="1" si="32"/>
        <v/>
      </c>
      <c r="AB96" s="359" t="str">
        <f t="shared" ca="1" si="32"/>
        <v/>
      </c>
      <c r="AC96" s="329">
        <f t="shared" ca="1" si="33"/>
        <v>1</v>
      </c>
      <c r="AD96" s="231">
        <f ca="1">N96</f>
        <v>0</v>
      </c>
      <c r="AE96" s="231" t="str">
        <f ca="1">IF(OR(AD96="",AD96=0),"",60*U96/AD96)</f>
        <v/>
      </c>
    </row>
    <row r="97" spans="1:31" x14ac:dyDescent="0.25">
      <c r="A97" s="331"/>
      <c r="B97" s="329" t="str">
        <f ca="1">IF($B96="","",IF(INDIRECT(ADDRESS($B96+1,C$1-1,1,,"Score"))="SP",$B96+1,""))</f>
        <v/>
      </c>
      <c r="C97" s="330" t="str">
        <f t="shared" ca="1" si="28"/>
        <v/>
      </c>
      <c r="D97" s="329" t="str">
        <f t="shared" ca="1" si="28"/>
        <v/>
      </c>
      <c r="E97" s="331"/>
      <c r="F97" s="331"/>
      <c r="G97" s="359"/>
      <c r="H97" s="359"/>
      <c r="I97" s="349"/>
      <c r="J97" s="359" t="str">
        <f t="shared" ca="1" si="29"/>
        <v/>
      </c>
      <c r="K97" s="359" t="str">
        <f t="shared" ca="1" si="29"/>
        <v/>
      </c>
      <c r="L97" s="359" t="str">
        <f t="shared" ca="1" si="29"/>
        <v/>
      </c>
      <c r="M97" s="329" t="str">
        <f t="shared" ca="1" si="30"/>
        <v/>
      </c>
      <c r="N97" s="231"/>
      <c r="O97" s="231"/>
      <c r="P97" s="329"/>
      <c r="Q97" s="331"/>
      <c r="R97" s="329" t="str">
        <f ca="1">IF($R96="","",IF(INDIRECT(ADDRESS($R96+1,S$1-1,1,,"Score"))="SP",$R96+1,""))</f>
        <v/>
      </c>
      <c r="S97" s="330" t="str">
        <f t="shared" ca="1" si="31"/>
        <v/>
      </c>
      <c r="T97" s="329" t="str">
        <f t="shared" ca="1" si="31"/>
        <v/>
      </c>
      <c r="U97" s="331"/>
      <c r="V97" s="331"/>
      <c r="W97" s="359"/>
      <c r="X97" s="359"/>
      <c r="Y97" s="349"/>
      <c r="Z97" s="359" t="str">
        <f t="shared" ca="1" si="32"/>
        <v/>
      </c>
      <c r="AA97" s="359" t="str">
        <f t="shared" ca="1" si="32"/>
        <v/>
      </c>
      <c r="AB97" s="359" t="str">
        <f t="shared" ca="1" si="32"/>
        <v/>
      </c>
      <c r="AC97" s="329" t="str">
        <f t="shared" ca="1" si="33"/>
        <v/>
      </c>
      <c r="AD97" s="231"/>
      <c r="AE97" s="231"/>
    </row>
    <row r="98" spans="1:31" x14ac:dyDescent="0.25">
      <c r="A98" s="350">
        <f>A96+1</f>
        <v>6</v>
      </c>
      <c r="B98" s="351">
        <f>IF(ISNA(MATCH($A98,Score!A$51:A$88,0)),"",MATCH($A98,Score!A$51:A$88,0)+ROW(Score!A$50))</f>
        <v>56</v>
      </c>
      <c r="C98" s="352" t="str">
        <f t="shared" ca="1" si="28"/>
        <v>761</v>
      </c>
      <c r="D98" s="351">
        <f t="shared" ca="1" si="28"/>
        <v>1</v>
      </c>
      <c r="E98" s="350">
        <f ca="1">IF(B98="","",SUM(D98,D99))</f>
        <v>1</v>
      </c>
      <c r="F98" s="350">
        <f ca="1">IF(B98="","",E98-U98)</f>
        <v>1</v>
      </c>
      <c r="G98" s="353" t="str">
        <f ca="1">IF($B98="","",IF(ISBLANK(INDIRECT(ADDRESS($B98,G$1,1,,"Score"))),"",1))</f>
        <v/>
      </c>
      <c r="H98" s="353">
        <f ca="1">IF($B98="","",IF(ISBLANK(INDIRECT(ADDRESS($B98,H$1,1,,"Score"))),"",1))</f>
        <v>1</v>
      </c>
      <c r="I98" s="355">
        <f ca="1">IF(H98=1,F98,"")</f>
        <v>1</v>
      </c>
      <c r="J98" s="353">
        <f t="shared" ca="1" si="29"/>
        <v>1</v>
      </c>
      <c r="K98" s="353" t="str">
        <f t="shared" ca="1" si="29"/>
        <v/>
      </c>
      <c r="L98" s="353" t="str">
        <f t="shared" ca="1" si="29"/>
        <v/>
      </c>
      <c r="M98" s="351">
        <f t="shared" ca="1" si="30"/>
        <v>1</v>
      </c>
      <c r="N98" s="350">
        <f ca="1">IF(ISNA(MATCH($A98,'Game Clock'!A$62:A$91,0)),"",INDIRECT(ADDRESS(MATCH($A98,'Game Clock'!A$62:A$91,0)+ROW('Game Clock'!A$61),N$1,1,,"Game Clock")))</f>
        <v>0</v>
      </c>
      <c r="O98" s="350" t="str">
        <f ca="1">IF(OR(N98="",N98=0),"",60*E98/N98)</f>
        <v/>
      </c>
      <c r="P98" s="329"/>
      <c r="Q98" s="350">
        <f>Q96+1</f>
        <v>6</v>
      </c>
      <c r="R98" s="351">
        <f>IF(ISNA(MATCH($Q98,Score!T$51:T$88,0)),"",MATCH($Q98,Score!T$51:T$88,0)+ROW(Score!T$50) )</f>
        <v>56</v>
      </c>
      <c r="S98" s="352" t="str">
        <f t="shared" ca="1" si="31"/>
        <v>69</v>
      </c>
      <c r="T98" s="351">
        <f t="shared" ca="1" si="31"/>
        <v>0</v>
      </c>
      <c r="U98" s="350">
        <f ca="1">IF(R98="","",SUM(T98,T99))</f>
        <v>0</v>
      </c>
      <c r="V98" s="350">
        <f ca="1">IF(R98="","",U98-E98)</f>
        <v>-1</v>
      </c>
      <c r="W98" s="353" t="str">
        <f ca="1">IF($R98="","",IF(ISBLANK(INDIRECT(ADDRESS($R98,W$1,1,,"Score"))),"",1))</f>
        <v/>
      </c>
      <c r="X98" s="353" t="str">
        <f ca="1">IF($R98="","",IF(ISBLANK(INDIRECT(ADDRESS($R98,X$1,1,,"Score"))),"",1))</f>
        <v/>
      </c>
      <c r="Y98" s="355" t="str">
        <f ca="1">IF(X98=1,V98,"")</f>
        <v/>
      </c>
      <c r="Z98" s="353" t="str">
        <f t="shared" ca="1" si="32"/>
        <v/>
      </c>
      <c r="AA98" s="353" t="str">
        <f t="shared" ca="1" si="32"/>
        <v/>
      </c>
      <c r="AB98" s="353" t="str">
        <f t="shared" ca="1" si="32"/>
        <v/>
      </c>
      <c r="AC98" s="351">
        <f t="shared" ca="1" si="33"/>
        <v>1</v>
      </c>
      <c r="AD98" s="350">
        <f ca="1">N98</f>
        <v>0</v>
      </c>
      <c r="AE98" s="350" t="str">
        <f ca="1">IF(OR(AD98="",AD98=0),"",60*U98/AD98)</f>
        <v/>
      </c>
    </row>
    <row r="99" spans="1:31" x14ac:dyDescent="0.3">
      <c r="A99" s="350"/>
      <c r="B99" s="351" t="str">
        <f ca="1">IF($B98="","",IF(INDIRECT(ADDRESS($B98+1,C$1-1,1,,"Score"))="SP",$B98+1,""))</f>
        <v/>
      </c>
      <c r="C99" s="352" t="str">
        <f t="shared" ca="1" si="28"/>
        <v/>
      </c>
      <c r="D99" s="351" t="str">
        <f t="shared" ca="1" si="28"/>
        <v/>
      </c>
      <c r="E99" s="350"/>
      <c r="F99" s="350"/>
      <c r="G99" s="353"/>
      <c r="H99" s="354"/>
      <c r="I99" s="355"/>
      <c r="J99" s="353" t="str">
        <f t="shared" ca="1" si="29"/>
        <v/>
      </c>
      <c r="K99" s="353" t="str">
        <f t="shared" ca="1" si="29"/>
        <v/>
      </c>
      <c r="L99" s="353" t="str">
        <f t="shared" ca="1" si="29"/>
        <v/>
      </c>
      <c r="M99" s="351" t="str">
        <f t="shared" ca="1" si="30"/>
        <v/>
      </c>
      <c r="N99" s="350"/>
      <c r="O99" s="350"/>
      <c r="P99" s="329"/>
      <c r="Q99" s="350"/>
      <c r="R99" s="351" t="str">
        <f ca="1">IF($R98="","",IF(INDIRECT(ADDRESS($R98+1,S$1-1,1,,"Score"))="SP",$R98+1,""))</f>
        <v/>
      </c>
      <c r="S99" s="352" t="str">
        <f t="shared" ca="1" si="31"/>
        <v/>
      </c>
      <c r="T99" s="351" t="str">
        <f t="shared" ca="1" si="31"/>
        <v/>
      </c>
      <c r="U99" s="350"/>
      <c r="V99" s="350"/>
      <c r="W99" s="353"/>
      <c r="X99" s="354"/>
      <c r="Y99" s="355"/>
      <c r="Z99" s="353" t="str">
        <f t="shared" ca="1" si="32"/>
        <v/>
      </c>
      <c r="AA99" s="353" t="str">
        <f t="shared" ca="1" si="32"/>
        <v/>
      </c>
      <c r="AB99" s="353" t="str">
        <f t="shared" ca="1" si="32"/>
        <v/>
      </c>
      <c r="AC99" s="351" t="str">
        <f t="shared" ca="1" si="33"/>
        <v/>
      </c>
      <c r="AD99" s="350"/>
      <c r="AE99" s="350"/>
    </row>
    <row r="100" spans="1:31" x14ac:dyDescent="0.25">
      <c r="A100" s="331">
        <f>A98+1</f>
        <v>7</v>
      </c>
      <c r="B100" s="329">
        <f>IF(ISNA(MATCH($A100,Score!A$51:A$88,0)),"",MATCH($A100,Score!A$51:A$88,0)+ROW(Score!A$50))</f>
        <v>57</v>
      </c>
      <c r="C100" s="330" t="str">
        <f t="shared" ca="1" si="28"/>
        <v>23</v>
      </c>
      <c r="D100" s="329">
        <f t="shared" ca="1" si="28"/>
        <v>0</v>
      </c>
      <c r="E100" s="331">
        <f ca="1">IF(B100="","",SUM(D100,D101))</f>
        <v>0</v>
      </c>
      <c r="F100" s="331">
        <f ca="1">IF(B100="","",E100-U100)</f>
        <v>-2</v>
      </c>
      <c r="G100" s="359" t="str">
        <f ca="1">IF($B100="","",IF(ISBLANK(INDIRECT(ADDRESS($B100,G$1,1,,"Score"))),"",1))</f>
        <v/>
      </c>
      <c r="H100" s="359" t="str">
        <f ca="1">IF($B100="","",IF(ISBLANK(INDIRECT(ADDRESS($B100,H$1,1,,"Score"))),"",1))</f>
        <v/>
      </c>
      <c r="I100" s="349" t="str">
        <f ca="1">IF(H100=1,F100,"")</f>
        <v/>
      </c>
      <c r="J100" s="359" t="str">
        <f t="shared" ca="1" si="29"/>
        <v/>
      </c>
      <c r="K100" s="359" t="str">
        <f t="shared" ca="1" si="29"/>
        <v/>
      </c>
      <c r="L100" s="359" t="str">
        <f t="shared" ca="1" si="29"/>
        <v/>
      </c>
      <c r="M100" s="329">
        <f t="shared" ca="1" si="30"/>
        <v>1</v>
      </c>
      <c r="N100" s="231">
        <f ca="1">IF(ISNA(MATCH($A100,'Game Clock'!A$62:A$91,0)),"",INDIRECT(ADDRESS(MATCH($A100,'Game Clock'!A$62:A$91,0)+ROW('Game Clock'!A$61),N$1,1,,"Game Clock")))</f>
        <v>0</v>
      </c>
      <c r="O100" s="231" t="str">
        <f ca="1">IF(OR(N100="",N100=0),"",60*E100/N100)</f>
        <v/>
      </c>
      <c r="P100" s="329"/>
      <c r="Q100" s="331">
        <f>Q98+1</f>
        <v>7</v>
      </c>
      <c r="R100" s="329">
        <f>IF(ISNA(MATCH($Q100,Score!T$51:T$88,0)),"",MATCH($Q100,Score!T$51:T$88,0)+ROW(Score!T$50) )</f>
        <v>57</v>
      </c>
      <c r="S100" s="330" t="str">
        <f t="shared" ca="1" si="31"/>
        <v>22</v>
      </c>
      <c r="T100" s="329">
        <f t="shared" ca="1" si="31"/>
        <v>2</v>
      </c>
      <c r="U100" s="331">
        <f ca="1">IF(R100="","",SUM(T100,T101))</f>
        <v>2</v>
      </c>
      <c r="V100" s="331">
        <f ca="1">IF(R100="","",U100-E100)</f>
        <v>2</v>
      </c>
      <c r="W100" s="359" t="str">
        <f ca="1">IF($R100="","",IF(ISBLANK(INDIRECT(ADDRESS($R100,W$1,1,,"Score"))),"",1))</f>
        <v/>
      </c>
      <c r="X100" s="359">
        <f ca="1">IF($R100="","",IF(ISBLANK(INDIRECT(ADDRESS($R100,X$1,1,,"Score"))),"",1))</f>
        <v>1</v>
      </c>
      <c r="Y100" s="349">
        <f ca="1">IF(X100=1,V100,"")</f>
        <v>2</v>
      </c>
      <c r="Z100" s="359" t="str">
        <f t="shared" ca="1" si="32"/>
        <v/>
      </c>
      <c r="AA100" s="359" t="str">
        <f t="shared" ca="1" si="32"/>
        <v/>
      </c>
      <c r="AB100" s="359" t="str">
        <f t="shared" ca="1" si="32"/>
        <v/>
      </c>
      <c r="AC100" s="329">
        <f t="shared" ca="1" si="33"/>
        <v>1</v>
      </c>
      <c r="AD100" s="231">
        <f ca="1">N100</f>
        <v>0</v>
      </c>
      <c r="AE100" s="231" t="str">
        <f ca="1">IF(OR(AD100="",AD100=0),"",60*U100/AD100)</f>
        <v/>
      </c>
    </row>
    <row r="101" spans="1:31" x14ac:dyDescent="0.25">
      <c r="A101" s="331"/>
      <c r="B101" s="329" t="str">
        <f ca="1">IF($B100="","",IF(INDIRECT(ADDRESS($B100+1,C$1-1,1,,"Score"))="SP",$B100+1,""))</f>
        <v/>
      </c>
      <c r="C101" s="330" t="str">
        <f t="shared" ca="1" si="28"/>
        <v/>
      </c>
      <c r="D101" s="329" t="str">
        <f t="shared" ca="1" si="28"/>
        <v/>
      </c>
      <c r="E101" s="331"/>
      <c r="F101" s="331"/>
      <c r="G101" s="359"/>
      <c r="H101" s="359"/>
      <c r="I101" s="349"/>
      <c r="J101" s="359" t="str">
        <f t="shared" ca="1" si="29"/>
        <v/>
      </c>
      <c r="K101" s="359" t="str">
        <f t="shared" ca="1" si="29"/>
        <v/>
      </c>
      <c r="L101" s="359" t="str">
        <f t="shared" ca="1" si="29"/>
        <v/>
      </c>
      <c r="M101" s="329" t="str">
        <f t="shared" ca="1" si="30"/>
        <v/>
      </c>
      <c r="N101" s="231"/>
      <c r="O101" s="231"/>
      <c r="P101" s="329"/>
      <c r="Q101" s="331"/>
      <c r="R101" s="329" t="str">
        <f ca="1">IF($R100="","",IF(INDIRECT(ADDRESS($R100+1,S$1-1,1,,"Score"))="SP",$R100+1,""))</f>
        <v/>
      </c>
      <c r="S101" s="330" t="str">
        <f t="shared" ca="1" si="31"/>
        <v/>
      </c>
      <c r="T101" s="329" t="str">
        <f t="shared" ca="1" si="31"/>
        <v/>
      </c>
      <c r="U101" s="331"/>
      <c r="V101" s="331"/>
      <c r="W101" s="359"/>
      <c r="X101" s="359"/>
      <c r="Y101" s="349"/>
      <c r="Z101" s="359" t="str">
        <f t="shared" ca="1" si="32"/>
        <v/>
      </c>
      <c r="AA101" s="359" t="str">
        <f t="shared" ca="1" si="32"/>
        <v/>
      </c>
      <c r="AB101" s="359" t="str">
        <f t="shared" ca="1" si="32"/>
        <v/>
      </c>
      <c r="AC101" s="329" t="str">
        <f t="shared" ca="1" si="33"/>
        <v/>
      </c>
      <c r="AD101" s="231"/>
      <c r="AE101" s="231"/>
    </row>
    <row r="102" spans="1:31" x14ac:dyDescent="0.25">
      <c r="A102" s="350">
        <f>A100+1</f>
        <v>8</v>
      </c>
      <c r="B102" s="351">
        <f>IF(ISNA(MATCH($A102,Score!A$51:A$88,0)),"",MATCH($A102,Score!A$51:A$88,0)+ROW(Score!A$50))</f>
        <v>58</v>
      </c>
      <c r="C102" s="352" t="str">
        <f t="shared" ca="1" si="28"/>
        <v>1618</v>
      </c>
      <c r="D102" s="351">
        <f t="shared" ca="1" si="28"/>
        <v>25</v>
      </c>
      <c r="E102" s="350">
        <f ca="1">IF(B102="","",SUM(D102,D103))</f>
        <v>25</v>
      </c>
      <c r="F102" s="350">
        <f ca="1">IF(B102="","",E102-U102)</f>
        <v>25</v>
      </c>
      <c r="G102" s="353" t="str">
        <f ca="1">IF($B102="","",IF(ISBLANK(INDIRECT(ADDRESS($B102,G$1,1,,"Score"))),"",1))</f>
        <v/>
      </c>
      <c r="H102" s="353">
        <f ca="1">IF($B102="","",IF(ISBLANK(INDIRECT(ADDRESS($B102,H$1,1,,"Score"))),"",1))</f>
        <v>1</v>
      </c>
      <c r="I102" s="355">
        <f ca="1">IF(H102=1,F102,"")</f>
        <v>25</v>
      </c>
      <c r="J102" s="353">
        <f t="shared" ca="1" si="29"/>
        <v>1</v>
      </c>
      <c r="K102" s="353" t="str">
        <f t="shared" ca="1" si="29"/>
        <v/>
      </c>
      <c r="L102" s="353" t="str">
        <f t="shared" ca="1" si="29"/>
        <v/>
      </c>
      <c r="M102" s="351">
        <f t="shared" ca="1" si="30"/>
        <v>5</v>
      </c>
      <c r="N102" s="350">
        <f ca="1">IF(ISNA(MATCH($A102,'Game Clock'!A$62:A$91,0)),"",INDIRECT(ADDRESS(MATCH($A102,'Game Clock'!A$62:A$91,0)+ROW('Game Clock'!A$61),N$1,1,,"Game Clock")))</f>
        <v>0</v>
      </c>
      <c r="O102" s="350" t="str">
        <f ca="1">IF(OR(N102="",N102=0),"",60*E102/N102)</f>
        <v/>
      </c>
      <c r="P102" s="329"/>
      <c r="Q102" s="350">
        <f>Q100+1</f>
        <v>8</v>
      </c>
      <c r="R102" s="351">
        <f>IF(ISNA(MATCH($Q102,Score!T$51:T$88,0)),"",MATCH($Q102,Score!T$51:T$88,0)+ROW(Score!T$50) )</f>
        <v>58</v>
      </c>
      <c r="S102" s="352" t="str">
        <f t="shared" ca="1" si="31"/>
        <v>69</v>
      </c>
      <c r="T102" s="351">
        <f t="shared" ca="1" si="31"/>
        <v>0</v>
      </c>
      <c r="U102" s="350">
        <f ca="1">IF(R102="","",SUM(T102,T103))</f>
        <v>0</v>
      </c>
      <c r="V102" s="350">
        <f ca="1">IF(R102="","",U102-E102)</f>
        <v>-25</v>
      </c>
      <c r="W102" s="353" t="str">
        <f ca="1">IF($R102="","",IF(ISBLANK(INDIRECT(ADDRESS($R102,W$1,1,,"Score"))),"",1))</f>
        <v/>
      </c>
      <c r="X102" s="353" t="str">
        <f ca="1">IF($R102="","",IF(ISBLANK(INDIRECT(ADDRESS($R102,X$1,1,,"Score"))),"",1))</f>
        <v/>
      </c>
      <c r="Y102" s="355" t="str">
        <f ca="1">IF(X102=1,V102,"")</f>
        <v/>
      </c>
      <c r="Z102" s="353" t="str">
        <f t="shared" ca="1" si="32"/>
        <v/>
      </c>
      <c r="AA102" s="353" t="str">
        <f t="shared" ca="1" si="32"/>
        <v/>
      </c>
      <c r="AB102" s="353">
        <f t="shared" ca="1" si="32"/>
        <v>1</v>
      </c>
      <c r="AC102" s="351">
        <f t="shared" ca="1" si="33"/>
        <v>0</v>
      </c>
      <c r="AD102" s="350">
        <f ca="1">N102</f>
        <v>0</v>
      </c>
      <c r="AE102" s="350" t="str">
        <f ca="1">IF(OR(AD102="",AD102=0),"",60*U102/AD102)</f>
        <v/>
      </c>
    </row>
    <row r="103" spans="1:31" x14ac:dyDescent="0.3">
      <c r="A103" s="350"/>
      <c r="B103" s="351" t="str">
        <f ca="1">IF($B102="","",IF(INDIRECT(ADDRESS($B102+1,C$1-1,1,,"Score"))="SP",$B102+1,""))</f>
        <v/>
      </c>
      <c r="C103" s="352" t="str">
        <f t="shared" ca="1" si="28"/>
        <v/>
      </c>
      <c r="D103" s="351" t="str">
        <f t="shared" ca="1" si="28"/>
        <v/>
      </c>
      <c r="E103" s="350"/>
      <c r="F103" s="350"/>
      <c r="G103" s="353"/>
      <c r="H103" s="354"/>
      <c r="I103" s="355"/>
      <c r="J103" s="353" t="str">
        <f t="shared" ca="1" si="29"/>
        <v/>
      </c>
      <c r="K103" s="353" t="str">
        <f t="shared" ca="1" si="29"/>
        <v/>
      </c>
      <c r="L103" s="353" t="str">
        <f t="shared" ca="1" si="29"/>
        <v/>
      </c>
      <c r="M103" s="351" t="str">
        <f t="shared" ca="1" si="30"/>
        <v/>
      </c>
      <c r="N103" s="350"/>
      <c r="O103" s="350"/>
      <c r="P103" s="329"/>
      <c r="Q103" s="350"/>
      <c r="R103" s="351" t="str">
        <f ca="1">IF($R102="","",IF(INDIRECT(ADDRESS($R102+1,S$1-1,1,,"Score"))="SP",$R102+1,""))</f>
        <v/>
      </c>
      <c r="S103" s="352" t="str">
        <f t="shared" ca="1" si="31"/>
        <v/>
      </c>
      <c r="T103" s="351" t="str">
        <f t="shared" ca="1" si="31"/>
        <v/>
      </c>
      <c r="U103" s="350"/>
      <c r="V103" s="350"/>
      <c r="W103" s="353"/>
      <c r="X103" s="354"/>
      <c r="Y103" s="355"/>
      <c r="Z103" s="353" t="str">
        <f t="shared" ca="1" si="32"/>
        <v/>
      </c>
      <c r="AA103" s="353" t="str">
        <f t="shared" ca="1" si="32"/>
        <v/>
      </c>
      <c r="AB103" s="353" t="str">
        <f t="shared" ca="1" si="32"/>
        <v/>
      </c>
      <c r="AC103" s="351" t="str">
        <f t="shared" ca="1" si="33"/>
        <v/>
      </c>
      <c r="AD103" s="350"/>
      <c r="AE103" s="350"/>
    </row>
    <row r="104" spans="1:31" x14ac:dyDescent="0.25">
      <c r="A104" s="331">
        <f>A102+1</f>
        <v>9</v>
      </c>
      <c r="B104" s="329">
        <f>IF(ISNA(MATCH($A104,Score!A$51:A$88,0)),"",MATCH($A104,Score!A$51:A$88,0)+ROW(Score!A$50))</f>
        <v>59</v>
      </c>
      <c r="C104" s="330" t="str">
        <f t="shared" ca="1" si="28"/>
        <v>911</v>
      </c>
      <c r="D104" s="329">
        <f t="shared" ca="1" si="28"/>
        <v>28</v>
      </c>
      <c r="E104" s="331">
        <f ca="1">IF(B104="","",SUM(D104,D105))</f>
        <v>28</v>
      </c>
      <c r="F104" s="331">
        <f ca="1">IF(B104="","",E104-U104)</f>
        <v>28</v>
      </c>
      <c r="G104" s="359" t="str">
        <f ca="1">IF($B104="","",IF(ISBLANK(INDIRECT(ADDRESS($B104,G$1,1,,"Score"))),"",1))</f>
        <v/>
      </c>
      <c r="H104" s="359">
        <f ca="1">IF($B104="","",IF(ISBLANK(INDIRECT(ADDRESS($B104,H$1,1,,"Score"))),"",1))</f>
        <v>1</v>
      </c>
      <c r="I104" s="349">
        <f ca="1">IF(H104=1,F104,"")</f>
        <v>28</v>
      </c>
      <c r="J104" s="359">
        <f t="shared" ca="1" si="29"/>
        <v>1</v>
      </c>
      <c r="K104" s="359" t="str">
        <f t="shared" ca="1" si="29"/>
        <v/>
      </c>
      <c r="L104" s="359" t="str">
        <f t="shared" ca="1" si="29"/>
        <v/>
      </c>
      <c r="M104" s="329">
        <f t="shared" ca="1" si="30"/>
        <v>6</v>
      </c>
      <c r="N104" s="231">
        <f ca="1">IF(ISNA(MATCH($A104,'Game Clock'!A$62:A$91,0)),"",INDIRECT(ADDRESS(MATCH($A104,'Game Clock'!A$62:A$91,0)+ROW('Game Clock'!A$61),N$1,1,,"Game Clock")))</f>
        <v>0</v>
      </c>
      <c r="O104" s="231" t="str">
        <f ca="1">IF(OR(N104="",N104=0),"",60*E104/N104)</f>
        <v/>
      </c>
      <c r="P104" s="329"/>
      <c r="Q104" s="331">
        <f>Q102+1</f>
        <v>9</v>
      </c>
      <c r="R104" s="329">
        <f>IF(ISNA(MATCH($Q104,Score!T$51:T$88,0)),"",MATCH($Q104,Score!T$51:T$88,0)+ROW(Score!T$50) )</f>
        <v>59</v>
      </c>
      <c r="S104" s="330" t="str">
        <f t="shared" ca="1" si="31"/>
        <v>69</v>
      </c>
      <c r="T104" s="329">
        <f t="shared" ca="1" si="31"/>
        <v>0</v>
      </c>
      <c r="U104" s="331">
        <f ca="1">IF(R104="","",SUM(T104,T105))</f>
        <v>0</v>
      </c>
      <c r="V104" s="331">
        <f ca="1">IF(R104="","",U104-E104)</f>
        <v>-28</v>
      </c>
      <c r="W104" s="359" t="str">
        <f ca="1">IF($R104="","",IF(ISBLANK(INDIRECT(ADDRESS($R104,W$1,1,,"Score"))),"",1))</f>
        <v/>
      </c>
      <c r="X104" s="359" t="str">
        <f ca="1">IF($R104="","",IF(ISBLANK(INDIRECT(ADDRESS($R104,X$1,1,,"Score"))),"",1))</f>
        <v/>
      </c>
      <c r="Y104" s="349" t="str">
        <f ca="1">IF(X104=1,V104,"")</f>
        <v/>
      </c>
      <c r="Z104" s="359" t="str">
        <f t="shared" ca="1" si="32"/>
        <v/>
      </c>
      <c r="AA104" s="359" t="str">
        <f t="shared" ca="1" si="32"/>
        <v/>
      </c>
      <c r="AB104" s="359">
        <f t="shared" ca="1" si="32"/>
        <v>1</v>
      </c>
      <c r="AC104" s="329">
        <f t="shared" ca="1" si="33"/>
        <v>0</v>
      </c>
      <c r="AD104" s="231">
        <f ca="1">N104</f>
        <v>0</v>
      </c>
      <c r="AE104" s="231" t="str">
        <f ca="1">IF(OR(AD104="",AD104=0),"",60*U104/AD104)</f>
        <v/>
      </c>
    </row>
    <row r="105" spans="1:31" x14ac:dyDescent="0.25">
      <c r="A105" s="331"/>
      <c r="B105" s="329" t="str">
        <f ca="1">IF($B104="","",IF(INDIRECT(ADDRESS($B104+1,C$1-1,1,,"Score"))="SP",$B104+1,""))</f>
        <v/>
      </c>
      <c r="C105" s="330" t="str">
        <f t="shared" ca="1" si="28"/>
        <v/>
      </c>
      <c r="D105" s="329" t="str">
        <f t="shared" ca="1" si="28"/>
        <v/>
      </c>
      <c r="E105" s="331"/>
      <c r="F105" s="331"/>
      <c r="G105" s="359"/>
      <c r="H105" s="359"/>
      <c r="I105" s="349"/>
      <c r="J105" s="359" t="str">
        <f t="shared" ca="1" si="29"/>
        <v/>
      </c>
      <c r="K105" s="359" t="str">
        <f t="shared" ca="1" si="29"/>
        <v/>
      </c>
      <c r="L105" s="359" t="str">
        <f t="shared" ca="1" si="29"/>
        <v/>
      </c>
      <c r="M105" s="329" t="str">
        <f t="shared" ca="1" si="30"/>
        <v/>
      </c>
      <c r="N105" s="231"/>
      <c r="O105" s="231"/>
      <c r="P105" s="329"/>
      <c r="Q105" s="331"/>
      <c r="R105" s="329" t="str">
        <f ca="1">IF($R104="","",IF(INDIRECT(ADDRESS($R104+1,S$1-1,1,,"Score"))="SP",$R104+1,""))</f>
        <v/>
      </c>
      <c r="S105" s="330" t="str">
        <f t="shared" ca="1" si="31"/>
        <v/>
      </c>
      <c r="T105" s="329" t="str">
        <f t="shared" ca="1" si="31"/>
        <v/>
      </c>
      <c r="U105" s="331"/>
      <c r="V105" s="331"/>
      <c r="W105" s="359"/>
      <c r="X105" s="359"/>
      <c r="Y105" s="349"/>
      <c r="Z105" s="359" t="str">
        <f t="shared" ca="1" si="32"/>
        <v/>
      </c>
      <c r="AA105" s="359" t="str">
        <f t="shared" ca="1" si="32"/>
        <v/>
      </c>
      <c r="AB105" s="359" t="str">
        <f t="shared" ca="1" si="32"/>
        <v/>
      </c>
      <c r="AC105" s="329" t="str">
        <f t="shared" ca="1" si="33"/>
        <v/>
      </c>
      <c r="AD105" s="231"/>
      <c r="AE105" s="231"/>
    </row>
    <row r="106" spans="1:31" x14ac:dyDescent="0.25">
      <c r="A106" s="350">
        <f>A104+1</f>
        <v>10</v>
      </c>
      <c r="B106" s="351">
        <f>IF(ISNA(MATCH($A106,Score!A$51:A$88,0)),"",MATCH($A106,Score!A$51:A$88,0)+ROW(Score!A$50))</f>
        <v>60</v>
      </c>
      <c r="C106" s="352" t="str">
        <f t="shared" ca="1" si="28"/>
        <v>23</v>
      </c>
      <c r="D106" s="351">
        <f t="shared" ca="1" si="28"/>
        <v>0</v>
      </c>
      <c r="E106" s="350">
        <f ca="1">IF(B106="","",SUM(D106,D107))</f>
        <v>0</v>
      </c>
      <c r="F106" s="350">
        <f ca="1">IF(B106="","",E106-U106)</f>
        <v>0</v>
      </c>
      <c r="G106" s="353" t="str">
        <f ca="1">IF($B106="","",IF(ISBLANK(INDIRECT(ADDRESS($B106,G$1,1,,"Score"))),"",1))</f>
        <v/>
      </c>
      <c r="H106" s="353">
        <f ca="1">IF($B106="","",IF(ISBLANK(INDIRECT(ADDRESS($B106,H$1,1,,"Score"))),"",1))</f>
        <v>1</v>
      </c>
      <c r="I106" s="355">
        <f ca="1">IF(H106=1,F106,"")</f>
        <v>0</v>
      </c>
      <c r="J106" s="353">
        <f t="shared" ca="1" si="29"/>
        <v>1</v>
      </c>
      <c r="K106" s="353" t="str">
        <f t="shared" ca="1" si="29"/>
        <v/>
      </c>
      <c r="L106" s="353" t="str">
        <f t="shared" ca="1" si="29"/>
        <v/>
      </c>
      <c r="M106" s="351">
        <f t="shared" ca="1" si="30"/>
        <v>1</v>
      </c>
      <c r="N106" s="350">
        <f ca="1">IF(ISNA(MATCH($A106,'Game Clock'!A$62:A$91,0)),"",INDIRECT(ADDRESS(MATCH($A106,'Game Clock'!A$62:A$91,0)+ROW('Game Clock'!A$61),N$1,1,,"Game Clock")))</f>
        <v>0</v>
      </c>
      <c r="O106" s="350" t="str">
        <f ca="1">IF(OR(N106="",N106=0),"",60*E106/N106)</f>
        <v/>
      </c>
      <c r="P106" s="329"/>
      <c r="Q106" s="350">
        <f>Q104+1</f>
        <v>10</v>
      </c>
      <c r="R106" s="351">
        <f>IF(ISNA(MATCH($Q106,Score!T$51:T$88,0)),"",MATCH($Q106,Score!T$51:T$88,0)+ROW(Score!T$50) )</f>
        <v>60</v>
      </c>
      <c r="S106" s="352" t="str">
        <f t="shared" ca="1" si="31"/>
        <v>22</v>
      </c>
      <c r="T106" s="351">
        <f t="shared" ca="1" si="31"/>
        <v>0</v>
      </c>
      <c r="U106" s="350">
        <f ca="1">IF(R106="","",SUM(T106,T107))</f>
        <v>0</v>
      </c>
      <c r="V106" s="350">
        <f ca="1">IF(R106="","",U106-E106)</f>
        <v>0</v>
      </c>
      <c r="W106" s="353" t="str">
        <f ca="1">IF($R106="","",IF(ISBLANK(INDIRECT(ADDRESS($R106,W$1,1,,"Score"))),"",1))</f>
        <v/>
      </c>
      <c r="X106" s="353" t="str">
        <f ca="1">IF($R106="","",IF(ISBLANK(INDIRECT(ADDRESS($R106,X$1,1,,"Score"))),"",1))</f>
        <v/>
      </c>
      <c r="Y106" s="355" t="str">
        <f ca="1">IF(X106=1,V106,"")</f>
        <v/>
      </c>
      <c r="Z106" s="353" t="str">
        <f t="shared" ca="1" si="32"/>
        <v/>
      </c>
      <c r="AA106" s="353" t="str">
        <f t="shared" ca="1" si="32"/>
        <v/>
      </c>
      <c r="AB106" s="353" t="str">
        <f t="shared" ca="1" si="32"/>
        <v/>
      </c>
      <c r="AC106" s="351">
        <f t="shared" ca="1" si="33"/>
        <v>1</v>
      </c>
      <c r="AD106" s="350">
        <f ca="1">N106</f>
        <v>0</v>
      </c>
      <c r="AE106" s="350" t="str">
        <f ca="1">IF(OR(AD106="",AD106=0),"",60*U106/AD106)</f>
        <v/>
      </c>
    </row>
    <row r="107" spans="1:31" x14ac:dyDescent="0.3">
      <c r="A107" s="350"/>
      <c r="B107" s="351" t="str">
        <f ca="1">IF($B106="","",IF(INDIRECT(ADDRESS($B106+1,C$1-1,1,,"Score"))="SP",$B106+1,""))</f>
        <v/>
      </c>
      <c r="C107" s="352" t="str">
        <f t="shared" ca="1" si="28"/>
        <v/>
      </c>
      <c r="D107" s="351" t="str">
        <f t="shared" ca="1" si="28"/>
        <v/>
      </c>
      <c r="E107" s="350"/>
      <c r="F107" s="350"/>
      <c r="G107" s="353"/>
      <c r="H107" s="354"/>
      <c r="I107" s="355"/>
      <c r="J107" s="353" t="str">
        <f t="shared" ca="1" si="29"/>
        <v/>
      </c>
      <c r="K107" s="353" t="str">
        <f t="shared" ca="1" si="29"/>
        <v/>
      </c>
      <c r="L107" s="353" t="str">
        <f t="shared" ca="1" si="29"/>
        <v/>
      </c>
      <c r="M107" s="351" t="str">
        <f t="shared" ca="1" si="30"/>
        <v/>
      </c>
      <c r="N107" s="350"/>
      <c r="O107" s="350"/>
      <c r="P107" s="329"/>
      <c r="Q107" s="350"/>
      <c r="R107" s="351" t="str">
        <f ca="1">IF($R106="","",IF(INDIRECT(ADDRESS($R106+1,S$1-1,1,,"Score"))="SP",$R106+1,""))</f>
        <v/>
      </c>
      <c r="S107" s="352" t="str">
        <f t="shared" ca="1" si="31"/>
        <v/>
      </c>
      <c r="T107" s="351" t="str">
        <f t="shared" ca="1" si="31"/>
        <v/>
      </c>
      <c r="U107" s="350"/>
      <c r="V107" s="350"/>
      <c r="W107" s="353"/>
      <c r="X107" s="354"/>
      <c r="Y107" s="355"/>
      <c r="Z107" s="353" t="str">
        <f t="shared" ca="1" si="32"/>
        <v/>
      </c>
      <c r="AA107" s="353" t="str">
        <f t="shared" ca="1" si="32"/>
        <v/>
      </c>
      <c r="AB107" s="353" t="str">
        <f t="shared" ca="1" si="32"/>
        <v/>
      </c>
      <c r="AC107" s="351" t="str">
        <f t="shared" ca="1" si="33"/>
        <v/>
      </c>
      <c r="AD107" s="350"/>
      <c r="AE107" s="350"/>
    </row>
    <row r="108" spans="1:31" x14ac:dyDescent="0.25">
      <c r="A108" s="331">
        <f>A106+1</f>
        <v>11</v>
      </c>
      <c r="B108" s="329">
        <f>IF(ISNA(MATCH($A108,Score!A$51:A$88,0)),"",MATCH($A108,Score!A$51:A$88,0)+ROW(Score!A$50))</f>
        <v>61</v>
      </c>
      <c r="C108" s="330" t="str">
        <f t="shared" ref="C108:D127" ca="1" si="34">IF($B108="","",INDIRECT(ADDRESS($B108,C$1,1,,"Score")))</f>
        <v>761</v>
      </c>
      <c r="D108" s="329">
        <f t="shared" ca="1" si="34"/>
        <v>25</v>
      </c>
      <c r="E108" s="331">
        <f ca="1">IF(B108="","",SUM(D108,D109))</f>
        <v>25</v>
      </c>
      <c r="F108" s="331">
        <f ca="1">IF(B108="","",E108-U108)</f>
        <v>25</v>
      </c>
      <c r="G108" s="359" t="str">
        <f ca="1">IF($B108="","",IF(ISBLANK(INDIRECT(ADDRESS($B108,G$1,1,,"Score"))),"",1))</f>
        <v/>
      </c>
      <c r="H108" s="359" t="str">
        <f ca="1">IF($B108="","",IF(ISBLANK(INDIRECT(ADDRESS($B108,H$1,1,,"Score"))),"",1))</f>
        <v/>
      </c>
      <c r="I108" s="349" t="str">
        <f ca="1">IF(H108=1,F108,"")</f>
        <v/>
      </c>
      <c r="J108" s="359" t="str">
        <f t="shared" ref="J108:L127" ca="1" si="35">IF($B108="","",IF(ISBLANK(INDIRECT(ADDRESS($B108,J$1,1,,"Score"))),"",1))</f>
        <v/>
      </c>
      <c r="K108" s="359" t="str">
        <f t="shared" ca="1" si="35"/>
        <v/>
      </c>
      <c r="L108" s="359" t="str">
        <f t="shared" ca="1" si="35"/>
        <v/>
      </c>
      <c r="M108" s="329">
        <f t="shared" ref="M108:M127" ca="1" si="36">IF($B108="","",INDIRECT(ADDRESS($B108,M$1,1,,"Score")))</f>
        <v>6</v>
      </c>
      <c r="N108" s="231">
        <f ca="1">IF(ISNA(MATCH($A108,'Game Clock'!A$62:A$91,0)),"",INDIRECT(ADDRESS(MATCH($A108,'Game Clock'!A$62:A$91,0)+ROW('Game Clock'!A$61),N$1,1,,"Game Clock")))</f>
        <v>0</v>
      </c>
      <c r="O108" s="231" t="str">
        <f ca="1">IF(OR(N108="",N108=0),"",60*E108/N108)</f>
        <v/>
      </c>
      <c r="P108" s="329"/>
      <c r="Q108" s="331">
        <f>Q106+1</f>
        <v>11</v>
      </c>
      <c r="R108" s="329">
        <f>IF(ISNA(MATCH($Q108,Score!T$51:T$88,0)),"",MATCH($Q108,Score!T$51:T$88,0)+ROW(Score!T$50) )</f>
        <v>61</v>
      </c>
      <c r="S108" s="330" t="str">
        <f t="shared" ref="S108:T127" ca="1" si="37">IF($R108="","",INDIRECT(ADDRESS($R108,S$1,1,,"Score")))</f>
        <v>51</v>
      </c>
      <c r="T108" s="329">
        <f t="shared" ca="1" si="37"/>
        <v>0</v>
      </c>
      <c r="U108" s="331">
        <f ca="1">IF(R108="","",SUM(T108,T109))</f>
        <v>0</v>
      </c>
      <c r="V108" s="331">
        <f ca="1">IF(R108="","",U108-E108)</f>
        <v>-25</v>
      </c>
      <c r="W108" s="359">
        <f ca="1">IF($R108="","",IF(ISBLANK(INDIRECT(ADDRESS($R108,W$1,1,,"Score"))),"",1))</f>
        <v>1</v>
      </c>
      <c r="X108" s="359">
        <f ca="1">IF($R108="","",IF(ISBLANK(INDIRECT(ADDRESS($R108,X$1,1,,"Score"))),"",1))</f>
        <v>1</v>
      </c>
      <c r="Y108" s="349">
        <f ca="1">IF(X108=1,V108,"")</f>
        <v>-25</v>
      </c>
      <c r="Z108" s="359" t="str">
        <f t="shared" ref="Z108:AB127" ca="1" si="38">IF($R108="","",IF(ISBLANK(INDIRECT(ADDRESS($R108,Z$1,1,,"Score"))),"",1))</f>
        <v/>
      </c>
      <c r="AA108" s="359" t="str">
        <f t="shared" ca="1" si="38"/>
        <v/>
      </c>
      <c r="AB108" s="359">
        <f t="shared" ca="1" si="38"/>
        <v>1</v>
      </c>
      <c r="AC108" s="329">
        <f t="shared" ref="AC108:AC127" ca="1" si="39">IF($R108="","",INDIRECT(ADDRESS($R108,AC$1,1,,"Score")))</f>
        <v>0</v>
      </c>
      <c r="AD108" s="231">
        <f ca="1">N108</f>
        <v>0</v>
      </c>
      <c r="AE108" s="231" t="str">
        <f ca="1">IF(OR(AD108="",AD108=0),"",60*U108/AD108)</f>
        <v/>
      </c>
    </row>
    <row r="109" spans="1:31" x14ac:dyDescent="0.25">
      <c r="A109" s="331"/>
      <c r="B109" s="329" t="str">
        <f ca="1">IF($B108="","",IF(INDIRECT(ADDRESS($B108+1,C$1-1,1,,"Score"))="SP",$B108+1,""))</f>
        <v/>
      </c>
      <c r="C109" s="330" t="str">
        <f t="shared" ca="1" si="34"/>
        <v/>
      </c>
      <c r="D109" s="329" t="str">
        <f t="shared" ca="1" si="34"/>
        <v/>
      </c>
      <c r="E109" s="331"/>
      <c r="F109" s="331"/>
      <c r="G109" s="359"/>
      <c r="H109" s="359"/>
      <c r="I109" s="349"/>
      <c r="J109" s="359" t="str">
        <f t="shared" ca="1" si="35"/>
        <v/>
      </c>
      <c r="K109" s="359" t="str">
        <f t="shared" ca="1" si="35"/>
        <v/>
      </c>
      <c r="L109" s="359" t="str">
        <f t="shared" ca="1" si="35"/>
        <v/>
      </c>
      <c r="M109" s="329" t="str">
        <f t="shared" ca="1" si="36"/>
        <v/>
      </c>
      <c r="N109" s="231"/>
      <c r="O109" s="231"/>
      <c r="P109" s="329"/>
      <c r="Q109" s="331"/>
      <c r="R109" s="329" t="str">
        <f ca="1">IF($R108="","",IF(INDIRECT(ADDRESS($R108+1,S$1-1,1,,"Score"))="SP",$R108+1,""))</f>
        <v/>
      </c>
      <c r="S109" s="330" t="str">
        <f t="shared" ca="1" si="37"/>
        <v/>
      </c>
      <c r="T109" s="329" t="str">
        <f t="shared" ca="1" si="37"/>
        <v/>
      </c>
      <c r="U109" s="331"/>
      <c r="V109" s="331"/>
      <c r="W109" s="359"/>
      <c r="X109" s="359"/>
      <c r="Y109" s="349"/>
      <c r="Z109" s="359" t="str">
        <f t="shared" ca="1" si="38"/>
        <v/>
      </c>
      <c r="AA109" s="359" t="str">
        <f t="shared" ca="1" si="38"/>
        <v/>
      </c>
      <c r="AB109" s="359" t="str">
        <f t="shared" ca="1" si="38"/>
        <v/>
      </c>
      <c r="AC109" s="329" t="str">
        <f t="shared" ca="1" si="39"/>
        <v/>
      </c>
      <c r="AD109" s="231"/>
      <c r="AE109" s="231"/>
    </row>
    <row r="110" spans="1:31" x14ac:dyDescent="0.25">
      <c r="A110" s="350">
        <f>A108+1</f>
        <v>12</v>
      </c>
      <c r="B110" s="351">
        <f>IF(ISNA(MATCH($A110,Score!A$51:A$88,0)),"",MATCH($A110,Score!A$51:A$88,0)+ROW(Score!A$50))</f>
        <v>62</v>
      </c>
      <c r="C110" s="352" t="str">
        <f t="shared" ca="1" si="34"/>
        <v>911</v>
      </c>
      <c r="D110" s="351">
        <f t="shared" ca="1" si="34"/>
        <v>2</v>
      </c>
      <c r="E110" s="350">
        <f ca="1">IF(B110="","",SUM(D110,D111))</f>
        <v>2</v>
      </c>
      <c r="F110" s="350">
        <f ca="1">IF(B110="","",E110-U110)</f>
        <v>2</v>
      </c>
      <c r="G110" s="353" t="str">
        <f ca="1">IF($B110="","",IF(ISBLANK(INDIRECT(ADDRESS($B110,G$1,1,,"Score"))),"",1))</f>
        <v/>
      </c>
      <c r="H110" s="353">
        <f ca="1">IF($B110="","",IF(ISBLANK(INDIRECT(ADDRESS($B110,H$1,1,,"Score"))),"",1))</f>
        <v>1</v>
      </c>
      <c r="I110" s="355">
        <f ca="1">IF(H110=1,F110,"")</f>
        <v>2</v>
      </c>
      <c r="J110" s="353">
        <f t="shared" ca="1" si="35"/>
        <v>1</v>
      </c>
      <c r="K110" s="353" t="str">
        <f t="shared" ca="1" si="35"/>
        <v/>
      </c>
      <c r="L110" s="353" t="str">
        <f t="shared" ca="1" si="35"/>
        <v/>
      </c>
      <c r="M110" s="351">
        <f t="shared" ca="1" si="36"/>
        <v>1</v>
      </c>
      <c r="N110" s="350">
        <f ca="1">IF(ISNA(MATCH($A110,'Game Clock'!A$62:A$91,0)),"",INDIRECT(ADDRESS(MATCH($A110,'Game Clock'!A$62:A$91,0)+ROW('Game Clock'!A$61),N$1,1,,"Game Clock")))</f>
        <v>0</v>
      </c>
      <c r="O110" s="350" t="str">
        <f ca="1">IF(OR(N110="",N110=0),"",60*E110/N110)</f>
        <v/>
      </c>
      <c r="P110" s="329"/>
      <c r="Q110" s="350">
        <f>Q108+1</f>
        <v>12</v>
      </c>
      <c r="R110" s="351">
        <f>IF(ISNA(MATCH($Q110,Score!T$51:T$88,0)),"",MATCH($Q110,Score!T$51:T$88,0)+ROW(Score!T$50) )</f>
        <v>62</v>
      </c>
      <c r="S110" s="352" t="str">
        <f t="shared" ca="1" si="37"/>
        <v>22</v>
      </c>
      <c r="T110" s="351">
        <f t="shared" ca="1" si="37"/>
        <v>0</v>
      </c>
      <c r="U110" s="350">
        <f ca="1">IF(R110="","",SUM(T110,T111))</f>
        <v>0</v>
      </c>
      <c r="V110" s="350">
        <f ca="1">IF(R110="","",U110-E110)</f>
        <v>-2</v>
      </c>
      <c r="W110" s="353" t="str">
        <f ca="1">IF($R110="","",IF(ISBLANK(INDIRECT(ADDRESS($R110,W$1,1,,"Score"))),"",1))</f>
        <v/>
      </c>
      <c r="X110" s="353" t="str">
        <f ca="1">IF($R110="","",IF(ISBLANK(INDIRECT(ADDRESS($R110,X$1,1,,"Score"))),"",1))</f>
        <v/>
      </c>
      <c r="Y110" s="355" t="str">
        <f ca="1">IF(X110=1,V110,"")</f>
        <v/>
      </c>
      <c r="Z110" s="353" t="str">
        <f t="shared" ca="1" si="38"/>
        <v/>
      </c>
      <c r="AA110" s="353" t="str">
        <f t="shared" ca="1" si="38"/>
        <v/>
      </c>
      <c r="AB110" s="353" t="str">
        <f t="shared" ca="1" si="38"/>
        <v/>
      </c>
      <c r="AC110" s="351">
        <f t="shared" ca="1" si="39"/>
        <v>1</v>
      </c>
      <c r="AD110" s="350">
        <f ca="1">N110</f>
        <v>0</v>
      </c>
      <c r="AE110" s="350" t="str">
        <f ca="1">IF(OR(AD110="",AD110=0),"",60*U110/AD110)</f>
        <v/>
      </c>
    </row>
    <row r="111" spans="1:31" x14ac:dyDescent="0.3">
      <c r="A111" s="350"/>
      <c r="B111" s="351" t="str">
        <f ca="1">IF($B110="","",IF(INDIRECT(ADDRESS($B110+1,C$1-1,1,,"Score"))="SP",$B110+1,""))</f>
        <v/>
      </c>
      <c r="C111" s="352" t="str">
        <f t="shared" ca="1" si="34"/>
        <v/>
      </c>
      <c r="D111" s="351" t="str">
        <f t="shared" ca="1" si="34"/>
        <v/>
      </c>
      <c r="E111" s="350"/>
      <c r="F111" s="350"/>
      <c r="G111" s="353"/>
      <c r="H111" s="354"/>
      <c r="I111" s="355"/>
      <c r="J111" s="353" t="str">
        <f t="shared" ca="1" si="35"/>
        <v/>
      </c>
      <c r="K111" s="353" t="str">
        <f t="shared" ca="1" si="35"/>
        <v/>
      </c>
      <c r="L111" s="353" t="str">
        <f t="shared" ca="1" si="35"/>
        <v/>
      </c>
      <c r="M111" s="351" t="str">
        <f t="shared" ca="1" si="36"/>
        <v/>
      </c>
      <c r="N111" s="350"/>
      <c r="O111" s="350"/>
      <c r="P111" s="329"/>
      <c r="Q111" s="350"/>
      <c r="R111" s="351" t="str">
        <f ca="1">IF($R110="","",IF(INDIRECT(ADDRESS($R110+1,S$1-1,1,,"Score"))="SP",$R110+1,""))</f>
        <v/>
      </c>
      <c r="S111" s="352" t="str">
        <f t="shared" ca="1" si="37"/>
        <v/>
      </c>
      <c r="T111" s="351" t="str">
        <f t="shared" ca="1" si="37"/>
        <v/>
      </c>
      <c r="U111" s="350"/>
      <c r="V111" s="350"/>
      <c r="W111" s="353"/>
      <c r="X111" s="354"/>
      <c r="Y111" s="355"/>
      <c r="Z111" s="353" t="str">
        <f t="shared" ca="1" si="38"/>
        <v/>
      </c>
      <c r="AA111" s="353" t="str">
        <f t="shared" ca="1" si="38"/>
        <v/>
      </c>
      <c r="AB111" s="353" t="str">
        <f t="shared" ca="1" si="38"/>
        <v/>
      </c>
      <c r="AC111" s="351" t="str">
        <f t="shared" ca="1" si="39"/>
        <v/>
      </c>
      <c r="AD111" s="350"/>
      <c r="AE111" s="350"/>
    </row>
    <row r="112" spans="1:31" x14ac:dyDescent="0.25">
      <c r="A112" s="331">
        <f>A110+1</f>
        <v>13</v>
      </c>
      <c r="B112" s="329">
        <f>IF(ISNA(MATCH($A112,Score!A$51:A$88,0)),"",MATCH($A112,Score!A$51:A$88,0)+ROW(Score!A$50))</f>
        <v>63</v>
      </c>
      <c r="C112" s="330" t="str">
        <f t="shared" ca="1" si="34"/>
        <v>1618</v>
      </c>
      <c r="D112" s="329">
        <f t="shared" ca="1" si="34"/>
        <v>0</v>
      </c>
      <c r="E112" s="331">
        <f ca="1">IF(B112="","",SUM(D112,D113))</f>
        <v>0</v>
      </c>
      <c r="F112" s="331">
        <f ca="1">IF(B112="","",E112-U112)</f>
        <v>0</v>
      </c>
      <c r="G112" s="359">
        <f ca="1">IF($B112="","",IF(ISBLANK(INDIRECT(ADDRESS($B112,G$1,1,,"Score"))),"",1))</f>
        <v>1</v>
      </c>
      <c r="H112" s="359" t="str">
        <f ca="1">IF($B112="","",IF(ISBLANK(INDIRECT(ADDRESS($B112,H$1,1,,"Score"))),"",1))</f>
        <v/>
      </c>
      <c r="I112" s="349" t="str">
        <f ca="1">IF(H112=1,F112,"")</f>
        <v/>
      </c>
      <c r="J112" s="359" t="str">
        <f t="shared" ca="1" si="35"/>
        <v/>
      </c>
      <c r="K112" s="359" t="str">
        <f t="shared" ca="1" si="35"/>
        <v/>
      </c>
      <c r="L112" s="359" t="str">
        <f t="shared" ca="1" si="35"/>
        <v/>
      </c>
      <c r="M112" s="329">
        <f t="shared" ca="1" si="36"/>
        <v>1</v>
      </c>
      <c r="N112" s="231">
        <f ca="1">IF(ISNA(MATCH($A112,'Game Clock'!A$62:A$91,0)),"",INDIRECT(ADDRESS(MATCH($A112,'Game Clock'!A$62:A$91,0)+ROW('Game Clock'!A$61),N$1,1,,"Game Clock")))</f>
        <v>0</v>
      </c>
      <c r="O112" s="231" t="str">
        <f ca="1">IF(OR(N112="",N112=0),"",60*E112/N112)</f>
        <v/>
      </c>
      <c r="P112" s="329"/>
      <c r="Q112" s="331">
        <f>Q110+1</f>
        <v>13</v>
      </c>
      <c r="R112" s="329">
        <f>IF(ISNA(MATCH($Q112,Score!T$51:T$88,0)),"",MATCH($Q112,Score!T$51:T$88,0)+ROW(Score!T$50) )</f>
        <v>63</v>
      </c>
      <c r="S112" s="330" t="str">
        <f t="shared" ca="1" si="37"/>
        <v>69</v>
      </c>
      <c r="T112" s="329">
        <f t="shared" ca="1" si="37"/>
        <v>0</v>
      </c>
      <c r="U112" s="331">
        <f ca="1">IF(R112="","",SUM(T112,T113))</f>
        <v>0</v>
      </c>
      <c r="V112" s="331">
        <f ca="1">IF(R112="","",U112-E112)</f>
        <v>0</v>
      </c>
      <c r="W112" s="359" t="str">
        <f ca="1">IF($R112="","",IF(ISBLANK(INDIRECT(ADDRESS($R112,W$1,1,,"Score"))),"",1))</f>
        <v/>
      </c>
      <c r="X112" s="359">
        <f ca="1">IF($R112="","",IF(ISBLANK(INDIRECT(ADDRESS($R112,X$1,1,,"Score"))),"",1))</f>
        <v>1</v>
      </c>
      <c r="Y112" s="349">
        <f ca="1">IF(X112=1,V112,"")</f>
        <v>0</v>
      </c>
      <c r="Z112" s="359">
        <f t="shared" ca="1" si="38"/>
        <v>1</v>
      </c>
      <c r="AA112" s="359" t="str">
        <f t="shared" ca="1" si="38"/>
        <v/>
      </c>
      <c r="AB112" s="359">
        <f t="shared" ca="1" si="38"/>
        <v>1</v>
      </c>
      <c r="AC112" s="329">
        <f t="shared" ca="1" si="39"/>
        <v>0</v>
      </c>
      <c r="AD112" s="231">
        <f ca="1">N112</f>
        <v>0</v>
      </c>
      <c r="AE112" s="231" t="str">
        <f ca="1">IF(OR(AD112="",AD112=0),"",60*U112/AD112)</f>
        <v/>
      </c>
    </row>
    <row r="113" spans="1:31" x14ac:dyDescent="0.25">
      <c r="A113" s="331"/>
      <c r="B113" s="329" t="str">
        <f ca="1">IF($B112="","",IF(INDIRECT(ADDRESS($B112+1,C$1-1,1,,"Score"))="SP",$B112+1,""))</f>
        <v/>
      </c>
      <c r="C113" s="330" t="str">
        <f t="shared" ca="1" si="34"/>
        <v/>
      </c>
      <c r="D113" s="329" t="str">
        <f t="shared" ca="1" si="34"/>
        <v/>
      </c>
      <c r="E113" s="331"/>
      <c r="F113" s="331"/>
      <c r="G113" s="359"/>
      <c r="H113" s="359"/>
      <c r="I113" s="349"/>
      <c r="J113" s="359" t="str">
        <f t="shared" ca="1" si="35"/>
        <v/>
      </c>
      <c r="K113" s="359" t="str">
        <f t="shared" ca="1" si="35"/>
        <v/>
      </c>
      <c r="L113" s="359" t="str">
        <f t="shared" ca="1" si="35"/>
        <v/>
      </c>
      <c r="M113" s="329" t="str">
        <f t="shared" ca="1" si="36"/>
        <v/>
      </c>
      <c r="N113" s="231"/>
      <c r="O113" s="231"/>
      <c r="P113" s="329"/>
      <c r="Q113" s="331"/>
      <c r="R113" s="329" t="str">
        <f ca="1">IF($R112="","",IF(INDIRECT(ADDRESS($R112+1,S$1-1,1,,"Score"))="SP",$R112+1,""))</f>
        <v/>
      </c>
      <c r="S113" s="330" t="str">
        <f t="shared" ca="1" si="37"/>
        <v/>
      </c>
      <c r="T113" s="329" t="str">
        <f t="shared" ca="1" si="37"/>
        <v/>
      </c>
      <c r="U113" s="331"/>
      <c r="V113" s="331"/>
      <c r="W113" s="359"/>
      <c r="X113" s="359"/>
      <c r="Y113" s="349"/>
      <c r="Z113" s="359" t="str">
        <f t="shared" ca="1" si="38"/>
        <v/>
      </c>
      <c r="AA113" s="359" t="str">
        <f t="shared" ca="1" si="38"/>
        <v/>
      </c>
      <c r="AB113" s="359" t="str">
        <f t="shared" ca="1" si="38"/>
        <v/>
      </c>
      <c r="AC113" s="329" t="str">
        <f t="shared" ca="1" si="39"/>
        <v/>
      </c>
      <c r="AD113" s="231"/>
      <c r="AE113" s="231"/>
    </row>
    <row r="114" spans="1:31" x14ac:dyDescent="0.25">
      <c r="A114" s="350">
        <f>A112+1</f>
        <v>14</v>
      </c>
      <c r="B114" s="351">
        <f>IF(ISNA(MATCH($A114,Score!A$51:A$88,0)),"",MATCH($A114,Score!A$51:A$88,0)+ROW(Score!A$50))</f>
        <v>64</v>
      </c>
      <c r="C114" s="352" t="str">
        <f t="shared" ca="1" si="34"/>
        <v>23</v>
      </c>
      <c r="D114" s="351">
        <f t="shared" ca="1" si="34"/>
        <v>0</v>
      </c>
      <c r="E114" s="350">
        <f ca="1">IF(B114="","",SUM(D114,D115))</f>
        <v>0</v>
      </c>
      <c r="F114" s="350">
        <f ca="1">IF(B114="","",E114-U114)</f>
        <v>-5</v>
      </c>
      <c r="G114" s="353" t="str">
        <f ca="1">IF($B114="","",IF(ISBLANK(INDIRECT(ADDRESS($B114,G$1,1,,"Score"))),"",1))</f>
        <v/>
      </c>
      <c r="H114" s="353" t="str">
        <f ca="1">IF($B114="","",IF(ISBLANK(INDIRECT(ADDRESS($B114,H$1,1,,"Score"))),"",1))</f>
        <v/>
      </c>
      <c r="I114" s="355" t="str">
        <f ca="1">IF(H114=1,F114,"")</f>
        <v/>
      </c>
      <c r="J114" s="353" t="str">
        <f t="shared" ca="1" si="35"/>
        <v/>
      </c>
      <c r="K114" s="353" t="str">
        <f t="shared" ca="1" si="35"/>
        <v/>
      </c>
      <c r="L114" s="353" t="str">
        <f t="shared" ca="1" si="35"/>
        <v/>
      </c>
      <c r="M114" s="351">
        <f t="shared" ca="1" si="36"/>
        <v>1</v>
      </c>
      <c r="N114" s="350">
        <f ca="1">IF(ISNA(MATCH($A114,'Game Clock'!A$62:A$91,0)),"",INDIRECT(ADDRESS(MATCH($A114,'Game Clock'!A$62:A$91,0)+ROW('Game Clock'!A$61),N$1,1,,"Game Clock")))</f>
        <v>0</v>
      </c>
      <c r="O114" s="350" t="str">
        <f ca="1">IF(OR(N114="",N114=0),"",60*E114/N114)</f>
        <v/>
      </c>
      <c r="P114" s="329"/>
      <c r="Q114" s="350">
        <f>Q112+1</f>
        <v>14</v>
      </c>
      <c r="R114" s="351">
        <f>IF(ISNA(MATCH($Q114,Score!T$51:T$88,0)),"",MATCH($Q114,Score!T$51:T$88,0)+ROW(Score!T$50) )</f>
        <v>64</v>
      </c>
      <c r="S114" s="352" t="str">
        <f t="shared" ca="1" si="37"/>
        <v>22</v>
      </c>
      <c r="T114" s="351">
        <f t="shared" ca="1" si="37"/>
        <v>5</v>
      </c>
      <c r="U114" s="350">
        <f ca="1">IF(R114="","",SUM(T114,T115))</f>
        <v>5</v>
      </c>
      <c r="V114" s="350">
        <f ca="1">IF(R114="","",U114-E114)</f>
        <v>5</v>
      </c>
      <c r="W114" s="353" t="str">
        <f ca="1">IF($R114="","",IF(ISBLANK(INDIRECT(ADDRESS($R114,W$1,1,,"Score"))),"",1))</f>
        <v/>
      </c>
      <c r="X114" s="353">
        <f ca="1">IF($R114="","",IF(ISBLANK(INDIRECT(ADDRESS($R114,X$1,1,,"Score"))),"",1))</f>
        <v>1</v>
      </c>
      <c r="Y114" s="355">
        <f ca="1">IF(X114=1,V114,"")</f>
        <v>5</v>
      </c>
      <c r="Z114" s="353">
        <f t="shared" ca="1" si="38"/>
        <v>1</v>
      </c>
      <c r="AA114" s="353" t="str">
        <f t="shared" ca="1" si="38"/>
        <v/>
      </c>
      <c r="AB114" s="353" t="str">
        <f t="shared" ca="1" si="38"/>
        <v/>
      </c>
      <c r="AC114" s="351">
        <f t="shared" ca="1" si="39"/>
        <v>2</v>
      </c>
      <c r="AD114" s="350">
        <f ca="1">N114</f>
        <v>0</v>
      </c>
      <c r="AE114" s="350" t="str">
        <f ca="1">IF(OR(AD114="",AD114=0),"",60*U114/AD114)</f>
        <v/>
      </c>
    </row>
    <row r="115" spans="1:31" x14ac:dyDescent="0.3">
      <c r="A115" s="350"/>
      <c r="B115" s="351" t="str">
        <f ca="1">IF($B114="","",IF(INDIRECT(ADDRESS($B114+1,C$1-1,1,,"Score"))="SP",$B114+1,""))</f>
        <v/>
      </c>
      <c r="C115" s="352" t="str">
        <f t="shared" ca="1" si="34"/>
        <v/>
      </c>
      <c r="D115" s="351" t="str">
        <f t="shared" ca="1" si="34"/>
        <v/>
      </c>
      <c r="E115" s="350"/>
      <c r="F115" s="350"/>
      <c r="G115" s="353"/>
      <c r="H115" s="354"/>
      <c r="I115" s="355"/>
      <c r="J115" s="353" t="str">
        <f t="shared" ca="1" si="35"/>
        <v/>
      </c>
      <c r="K115" s="353" t="str">
        <f t="shared" ca="1" si="35"/>
        <v/>
      </c>
      <c r="L115" s="353" t="str">
        <f t="shared" ca="1" si="35"/>
        <v/>
      </c>
      <c r="M115" s="351" t="str">
        <f t="shared" ca="1" si="36"/>
        <v/>
      </c>
      <c r="N115" s="350"/>
      <c r="O115" s="350"/>
      <c r="P115" s="329"/>
      <c r="Q115" s="350"/>
      <c r="R115" s="351" t="str">
        <f ca="1">IF($R114="","",IF(INDIRECT(ADDRESS($R114+1,S$1-1,1,,"Score"))="SP",$R114+1,""))</f>
        <v/>
      </c>
      <c r="S115" s="352" t="str">
        <f t="shared" ca="1" si="37"/>
        <v/>
      </c>
      <c r="T115" s="351" t="str">
        <f t="shared" ca="1" si="37"/>
        <v/>
      </c>
      <c r="U115" s="350"/>
      <c r="V115" s="350"/>
      <c r="W115" s="353"/>
      <c r="X115" s="354"/>
      <c r="Y115" s="355"/>
      <c r="Z115" s="353" t="str">
        <f t="shared" ca="1" si="38"/>
        <v/>
      </c>
      <c r="AA115" s="353" t="str">
        <f t="shared" ca="1" si="38"/>
        <v/>
      </c>
      <c r="AB115" s="353" t="str">
        <f t="shared" ca="1" si="38"/>
        <v/>
      </c>
      <c r="AC115" s="351" t="str">
        <f t="shared" ca="1" si="39"/>
        <v/>
      </c>
      <c r="AD115" s="350"/>
      <c r="AE115" s="350"/>
    </row>
    <row r="116" spans="1:31" x14ac:dyDescent="0.25">
      <c r="A116" s="331">
        <f>A114+1</f>
        <v>15</v>
      </c>
      <c r="B116" s="329">
        <f>IF(ISNA(MATCH($A116,Score!A$51:A$88,0)),"",MATCH($A116,Score!A$51:A$88,0)+ROW(Score!A$50))</f>
        <v>65</v>
      </c>
      <c r="C116" s="330" t="str">
        <f t="shared" ca="1" si="34"/>
        <v>911</v>
      </c>
      <c r="D116" s="329">
        <f t="shared" ca="1" si="34"/>
        <v>9</v>
      </c>
      <c r="E116" s="331">
        <f ca="1">IF(B116="","",SUM(D116,D117))</f>
        <v>9</v>
      </c>
      <c r="F116" s="331">
        <f ca="1">IF(B116="","",E116-U116)</f>
        <v>9</v>
      </c>
      <c r="G116" s="359" t="str">
        <f ca="1">IF($B116="","",IF(ISBLANK(INDIRECT(ADDRESS($B116,G$1,1,,"Score"))),"",1))</f>
        <v/>
      </c>
      <c r="H116" s="359">
        <f ca="1">IF($B116="","",IF(ISBLANK(INDIRECT(ADDRESS($B116,H$1,1,,"Score"))),"",1))</f>
        <v>1</v>
      </c>
      <c r="I116" s="349">
        <f ca="1">IF(H116=1,F116,"")</f>
        <v>9</v>
      </c>
      <c r="J116" s="359">
        <f t="shared" ca="1" si="35"/>
        <v>1</v>
      </c>
      <c r="K116" s="359" t="str">
        <f t="shared" ca="1" si="35"/>
        <v/>
      </c>
      <c r="L116" s="359" t="str">
        <f t="shared" ca="1" si="35"/>
        <v/>
      </c>
      <c r="M116" s="329">
        <f t="shared" ca="1" si="36"/>
        <v>2</v>
      </c>
      <c r="N116" s="231">
        <f ca="1">IF(ISNA(MATCH($A116,'Game Clock'!A$62:A$91,0)),"",INDIRECT(ADDRESS(MATCH($A116,'Game Clock'!A$62:A$91,0)+ROW('Game Clock'!A$61),N$1,1,,"Game Clock")))</f>
        <v>0</v>
      </c>
      <c r="O116" s="231" t="str">
        <f ca="1">IF(OR(N116="",N116=0),"",60*E116/N116)</f>
        <v/>
      </c>
      <c r="P116" s="329"/>
      <c r="Q116" s="331">
        <f>Q114+1</f>
        <v>15</v>
      </c>
      <c r="R116" s="329">
        <f>IF(ISNA(MATCH($Q116,Score!T$51:T$88,0)),"",MATCH($Q116,Score!T$51:T$88,0)+ROW(Score!T$50) )</f>
        <v>65</v>
      </c>
      <c r="S116" s="330" t="str">
        <f t="shared" ca="1" si="37"/>
        <v>69</v>
      </c>
      <c r="T116" s="329">
        <f t="shared" ca="1" si="37"/>
        <v>0</v>
      </c>
      <c r="U116" s="331">
        <f ca="1">IF(R116="","",SUM(T116,T117))</f>
        <v>0</v>
      </c>
      <c r="V116" s="331">
        <f ca="1">IF(R116="","",U116-E116)</f>
        <v>-9</v>
      </c>
      <c r="W116" s="359" t="str">
        <f ca="1">IF($R116="","",IF(ISBLANK(INDIRECT(ADDRESS($R116,W$1,1,,"Score"))),"",1))</f>
        <v/>
      </c>
      <c r="X116" s="359" t="str">
        <f ca="1">IF($R116="","",IF(ISBLANK(INDIRECT(ADDRESS($R116,X$1,1,,"Score"))),"",1))</f>
        <v/>
      </c>
      <c r="Y116" s="349" t="str">
        <f ca="1">IF(X116=1,V116,"")</f>
        <v/>
      </c>
      <c r="Z116" s="359" t="str">
        <f t="shared" ca="1" si="38"/>
        <v/>
      </c>
      <c r="AA116" s="359" t="str">
        <f t="shared" ca="1" si="38"/>
        <v/>
      </c>
      <c r="AB116" s="359" t="str">
        <f t="shared" ca="1" si="38"/>
        <v/>
      </c>
      <c r="AC116" s="329">
        <f t="shared" ca="1" si="39"/>
        <v>1</v>
      </c>
      <c r="AD116" s="231">
        <f ca="1">N116</f>
        <v>0</v>
      </c>
      <c r="AE116" s="231" t="str">
        <f ca="1">IF(OR(AD116="",AD116=0),"",60*U116/AD116)</f>
        <v/>
      </c>
    </row>
    <row r="117" spans="1:31" x14ac:dyDescent="0.25">
      <c r="A117" s="331"/>
      <c r="B117" s="329" t="str">
        <f ca="1">IF($B116="","",IF(INDIRECT(ADDRESS($B116+1,C$1-1,1,,"Score"))="SP",$B116+1,""))</f>
        <v/>
      </c>
      <c r="C117" s="330" t="str">
        <f t="shared" ca="1" si="34"/>
        <v/>
      </c>
      <c r="D117" s="329" t="str">
        <f t="shared" ca="1" si="34"/>
        <v/>
      </c>
      <c r="E117" s="331"/>
      <c r="F117" s="331"/>
      <c r="G117" s="359"/>
      <c r="H117" s="359"/>
      <c r="I117" s="349"/>
      <c r="J117" s="359" t="str">
        <f t="shared" ca="1" si="35"/>
        <v/>
      </c>
      <c r="K117" s="359" t="str">
        <f t="shared" ca="1" si="35"/>
        <v/>
      </c>
      <c r="L117" s="359" t="str">
        <f t="shared" ca="1" si="35"/>
        <v/>
      </c>
      <c r="M117" s="329" t="str">
        <f t="shared" ca="1" si="36"/>
        <v/>
      </c>
      <c r="N117" s="231"/>
      <c r="O117" s="231"/>
      <c r="P117" s="329"/>
      <c r="Q117" s="331"/>
      <c r="R117" s="329" t="str">
        <f ca="1">IF($R116="","",IF(INDIRECT(ADDRESS($R116+1,S$1-1,1,,"Score"))="SP",$R116+1,""))</f>
        <v/>
      </c>
      <c r="S117" s="330" t="str">
        <f t="shared" ca="1" si="37"/>
        <v/>
      </c>
      <c r="T117" s="329" t="str">
        <f t="shared" ca="1" si="37"/>
        <v/>
      </c>
      <c r="U117" s="331"/>
      <c r="V117" s="331"/>
      <c r="W117" s="359"/>
      <c r="X117" s="359"/>
      <c r="Y117" s="349"/>
      <c r="Z117" s="359" t="str">
        <f t="shared" ca="1" si="38"/>
        <v/>
      </c>
      <c r="AA117" s="359" t="str">
        <f t="shared" ca="1" si="38"/>
        <v/>
      </c>
      <c r="AB117" s="359" t="str">
        <f t="shared" ca="1" si="38"/>
        <v/>
      </c>
      <c r="AC117" s="329" t="str">
        <f t="shared" ca="1" si="39"/>
        <v/>
      </c>
      <c r="AD117" s="231"/>
      <c r="AE117" s="231"/>
    </row>
    <row r="118" spans="1:31" x14ac:dyDescent="0.25">
      <c r="A118" s="350">
        <f>A116+1</f>
        <v>16</v>
      </c>
      <c r="B118" s="351">
        <f>IF(ISNA(MATCH($A118,Score!A$51:A$88,0)),"",MATCH($A118,Score!A$51:A$88,0)+ROW(Score!A$50))</f>
        <v>66</v>
      </c>
      <c r="C118" s="352" t="str">
        <f t="shared" ca="1" si="34"/>
        <v>761</v>
      </c>
      <c r="D118" s="351">
        <f t="shared" ca="1" si="34"/>
        <v>4</v>
      </c>
      <c r="E118" s="350">
        <f ca="1">IF(B118="","",SUM(D118,D119))</f>
        <v>4</v>
      </c>
      <c r="F118" s="350">
        <f ca="1">IF(B118="","",E118-U118)</f>
        <v>4</v>
      </c>
      <c r="G118" s="353" t="str">
        <f ca="1">IF($B118="","",IF(ISBLANK(INDIRECT(ADDRESS($B118,G$1,1,,"Score"))),"",1))</f>
        <v/>
      </c>
      <c r="H118" s="353">
        <f ca="1">IF($B118="","",IF(ISBLANK(INDIRECT(ADDRESS($B118,H$1,1,,"Score"))),"",1))</f>
        <v>1</v>
      </c>
      <c r="I118" s="355">
        <f ca="1">IF(H118=1,F118,"")</f>
        <v>4</v>
      </c>
      <c r="J118" s="353">
        <f t="shared" ca="1" si="35"/>
        <v>1</v>
      </c>
      <c r="K118" s="353" t="str">
        <f t="shared" ca="1" si="35"/>
        <v/>
      </c>
      <c r="L118" s="353" t="str">
        <f t="shared" ca="1" si="35"/>
        <v/>
      </c>
      <c r="M118" s="351">
        <f t="shared" ca="1" si="36"/>
        <v>1</v>
      </c>
      <c r="N118" s="350">
        <f ca="1">IF(ISNA(MATCH($A118,'Game Clock'!A$62:A$91,0)),"",INDIRECT(ADDRESS(MATCH($A118,'Game Clock'!A$62:A$91,0)+ROW('Game Clock'!A$61),N$1,1,,"Game Clock")))</f>
        <v>0</v>
      </c>
      <c r="O118" s="350" t="str">
        <f ca="1">IF(OR(N118="",N118=0),"",60*E118/N118)</f>
        <v/>
      </c>
      <c r="P118" s="329"/>
      <c r="Q118" s="350">
        <f>Q116+1</f>
        <v>16</v>
      </c>
      <c r="R118" s="351">
        <f>IF(ISNA(MATCH($Q118,Score!T$51:T$88,0)),"",MATCH($Q118,Score!T$51:T$88,0)+ROW(Score!T$50) )</f>
        <v>66</v>
      </c>
      <c r="S118" s="352" t="str">
        <f t="shared" ca="1" si="37"/>
        <v>22</v>
      </c>
      <c r="T118" s="351">
        <f t="shared" ca="1" si="37"/>
        <v>0</v>
      </c>
      <c r="U118" s="350">
        <f ca="1">IF(R118="","",SUM(T118,T119))</f>
        <v>0</v>
      </c>
      <c r="V118" s="350">
        <f ca="1">IF(R118="","",U118-E118)</f>
        <v>-4</v>
      </c>
      <c r="W118" s="353" t="str">
        <f ca="1">IF($R118="","",IF(ISBLANK(INDIRECT(ADDRESS($R118,W$1,1,,"Score"))),"",1))</f>
        <v/>
      </c>
      <c r="X118" s="353" t="str">
        <f ca="1">IF($R118="","",IF(ISBLANK(INDIRECT(ADDRESS($R118,X$1,1,,"Score"))),"",1))</f>
        <v/>
      </c>
      <c r="Y118" s="355" t="str">
        <f ca="1">IF(X118=1,V118,"")</f>
        <v/>
      </c>
      <c r="Z118" s="353" t="str">
        <f t="shared" ca="1" si="38"/>
        <v/>
      </c>
      <c r="AA118" s="353" t="str">
        <f t="shared" ca="1" si="38"/>
        <v/>
      </c>
      <c r="AB118" s="353" t="str">
        <f t="shared" ca="1" si="38"/>
        <v/>
      </c>
      <c r="AC118" s="351">
        <f t="shared" ca="1" si="39"/>
        <v>1</v>
      </c>
      <c r="AD118" s="350">
        <f ca="1">N118</f>
        <v>0</v>
      </c>
      <c r="AE118" s="350" t="str">
        <f ca="1">IF(OR(AD118="",AD118=0),"",60*U118/AD118)</f>
        <v/>
      </c>
    </row>
    <row r="119" spans="1:31" x14ac:dyDescent="0.3">
      <c r="A119" s="350"/>
      <c r="B119" s="351" t="str">
        <f ca="1">IF($B118="","",IF(INDIRECT(ADDRESS($B118+1,C$1-1,1,,"Score"))="SP",$B118+1,""))</f>
        <v/>
      </c>
      <c r="C119" s="352" t="str">
        <f t="shared" ca="1" si="34"/>
        <v/>
      </c>
      <c r="D119" s="351" t="str">
        <f t="shared" ca="1" si="34"/>
        <v/>
      </c>
      <c r="E119" s="350"/>
      <c r="F119" s="350"/>
      <c r="G119" s="353"/>
      <c r="H119" s="354"/>
      <c r="I119" s="355"/>
      <c r="J119" s="353" t="str">
        <f t="shared" ca="1" si="35"/>
        <v/>
      </c>
      <c r="K119" s="353" t="str">
        <f t="shared" ca="1" si="35"/>
        <v/>
      </c>
      <c r="L119" s="353" t="str">
        <f t="shared" ca="1" si="35"/>
        <v/>
      </c>
      <c r="M119" s="351" t="str">
        <f t="shared" ca="1" si="36"/>
        <v/>
      </c>
      <c r="N119" s="350"/>
      <c r="O119" s="350"/>
      <c r="P119" s="329"/>
      <c r="Q119" s="350"/>
      <c r="R119" s="351" t="str">
        <f ca="1">IF($R118="","",IF(INDIRECT(ADDRESS($R118+1,S$1-1,1,,"Score"))="SP",$R118+1,""))</f>
        <v/>
      </c>
      <c r="S119" s="352" t="str">
        <f t="shared" ca="1" si="37"/>
        <v/>
      </c>
      <c r="T119" s="351" t="str">
        <f t="shared" ca="1" si="37"/>
        <v/>
      </c>
      <c r="U119" s="350"/>
      <c r="V119" s="350"/>
      <c r="W119" s="353"/>
      <c r="X119" s="354"/>
      <c r="Y119" s="355"/>
      <c r="Z119" s="353" t="str">
        <f t="shared" ca="1" si="38"/>
        <v/>
      </c>
      <c r="AA119" s="353" t="str">
        <f t="shared" ca="1" si="38"/>
        <v/>
      </c>
      <c r="AB119" s="353" t="str">
        <f t="shared" ca="1" si="38"/>
        <v/>
      </c>
      <c r="AC119" s="351" t="str">
        <f t="shared" ca="1" si="39"/>
        <v/>
      </c>
      <c r="AD119" s="350"/>
      <c r="AE119" s="350"/>
    </row>
    <row r="120" spans="1:31" x14ac:dyDescent="0.25">
      <c r="A120" s="331">
        <f>A118+1</f>
        <v>17</v>
      </c>
      <c r="B120" s="329">
        <f>IF(ISNA(MATCH($A120,Score!A$51:A$88,0)),"",MATCH($A120,Score!A$51:A$88,0)+ROW(Score!A$50))</f>
        <v>67</v>
      </c>
      <c r="C120" s="330" t="str">
        <f t="shared" ca="1" si="34"/>
        <v>1618</v>
      </c>
      <c r="D120" s="329">
        <f t="shared" ca="1" si="34"/>
        <v>6</v>
      </c>
      <c r="E120" s="331">
        <f ca="1">IF(B120="","",SUM(D120,D121))</f>
        <v>6</v>
      </c>
      <c r="F120" s="331">
        <f ca="1">IF(B120="","",E120-U120)</f>
        <v>6</v>
      </c>
      <c r="G120" s="359" t="str">
        <f ca="1">IF($B120="","",IF(ISBLANK(INDIRECT(ADDRESS($B120,G$1,1,,"Score"))),"",1))</f>
        <v/>
      </c>
      <c r="H120" s="359">
        <f ca="1">IF($B120="","",IF(ISBLANK(INDIRECT(ADDRESS($B120,H$1,1,,"Score"))),"",1))</f>
        <v>1</v>
      </c>
      <c r="I120" s="349">
        <f ca="1">IF(H120=1,F120,"")</f>
        <v>6</v>
      </c>
      <c r="J120" s="359">
        <f t="shared" ca="1" si="35"/>
        <v>1</v>
      </c>
      <c r="K120" s="359" t="str">
        <f t="shared" ca="1" si="35"/>
        <v/>
      </c>
      <c r="L120" s="359" t="str">
        <f t="shared" ca="1" si="35"/>
        <v/>
      </c>
      <c r="M120" s="329">
        <f t="shared" ca="1" si="36"/>
        <v>2</v>
      </c>
      <c r="N120" s="231">
        <f ca="1">IF(ISNA(MATCH($A120,'Game Clock'!A$62:A$91,0)),"",INDIRECT(ADDRESS(MATCH($A120,'Game Clock'!A$62:A$91,0)+ROW('Game Clock'!A$61),N$1,1,,"Game Clock")))</f>
        <v>0</v>
      </c>
      <c r="O120" s="231" t="str">
        <f ca="1">IF(OR(N120="",N120=0),"",60*E120/N120)</f>
        <v/>
      </c>
      <c r="P120" s="329"/>
      <c r="Q120" s="331">
        <f>Q118+1</f>
        <v>17</v>
      </c>
      <c r="R120" s="329">
        <f>IF(ISNA(MATCH($Q120,Score!T$51:T$88,0)),"",MATCH($Q120,Score!T$51:T$88,0)+ROW(Score!T$50) )</f>
        <v>67</v>
      </c>
      <c r="S120" s="330" t="str">
        <f t="shared" ca="1" si="37"/>
        <v>51</v>
      </c>
      <c r="T120" s="329">
        <f t="shared" ca="1" si="37"/>
        <v>0</v>
      </c>
      <c r="U120" s="331">
        <f ca="1">IF(R120="","",SUM(T120,T121))</f>
        <v>0</v>
      </c>
      <c r="V120" s="331">
        <f ca="1">IF(R120="","",U120-E120)</f>
        <v>-6</v>
      </c>
      <c r="W120" s="359" t="str">
        <f ca="1">IF($R120="","",IF(ISBLANK(INDIRECT(ADDRESS($R120,W$1,1,,"Score"))),"",1))</f>
        <v/>
      </c>
      <c r="X120" s="359" t="str">
        <f ca="1">IF($R120="","",IF(ISBLANK(INDIRECT(ADDRESS($R120,X$1,1,,"Score"))),"",1))</f>
        <v/>
      </c>
      <c r="Y120" s="349" t="str">
        <f ca="1">IF(X120=1,V120,"")</f>
        <v/>
      </c>
      <c r="Z120" s="359" t="str">
        <f t="shared" ca="1" si="38"/>
        <v/>
      </c>
      <c r="AA120" s="359" t="str">
        <f t="shared" ca="1" si="38"/>
        <v/>
      </c>
      <c r="AB120" s="359" t="str">
        <f t="shared" ca="1" si="38"/>
        <v/>
      </c>
      <c r="AC120" s="329">
        <f t="shared" ca="1" si="39"/>
        <v>1</v>
      </c>
      <c r="AD120" s="231">
        <f ca="1">N120</f>
        <v>0</v>
      </c>
      <c r="AE120" s="231" t="str">
        <f ca="1">IF(OR(AD120="",AD120=0),"",60*U120/AD120)</f>
        <v/>
      </c>
    </row>
    <row r="121" spans="1:31" x14ac:dyDescent="0.25">
      <c r="A121" s="331"/>
      <c r="B121" s="329" t="str">
        <f ca="1">IF($B120="","",IF(INDIRECT(ADDRESS($B120+1,C$1-1,1,,"Score"))="SP",$B120+1,""))</f>
        <v/>
      </c>
      <c r="C121" s="330" t="str">
        <f t="shared" ca="1" si="34"/>
        <v/>
      </c>
      <c r="D121" s="329" t="str">
        <f t="shared" ca="1" si="34"/>
        <v/>
      </c>
      <c r="E121" s="331"/>
      <c r="F121" s="331"/>
      <c r="G121" s="359"/>
      <c r="H121" s="359"/>
      <c r="I121" s="349"/>
      <c r="J121" s="359" t="str">
        <f t="shared" ca="1" si="35"/>
        <v/>
      </c>
      <c r="K121" s="359" t="str">
        <f t="shared" ca="1" si="35"/>
        <v/>
      </c>
      <c r="L121" s="359" t="str">
        <f t="shared" ca="1" si="35"/>
        <v/>
      </c>
      <c r="M121" s="329" t="str">
        <f t="shared" ca="1" si="36"/>
        <v/>
      </c>
      <c r="N121" s="231"/>
      <c r="O121" s="231"/>
      <c r="P121" s="329"/>
      <c r="Q121" s="331"/>
      <c r="R121" s="329" t="str">
        <f ca="1">IF($R120="","",IF(INDIRECT(ADDRESS($R120+1,S$1-1,1,,"Score"))="SP",$R120+1,""))</f>
        <v/>
      </c>
      <c r="S121" s="330" t="str">
        <f t="shared" ca="1" si="37"/>
        <v/>
      </c>
      <c r="T121" s="329" t="str">
        <f t="shared" ca="1" si="37"/>
        <v/>
      </c>
      <c r="U121" s="331"/>
      <c r="V121" s="331"/>
      <c r="W121" s="359"/>
      <c r="X121" s="359"/>
      <c r="Y121" s="349"/>
      <c r="Z121" s="359" t="str">
        <f t="shared" ca="1" si="38"/>
        <v/>
      </c>
      <c r="AA121" s="359" t="str">
        <f t="shared" ca="1" si="38"/>
        <v/>
      </c>
      <c r="AB121" s="359" t="str">
        <f t="shared" ca="1" si="38"/>
        <v/>
      </c>
      <c r="AC121" s="329" t="str">
        <f t="shared" ca="1" si="39"/>
        <v/>
      </c>
      <c r="AD121" s="231"/>
      <c r="AE121" s="231"/>
    </row>
    <row r="122" spans="1:31" x14ac:dyDescent="0.25">
      <c r="A122" s="350">
        <f>A120+1</f>
        <v>18</v>
      </c>
      <c r="B122" s="351">
        <f>IF(ISNA(MATCH($A122,Score!A$51:A$88,0)),"",MATCH($A122,Score!A$51:A$88,0)+ROW(Score!A$50))</f>
        <v>68</v>
      </c>
      <c r="C122" s="352" t="str">
        <f t="shared" ca="1" si="34"/>
        <v>23</v>
      </c>
      <c r="D122" s="351">
        <f t="shared" ca="1" si="34"/>
        <v>4</v>
      </c>
      <c r="E122" s="350">
        <f ca="1">IF(B122="","",SUM(D122,D123))</f>
        <v>4</v>
      </c>
      <c r="F122" s="350">
        <f ca="1">IF(B122="","",E122-U122)</f>
        <v>4</v>
      </c>
      <c r="G122" s="353" t="str">
        <f ca="1">IF($B122="","",IF(ISBLANK(INDIRECT(ADDRESS($B122,G$1,1,,"Score"))),"",1))</f>
        <v/>
      </c>
      <c r="H122" s="353">
        <f ca="1">IF($B122="","",IF(ISBLANK(INDIRECT(ADDRESS($B122,H$1,1,,"Score"))),"",1))</f>
        <v>1</v>
      </c>
      <c r="I122" s="355">
        <f ca="1">IF(H122=1,F122,"")</f>
        <v>4</v>
      </c>
      <c r="J122" s="353">
        <f t="shared" ca="1" si="35"/>
        <v>1</v>
      </c>
      <c r="K122" s="353" t="str">
        <f t="shared" ca="1" si="35"/>
        <v/>
      </c>
      <c r="L122" s="353" t="str">
        <f t="shared" ca="1" si="35"/>
        <v/>
      </c>
      <c r="M122" s="351">
        <f t="shared" ca="1" si="36"/>
        <v>1</v>
      </c>
      <c r="N122" s="350">
        <f ca="1">IF(ISNA(MATCH($A122,'Game Clock'!A$62:A$91,0)),"",INDIRECT(ADDRESS(MATCH($A122,'Game Clock'!A$62:A$91,0)+ROW('Game Clock'!A$61),N$1,1,,"Game Clock")))</f>
        <v>0</v>
      </c>
      <c r="O122" s="350" t="str">
        <f ca="1">IF(OR(N122="",N122=0),"",60*E122/N122)</f>
        <v/>
      </c>
      <c r="P122" s="329"/>
      <c r="Q122" s="350">
        <f>Q120+1</f>
        <v>18</v>
      </c>
      <c r="R122" s="351">
        <f>IF(ISNA(MATCH($Q122,Score!T$51:T$88,0)),"",MATCH($Q122,Score!T$51:T$88,0)+ROW(Score!T$50) )</f>
        <v>68</v>
      </c>
      <c r="S122" s="352" t="str">
        <f t="shared" ca="1" si="37"/>
        <v>22</v>
      </c>
      <c r="T122" s="351">
        <f t="shared" ca="1" si="37"/>
        <v>0</v>
      </c>
      <c r="U122" s="350">
        <f ca="1">IF(R122="","",SUM(T122,T123))</f>
        <v>0</v>
      </c>
      <c r="V122" s="350">
        <f ca="1">IF(R122="","",U122-E122)</f>
        <v>-4</v>
      </c>
      <c r="W122" s="353" t="str">
        <f ca="1">IF($R122="","",IF(ISBLANK(INDIRECT(ADDRESS($R122,W$1,1,,"Score"))),"",1))</f>
        <v/>
      </c>
      <c r="X122" s="353" t="str">
        <f ca="1">IF($R122="","",IF(ISBLANK(INDIRECT(ADDRESS($R122,X$1,1,,"Score"))),"",1))</f>
        <v/>
      </c>
      <c r="Y122" s="355" t="str">
        <f ca="1">IF(X122=1,V122,"")</f>
        <v/>
      </c>
      <c r="Z122" s="353" t="str">
        <f t="shared" ca="1" si="38"/>
        <v/>
      </c>
      <c r="AA122" s="353" t="str">
        <f t="shared" ca="1" si="38"/>
        <v/>
      </c>
      <c r="AB122" s="353" t="str">
        <f t="shared" ca="1" si="38"/>
        <v/>
      </c>
      <c r="AC122" s="351">
        <f t="shared" ca="1" si="39"/>
        <v>1</v>
      </c>
      <c r="AD122" s="350">
        <f ca="1">N122</f>
        <v>0</v>
      </c>
      <c r="AE122" s="350" t="str">
        <f ca="1">IF(OR(AD122="",AD122=0),"",60*U122/AD122)</f>
        <v/>
      </c>
    </row>
    <row r="123" spans="1:31" x14ac:dyDescent="0.3">
      <c r="A123" s="350"/>
      <c r="B123" s="351" t="str">
        <f ca="1">IF($B122="","",IF(INDIRECT(ADDRESS($B122+1,C$1-1,1,,"Score"))="SP",$B122+1,""))</f>
        <v/>
      </c>
      <c r="C123" s="352" t="str">
        <f t="shared" ca="1" si="34"/>
        <v/>
      </c>
      <c r="D123" s="351" t="str">
        <f t="shared" ca="1" si="34"/>
        <v/>
      </c>
      <c r="E123" s="350"/>
      <c r="F123" s="350"/>
      <c r="G123" s="353"/>
      <c r="H123" s="354"/>
      <c r="I123" s="355"/>
      <c r="J123" s="353" t="str">
        <f t="shared" ca="1" si="35"/>
        <v/>
      </c>
      <c r="K123" s="353" t="str">
        <f t="shared" ca="1" si="35"/>
        <v/>
      </c>
      <c r="L123" s="353" t="str">
        <f t="shared" ca="1" si="35"/>
        <v/>
      </c>
      <c r="M123" s="351" t="str">
        <f t="shared" ca="1" si="36"/>
        <v/>
      </c>
      <c r="N123" s="350"/>
      <c r="O123" s="350"/>
      <c r="P123" s="329"/>
      <c r="Q123" s="350"/>
      <c r="R123" s="351" t="str">
        <f ca="1">IF($R122="","",IF(INDIRECT(ADDRESS($R122+1,S$1-1,1,,"Score"))="SP",$R122+1,""))</f>
        <v/>
      </c>
      <c r="S123" s="352" t="str">
        <f t="shared" ca="1" si="37"/>
        <v/>
      </c>
      <c r="T123" s="351" t="str">
        <f t="shared" ca="1" si="37"/>
        <v/>
      </c>
      <c r="U123" s="350"/>
      <c r="V123" s="350"/>
      <c r="W123" s="353"/>
      <c r="X123" s="354"/>
      <c r="Y123" s="355"/>
      <c r="Z123" s="353" t="str">
        <f t="shared" ca="1" si="38"/>
        <v/>
      </c>
      <c r="AA123" s="353" t="str">
        <f t="shared" ca="1" si="38"/>
        <v/>
      </c>
      <c r="AB123" s="353" t="str">
        <f t="shared" ca="1" si="38"/>
        <v/>
      </c>
      <c r="AC123" s="351" t="str">
        <f t="shared" ca="1" si="39"/>
        <v/>
      </c>
      <c r="AD123" s="350"/>
      <c r="AE123" s="350"/>
    </row>
    <row r="124" spans="1:31" x14ac:dyDescent="0.25">
      <c r="A124" s="331">
        <f>A122+1</f>
        <v>19</v>
      </c>
      <c r="B124" s="329">
        <f>IF(ISNA(MATCH($A124,Score!A$51:A$88,0)),"",MATCH($A124,Score!A$51:A$88,0)+ROW(Score!A$50))</f>
        <v>69</v>
      </c>
      <c r="C124" s="330" t="str">
        <f t="shared" ca="1" si="34"/>
        <v>911</v>
      </c>
      <c r="D124" s="329">
        <f t="shared" ca="1" si="34"/>
        <v>4</v>
      </c>
      <c r="E124" s="331">
        <f ca="1">IF(B124="","",SUM(D124,D125))</f>
        <v>4</v>
      </c>
      <c r="F124" s="331">
        <f ca="1">IF(B124="","",E124-U124)</f>
        <v>4</v>
      </c>
      <c r="G124" s="359" t="str">
        <f ca="1">IF($B124="","",IF(ISBLANK(INDIRECT(ADDRESS($B124,G$1,1,,"Score"))),"",1))</f>
        <v/>
      </c>
      <c r="H124" s="359">
        <f ca="1">IF($B124="","",IF(ISBLANK(INDIRECT(ADDRESS($B124,H$1,1,,"Score"))),"",1))</f>
        <v>1</v>
      </c>
      <c r="I124" s="349">
        <f ca="1">IF(H124=1,F124,"")</f>
        <v>4</v>
      </c>
      <c r="J124" s="359">
        <f t="shared" ca="1" si="35"/>
        <v>1</v>
      </c>
      <c r="K124" s="359" t="str">
        <f t="shared" ca="1" si="35"/>
        <v/>
      </c>
      <c r="L124" s="359" t="str">
        <f t="shared" ca="1" si="35"/>
        <v/>
      </c>
      <c r="M124" s="329">
        <f t="shared" ca="1" si="36"/>
        <v>1</v>
      </c>
      <c r="N124" s="231">
        <f ca="1">IF(ISNA(MATCH($A124,'Game Clock'!A$62:A$91,0)),"",INDIRECT(ADDRESS(MATCH($A124,'Game Clock'!A$62:A$91,0)+ROW('Game Clock'!A$61),N$1,1,,"Game Clock")))</f>
        <v>0</v>
      </c>
      <c r="O124" s="231" t="str">
        <f ca="1">IF(OR(N124="",N124=0),"",60*E124/N124)</f>
        <v/>
      </c>
      <c r="P124" s="329"/>
      <c r="Q124" s="331">
        <f>Q122+1</f>
        <v>19</v>
      </c>
      <c r="R124" s="329">
        <f>IF(ISNA(MATCH($Q124,Score!T$51:T$88,0)),"",MATCH($Q124,Score!T$51:T$88,0)+ROW(Score!T$50) )</f>
        <v>69</v>
      </c>
      <c r="S124" s="330" t="str">
        <f t="shared" ca="1" si="37"/>
        <v>9</v>
      </c>
      <c r="T124" s="329">
        <f t="shared" ca="1" si="37"/>
        <v>0</v>
      </c>
      <c r="U124" s="331">
        <f ca="1">IF(R124="","",SUM(T124,T125))</f>
        <v>0</v>
      </c>
      <c r="V124" s="331">
        <f ca="1">IF(R124="","",U124-E124)</f>
        <v>-4</v>
      </c>
      <c r="W124" s="359" t="str">
        <f ca="1">IF($R124="","",IF(ISBLANK(INDIRECT(ADDRESS($R124,W$1,1,,"Score"))),"",1))</f>
        <v/>
      </c>
      <c r="X124" s="359" t="str">
        <f ca="1">IF($R124="","",IF(ISBLANK(INDIRECT(ADDRESS($R124,X$1,1,,"Score"))),"",1))</f>
        <v/>
      </c>
      <c r="Y124" s="349" t="str">
        <f ca="1">IF(X124=1,V124,"")</f>
        <v/>
      </c>
      <c r="Z124" s="359" t="str">
        <f t="shared" ca="1" si="38"/>
        <v/>
      </c>
      <c r="AA124" s="359" t="str">
        <f t="shared" ca="1" si="38"/>
        <v/>
      </c>
      <c r="AB124" s="359" t="str">
        <f t="shared" ca="1" si="38"/>
        <v/>
      </c>
      <c r="AC124" s="329">
        <f t="shared" ca="1" si="39"/>
        <v>1</v>
      </c>
      <c r="AD124" s="231">
        <f ca="1">N124</f>
        <v>0</v>
      </c>
      <c r="AE124" s="231" t="str">
        <f ca="1">IF(OR(AD124="",AD124=0),"",60*U124/AD124)</f>
        <v/>
      </c>
    </row>
    <row r="125" spans="1:31" x14ac:dyDescent="0.25">
      <c r="A125" s="331"/>
      <c r="B125" s="329" t="str">
        <f ca="1">IF($B124="","",IF(INDIRECT(ADDRESS($B124+1,C$1-1,1,,"Score"))="SP",$B124+1,""))</f>
        <v/>
      </c>
      <c r="C125" s="330" t="str">
        <f t="shared" ca="1" si="34"/>
        <v/>
      </c>
      <c r="D125" s="329" t="str">
        <f t="shared" ca="1" si="34"/>
        <v/>
      </c>
      <c r="E125" s="331"/>
      <c r="F125" s="331"/>
      <c r="G125" s="359"/>
      <c r="H125" s="359"/>
      <c r="I125" s="349"/>
      <c r="J125" s="359" t="str">
        <f t="shared" ca="1" si="35"/>
        <v/>
      </c>
      <c r="K125" s="359" t="str">
        <f t="shared" ca="1" si="35"/>
        <v/>
      </c>
      <c r="L125" s="359" t="str">
        <f t="shared" ca="1" si="35"/>
        <v/>
      </c>
      <c r="M125" s="329" t="str">
        <f t="shared" ca="1" si="36"/>
        <v/>
      </c>
      <c r="N125" s="231"/>
      <c r="O125" s="231"/>
      <c r="P125" s="329"/>
      <c r="Q125" s="331"/>
      <c r="R125" s="329" t="str">
        <f ca="1">IF($R124="","",IF(INDIRECT(ADDRESS($R124+1,S$1-1,1,,"Score"))="SP",$R124+1,""))</f>
        <v/>
      </c>
      <c r="S125" s="330" t="str">
        <f t="shared" ca="1" si="37"/>
        <v/>
      </c>
      <c r="T125" s="329" t="str">
        <f t="shared" ca="1" si="37"/>
        <v/>
      </c>
      <c r="U125" s="331"/>
      <c r="V125" s="331"/>
      <c r="W125" s="359"/>
      <c r="X125" s="359"/>
      <c r="Y125" s="349"/>
      <c r="Z125" s="359" t="str">
        <f t="shared" ca="1" si="38"/>
        <v/>
      </c>
      <c r="AA125" s="359" t="str">
        <f t="shared" ca="1" si="38"/>
        <v/>
      </c>
      <c r="AB125" s="359" t="str">
        <f t="shared" ca="1" si="38"/>
        <v/>
      </c>
      <c r="AC125" s="329" t="str">
        <f t="shared" ca="1" si="39"/>
        <v/>
      </c>
      <c r="AD125" s="231"/>
      <c r="AE125" s="231"/>
    </row>
    <row r="126" spans="1:31" x14ac:dyDescent="0.25">
      <c r="A126" s="350">
        <f>A124+1</f>
        <v>20</v>
      </c>
      <c r="B126" s="351">
        <f>IF(ISNA(MATCH($A126,Score!A$51:A$88,0)),"",MATCH($A126,Score!A$51:A$88,0)+ROW(Score!A$50))</f>
        <v>70</v>
      </c>
      <c r="C126" s="352" t="str">
        <f t="shared" ca="1" si="34"/>
        <v>761</v>
      </c>
      <c r="D126" s="351">
        <f t="shared" ca="1" si="34"/>
        <v>0</v>
      </c>
      <c r="E126" s="350">
        <f ca="1">IF(B126="","",SUM(D126,D127))</f>
        <v>0</v>
      </c>
      <c r="F126" s="350">
        <f ca="1">IF(B126="","",E126-U126)</f>
        <v>-10</v>
      </c>
      <c r="G126" s="353">
        <f ca="1">IF($B126="","",IF(ISBLANK(INDIRECT(ADDRESS($B126,G$1,1,,"Score"))),"",1))</f>
        <v>1</v>
      </c>
      <c r="H126" s="353" t="str">
        <f ca="1">IF($B126="","",IF(ISBLANK(INDIRECT(ADDRESS($B126,H$1,1,,"Score"))),"",1))</f>
        <v/>
      </c>
      <c r="I126" s="355" t="str">
        <f ca="1">IF(H126=1,F126,"")</f>
        <v/>
      </c>
      <c r="J126" s="353" t="str">
        <f t="shared" ca="1" si="35"/>
        <v/>
      </c>
      <c r="K126" s="353" t="str">
        <f t="shared" ca="1" si="35"/>
        <v/>
      </c>
      <c r="L126" s="353">
        <f t="shared" ca="1" si="35"/>
        <v>1</v>
      </c>
      <c r="M126" s="351">
        <f t="shared" ca="1" si="36"/>
        <v>0</v>
      </c>
      <c r="N126" s="350">
        <f ca="1">IF(ISNA(MATCH($A126,'Game Clock'!A$62:A$91,0)),"",INDIRECT(ADDRESS(MATCH($A126,'Game Clock'!A$62:A$91,0)+ROW('Game Clock'!A$61),N$1,1,,"Game Clock")))</f>
        <v>0</v>
      </c>
      <c r="O126" s="350" t="str">
        <f ca="1">IF(OR(N126="",N126=0),"",60*E126/N126)</f>
        <v/>
      </c>
      <c r="P126" s="329"/>
      <c r="Q126" s="350">
        <f>Q124+1</f>
        <v>20</v>
      </c>
      <c r="R126" s="351">
        <f>IF(ISNA(MATCH($Q126,Score!T$51:T$88,0)),"",MATCH($Q126,Score!T$51:T$88,0)+ROW(Score!T$50) )</f>
        <v>70</v>
      </c>
      <c r="S126" s="352" t="str">
        <f t="shared" ca="1" si="37"/>
        <v>22</v>
      </c>
      <c r="T126" s="351">
        <f t="shared" ca="1" si="37"/>
        <v>10</v>
      </c>
      <c r="U126" s="350">
        <f ca="1">IF(R126="","",SUM(T126,T127))</f>
        <v>10</v>
      </c>
      <c r="V126" s="350">
        <f ca="1">IF(R126="","",U126-E126)</f>
        <v>10</v>
      </c>
      <c r="W126" s="353" t="str">
        <f ca="1">IF($R126="","",IF(ISBLANK(INDIRECT(ADDRESS($R126,W$1,1,,"Score"))),"",1))</f>
        <v/>
      </c>
      <c r="X126" s="353">
        <f ca="1">IF($R126="","",IF(ISBLANK(INDIRECT(ADDRESS($R126,X$1,1,,"Score"))),"",1))</f>
        <v>1</v>
      </c>
      <c r="Y126" s="355">
        <f ca="1">IF(X126=1,V126,"")</f>
        <v>10</v>
      </c>
      <c r="Z126" s="353">
        <f t="shared" ca="1" si="38"/>
        <v>1</v>
      </c>
      <c r="AA126" s="353" t="str">
        <f t="shared" ca="1" si="38"/>
        <v/>
      </c>
      <c r="AB126" s="353" t="str">
        <f t="shared" ca="1" si="38"/>
        <v/>
      </c>
      <c r="AC126" s="351">
        <f t="shared" ca="1" si="39"/>
        <v>2</v>
      </c>
      <c r="AD126" s="350">
        <f ca="1">N126</f>
        <v>0</v>
      </c>
      <c r="AE126" s="350" t="str">
        <f ca="1">IF(OR(AD126="",AD126=0),"",60*U126/AD126)</f>
        <v/>
      </c>
    </row>
    <row r="127" spans="1:31" x14ac:dyDescent="0.3">
      <c r="A127" s="350"/>
      <c r="B127" s="351" t="str">
        <f ca="1">IF($B126="","",IF(INDIRECT(ADDRESS($B126+1,C$1-1,1,,"Score"))="SP",$B126+1,""))</f>
        <v/>
      </c>
      <c r="C127" s="352" t="str">
        <f t="shared" ca="1" si="34"/>
        <v/>
      </c>
      <c r="D127" s="351" t="str">
        <f t="shared" ca="1" si="34"/>
        <v/>
      </c>
      <c r="E127" s="350"/>
      <c r="F127" s="350"/>
      <c r="G127" s="353"/>
      <c r="H127" s="354"/>
      <c r="I127" s="355"/>
      <c r="J127" s="353" t="str">
        <f t="shared" ca="1" si="35"/>
        <v/>
      </c>
      <c r="K127" s="353" t="str">
        <f t="shared" ca="1" si="35"/>
        <v/>
      </c>
      <c r="L127" s="353" t="str">
        <f t="shared" ca="1" si="35"/>
        <v/>
      </c>
      <c r="M127" s="351" t="str">
        <f t="shared" ca="1" si="36"/>
        <v/>
      </c>
      <c r="N127" s="350"/>
      <c r="O127" s="350"/>
      <c r="P127" s="329"/>
      <c r="Q127" s="350"/>
      <c r="R127" s="351" t="str">
        <f ca="1">IF($R126="","",IF(INDIRECT(ADDRESS($R126+1,S$1-1,1,,"Score"))="SP",$R126+1,""))</f>
        <v/>
      </c>
      <c r="S127" s="352" t="str">
        <f t="shared" ca="1" si="37"/>
        <v/>
      </c>
      <c r="T127" s="351" t="str">
        <f t="shared" ca="1" si="37"/>
        <v/>
      </c>
      <c r="U127" s="350"/>
      <c r="V127" s="350"/>
      <c r="W127" s="353"/>
      <c r="X127" s="354"/>
      <c r="Y127" s="355"/>
      <c r="Z127" s="353" t="str">
        <f t="shared" ca="1" si="38"/>
        <v/>
      </c>
      <c r="AA127" s="353" t="str">
        <f t="shared" ca="1" si="38"/>
        <v/>
      </c>
      <c r="AB127" s="353" t="str">
        <f t="shared" ca="1" si="38"/>
        <v/>
      </c>
      <c r="AC127" s="351" t="str">
        <f t="shared" ca="1" si="39"/>
        <v/>
      </c>
      <c r="AD127" s="350"/>
      <c r="AE127" s="350"/>
    </row>
    <row r="128" spans="1:31" x14ac:dyDescent="0.25">
      <c r="A128" s="331">
        <f>A126+1</f>
        <v>21</v>
      </c>
      <c r="B128" s="329">
        <f>IF(ISNA(MATCH($A128,Score!A$51:A$88,0)),"",MATCH($A128,Score!A$51:A$88,0)+ROW(Score!A$50))</f>
        <v>71</v>
      </c>
      <c r="C128" s="330" t="str">
        <f t="shared" ref="C128:D143" ca="1" si="40">IF($B128="","",INDIRECT(ADDRESS($B128,C$1,1,,"Score")))</f>
        <v>23</v>
      </c>
      <c r="D128" s="329">
        <f t="shared" ca="1" si="40"/>
        <v>0</v>
      </c>
      <c r="E128" s="331">
        <f ca="1">IF(B128="","",SUM(D128,D129))</f>
        <v>0</v>
      </c>
      <c r="F128" s="331">
        <f ca="1">IF(B128="","",E128-U128)</f>
        <v>0</v>
      </c>
      <c r="G128" s="359" t="str">
        <f ca="1">IF($B128="","",IF(ISBLANK(INDIRECT(ADDRESS($B128,G$1,1,,"Score"))),"",1))</f>
        <v/>
      </c>
      <c r="H128" s="359" t="str">
        <f ca="1">IF($B128="","",IF(ISBLANK(INDIRECT(ADDRESS($B128,H$1,1,,"Score"))),"",1))</f>
        <v/>
      </c>
      <c r="I128" s="349" t="str">
        <f ca="1">IF(H128=1,F128,"")</f>
        <v/>
      </c>
      <c r="J128" s="359" t="str">
        <f t="shared" ref="J128:L143" ca="1" si="41">IF($B128="","",IF(ISBLANK(INDIRECT(ADDRESS($B128,J$1,1,,"Score"))),"",1))</f>
        <v/>
      </c>
      <c r="K128" s="359" t="str">
        <f t="shared" ca="1" si="41"/>
        <v/>
      </c>
      <c r="L128" s="359" t="str">
        <f t="shared" ca="1" si="41"/>
        <v/>
      </c>
      <c r="M128" s="329">
        <f t="shared" ref="M128:M143" ca="1" si="42">IF($B128="","",INDIRECT(ADDRESS($B128,M$1,1,,"Score")))</f>
        <v>1</v>
      </c>
      <c r="N128" s="231">
        <f ca="1">IF(ISNA(MATCH($A128,'Game Clock'!A$62:A$91,0)),"",INDIRECT(ADDRESS(MATCH($A128,'Game Clock'!A$62:A$91,0)+ROW('Game Clock'!A$61),N$1,1,,"Game Clock")))</f>
        <v>0</v>
      </c>
      <c r="O128" s="231" t="str">
        <f ca="1">IF(OR(N128="",N128=0),"",60*E128/N128)</f>
        <v/>
      </c>
      <c r="P128" s="329"/>
      <c r="Q128" s="331">
        <f>Q126+1</f>
        <v>21</v>
      </c>
      <c r="R128" s="329">
        <f>IF(ISNA(MATCH($Q128,Score!T$51:T$88,0)),"",MATCH($Q128,Score!T$51:T$88,0)+ROW(Score!T$50) )</f>
        <v>71</v>
      </c>
      <c r="S128" s="330" t="str">
        <f t="shared" ref="S128:T143" ca="1" si="43">IF($R128="","",INDIRECT(ADDRESS($R128,S$1,1,,"Score")))</f>
        <v>69</v>
      </c>
      <c r="T128" s="329">
        <f t="shared" ca="1" si="43"/>
        <v>0</v>
      </c>
      <c r="U128" s="331">
        <f ca="1">IF(R128="","",SUM(T128,T129))</f>
        <v>0</v>
      </c>
      <c r="V128" s="331">
        <f ca="1">IF(R128="","",U128-E128)</f>
        <v>0</v>
      </c>
      <c r="W128" s="359" t="str">
        <f ca="1">IF($R128="","",IF(ISBLANK(INDIRECT(ADDRESS($R128,W$1,1,,"Score"))),"",1))</f>
        <v/>
      </c>
      <c r="X128" s="359">
        <f ca="1">IF($R128="","",IF(ISBLANK(INDIRECT(ADDRESS($R128,X$1,1,,"Score"))),"",1))</f>
        <v>1</v>
      </c>
      <c r="Y128" s="349">
        <f ca="1">IF(X128=1,V128,"")</f>
        <v>0</v>
      </c>
      <c r="Z128" s="359">
        <f t="shared" ref="Z128:AB143" ca="1" si="44">IF($R128="","",IF(ISBLANK(INDIRECT(ADDRESS($R128,Z$1,1,,"Score"))),"",1))</f>
        <v>1</v>
      </c>
      <c r="AA128" s="359" t="str">
        <f t="shared" ca="1" si="44"/>
        <v/>
      </c>
      <c r="AB128" s="359">
        <f t="shared" ca="1" si="44"/>
        <v>1</v>
      </c>
      <c r="AC128" s="329">
        <f t="shared" ref="AC128:AC143" ca="1" si="45">IF($R128="","",INDIRECT(ADDRESS($R128,AC$1,1,,"Score")))</f>
        <v>0</v>
      </c>
      <c r="AD128" s="231">
        <f ca="1">N128</f>
        <v>0</v>
      </c>
      <c r="AE128" s="231" t="str">
        <f ca="1">IF(OR(AD128="",AD128=0),"",60*U128/AD128)</f>
        <v/>
      </c>
    </row>
    <row r="129" spans="1:31" x14ac:dyDescent="0.25">
      <c r="A129" s="331"/>
      <c r="B129" s="329" t="str">
        <f ca="1">IF($B128="","",IF(INDIRECT(ADDRESS($B128+1,C$1-1,1,,"Score"))="SP",$B128+1,""))</f>
        <v/>
      </c>
      <c r="C129" s="330" t="str">
        <f t="shared" ca="1" si="40"/>
        <v/>
      </c>
      <c r="D129" s="329" t="str">
        <f t="shared" ca="1" si="40"/>
        <v/>
      </c>
      <c r="E129" s="331"/>
      <c r="F129" s="331"/>
      <c r="G129" s="359"/>
      <c r="H129" s="359"/>
      <c r="I129" s="349"/>
      <c r="J129" s="359" t="str">
        <f t="shared" ca="1" si="41"/>
        <v/>
      </c>
      <c r="K129" s="359" t="str">
        <f t="shared" ca="1" si="41"/>
        <v/>
      </c>
      <c r="L129" s="359" t="str">
        <f t="shared" ca="1" si="41"/>
        <v/>
      </c>
      <c r="M129" s="329" t="str">
        <f t="shared" ca="1" si="42"/>
        <v/>
      </c>
      <c r="N129" s="231"/>
      <c r="O129" s="231"/>
      <c r="P129" s="329"/>
      <c r="Q129" s="331"/>
      <c r="R129" s="329" t="str">
        <f ca="1">IF($R128="","",IF(INDIRECT(ADDRESS($R128+1,S$1-1,1,,"Score"))="SP",$R128+1,""))</f>
        <v/>
      </c>
      <c r="S129" s="330" t="str">
        <f t="shared" ca="1" si="43"/>
        <v/>
      </c>
      <c r="T129" s="329" t="str">
        <f t="shared" ca="1" si="43"/>
        <v/>
      </c>
      <c r="U129" s="331"/>
      <c r="V129" s="331"/>
      <c r="W129" s="359"/>
      <c r="X129" s="359"/>
      <c r="Y129" s="349"/>
      <c r="Z129" s="359" t="str">
        <f t="shared" ca="1" si="44"/>
        <v/>
      </c>
      <c r="AA129" s="359" t="str">
        <f t="shared" ca="1" si="44"/>
        <v/>
      </c>
      <c r="AB129" s="359" t="str">
        <f t="shared" ca="1" si="44"/>
        <v/>
      </c>
      <c r="AC129" s="329" t="str">
        <f t="shared" ca="1" si="45"/>
        <v/>
      </c>
      <c r="AD129" s="231"/>
      <c r="AE129" s="231"/>
    </row>
    <row r="130" spans="1:31" x14ac:dyDescent="0.25">
      <c r="A130" s="350">
        <f>A128+1</f>
        <v>22</v>
      </c>
      <c r="B130" s="351">
        <f>IF(ISNA(MATCH($A130,Score!A$51:A$88,0)),"",MATCH($A130,Score!A$51:A$88,0)+ROW(Score!A$50))</f>
        <v>72</v>
      </c>
      <c r="C130" s="352" t="str">
        <f t="shared" ca="1" si="40"/>
        <v>911</v>
      </c>
      <c r="D130" s="351">
        <f t="shared" ca="1" si="40"/>
        <v>4</v>
      </c>
      <c r="E130" s="350">
        <f ca="1">IF(B130="","",SUM(D130,D131))</f>
        <v>4</v>
      </c>
      <c r="F130" s="350">
        <f ca="1">IF(B130="","",E130-U130)</f>
        <v>1</v>
      </c>
      <c r="G130" s="353" t="str">
        <f ca="1">IF($B130="","",IF(ISBLANK(INDIRECT(ADDRESS($B130,G$1,1,,"Score"))),"",1))</f>
        <v/>
      </c>
      <c r="H130" s="353" t="str">
        <f ca="1">IF($B130="","",IF(ISBLANK(INDIRECT(ADDRESS($B130,H$1,1,,"Score"))),"",1))</f>
        <v/>
      </c>
      <c r="I130" s="355" t="str">
        <f ca="1">IF(H130=1,F130,"")</f>
        <v/>
      </c>
      <c r="J130" s="353" t="str">
        <f t="shared" ca="1" si="41"/>
        <v/>
      </c>
      <c r="K130" s="353" t="str">
        <f t="shared" ca="1" si="41"/>
        <v/>
      </c>
      <c r="L130" s="353" t="str">
        <f t="shared" ca="1" si="41"/>
        <v/>
      </c>
      <c r="M130" s="351">
        <f t="shared" ca="1" si="42"/>
        <v>1</v>
      </c>
      <c r="N130" s="350">
        <f ca="1">IF(ISNA(MATCH($A130,'Game Clock'!A$62:A$91,0)),"",INDIRECT(ADDRESS(MATCH($A130,'Game Clock'!A$62:A$91,0)+ROW('Game Clock'!A$61),N$1,1,,"Game Clock")))</f>
        <v>0</v>
      </c>
      <c r="O130" s="350" t="str">
        <f ca="1">IF(OR(N130="",N130=0),"",60*E130/N130)</f>
        <v/>
      </c>
      <c r="P130" s="329"/>
      <c r="Q130" s="350">
        <f>Q128+1</f>
        <v>22</v>
      </c>
      <c r="R130" s="351">
        <f>IF(ISNA(MATCH($Q130,Score!T$51:T$88,0)),"",MATCH($Q130,Score!T$51:T$88,0)+ROW(Score!T$50) )</f>
        <v>72</v>
      </c>
      <c r="S130" s="352" t="str">
        <f t="shared" ca="1" si="43"/>
        <v>22</v>
      </c>
      <c r="T130" s="351">
        <f t="shared" ca="1" si="43"/>
        <v>3</v>
      </c>
      <c r="U130" s="350">
        <f ca="1">IF(R130="","",SUM(T130,T131))</f>
        <v>3</v>
      </c>
      <c r="V130" s="350">
        <f ca="1">IF(R130="","",U130-E130)</f>
        <v>-1</v>
      </c>
      <c r="W130" s="353" t="str">
        <f ca="1">IF($R130="","",IF(ISBLANK(INDIRECT(ADDRESS($R130,W$1,1,,"Score"))),"",1))</f>
        <v/>
      </c>
      <c r="X130" s="353">
        <f ca="1">IF($R130="","",IF(ISBLANK(INDIRECT(ADDRESS($R130,X$1,1,,"Score"))),"",1))</f>
        <v>1</v>
      </c>
      <c r="Y130" s="355">
        <f ca="1">IF(X130=1,V130,"")</f>
        <v>-1</v>
      </c>
      <c r="Z130" s="353">
        <f t="shared" ca="1" si="44"/>
        <v>1</v>
      </c>
      <c r="AA130" s="353" t="str">
        <f t="shared" ca="1" si="44"/>
        <v/>
      </c>
      <c r="AB130" s="353" t="str">
        <f t="shared" ca="1" si="44"/>
        <v/>
      </c>
      <c r="AC130" s="351">
        <f t="shared" ca="1" si="45"/>
        <v>1</v>
      </c>
      <c r="AD130" s="350">
        <f ca="1">N130</f>
        <v>0</v>
      </c>
      <c r="AE130" s="350" t="str">
        <f ca="1">IF(OR(AD130="",AD130=0),"",60*U130/AD130)</f>
        <v/>
      </c>
    </row>
    <row r="131" spans="1:31" x14ac:dyDescent="0.3">
      <c r="A131" s="350"/>
      <c r="B131" s="351" t="str">
        <f ca="1">IF($B130="","",IF(INDIRECT(ADDRESS($B130+1,C$1-1,1,,"Score"))="SP",$B130+1,""))</f>
        <v/>
      </c>
      <c r="C131" s="352" t="str">
        <f t="shared" ca="1" si="40"/>
        <v/>
      </c>
      <c r="D131" s="351" t="str">
        <f t="shared" ca="1" si="40"/>
        <v/>
      </c>
      <c r="E131" s="350"/>
      <c r="F131" s="350"/>
      <c r="G131" s="353"/>
      <c r="H131" s="354"/>
      <c r="I131" s="355"/>
      <c r="J131" s="353" t="str">
        <f t="shared" ca="1" si="41"/>
        <v/>
      </c>
      <c r="K131" s="353" t="str">
        <f t="shared" ca="1" si="41"/>
        <v/>
      </c>
      <c r="L131" s="353" t="str">
        <f t="shared" ca="1" si="41"/>
        <v/>
      </c>
      <c r="M131" s="351" t="str">
        <f t="shared" ca="1" si="42"/>
        <v/>
      </c>
      <c r="N131" s="350"/>
      <c r="O131" s="350"/>
      <c r="P131" s="329"/>
      <c r="Q131" s="350"/>
      <c r="R131" s="351" t="str">
        <f ca="1">IF($R130="","",IF(INDIRECT(ADDRESS($R130+1,S$1-1,1,,"Score"))="SP",$R130+1,""))</f>
        <v/>
      </c>
      <c r="S131" s="352" t="str">
        <f t="shared" ca="1" si="43"/>
        <v/>
      </c>
      <c r="T131" s="351" t="str">
        <f t="shared" ca="1" si="43"/>
        <v/>
      </c>
      <c r="U131" s="350"/>
      <c r="V131" s="350"/>
      <c r="W131" s="353"/>
      <c r="X131" s="354"/>
      <c r="Y131" s="355"/>
      <c r="Z131" s="353" t="str">
        <f t="shared" ca="1" si="44"/>
        <v/>
      </c>
      <c r="AA131" s="353" t="str">
        <f t="shared" ca="1" si="44"/>
        <v/>
      </c>
      <c r="AB131" s="353" t="str">
        <f t="shared" ca="1" si="44"/>
        <v/>
      </c>
      <c r="AC131" s="351" t="str">
        <f t="shared" ca="1" si="45"/>
        <v/>
      </c>
      <c r="AD131" s="350"/>
      <c r="AE131" s="350"/>
    </row>
    <row r="132" spans="1:31" x14ac:dyDescent="0.25">
      <c r="A132" s="331">
        <f>A130+1</f>
        <v>23</v>
      </c>
      <c r="B132" s="329">
        <f>IF(ISNA(MATCH($A132,Score!A$51:A$88,0)),"",MATCH($A132,Score!A$51:A$88,0)+ROW(Score!A$50))</f>
        <v>73</v>
      </c>
      <c r="C132" s="330" t="str">
        <f t="shared" ca="1" si="40"/>
        <v>1618</v>
      </c>
      <c r="D132" s="329">
        <f t="shared" ca="1" si="40"/>
        <v>8</v>
      </c>
      <c r="E132" s="331">
        <f ca="1">IF(B132="","",SUM(D132,D133))</f>
        <v>8</v>
      </c>
      <c r="F132" s="331">
        <f ca="1">IF(B132="","",E132-U132)</f>
        <v>4</v>
      </c>
      <c r="G132" s="359" t="str">
        <f ca="1">IF($B132="","",IF(ISBLANK(INDIRECT(ADDRESS($B132,G$1,1,,"Score"))),"",1))</f>
        <v/>
      </c>
      <c r="H132" s="359" t="str">
        <f ca="1">IF($B132="","",IF(ISBLANK(INDIRECT(ADDRESS($B132,H$1,1,,"Score"))),"",1))</f>
        <v/>
      </c>
      <c r="I132" s="349" t="str">
        <f ca="1">IF(H132=1,F132,"")</f>
        <v/>
      </c>
      <c r="J132" s="359" t="str">
        <f t="shared" ca="1" si="41"/>
        <v/>
      </c>
      <c r="K132" s="359" t="str">
        <f t="shared" ca="1" si="41"/>
        <v/>
      </c>
      <c r="L132" s="359" t="str">
        <f t="shared" ca="1" si="41"/>
        <v/>
      </c>
      <c r="M132" s="329">
        <f t="shared" ca="1" si="42"/>
        <v>2</v>
      </c>
      <c r="N132" s="231">
        <f ca="1">IF(ISNA(MATCH($A132,'Game Clock'!A$62:A$91,0)),"",INDIRECT(ADDRESS(MATCH($A132,'Game Clock'!A$62:A$91,0)+ROW('Game Clock'!A$61),N$1,1,,"Game Clock")))</f>
        <v>0</v>
      </c>
      <c r="O132" s="231" t="str">
        <f ca="1">IF(OR(N132="",N132=0),"",60*E132/N132)</f>
        <v/>
      </c>
      <c r="P132" s="329"/>
      <c r="Q132" s="331">
        <f>Q130+1</f>
        <v>23</v>
      </c>
      <c r="R132" s="329">
        <f>IF(ISNA(MATCH($Q132,Score!T$51:T$88,0)),"",MATCH($Q132,Score!T$51:T$88,0)+ROW(Score!T$50) )</f>
        <v>73</v>
      </c>
      <c r="S132" s="330" t="str">
        <f t="shared" ca="1" si="43"/>
        <v>69</v>
      </c>
      <c r="T132" s="329">
        <f t="shared" ca="1" si="43"/>
        <v>4</v>
      </c>
      <c r="U132" s="331">
        <f ca="1">IF(R132="","",SUM(T132,T133))</f>
        <v>4</v>
      </c>
      <c r="V132" s="331">
        <f ca="1">IF(R132="","",U132-E132)</f>
        <v>-4</v>
      </c>
      <c r="W132" s="359" t="str">
        <f ca="1">IF($R132="","",IF(ISBLANK(INDIRECT(ADDRESS($R132,W$1,1,,"Score"))),"",1))</f>
        <v/>
      </c>
      <c r="X132" s="359">
        <f ca="1">IF($R132="","",IF(ISBLANK(INDIRECT(ADDRESS($R132,X$1,1,,"Score"))),"",1))</f>
        <v>1</v>
      </c>
      <c r="Y132" s="349">
        <f ca="1">IF(X132=1,V132,"")</f>
        <v>-4</v>
      </c>
      <c r="Z132" s="359">
        <f t="shared" ca="1" si="44"/>
        <v>1</v>
      </c>
      <c r="AA132" s="359" t="str">
        <f t="shared" ca="1" si="44"/>
        <v/>
      </c>
      <c r="AB132" s="359" t="str">
        <f t="shared" ca="1" si="44"/>
        <v/>
      </c>
      <c r="AC132" s="329">
        <f t="shared" ca="1" si="45"/>
        <v>1</v>
      </c>
      <c r="AD132" s="231">
        <f ca="1">N132</f>
        <v>0</v>
      </c>
      <c r="AE132" s="231" t="str">
        <f ca="1">IF(OR(AD132="",AD132=0),"",60*U132/AD132)</f>
        <v/>
      </c>
    </row>
    <row r="133" spans="1:31" x14ac:dyDescent="0.25">
      <c r="A133" s="331"/>
      <c r="B133" s="329" t="str">
        <f ca="1">IF($B132="","",IF(INDIRECT(ADDRESS($B132+1,C$1-1,1,,"Score"))="SP",$B132+1,""))</f>
        <v/>
      </c>
      <c r="C133" s="330" t="str">
        <f t="shared" ca="1" si="40"/>
        <v/>
      </c>
      <c r="D133" s="329" t="str">
        <f t="shared" ca="1" si="40"/>
        <v/>
      </c>
      <c r="E133" s="331"/>
      <c r="F133" s="331"/>
      <c r="G133" s="359"/>
      <c r="H133" s="359"/>
      <c r="I133" s="349"/>
      <c r="J133" s="359" t="str">
        <f t="shared" ca="1" si="41"/>
        <v/>
      </c>
      <c r="K133" s="359" t="str">
        <f t="shared" ca="1" si="41"/>
        <v/>
      </c>
      <c r="L133" s="359" t="str">
        <f t="shared" ca="1" si="41"/>
        <v/>
      </c>
      <c r="M133" s="329" t="str">
        <f t="shared" ca="1" si="42"/>
        <v/>
      </c>
      <c r="N133" s="231"/>
      <c r="O133" s="231"/>
      <c r="P133" s="329"/>
      <c r="Q133" s="331"/>
      <c r="R133" s="329" t="str">
        <f ca="1">IF($R132="","",IF(INDIRECT(ADDRESS($R132+1,S$1-1,1,,"Score"))="SP",$R132+1,""))</f>
        <v/>
      </c>
      <c r="S133" s="330" t="str">
        <f t="shared" ca="1" si="43"/>
        <v/>
      </c>
      <c r="T133" s="329" t="str">
        <f t="shared" ca="1" si="43"/>
        <v/>
      </c>
      <c r="U133" s="331"/>
      <c r="V133" s="331"/>
      <c r="W133" s="359"/>
      <c r="X133" s="359"/>
      <c r="Y133" s="349"/>
      <c r="Z133" s="359" t="str">
        <f t="shared" ca="1" si="44"/>
        <v/>
      </c>
      <c r="AA133" s="359" t="str">
        <f t="shared" ca="1" si="44"/>
        <v/>
      </c>
      <c r="AB133" s="359" t="str">
        <f t="shared" ca="1" si="44"/>
        <v/>
      </c>
      <c r="AC133" s="329" t="str">
        <f t="shared" ca="1" si="45"/>
        <v/>
      </c>
      <c r="AD133" s="231"/>
      <c r="AE133" s="231"/>
    </row>
    <row r="134" spans="1:31" x14ac:dyDescent="0.25">
      <c r="A134" s="350">
        <f>A132+1</f>
        <v>24</v>
      </c>
      <c r="B134" s="351">
        <f>IF(ISNA(MATCH($A134,Score!A$51:A$88,0)),"",MATCH($A134,Score!A$51:A$88,0)+ROW(Score!A$50))</f>
        <v>74</v>
      </c>
      <c r="C134" s="352" t="str">
        <f t="shared" ca="1" si="40"/>
        <v>761</v>
      </c>
      <c r="D134" s="351">
        <f t="shared" ca="1" si="40"/>
        <v>10</v>
      </c>
      <c r="E134" s="350">
        <f ca="1">IF(B134="","",SUM(D134,D135))</f>
        <v>21</v>
      </c>
      <c r="F134" s="350">
        <f ca="1">IF(B134="","",E134-U134)</f>
        <v>21</v>
      </c>
      <c r="G134" s="353">
        <f ca="1">IF($B134="","",IF(ISBLANK(INDIRECT(ADDRESS($B134,G$1,1,,"Score"))),"",1))</f>
        <v>1</v>
      </c>
      <c r="H134" s="353">
        <f ca="1">IF($B134="","",IF(ISBLANK(INDIRECT(ADDRESS($B134,H$1,1,,"Score"))),"",1))</f>
        <v>1</v>
      </c>
      <c r="I134" s="355">
        <f ca="1">IF(H134=1,F134,"")</f>
        <v>21</v>
      </c>
      <c r="J134" s="353" t="str">
        <f t="shared" ca="1" si="41"/>
        <v/>
      </c>
      <c r="K134" s="353" t="str">
        <f t="shared" ca="1" si="41"/>
        <v/>
      </c>
      <c r="L134" s="353" t="str">
        <f t="shared" ca="1" si="41"/>
        <v/>
      </c>
      <c r="M134" s="351">
        <f t="shared" ca="1" si="42"/>
        <v>2</v>
      </c>
      <c r="N134" s="350">
        <f ca="1">IF(ISNA(MATCH($A134,'Game Clock'!A$62:A$91,0)),"",INDIRECT(ADDRESS(MATCH($A134,'Game Clock'!A$62:A$91,0)+ROW('Game Clock'!A$61),N$1,1,,"Game Clock")))</f>
        <v>0</v>
      </c>
      <c r="O134" s="350" t="str">
        <f ca="1">IF(OR(N134="",N134=0),"",60*E134/N134)</f>
        <v/>
      </c>
      <c r="P134" s="329"/>
      <c r="Q134" s="350">
        <f>Q132+1</f>
        <v>24</v>
      </c>
      <c r="R134" s="351">
        <f>IF(ISNA(MATCH($Q134,Score!T$51:T$88,0)),"",MATCH($Q134,Score!T$51:T$88,0)+ROW(Score!T$50) )</f>
        <v>74</v>
      </c>
      <c r="S134" s="352" t="str">
        <f t="shared" ca="1" si="43"/>
        <v>22</v>
      </c>
      <c r="T134" s="351">
        <f t="shared" ca="1" si="43"/>
        <v>0</v>
      </c>
      <c r="U134" s="350">
        <f ca="1">IF(R134="","",SUM(T134,T135))</f>
        <v>0</v>
      </c>
      <c r="V134" s="350">
        <f ca="1">IF(R134="","",U134-E134)</f>
        <v>-21</v>
      </c>
      <c r="W134" s="353" t="str">
        <f ca="1">IF($R134="","",IF(ISBLANK(INDIRECT(ADDRESS($R134,W$1,1,,"Score"))),"",1))</f>
        <v/>
      </c>
      <c r="X134" s="353" t="str">
        <f ca="1">IF($R134="","",IF(ISBLANK(INDIRECT(ADDRESS($R134,X$1,1,,"Score"))),"",1))</f>
        <v/>
      </c>
      <c r="Y134" s="355" t="str">
        <f ca="1">IF(X134=1,V134,"")</f>
        <v/>
      </c>
      <c r="Z134" s="353" t="str">
        <f t="shared" ca="1" si="44"/>
        <v/>
      </c>
      <c r="AA134" s="353" t="str">
        <f t="shared" ca="1" si="44"/>
        <v/>
      </c>
      <c r="AB134" s="353" t="str">
        <f t="shared" ca="1" si="44"/>
        <v/>
      </c>
      <c r="AC134" s="351">
        <f t="shared" ca="1" si="45"/>
        <v>1</v>
      </c>
      <c r="AD134" s="350">
        <f ca="1">N134</f>
        <v>0</v>
      </c>
      <c r="AE134" s="350" t="str">
        <f ca="1">IF(OR(AD134="",AD134=0),"",60*U134/AD134)</f>
        <v/>
      </c>
    </row>
    <row r="135" spans="1:31" x14ac:dyDescent="0.3">
      <c r="A135" s="350"/>
      <c r="B135" s="351">
        <f ca="1">IF($B134="","",IF(INDIRECT(ADDRESS($B134+1,C$1-1,1,,"Score"))="SP",$B134+1,""))</f>
        <v>75</v>
      </c>
      <c r="C135" s="352" t="str">
        <f t="shared" ca="1" si="40"/>
        <v>12</v>
      </c>
      <c r="D135" s="351">
        <f t="shared" ca="1" si="40"/>
        <v>11</v>
      </c>
      <c r="E135" s="350"/>
      <c r="F135" s="350"/>
      <c r="G135" s="353"/>
      <c r="H135" s="354"/>
      <c r="I135" s="355"/>
      <c r="J135" s="353" t="str">
        <f t="shared" ca="1" si="41"/>
        <v/>
      </c>
      <c r="K135" s="353" t="str">
        <f t="shared" ca="1" si="41"/>
        <v/>
      </c>
      <c r="L135" s="353" t="str">
        <f t="shared" ca="1" si="41"/>
        <v/>
      </c>
      <c r="M135" s="351">
        <f t="shared" ca="1" si="42"/>
        <v>3</v>
      </c>
      <c r="N135" s="350"/>
      <c r="O135" s="350"/>
      <c r="P135" s="329"/>
      <c r="Q135" s="350"/>
      <c r="R135" s="351" t="str">
        <f ca="1">IF($R134="","",IF(INDIRECT(ADDRESS($R134+1,S$1-1,1,,"Score"))="SP",$R134+1,""))</f>
        <v/>
      </c>
      <c r="S135" s="352" t="str">
        <f t="shared" ca="1" si="43"/>
        <v/>
      </c>
      <c r="T135" s="351" t="str">
        <f t="shared" ca="1" si="43"/>
        <v/>
      </c>
      <c r="U135" s="350"/>
      <c r="V135" s="350"/>
      <c r="W135" s="353"/>
      <c r="X135" s="354"/>
      <c r="Y135" s="355"/>
      <c r="Z135" s="353" t="str">
        <f t="shared" ca="1" si="44"/>
        <v/>
      </c>
      <c r="AA135" s="353" t="str">
        <f t="shared" ca="1" si="44"/>
        <v/>
      </c>
      <c r="AB135" s="353" t="str">
        <f t="shared" ca="1" si="44"/>
        <v/>
      </c>
      <c r="AC135" s="351" t="str">
        <f t="shared" ca="1" si="45"/>
        <v/>
      </c>
      <c r="AD135" s="350"/>
      <c r="AE135" s="350"/>
    </row>
    <row r="136" spans="1:31" x14ac:dyDescent="0.25">
      <c r="A136" s="331">
        <f>A134+1</f>
        <v>25</v>
      </c>
      <c r="B136" s="329" t="str">
        <f>IF(ISNA(MATCH($A136,Score!A$51:A$88,0)),"",MATCH($A136,Score!A$51:A$88,0)+ROW(Score!A$50))</f>
        <v/>
      </c>
      <c r="C136" s="330" t="str">
        <f t="shared" ca="1" si="40"/>
        <v/>
      </c>
      <c r="D136" s="329" t="str">
        <f t="shared" ca="1" si="40"/>
        <v/>
      </c>
      <c r="E136" s="331" t="str">
        <f>IF(B136="","",SUM(D136,D137))</f>
        <v/>
      </c>
      <c r="F136" s="331" t="str">
        <f>IF(B136="","",E136-U136)</f>
        <v/>
      </c>
      <c r="G136" s="359" t="str">
        <f ca="1">IF($B136="","",IF(ISBLANK(INDIRECT(ADDRESS($B136,G$1,1,,"Score"))),"",1))</f>
        <v/>
      </c>
      <c r="H136" s="359" t="str">
        <f ca="1">IF($B136="","",IF(ISBLANK(INDIRECT(ADDRESS($B136,H$1,1,,"Score"))),"",1))</f>
        <v/>
      </c>
      <c r="I136" s="349" t="str">
        <f ca="1">IF(H136=1,F136,"")</f>
        <v/>
      </c>
      <c r="J136" s="359" t="str">
        <f t="shared" ca="1" si="41"/>
        <v/>
      </c>
      <c r="K136" s="359" t="str">
        <f t="shared" ca="1" si="41"/>
        <v/>
      </c>
      <c r="L136" s="359" t="str">
        <f t="shared" ca="1" si="41"/>
        <v/>
      </c>
      <c r="M136" s="329" t="str">
        <f t="shared" ca="1" si="42"/>
        <v/>
      </c>
      <c r="N136" s="231" t="str">
        <f ca="1">IF(ISNA(MATCH($A136,'Game Clock'!A$62:A$91,0)),"",INDIRECT(ADDRESS(MATCH($A136,'Game Clock'!A$62:A$91,0)+ROW('Game Clock'!A$61),N$1,1,,"Game Clock")))</f>
        <v/>
      </c>
      <c r="O136" s="231" t="str">
        <f ca="1">IF(OR(N136="",N136=0),"",60*E136/N136)</f>
        <v/>
      </c>
      <c r="P136" s="329"/>
      <c r="Q136" s="331">
        <f>Q134+1</f>
        <v>25</v>
      </c>
      <c r="R136" s="329" t="str">
        <f>IF(ISNA(MATCH($Q136,Score!T$51:T$88,0)),"",MATCH($Q136,Score!T$51:T$88,0)+ROW(Score!T$50) )</f>
        <v/>
      </c>
      <c r="S136" s="330" t="str">
        <f t="shared" ca="1" si="43"/>
        <v/>
      </c>
      <c r="T136" s="329" t="str">
        <f t="shared" ca="1" si="43"/>
        <v/>
      </c>
      <c r="U136" s="331" t="str">
        <f>IF(R136="","",SUM(T136,T137))</f>
        <v/>
      </c>
      <c r="V136" s="331" t="str">
        <f>IF(R136="","",U136-E136)</f>
        <v/>
      </c>
      <c r="W136" s="359" t="str">
        <f ca="1">IF($R136="","",IF(ISBLANK(INDIRECT(ADDRESS($R136,W$1,1,,"Score"))),"",1))</f>
        <v/>
      </c>
      <c r="X136" s="359" t="str">
        <f ca="1">IF($R136="","",IF(ISBLANK(INDIRECT(ADDRESS($R136,X$1,1,,"Score"))),"",1))</f>
        <v/>
      </c>
      <c r="Y136" s="349" t="str">
        <f ca="1">IF(X136=1,V136,"")</f>
        <v/>
      </c>
      <c r="Z136" s="359" t="str">
        <f t="shared" ca="1" si="44"/>
        <v/>
      </c>
      <c r="AA136" s="359" t="str">
        <f t="shared" ca="1" si="44"/>
        <v/>
      </c>
      <c r="AB136" s="359" t="str">
        <f t="shared" ca="1" si="44"/>
        <v/>
      </c>
      <c r="AC136" s="329" t="str">
        <f t="shared" ca="1" si="45"/>
        <v/>
      </c>
      <c r="AD136" s="231" t="str">
        <f ca="1">N136</f>
        <v/>
      </c>
      <c r="AE136" s="231" t="str">
        <f ca="1">IF(OR(AD136="",AD136=0),"",60*U136/AD136)</f>
        <v/>
      </c>
    </row>
    <row r="137" spans="1:31" x14ac:dyDescent="0.25">
      <c r="A137" s="331"/>
      <c r="B137" s="329" t="str">
        <f ca="1">IF($B136="","",IF(INDIRECT(ADDRESS($B136+1,C$1-1,1,,"Score"))="SP",$B136+1,""))</f>
        <v/>
      </c>
      <c r="C137" s="330" t="str">
        <f t="shared" ca="1" si="40"/>
        <v/>
      </c>
      <c r="D137" s="329" t="str">
        <f t="shared" ca="1" si="40"/>
        <v/>
      </c>
      <c r="E137" s="331"/>
      <c r="F137" s="331"/>
      <c r="G137" s="359"/>
      <c r="H137" s="359"/>
      <c r="I137" s="349"/>
      <c r="J137" s="359" t="str">
        <f t="shared" ca="1" si="41"/>
        <v/>
      </c>
      <c r="K137" s="359" t="str">
        <f t="shared" ca="1" si="41"/>
        <v/>
      </c>
      <c r="L137" s="359" t="str">
        <f t="shared" ca="1" si="41"/>
        <v/>
      </c>
      <c r="M137" s="329" t="str">
        <f t="shared" ca="1" si="42"/>
        <v/>
      </c>
      <c r="N137" s="231"/>
      <c r="O137" s="231"/>
      <c r="P137" s="329"/>
      <c r="Q137" s="331"/>
      <c r="R137" s="329" t="str">
        <f ca="1">IF($R136="","",IF(INDIRECT(ADDRESS($R136+1,S$1-1,1,,"Score"))="SP",$R136+1,""))</f>
        <v/>
      </c>
      <c r="S137" s="330" t="str">
        <f t="shared" ca="1" si="43"/>
        <v/>
      </c>
      <c r="T137" s="329" t="str">
        <f t="shared" ca="1" si="43"/>
        <v/>
      </c>
      <c r="U137" s="331"/>
      <c r="V137" s="331"/>
      <c r="W137" s="359"/>
      <c r="X137" s="359"/>
      <c r="Y137" s="349"/>
      <c r="Z137" s="359" t="str">
        <f t="shared" ca="1" si="44"/>
        <v/>
      </c>
      <c r="AA137" s="359" t="str">
        <f t="shared" ca="1" si="44"/>
        <v/>
      </c>
      <c r="AB137" s="359" t="str">
        <f t="shared" ca="1" si="44"/>
        <v/>
      </c>
      <c r="AC137" s="329" t="str">
        <f t="shared" ca="1" si="45"/>
        <v/>
      </c>
      <c r="AD137" s="231"/>
      <c r="AE137" s="231"/>
    </row>
    <row r="138" spans="1:31" x14ac:dyDescent="0.25">
      <c r="A138" s="350">
        <f>A136+1</f>
        <v>26</v>
      </c>
      <c r="B138" s="351" t="str">
        <f>IF(ISNA(MATCH($A138,Score!A$51:A$88,0)),"",MATCH($A138,Score!A$51:A$88,0)+ROW(Score!A$50))</f>
        <v/>
      </c>
      <c r="C138" s="352" t="str">
        <f t="shared" ca="1" si="40"/>
        <v/>
      </c>
      <c r="D138" s="351" t="str">
        <f t="shared" ca="1" si="40"/>
        <v/>
      </c>
      <c r="E138" s="350" t="str">
        <f>IF(B138="","",SUM(D138,D139))</f>
        <v/>
      </c>
      <c r="F138" s="350" t="str">
        <f>IF(B138="","",E138-U138)</f>
        <v/>
      </c>
      <c r="G138" s="353" t="str">
        <f ca="1">IF($B138="","",IF(ISBLANK(INDIRECT(ADDRESS($B138,G$1,1,,"Score"))),"",1))</f>
        <v/>
      </c>
      <c r="H138" s="353" t="str">
        <f ca="1">IF($B138="","",IF(ISBLANK(INDIRECT(ADDRESS($B138,H$1,1,,"Score"))),"",1))</f>
        <v/>
      </c>
      <c r="I138" s="355" t="str">
        <f ca="1">IF(H138=1,F138,"")</f>
        <v/>
      </c>
      <c r="J138" s="353" t="str">
        <f t="shared" ca="1" si="41"/>
        <v/>
      </c>
      <c r="K138" s="353" t="str">
        <f t="shared" ca="1" si="41"/>
        <v/>
      </c>
      <c r="L138" s="353" t="str">
        <f t="shared" ca="1" si="41"/>
        <v/>
      </c>
      <c r="M138" s="351" t="str">
        <f t="shared" ca="1" si="42"/>
        <v/>
      </c>
      <c r="N138" s="350" t="str">
        <f ca="1">IF(ISNA(MATCH($A138,'Game Clock'!A$62:A$91,0)),"",INDIRECT(ADDRESS(MATCH($A138,'Game Clock'!A$62:A$91,0)+ROW('Game Clock'!A$61),N$1,1,,"Game Clock")))</f>
        <v/>
      </c>
      <c r="O138" s="350" t="str">
        <f ca="1">IF(OR(N138="",N138=0),"",60*E138/N138)</f>
        <v/>
      </c>
      <c r="P138" s="329"/>
      <c r="Q138" s="350">
        <f>Q136+1</f>
        <v>26</v>
      </c>
      <c r="R138" s="351" t="str">
        <f>IF(ISNA(MATCH($Q138,Score!T$51:T$88,0)),"",MATCH($Q138,Score!T$51:T$88,0)+ROW(Score!T$50) )</f>
        <v/>
      </c>
      <c r="S138" s="352" t="str">
        <f t="shared" ca="1" si="43"/>
        <v/>
      </c>
      <c r="T138" s="351" t="str">
        <f t="shared" ca="1" si="43"/>
        <v/>
      </c>
      <c r="U138" s="350" t="str">
        <f>IF(R138="","",SUM(T138,T139))</f>
        <v/>
      </c>
      <c r="V138" s="350" t="str">
        <f>IF(R138="","",U138-E138)</f>
        <v/>
      </c>
      <c r="W138" s="353" t="str">
        <f ca="1">IF($R138="","",IF(ISBLANK(INDIRECT(ADDRESS($R138,W$1,1,,"Score"))),"",1))</f>
        <v/>
      </c>
      <c r="X138" s="353" t="str">
        <f ca="1">IF($R138="","",IF(ISBLANK(INDIRECT(ADDRESS($R138,X$1,1,,"Score"))),"",1))</f>
        <v/>
      </c>
      <c r="Y138" s="355" t="str">
        <f ca="1">IF(X138=1,V138,"")</f>
        <v/>
      </c>
      <c r="Z138" s="353" t="str">
        <f t="shared" ca="1" si="44"/>
        <v/>
      </c>
      <c r="AA138" s="353" t="str">
        <f t="shared" ca="1" si="44"/>
        <v/>
      </c>
      <c r="AB138" s="353" t="str">
        <f t="shared" ca="1" si="44"/>
        <v/>
      </c>
      <c r="AC138" s="351" t="str">
        <f t="shared" ca="1" si="45"/>
        <v/>
      </c>
      <c r="AD138" s="350" t="str">
        <f ca="1">N138</f>
        <v/>
      </c>
      <c r="AE138" s="350" t="str">
        <f ca="1">IF(OR(AD138="",AD138=0),"",60*U138/AD138)</f>
        <v/>
      </c>
    </row>
    <row r="139" spans="1:31" x14ac:dyDescent="0.3">
      <c r="A139" s="350"/>
      <c r="B139" s="351" t="str">
        <f ca="1">IF($B138="","",IF(INDIRECT(ADDRESS($B138+1,C$1-1,1,,"Score"))="SP",$B138+1,""))</f>
        <v/>
      </c>
      <c r="C139" s="352" t="str">
        <f t="shared" ca="1" si="40"/>
        <v/>
      </c>
      <c r="D139" s="351" t="str">
        <f t="shared" ca="1" si="40"/>
        <v/>
      </c>
      <c r="E139" s="350"/>
      <c r="F139" s="350"/>
      <c r="G139" s="353"/>
      <c r="H139" s="354"/>
      <c r="I139" s="355"/>
      <c r="J139" s="353" t="str">
        <f t="shared" ca="1" si="41"/>
        <v/>
      </c>
      <c r="K139" s="353" t="str">
        <f t="shared" ca="1" si="41"/>
        <v/>
      </c>
      <c r="L139" s="353" t="str">
        <f t="shared" ca="1" si="41"/>
        <v/>
      </c>
      <c r="M139" s="351" t="str">
        <f t="shared" ca="1" si="42"/>
        <v/>
      </c>
      <c r="N139" s="350"/>
      <c r="O139" s="350"/>
      <c r="P139" s="329"/>
      <c r="Q139" s="350"/>
      <c r="R139" s="351" t="str">
        <f ca="1">IF($R138="","",IF(INDIRECT(ADDRESS($R138+1,S$1-1,1,,"Score"))="SP",$R138+1,""))</f>
        <v/>
      </c>
      <c r="S139" s="352" t="str">
        <f t="shared" ca="1" si="43"/>
        <v/>
      </c>
      <c r="T139" s="351" t="str">
        <f t="shared" ca="1" si="43"/>
        <v/>
      </c>
      <c r="U139" s="350"/>
      <c r="V139" s="350"/>
      <c r="W139" s="353"/>
      <c r="X139" s="354"/>
      <c r="Y139" s="355"/>
      <c r="Z139" s="353" t="str">
        <f t="shared" ca="1" si="44"/>
        <v/>
      </c>
      <c r="AA139" s="353" t="str">
        <f t="shared" ca="1" si="44"/>
        <v/>
      </c>
      <c r="AB139" s="353" t="str">
        <f t="shared" ca="1" si="44"/>
        <v/>
      </c>
      <c r="AC139" s="351" t="str">
        <f t="shared" ca="1" si="45"/>
        <v/>
      </c>
      <c r="AD139" s="350"/>
      <c r="AE139" s="350"/>
    </row>
    <row r="140" spans="1:31" x14ac:dyDescent="0.25">
      <c r="A140" s="331">
        <f>A138+1</f>
        <v>27</v>
      </c>
      <c r="B140" s="329" t="str">
        <f>IF(ISNA(MATCH($A140,Score!A$51:A$88,0)),"",MATCH($A140,Score!A$51:A$88,0)+ROW(Score!A$50))</f>
        <v/>
      </c>
      <c r="C140" s="330" t="str">
        <f t="shared" ca="1" si="40"/>
        <v/>
      </c>
      <c r="D140" s="329" t="str">
        <f t="shared" ca="1" si="40"/>
        <v/>
      </c>
      <c r="E140" s="331" t="str">
        <f>IF(B140="","",SUM(D140,D141))</f>
        <v/>
      </c>
      <c r="F140" s="331" t="str">
        <f>IF(B140="","",E140-U140)</f>
        <v/>
      </c>
      <c r="G140" s="359" t="str">
        <f ca="1">IF($B140="","",IF(ISBLANK(INDIRECT(ADDRESS($B140,G$1,1,,"Score"))),"",1))</f>
        <v/>
      </c>
      <c r="H140" s="359" t="str">
        <f ca="1">IF($B140="","",IF(ISBLANK(INDIRECT(ADDRESS($B140,H$1,1,,"Score"))),"",1))</f>
        <v/>
      </c>
      <c r="I140" s="349" t="str">
        <f ca="1">IF(H140=1,F140,"")</f>
        <v/>
      </c>
      <c r="J140" s="359" t="str">
        <f t="shared" ca="1" si="41"/>
        <v/>
      </c>
      <c r="K140" s="359" t="str">
        <f t="shared" ca="1" si="41"/>
        <v/>
      </c>
      <c r="L140" s="359" t="str">
        <f t="shared" ca="1" si="41"/>
        <v/>
      </c>
      <c r="M140" s="329" t="str">
        <f t="shared" ca="1" si="42"/>
        <v/>
      </c>
      <c r="N140" s="231" t="str">
        <f ca="1">IF(ISNA(MATCH($A140,'Game Clock'!A$62:A$91,0)),"",INDIRECT(ADDRESS(MATCH($A140,'Game Clock'!A$62:A$91,0)+ROW('Game Clock'!A$61),N$1,1,,"Game Clock")))</f>
        <v/>
      </c>
      <c r="O140" s="231" t="str">
        <f ca="1">IF(OR(N140="",N140=0),"",60*E140/N140)</f>
        <v/>
      </c>
      <c r="P140" s="329"/>
      <c r="Q140" s="331">
        <f>Q138+1</f>
        <v>27</v>
      </c>
      <c r="R140" s="329" t="str">
        <f>IF(ISNA(MATCH($Q140,Score!T$51:T$88,0)),"",MATCH($Q140,Score!T$51:T$88,0)+ROW(Score!T$50) )</f>
        <v/>
      </c>
      <c r="S140" s="330" t="str">
        <f t="shared" ca="1" si="43"/>
        <v/>
      </c>
      <c r="T140" s="329" t="str">
        <f t="shared" ca="1" si="43"/>
        <v/>
      </c>
      <c r="U140" s="331" t="str">
        <f>IF(R140="","",SUM(T140,T141))</f>
        <v/>
      </c>
      <c r="V140" s="331" t="str">
        <f>IF(R140="","",U140-E140)</f>
        <v/>
      </c>
      <c r="W140" s="359" t="str">
        <f ca="1">IF($R140="","",IF(ISBLANK(INDIRECT(ADDRESS($R140,W$1,1,,"Score"))),"",1))</f>
        <v/>
      </c>
      <c r="X140" s="359" t="str">
        <f ca="1">IF($R140="","",IF(ISBLANK(INDIRECT(ADDRESS($R140,X$1,1,,"Score"))),"",1))</f>
        <v/>
      </c>
      <c r="Y140" s="349" t="str">
        <f ca="1">IF(X140=1,V140,"")</f>
        <v/>
      </c>
      <c r="Z140" s="359" t="str">
        <f t="shared" ca="1" si="44"/>
        <v/>
      </c>
      <c r="AA140" s="359" t="str">
        <f t="shared" ca="1" si="44"/>
        <v/>
      </c>
      <c r="AB140" s="359" t="str">
        <f t="shared" ca="1" si="44"/>
        <v/>
      </c>
      <c r="AC140" s="329" t="str">
        <f t="shared" ca="1" si="45"/>
        <v/>
      </c>
      <c r="AD140" s="231" t="str">
        <f ca="1">N140</f>
        <v/>
      </c>
      <c r="AE140" s="231" t="str">
        <f ca="1">IF(OR(AD140="",AD140=0),"",60*U140/AD140)</f>
        <v/>
      </c>
    </row>
    <row r="141" spans="1:31" x14ac:dyDescent="0.25">
      <c r="A141" s="331"/>
      <c r="B141" s="329" t="str">
        <f ca="1">IF($B140="","",IF(INDIRECT(ADDRESS($B140+1,C$1-1,1,,"Score"))="SP",$B140+1,""))</f>
        <v/>
      </c>
      <c r="C141" s="330" t="str">
        <f t="shared" ca="1" si="40"/>
        <v/>
      </c>
      <c r="D141" s="329" t="str">
        <f t="shared" ca="1" si="40"/>
        <v/>
      </c>
      <c r="E141" s="331"/>
      <c r="F141" s="331"/>
      <c r="G141" s="359"/>
      <c r="H141" s="359"/>
      <c r="I141" s="349"/>
      <c r="J141" s="359" t="str">
        <f t="shared" ca="1" si="41"/>
        <v/>
      </c>
      <c r="K141" s="359" t="str">
        <f t="shared" ca="1" si="41"/>
        <v/>
      </c>
      <c r="L141" s="359" t="str">
        <f t="shared" ca="1" si="41"/>
        <v/>
      </c>
      <c r="M141" s="329" t="str">
        <f t="shared" ca="1" si="42"/>
        <v/>
      </c>
      <c r="N141" s="231"/>
      <c r="O141" s="231"/>
      <c r="P141" s="329"/>
      <c r="Q141" s="331"/>
      <c r="R141" s="329" t="str">
        <f ca="1">IF($R140="","",IF(INDIRECT(ADDRESS($R140+1,S$1-1,1,,"Score"))="SP",$R140+1,""))</f>
        <v/>
      </c>
      <c r="S141" s="330" t="str">
        <f t="shared" ca="1" si="43"/>
        <v/>
      </c>
      <c r="T141" s="329" t="str">
        <f t="shared" ca="1" si="43"/>
        <v/>
      </c>
      <c r="U141" s="331"/>
      <c r="V141" s="331"/>
      <c r="W141" s="359"/>
      <c r="X141" s="359"/>
      <c r="Y141" s="349"/>
      <c r="Z141" s="359" t="str">
        <f t="shared" ca="1" si="44"/>
        <v/>
      </c>
      <c r="AA141" s="359" t="str">
        <f t="shared" ca="1" si="44"/>
        <v/>
      </c>
      <c r="AB141" s="359" t="str">
        <f t="shared" ca="1" si="44"/>
        <v/>
      </c>
      <c r="AC141" s="329" t="str">
        <f t="shared" ca="1" si="45"/>
        <v/>
      </c>
      <c r="AD141" s="231"/>
      <c r="AE141" s="231"/>
    </row>
    <row r="142" spans="1:31" x14ac:dyDescent="0.25">
      <c r="A142" s="350">
        <f>A140+1</f>
        <v>28</v>
      </c>
      <c r="B142" s="351" t="str">
        <f>IF(ISNA(MATCH($A142,Score!A$51:A$88,0)),"",MATCH($A142,Score!A$51:A$88,0)+ROW(Score!A$50))</f>
        <v/>
      </c>
      <c r="C142" s="352" t="str">
        <f t="shared" ca="1" si="40"/>
        <v/>
      </c>
      <c r="D142" s="351" t="str">
        <f t="shared" ca="1" si="40"/>
        <v/>
      </c>
      <c r="E142" s="350" t="str">
        <f>IF(B142="","",SUM(D142,D143))</f>
        <v/>
      </c>
      <c r="F142" s="350" t="str">
        <f>IF(B142="","",E142-U142)</f>
        <v/>
      </c>
      <c r="G142" s="353" t="str">
        <f ca="1">IF($B142="","",IF(ISBLANK(INDIRECT(ADDRESS($B142,G$1,1,,"Score"))),"",1))</f>
        <v/>
      </c>
      <c r="H142" s="353" t="str">
        <f ca="1">IF($B142="","",IF(ISBLANK(INDIRECT(ADDRESS($B142,H$1,1,,"Score"))),"",1))</f>
        <v/>
      </c>
      <c r="I142" s="355" t="str">
        <f ca="1">IF(H142=1,F142,"")</f>
        <v/>
      </c>
      <c r="J142" s="353" t="str">
        <f t="shared" ca="1" si="41"/>
        <v/>
      </c>
      <c r="K142" s="353" t="str">
        <f t="shared" ca="1" si="41"/>
        <v/>
      </c>
      <c r="L142" s="353" t="str">
        <f t="shared" ca="1" si="41"/>
        <v/>
      </c>
      <c r="M142" s="351" t="str">
        <f t="shared" ca="1" si="42"/>
        <v/>
      </c>
      <c r="N142" s="350" t="str">
        <f ca="1">IF(ISNA(MATCH($A142,'Game Clock'!A$62:A$91,0)),"",INDIRECT(ADDRESS(MATCH($A142,'Game Clock'!A$62:A$91,0)+ROW('Game Clock'!A$61),N$1,1,,"Game Clock")))</f>
        <v/>
      </c>
      <c r="O142" s="350" t="str">
        <f ca="1">IF(OR(N142="",N142=0),"",60*E142/N142)</f>
        <v/>
      </c>
      <c r="P142" s="329"/>
      <c r="Q142" s="350">
        <f>Q140+1</f>
        <v>28</v>
      </c>
      <c r="R142" s="351" t="str">
        <f>IF(ISNA(MATCH($Q142,Score!T$51:T$88,0)),"",MATCH($Q142,Score!T$51:T$88,0)+ROW(Score!T$50) )</f>
        <v/>
      </c>
      <c r="S142" s="352" t="str">
        <f t="shared" ca="1" si="43"/>
        <v/>
      </c>
      <c r="T142" s="351" t="str">
        <f t="shared" ca="1" si="43"/>
        <v/>
      </c>
      <c r="U142" s="350" t="str">
        <f>IF(R142="","",SUM(T142,T143))</f>
        <v/>
      </c>
      <c r="V142" s="350" t="str">
        <f>IF(R142="","",U142-E142)</f>
        <v/>
      </c>
      <c r="W142" s="353" t="str">
        <f ca="1">IF($R142="","",IF(ISBLANK(INDIRECT(ADDRESS($R142,W$1,1,,"Score"))),"",1))</f>
        <v/>
      </c>
      <c r="X142" s="353" t="str">
        <f ca="1">IF($R142="","",IF(ISBLANK(INDIRECT(ADDRESS($R142,X$1,1,,"Score"))),"",1))</f>
        <v/>
      </c>
      <c r="Y142" s="355" t="str">
        <f ca="1">IF(X142=1,V142,"")</f>
        <v/>
      </c>
      <c r="Z142" s="353" t="str">
        <f t="shared" ca="1" si="44"/>
        <v/>
      </c>
      <c r="AA142" s="353" t="str">
        <f t="shared" ca="1" si="44"/>
        <v/>
      </c>
      <c r="AB142" s="353" t="str">
        <f t="shared" ca="1" si="44"/>
        <v/>
      </c>
      <c r="AC142" s="351" t="str">
        <f t="shared" ca="1" si="45"/>
        <v/>
      </c>
      <c r="AD142" s="350" t="str">
        <f ca="1">N142</f>
        <v/>
      </c>
      <c r="AE142" s="350" t="str">
        <f ca="1">IF(OR(AD142="",AD142=0),"",60*U142/AD142)</f>
        <v/>
      </c>
    </row>
    <row r="143" spans="1:31" x14ac:dyDescent="0.3">
      <c r="A143" s="350"/>
      <c r="B143" s="351" t="str">
        <f ca="1">IF($B142="","",IF(INDIRECT(ADDRESS($B142+1,C$1-1,1,,"Score"))="SP",$B142+1,""))</f>
        <v/>
      </c>
      <c r="C143" s="352" t="str">
        <f t="shared" ca="1" si="40"/>
        <v/>
      </c>
      <c r="D143" s="351" t="str">
        <f t="shared" ca="1" si="40"/>
        <v/>
      </c>
      <c r="E143" s="350"/>
      <c r="F143" s="350"/>
      <c r="G143" s="353"/>
      <c r="H143" s="354"/>
      <c r="I143" s="355"/>
      <c r="J143" s="353" t="str">
        <f t="shared" ca="1" si="41"/>
        <v/>
      </c>
      <c r="K143" s="353" t="str">
        <f t="shared" ca="1" si="41"/>
        <v/>
      </c>
      <c r="L143" s="353" t="str">
        <f t="shared" ca="1" si="41"/>
        <v/>
      </c>
      <c r="M143" s="351" t="str">
        <f t="shared" ca="1" si="42"/>
        <v/>
      </c>
      <c r="N143" s="350"/>
      <c r="O143" s="350"/>
      <c r="P143" s="329"/>
      <c r="Q143" s="350"/>
      <c r="R143" s="351" t="str">
        <f ca="1">IF($R142="","",IF(INDIRECT(ADDRESS($R142+1,S$1-1,1,,"Score"))="SP",$R142+1,""))</f>
        <v/>
      </c>
      <c r="S143" s="352" t="str">
        <f t="shared" ca="1" si="43"/>
        <v/>
      </c>
      <c r="T143" s="351" t="str">
        <f t="shared" ca="1" si="43"/>
        <v/>
      </c>
      <c r="U143" s="350"/>
      <c r="V143" s="350"/>
      <c r="W143" s="353"/>
      <c r="X143" s="354"/>
      <c r="Y143" s="355"/>
      <c r="Z143" s="353" t="str">
        <f t="shared" ca="1" si="44"/>
        <v/>
      </c>
      <c r="AA143" s="353" t="str">
        <f t="shared" ca="1" si="44"/>
        <v/>
      </c>
      <c r="AB143" s="353" t="str">
        <f t="shared" ca="1" si="44"/>
        <v/>
      </c>
      <c r="AC143" s="351" t="str">
        <f t="shared" ca="1" si="45"/>
        <v/>
      </c>
      <c r="AD143" s="350"/>
      <c r="AE143" s="350"/>
    </row>
    <row r="144" spans="1:31" x14ac:dyDescent="0.25">
      <c r="A144" s="331">
        <f>A142+1</f>
        <v>29</v>
      </c>
      <c r="B144" s="329" t="str">
        <f>IF(ISNA(MATCH($A144,Score!A$51:A$88,0)),"",MATCH($A144,Score!A$51:A$88,0)+ROW(Score!A$50))</f>
        <v/>
      </c>
      <c r="C144" s="330" t="str">
        <f t="shared" ref="C144:D159" ca="1" si="46">IF($B144="","",INDIRECT(ADDRESS($B144,C$1,1,,"Score")))</f>
        <v/>
      </c>
      <c r="D144" s="329" t="str">
        <f t="shared" ca="1" si="46"/>
        <v/>
      </c>
      <c r="E144" s="331" t="str">
        <f>IF(B144="","",SUM(D144,D145))</f>
        <v/>
      </c>
      <c r="F144" s="331" t="str">
        <f>IF(B144="","",E144-U144)</f>
        <v/>
      </c>
      <c r="G144" s="359" t="str">
        <f ca="1">IF($B144="","",IF(ISBLANK(INDIRECT(ADDRESS($B144,G$1,1,,"Score"))),"",1))</f>
        <v/>
      </c>
      <c r="H144" s="359" t="str">
        <f ca="1">IF($B144="","",IF(ISBLANK(INDIRECT(ADDRESS($B144,H$1,1,,"Score"))),"",1))</f>
        <v/>
      </c>
      <c r="I144" s="349" t="str">
        <f ca="1">IF(H144=1,F144,"")</f>
        <v/>
      </c>
      <c r="J144" s="359" t="str">
        <f t="shared" ref="J144:L159" ca="1" si="47">IF($B144="","",IF(ISBLANK(INDIRECT(ADDRESS($B144,J$1,1,,"Score"))),"",1))</f>
        <v/>
      </c>
      <c r="K144" s="359" t="str">
        <f t="shared" ca="1" si="47"/>
        <v/>
      </c>
      <c r="L144" s="359" t="str">
        <f t="shared" ca="1" si="47"/>
        <v/>
      </c>
      <c r="M144" s="329" t="str">
        <f t="shared" ref="M144:M163" ca="1" si="48">IF($B144="","",INDIRECT(ADDRESS($B144,M$1,1,,"Score")))</f>
        <v/>
      </c>
      <c r="N144" s="231" t="str">
        <f ca="1">IF(ISNA(MATCH($A144,'Game Clock'!A$62:A$91,0)),"",INDIRECT(ADDRESS(MATCH($A144,'Game Clock'!A$62:A$91,0)+ROW('Game Clock'!A$61),N$1,1,,"Game Clock")))</f>
        <v/>
      </c>
      <c r="O144" s="231" t="str">
        <f ca="1">IF(OR(N144="",N144=0),"",60*E144/N144)</f>
        <v/>
      </c>
      <c r="P144" s="329"/>
      <c r="Q144" s="331">
        <f>Q142+1</f>
        <v>29</v>
      </c>
      <c r="R144" s="329" t="str">
        <f>IF(ISNA(MATCH($Q144,Score!T$51:T$88,0)),"",MATCH($Q144,Score!T$51:T$88,0)+ROW(Score!T$50) )</f>
        <v/>
      </c>
      <c r="S144" s="330" t="str">
        <f t="shared" ref="S144:T159" ca="1" si="49">IF($R144="","",INDIRECT(ADDRESS($R144,S$1,1,,"Score")))</f>
        <v/>
      </c>
      <c r="T144" s="329" t="str">
        <f t="shared" ca="1" si="49"/>
        <v/>
      </c>
      <c r="U144" s="331" t="str">
        <f>IF(R144="","",SUM(T144,T145))</f>
        <v/>
      </c>
      <c r="V144" s="331" t="str">
        <f>IF(R144="","",U144-E144)</f>
        <v/>
      </c>
      <c r="W144" s="359" t="str">
        <f ca="1">IF($R144="","",IF(ISBLANK(INDIRECT(ADDRESS($R144,W$1,1,,"Score"))),"",1))</f>
        <v/>
      </c>
      <c r="X144" s="359" t="str">
        <f ca="1">IF($R144="","",IF(ISBLANK(INDIRECT(ADDRESS($R144,X$1,1,,"Score"))),"",1))</f>
        <v/>
      </c>
      <c r="Y144" s="349" t="str">
        <f ca="1">IF(X144=1,V144,"")</f>
        <v/>
      </c>
      <c r="Z144" s="359" t="str">
        <f t="shared" ref="Z144:AB159" ca="1" si="50">IF($R144="","",IF(ISBLANK(INDIRECT(ADDRESS($R144,Z$1,1,,"Score"))),"",1))</f>
        <v/>
      </c>
      <c r="AA144" s="359" t="str">
        <f t="shared" ca="1" si="50"/>
        <v/>
      </c>
      <c r="AB144" s="359" t="str">
        <f t="shared" ca="1" si="50"/>
        <v/>
      </c>
      <c r="AC144" s="329" t="str">
        <f t="shared" ref="AC144:AC163" ca="1" si="51">IF($R144="","",INDIRECT(ADDRESS($R144,AC$1,1,,"Score")))</f>
        <v/>
      </c>
      <c r="AD144" s="231" t="str">
        <f ca="1">N144</f>
        <v/>
      </c>
      <c r="AE144" s="231" t="str">
        <f ca="1">IF(OR(AD144="",AD144=0),"",60*U144/AD144)</f>
        <v/>
      </c>
    </row>
    <row r="145" spans="1:31" x14ac:dyDescent="0.25">
      <c r="A145" s="331"/>
      <c r="B145" s="329" t="str">
        <f ca="1">IF($B144="","",IF(INDIRECT(ADDRESS($B144+1,C$1-1,1,,"Score"))="SP",$B144+1,""))</f>
        <v/>
      </c>
      <c r="C145" s="330" t="str">
        <f t="shared" ca="1" si="46"/>
        <v/>
      </c>
      <c r="D145" s="329" t="str">
        <f t="shared" ca="1" si="46"/>
        <v/>
      </c>
      <c r="E145" s="331"/>
      <c r="F145" s="331"/>
      <c r="G145" s="359"/>
      <c r="H145" s="359"/>
      <c r="I145" s="349"/>
      <c r="J145" s="359" t="str">
        <f t="shared" ca="1" si="47"/>
        <v/>
      </c>
      <c r="K145" s="359" t="str">
        <f t="shared" ca="1" si="47"/>
        <v/>
      </c>
      <c r="L145" s="359" t="str">
        <f t="shared" ca="1" si="47"/>
        <v/>
      </c>
      <c r="M145" s="329" t="str">
        <f t="shared" ca="1" si="48"/>
        <v/>
      </c>
      <c r="N145" s="231"/>
      <c r="O145" s="231"/>
      <c r="P145" s="329"/>
      <c r="Q145" s="331"/>
      <c r="R145" s="329" t="str">
        <f ca="1">IF($R144="","",IF(INDIRECT(ADDRESS($R144+1,S$1-1,1,,"Score"))="SP",$R144+1,""))</f>
        <v/>
      </c>
      <c r="S145" s="330" t="str">
        <f t="shared" ca="1" si="49"/>
        <v/>
      </c>
      <c r="T145" s="329" t="str">
        <f t="shared" ca="1" si="49"/>
        <v/>
      </c>
      <c r="U145" s="331"/>
      <c r="V145" s="331"/>
      <c r="W145" s="359"/>
      <c r="X145" s="359"/>
      <c r="Y145" s="349"/>
      <c r="Z145" s="359" t="str">
        <f t="shared" ca="1" si="50"/>
        <v/>
      </c>
      <c r="AA145" s="359" t="str">
        <f t="shared" ca="1" si="50"/>
        <v/>
      </c>
      <c r="AB145" s="359" t="str">
        <f t="shared" ca="1" si="50"/>
        <v/>
      </c>
      <c r="AC145" s="329" t="str">
        <f t="shared" ca="1" si="51"/>
        <v/>
      </c>
      <c r="AD145" s="231"/>
      <c r="AE145" s="231"/>
    </row>
    <row r="146" spans="1:31" x14ac:dyDescent="0.25">
      <c r="A146" s="350">
        <f>A144+1</f>
        <v>30</v>
      </c>
      <c r="B146" s="351" t="str">
        <f>IF(ISNA(MATCH($A146,Score!A$51:A$88,0)),"",MATCH($A146,Score!A$51:A$88,0)+ROW(Score!A$50))</f>
        <v/>
      </c>
      <c r="C146" s="352" t="str">
        <f t="shared" ca="1" si="46"/>
        <v/>
      </c>
      <c r="D146" s="351" t="str">
        <f t="shared" ca="1" si="46"/>
        <v/>
      </c>
      <c r="E146" s="350" t="str">
        <f>IF(B146="","",SUM(D146,D147))</f>
        <v/>
      </c>
      <c r="F146" s="350" t="str">
        <f>IF(B146="","",E146-U146)</f>
        <v/>
      </c>
      <c r="G146" s="353" t="str">
        <f ca="1">IF($B146="","",IF(ISBLANK(INDIRECT(ADDRESS($B146,G$1,1,,"Score"))),"",1))</f>
        <v/>
      </c>
      <c r="H146" s="353" t="str">
        <f ca="1">IF($B146="","",IF(ISBLANK(INDIRECT(ADDRESS($B146,H$1,1,,"Score"))),"",1))</f>
        <v/>
      </c>
      <c r="I146" s="355" t="str">
        <f ca="1">IF(H146=1,F146,"")</f>
        <v/>
      </c>
      <c r="J146" s="353" t="str">
        <f t="shared" ca="1" si="47"/>
        <v/>
      </c>
      <c r="K146" s="353" t="str">
        <f t="shared" ca="1" si="47"/>
        <v/>
      </c>
      <c r="L146" s="353" t="str">
        <f t="shared" ca="1" si="47"/>
        <v/>
      </c>
      <c r="M146" s="351" t="str">
        <f t="shared" ca="1" si="48"/>
        <v/>
      </c>
      <c r="N146" s="350" t="str">
        <f ca="1">IF(ISNA(MATCH($A146,'Game Clock'!A$62:A$91,0)),"",INDIRECT(ADDRESS(MATCH($A146,'Game Clock'!A$62:A$91,0)+ROW('Game Clock'!A$61),N$1,1,,"Game Clock")))</f>
        <v/>
      </c>
      <c r="O146" s="350" t="str">
        <f ca="1">IF(OR(N146="",N146=0),"",60*E146/N146)</f>
        <v/>
      </c>
      <c r="P146" s="329"/>
      <c r="Q146" s="350">
        <f>Q144+1</f>
        <v>30</v>
      </c>
      <c r="R146" s="351" t="str">
        <f>IF(ISNA(MATCH($Q146,Score!T$51:T$88,0)),"",MATCH($Q146,Score!T$51:T$88,0)+ROW(Score!T$50) )</f>
        <v/>
      </c>
      <c r="S146" s="352" t="str">
        <f t="shared" ca="1" si="49"/>
        <v/>
      </c>
      <c r="T146" s="351" t="str">
        <f t="shared" ca="1" si="49"/>
        <v/>
      </c>
      <c r="U146" s="350" t="str">
        <f>IF(R146="","",SUM(T146,T147))</f>
        <v/>
      </c>
      <c r="V146" s="350" t="str">
        <f>IF(R146="","",U146-E146)</f>
        <v/>
      </c>
      <c r="W146" s="353" t="str">
        <f ca="1">IF($R146="","",IF(ISBLANK(INDIRECT(ADDRESS($R146,W$1,1,,"Score"))),"",1))</f>
        <v/>
      </c>
      <c r="X146" s="353" t="str">
        <f ca="1">IF($R146="","",IF(ISBLANK(INDIRECT(ADDRESS($R146,X$1,1,,"Score"))),"",1))</f>
        <v/>
      </c>
      <c r="Y146" s="355" t="str">
        <f ca="1">IF(X146=1,V146,"")</f>
        <v/>
      </c>
      <c r="Z146" s="353" t="str">
        <f t="shared" ca="1" si="50"/>
        <v/>
      </c>
      <c r="AA146" s="353" t="str">
        <f t="shared" ca="1" si="50"/>
        <v/>
      </c>
      <c r="AB146" s="353" t="str">
        <f t="shared" ca="1" si="50"/>
        <v/>
      </c>
      <c r="AC146" s="351" t="str">
        <f t="shared" ca="1" si="51"/>
        <v/>
      </c>
      <c r="AD146" s="350" t="str">
        <f ca="1">N146</f>
        <v/>
      </c>
      <c r="AE146" s="350" t="str">
        <f ca="1">IF(OR(AD146="",AD146=0),"",60*U146/AD146)</f>
        <v/>
      </c>
    </row>
    <row r="147" spans="1:31" x14ac:dyDescent="0.3">
      <c r="A147" s="350"/>
      <c r="B147" s="351" t="str">
        <f ca="1">IF($B146="","",IF(INDIRECT(ADDRESS($B146+1,C$1-1,1,,"Score"))="SP",$B146+1,""))</f>
        <v/>
      </c>
      <c r="C147" s="352" t="str">
        <f t="shared" ca="1" si="46"/>
        <v/>
      </c>
      <c r="D147" s="351" t="str">
        <f t="shared" ca="1" si="46"/>
        <v/>
      </c>
      <c r="E147" s="350"/>
      <c r="F147" s="350"/>
      <c r="G147" s="353"/>
      <c r="H147" s="354"/>
      <c r="I147" s="355"/>
      <c r="J147" s="353" t="str">
        <f t="shared" ca="1" si="47"/>
        <v/>
      </c>
      <c r="K147" s="353" t="str">
        <f t="shared" ca="1" si="47"/>
        <v/>
      </c>
      <c r="L147" s="353" t="str">
        <f t="shared" ca="1" si="47"/>
        <v/>
      </c>
      <c r="M147" s="351" t="str">
        <f t="shared" ca="1" si="48"/>
        <v/>
      </c>
      <c r="N147" s="350"/>
      <c r="O147" s="350"/>
      <c r="P147" s="329"/>
      <c r="Q147" s="350"/>
      <c r="R147" s="351" t="str">
        <f ca="1">IF($R146="","",IF(INDIRECT(ADDRESS($R146+1,S$1-1,1,,"Score"))="SP",$R146+1,""))</f>
        <v/>
      </c>
      <c r="S147" s="352" t="str">
        <f t="shared" ca="1" si="49"/>
        <v/>
      </c>
      <c r="T147" s="351" t="str">
        <f t="shared" ca="1" si="49"/>
        <v/>
      </c>
      <c r="U147" s="350"/>
      <c r="V147" s="350"/>
      <c r="W147" s="353"/>
      <c r="X147" s="354"/>
      <c r="Y147" s="355"/>
      <c r="Z147" s="353" t="str">
        <f t="shared" ca="1" si="50"/>
        <v/>
      </c>
      <c r="AA147" s="353" t="str">
        <f t="shared" ca="1" si="50"/>
        <v/>
      </c>
      <c r="AB147" s="353" t="str">
        <f t="shared" ca="1" si="50"/>
        <v/>
      </c>
      <c r="AC147" s="351" t="str">
        <f t="shared" ca="1" si="51"/>
        <v/>
      </c>
      <c r="AD147" s="350"/>
      <c r="AE147" s="350"/>
    </row>
    <row r="148" spans="1:31" x14ac:dyDescent="0.25">
      <c r="A148" s="331">
        <f>A146+1</f>
        <v>31</v>
      </c>
      <c r="B148" s="329" t="str">
        <f>IF(ISNA(MATCH($A148,Score!A$51:A$88,0)),"",MATCH($A148,Score!A$51:A$88,0)+ROW(Score!A$50))</f>
        <v/>
      </c>
      <c r="C148" s="330" t="str">
        <f t="shared" ca="1" si="46"/>
        <v/>
      </c>
      <c r="D148" s="329" t="str">
        <f t="shared" ca="1" si="46"/>
        <v/>
      </c>
      <c r="E148" s="331" t="str">
        <f>IF(B148="","",SUM(D148,D149))</f>
        <v/>
      </c>
      <c r="F148" s="331" t="str">
        <f>IF(B148="","",E148-U148)</f>
        <v/>
      </c>
      <c r="G148" s="359" t="str">
        <f ca="1">IF($B148="","",IF(ISBLANK(INDIRECT(ADDRESS($B148,G$1,1,,"Score"))),"",1))</f>
        <v/>
      </c>
      <c r="H148" s="359" t="str">
        <f ca="1">IF($B148="","",IF(ISBLANK(INDIRECT(ADDRESS($B148,H$1,1,,"Score"))),"",1))</f>
        <v/>
      </c>
      <c r="I148" s="349" t="str">
        <f ca="1">IF(H148=1,F148,"")</f>
        <v/>
      </c>
      <c r="J148" s="359" t="str">
        <f t="shared" ca="1" si="47"/>
        <v/>
      </c>
      <c r="K148" s="359" t="str">
        <f t="shared" ca="1" si="47"/>
        <v/>
      </c>
      <c r="L148" s="359" t="str">
        <f t="shared" ca="1" si="47"/>
        <v/>
      </c>
      <c r="M148" s="329" t="str">
        <f t="shared" ca="1" si="48"/>
        <v/>
      </c>
      <c r="N148" s="231" t="str">
        <f ca="1">IF(ISNA(MATCH($A148,'Game Clock'!A$62:A$91,0)),"",INDIRECT(ADDRESS(MATCH($A148,'Game Clock'!A$62:A$91,0)+ROW('Game Clock'!A$61),N$1,1,,"Game Clock")))</f>
        <v/>
      </c>
      <c r="O148" s="231" t="str">
        <f ca="1">IF(OR(N148="",N148=0),"",60*E148/N148)</f>
        <v/>
      </c>
      <c r="P148" s="329"/>
      <c r="Q148" s="331">
        <f>Q146+1</f>
        <v>31</v>
      </c>
      <c r="R148" s="329" t="str">
        <f>IF(ISNA(MATCH($Q148,Score!T$51:T$88,0)),"",MATCH($Q148,Score!T$51:T$88,0)+ROW(Score!T$50) )</f>
        <v/>
      </c>
      <c r="S148" s="330" t="str">
        <f t="shared" ca="1" si="49"/>
        <v/>
      </c>
      <c r="T148" s="329" t="str">
        <f t="shared" ca="1" si="49"/>
        <v/>
      </c>
      <c r="U148" s="331" t="str">
        <f>IF(R148="","",SUM(T148,T149))</f>
        <v/>
      </c>
      <c r="V148" s="331" t="str">
        <f>IF(R148="","",U148-E148)</f>
        <v/>
      </c>
      <c r="W148" s="359" t="str">
        <f ca="1">IF($R148="","",IF(ISBLANK(INDIRECT(ADDRESS($R148,W$1,1,,"Score"))),"",1))</f>
        <v/>
      </c>
      <c r="X148" s="359" t="str">
        <f ca="1">IF($R148="","",IF(ISBLANK(INDIRECT(ADDRESS($R148,X$1,1,,"Score"))),"",1))</f>
        <v/>
      </c>
      <c r="Y148" s="349" t="str">
        <f ca="1">IF(X148=1,V148,"")</f>
        <v/>
      </c>
      <c r="Z148" s="359" t="str">
        <f t="shared" ca="1" si="50"/>
        <v/>
      </c>
      <c r="AA148" s="359" t="str">
        <f t="shared" ca="1" si="50"/>
        <v/>
      </c>
      <c r="AB148" s="359" t="str">
        <f t="shared" ca="1" si="50"/>
        <v/>
      </c>
      <c r="AC148" s="329" t="str">
        <f t="shared" ca="1" si="51"/>
        <v/>
      </c>
      <c r="AD148" s="231" t="str">
        <f ca="1">N148</f>
        <v/>
      </c>
      <c r="AE148" s="231" t="str">
        <f ca="1">IF(OR(AD148="",AD148=0),"",60*U148/AD148)</f>
        <v/>
      </c>
    </row>
    <row r="149" spans="1:31" x14ac:dyDescent="0.25">
      <c r="A149" s="331"/>
      <c r="B149" s="329" t="str">
        <f ca="1">IF($B148="","",IF(INDIRECT(ADDRESS($B148+1,C$1-1,1,,"Score"))="SP",$B148+1,""))</f>
        <v/>
      </c>
      <c r="C149" s="330" t="str">
        <f t="shared" ca="1" si="46"/>
        <v/>
      </c>
      <c r="D149" s="329" t="str">
        <f t="shared" ca="1" si="46"/>
        <v/>
      </c>
      <c r="E149" s="331"/>
      <c r="F149" s="331"/>
      <c r="G149" s="359"/>
      <c r="H149" s="359"/>
      <c r="I149" s="349"/>
      <c r="J149" s="359" t="str">
        <f t="shared" ca="1" si="47"/>
        <v/>
      </c>
      <c r="K149" s="359" t="str">
        <f t="shared" ca="1" si="47"/>
        <v/>
      </c>
      <c r="L149" s="359" t="str">
        <f t="shared" ca="1" si="47"/>
        <v/>
      </c>
      <c r="M149" s="329" t="str">
        <f t="shared" ca="1" si="48"/>
        <v/>
      </c>
      <c r="N149" s="231"/>
      <c r="O149" s="231"/>
      <c r="P149" s="329"/>
      <c r="Q149" s="331"/>
      <c r="R149" s="329" t="str">
        <f ca="1">IF($R148="","",IF(INDIRECT(ADDRESS($R148+1,S$1-1,1,,"Score"))="SP",$R148+1,""))</f>
        <v/>
      </c>
      <c r="S149" s="330" t="str">
        <f t="shared" ca="1" si="49"/>
        <v/>
      </c>
      <c r="T149" s="329" t="str">
        <f t="shared" ca="1" si="49"/>
        <v/>
      </c>
      <c r="U149" s="331"/>
      <c r="V149" s="331"/>
      <c r="W149" s="359"/>
      <c r="X149" s="359"/>
      <c r="Y149" s="349"/>
      <c r="Z149" s="359" t="str">
        <f t="shared" ca="1" si="50"/>
        <v/>
      </c>
      <c r="AA149" s="359" t="str">
        <f t="shared" ca="1" si="50"/>
        <v/>
      </c>
      <c r="AB149" s="359" t="str">
        <f t="shared" ca="1" si="50"/>
        <v/>
      </c>
      <c r="AC149" s="329" t="str">
        <f t="shared" ca="1" si="51"/>
        <v/>
      </c>
      <c r="AD149" s="231"/>
      <c r="AE149" s="231"/>
    </row>
    <row r="150" spans="1:31" x14ac:dyDescent="0.25">
      <c r="A150" s="350">
        <f>A148+1</f>
        <v>32</v>
      </c>
      <c r="B150" s="351" t="str">
        <f>IF(ISNA(MATCH($A150,Score!A$51:A$88,0)),"",MATCH($A150,Score!A$51:A$88,0)+ROW(Score!A$50))</f>
        <v/>
      </c>
      <c r="C150" s="352" t="str">
        <f t="shared" ca="1" si="46"/>
        <v/>
      </c>
      <c r="D150" s="351" t="str">
        <f t="shared" ca="1" si="46"/>
        <v/>
      </c>
      <c r="E150" s="350" t="str">
        <f>IF(B150="","",SUM(D150,D151))</f>
        <v/>
      </c>
      <c r="F150" s="350" t="str">
        <f>IF(B150="","",E150-U150)</f>
        <v/>
      </c>
      <c r="G150" s="353" t="str">
        <f ca="1">IF($B150="","",IF(ISBLANK(INDIRECT(ADDRESS($B150,G$1,1,,"Score"))),"",1))</f>
        <v/>
      </c>
      <c r="H150" s="353" t="str">
        <f ca="1">IF($B150="","",IF(ISBLANK(INDIRECT(ADDRESS($B150,H$1,1,,"Score"))),"",1))</f>
        <v/>
      </c>
      <c r="I150" s="355" t="str">
        <f ca="1">IF(H150=1,F150,"")</f>
        <v/>
      </c>
      <c r="J150" s="353" t="str">
        <f t="shared" ca="1" si="47"/>
        <v/>
      </c>
      <c r="K150" s="353" t="str">
        <f t="shared" ca="1" si="47"/>
        <v/>
      </c>
      <c r="L150" s="353" t="str">
        <f t="shared" ca="1" si="47"/>
        <v/>
      </c>
      <c r="M150" s="351" t="str">
        <f t="shared" ca="1" si="48"/>
        <v/>
      </c>
      <c r="N150" s="350" t="str">
        <f ca="1">IF(ISNA(MATCH($A150,'Game Clock'!A$62:A$91,0)),"",INDIRECT(ADDRESS(MATCH($A150,'Game Clock'!A$62:A$91,0)+ROW('Game Clock'!A$61),N$1,1,,"Game Clock")))</f>
        <v/>
      </c>
      <c r="O150" s="350" t="str">
        <f ca="1">IF(OR(N150="",N150=0),"",60*E150/N150)</f>
        <v/>
      </c>
      <c r="P150" s="329"/>
      <c r="Q150" s="350">
        <f>Q148+1</f>
        <v>32</v>
      </c>
      <c r="R150" s="351" t="str">
        <f>IF(ISNA(MATCH($Q150,Score!T$51:T$88,0)),"",MATCH($Q150,Score!T$51:T$88,0)+ROW(Score!T$50) )</f>
        <v/>
      </c>
      <c r="S150" s="352" t="str">
        <f t="shared" ca="1" si="49"/>
        <v/>
      </c>
      <c r="T150" s="351" t="str">
        <f t="shared" ca="1" si="49"/>
        <v/>
      </c>
      <c r="U150" s="350" t="str">
        <f>IF(R150="","",SUM(T150,T151))</f>
        <v/>
      </c>
      <c r="V150" s="350" t="str">
        <f>IF(R150="","",U150-E150)</f>
        <v/>
      </c>
      <c r="W150" s="353" t="str">
        <f ca="1">IF($R150="","",IF(ISBLANK(INDIRECT(ADDRESS($R150,W$1,1,,"Score"))),"",1))</f>
        <v/>
      </c>
      <c r="X150" s="353" t="str">
        <f ca="1">IF($R150="","",IF(ISBLANK(INDIRECT(ADDRESS($R150,X$1,1,,"Score"))),"",1))</f>
        <v/>
      </c>
      <c r="Y150" s="355" t="str">
        <f ca="1">IF(X150=1,V150,"")</f>
        <v/>
      </c>
      <c r="Z150" s="353" t="str">
        <f t="shared" ca="1" si="50"/>
        <v/>
      </c>
      <c r="AA150" s="353" t="str">
        <f t="shared" ca="1" si="50"/>
        <v/>
      </c>
      <c r="AB150" s="353" t="str">
        <f t="shared" ca="1" si="50"/>
        <v/>
      </c>
      <c r="AC150" s="351" t="str">
        <f t="shared" ca="1" si="51"/>
        <v/>
      </c>
      <c r="AD150" s="350" t="str">
        <f ca="1">N150</f>
        <v/>
      </c>
      <c r="AE150" s="350" t="str">
        <f ca="1">IF(OR(AD150="",AD150=0),"",60*U150/AD150)</f>
        <v/>
      </c>
    </row>
    <row r="151" spans="1:31" x14ac:dyDescent="0.3">
      <c r="A151" s="350"/>
      <c r="B151" s="351" t="str">
        <f ca="1">IF($B150="","",IF(INDIRECT(ADDRESS($B150+1,C$1-1,1,,"Score"))="SP",$B150+1,""))</f>
        <v/>
      </c>
      <c r="C151" s="352" t="str">
        <f t="shared" ca="1" si="46"/>
        <v/>
      </c>
      <c r="D151" s="351" t="str">
        <f t="shared" ca="1" si="46"/>
        <v/>
      </c>
      <c r="E151" s="350"/>
      <c r="F151" s="350"/>
      <c r="G151" s="353"/>
      <c r="H151" s="354"/>
      <c r="I151" s="355"/>
      <c r="J151" s="353" t="str">
        <f t="shared" ca="1" si="47"/>
        <v/>
      </c>
      <c r="K151" s="353" t="str">
        <f t="shared" ca="1" si="47"/>
        <v/>
      </c>
      <c r="L151" s="353" t="str">
        <f t="shared" ca="1" si="47"/>
        <v/>
      </c>
      <c r="M151" s="351" t="str">
        <f t="shared" ca="1" si="48"/>
        <v/>
      </c>
      <c r="N151" s="350"/>
      <c r="O151" s="350"/>
      <c r="P151" s="329"/>
      <c r="Q151" s="350"/>
      <c r="R151" s="351" t="str">
        <f ca="1">IF($R150="","",IF(INDIRECT(ADDRESS($R150+1,S$1-1,1,,"Score"))="SP",$R150+1,""))</f>
        <v/>
      </c>
      <c r="S151" s="352" t="str">
        <f t="shared" ca="1" si="49"/>
        <v/>
      </c>
      <c r="T151" s="351" t="str">
        <f t="shared" ca="1" si="49"/>
        <v/>
      </c>
      <c r="U151" s="350"/>
      <c r="V151" s="350"/>
      <c r="W151" s="353"/>
      <c r="X151" s="354"/>
      <c r="Y151" s="355"/>
      <c r="Z151" s="353" t="str">
        <f t="shared" ca="1" si="50"/>
        <v/>
      </c>
      <c r="AA151" s="353" t="str">
        <f t="shared" ca="1" si="50"/>
        <v/>
      </c>
      <c r="AB151" s="353" t="str">
        <f t="shared" ca="1" si="50"/>
        <v/>
      </c>
      <c r="AC151" s="351" t="str">
        <f t="shared" ca="1" si="51"/>
        <v/>
      </c>
      <c r="AD151" s="350"/>
      <c r="AE151" s="350"/>
    </row>
    <row r="152" spans="1:31" x14ac:dyDescent="0.25">
      <c r="A152" s="331">
        <f>A150+1</f>
        <v>33</v>
      </c>
      <c r="B152" s="329" t="str">
        <f>IF(ISNA(MATCH($A152,Score!A$51:A$88,0)),"",MATCH($A152,Score!A$51:A$88,0)+ROW(Score!A$50))</f>
        <v/>
      </c>
      <c r="C152" s="330" t="str">
        <f t="shared" ca="1" si="46"/>
        <v/>
      </c>
      <c r="D152" s="329" t="str">
        <f t="shared" ca="1" si="46"/>
        <v/>
      </c>
      <c r="E152" s="331" t="str">
        <f>IF(B152="","",SUM(D152,D153))</f>
        <v/>
      </c>
      <c r="F152" s="331" t="str">
        <f>IF(B152="","",E152-U152)</f>
        <v/>
      </c>
      <c r="G152" s="359" t="str">
        <f ca="1">IF($B152="","",IF(ISBLANK(INDIRECT(ADDRESS($B152,G$1,1,,"Score"))),"",1))</f>
        <v/>
      </c>
      <c r="H152" s="359" t="str">
        <f ca="1">IF($B152="","",IF(ISBLANK(INDIRECT(ADDRESS($B152,H$1,1,,"Score"))),"",1))</f>
        <v/>
      </c>
      <c r="I152" s="349" t="str">
        <f ca="1">IF(H152=1,F152,"")</f>
        <v/>
      </c>
      <c r="J152" s="359" t="str">
        <f t="shared" ca="1" si="47"/>
        <v/>
      </c>
      <c r="K152" s="359" t="str">
        <f t="shared" ca="1" si="47"/>
        <v/>
      </c>
      <c r="L152" s="359" t="str">
        <f t="shared" ca="1" si="47"/>
        <v/>
      </c>
      <c r="M152" s="329" t="str">
        <f t="shared" ca="1" si="48"/>
        <v/>
      </c>
      <c r="N152" s="231" t="str">
        <f ca="1">IF(ISNA(MATCH($A152,'Game Clock'!A$62:A$91,0)),"",INDIRECT(ADDRESS(MATCH($A152,'Game Clock'!A$62:A$91,0)+ROW('Game Clock'!A$61),N$1,1,,"Game Clock")))</f>
        <v/>
      </c>
      <c r="O152" s="231" t="str">
        <f ca="1">IF(OR(N152="",N152=0),"",60*E152/N152)</f>
        <v/>
      </c>
      <c r="P152" s="329"/>
      <c r="Q152" s="331">
        <f>Q150+1</f>
        <v>33</v>
      </c>
      <c r="R152" s="329" t="str">
        <f>IF(ISNA(MATCH($Q152,Score!T$51:T$88,0)),"",MATCH($Q152,Score!T$51:T$88,0)+ROW(Score!T$50) )</f>
        <v/>
      </c>
      <c r="S152" s="330" t="str">
        <f t="shared" ca="1" si="49"/>
        <v/>
      </c>
      <c r="T152" s="329" t="str">
        <f t="shared" ca="1" si="49"/>
        <v/>
      </c>
      <c r="U152" s="331" t="str">
        <f>IF(R152="","",SUM(T152,T153))</f>
        <v/>
      </c>
      <c r="V152" s="331" t="str">
        <f>IF(R152="","",U152-E152)</f>
        <v/>
      </c>
      <c r="W152" s="359" t="str">
        <f ca="1">IF($R152="","",IF(ISBLANK(INDIRECT(ADDRESS($R152,W$1,1,,"Score"))),"",1))</f>
        <v/>
      </c>
      <c r="X152" s="359" t="str">
        <f ca="1">IF($R152="","",IF(ISBLANK(INDIRECT(ADDRESS($R152,X$1,1,,"Score"))),"",1))</f>
        <v/>
      </c>
      <c r="Y152" s="349" t="str">
        <f ca="1">IF(X152=1,V152,"")</f>
        <v/>
      </c>
      <c r="Z152" s="359" t="str">
        <f t="shared" ca="1" si="50"/>
        <v/>
      </c>
      <c r="AA152" s="359" t="str">
        <f t="shared" ca="1" si="50"/>
        <v/>
      </c>
      <c r="AB152" s="359" t="str">
        <f t="shared" ca="1" si="50"/>
        <v/>
      </c>
      <c r="AC152" s="329" t="str">
        <f t="shared" ca="1" si="51"/>
        <v/>
      </c>
      <c r="AD152" s="231" t="str">
        <f ca="1">N152</f>
        <v/>
      </c>
      <c r="AE152" s="231" t="str">
        <f ca="1">IF(OR(AD152="",AD152=0),"",60*U152/AD152)</f>
        <v/>
      </c>
    </row>
    <row r="153" spans="1:31" x14ac:dyDescent="0.25">
      <c r="A153" s="331"/>
      <c r="B153" s="329" t="str">
        <f ca="1">IF($B152="","",IF(INDIRECT(ADDRESS($B152+1,C$1-1,1,,"Score"))="SP",$B152+1,""))</f>
        <v/>
      </c>
      <c r="C153" s="330" t="str">
        <f t="shared" ca="1" si="46"/>
        <v/>
      </c>
      <c r="D153" s="329" t="str">
        <f t="shared" ca="1" si="46"/>
        <v/>
      </c>
      <c r="E153" s="331"/>
      <c r="F153" s="331"/>
      <c r="G153" s="359"/>
      <c r="H153" s="359"/>
      <c r="I153" s="349"/>
      <c r="J153" s="359" t="str">
        <f t="shared" ca="1" si="47"/>
        <v/>
      </c>
      <c r="K153" s="359" t="str">
        <f t="shared" ca="1" si="47"/>
        <v/>
      </c>
      <c r="L153" s="359" t="str">
        <f t="shared" ca="1" si="47"/>
        <v/>
      </c>
      <c r="M153" s="329" t="str">
        <f t="shared" ca="1" si="48"/>
        <v/>
      </c>
      <c r="N153" s="231"/>
      <c r="O153" s="231"/>
      <c r="P153" s="329"/>
      <c r="Q153" s="331"/>
      <c r="R153" s="329" t="str">
        <f ca="1">IF($R152="","",IF(INDIRECT(ADDRESS($R152+1,S$1-1,1,,"Score"))="SP",$R152+1,""))</f>
        <v/>
      </c>
      <c r="S153" s="330" t="str">
        <f t="shared" ca="1" si="49"/>
        <v/>
      </c>
      <c r="T153" s="329" t="str">
        <f t="shared" ca="1" si="49"/>
        <v/>
      </c>
      <c r="U153" s="331"/>
      <c r="V153" s="331"/>
      <c r="W153" s="359"/>
      <c r="X153" s="359"/>
      <c r="Y153" s="349"/>
      <c r="Z153" s="359" t="str">
        <f t="shared" ca="1" si="50"/>
        <v/>
      </c>
      <c r="AA153" s="359" t="str">
        <f t="shared" ca="1" si="50"/>
        <v/>
      </c>
      <c r="AB153" s="359" t="str">
        <f t="shared" ca="1" si="50"/>
        <v/>
      </c>
      <c r="AC153" s="329" t="str">
        <f t="shared" ca="1" si="51"/>
        <v/>
      </c>
      <c r="AD153" s="231"/>
      <c r="AE153" s="231"/>
    </row>
    <row r="154" spans="1:31" x14ac:dyDescent="0.25">
      <c r="A154" s="350">
        <f>A152+1</f>
        <v>34</v>
      </c>
      <c r="B154" s="351" t="str">
        <f>IF(ISNA(MATCH($A154,Score!A$51:A$88,0)),"",MATCH($A154,Score!A$51:A$88,0)+ROW(Score!A$50))</f>
        <v/>
      </c>
      <c r="C154" s="352" t="str">
        <f t="shared" ca="1" si="46"/>
        <v/>
      </c>
      <c r="D154" s="351" t="str">
        <f t="shared" ca="1" si="46"/>
        <v/>
      </c>
      <c r="E154" s="350" t="str">
        <f>IF(B154="","",SUM(D154,D155))</f>
        <v/>
      </c>
      <c r="F154" s="350" t="str">
        <f>IF(B154="","",E154-U154)</f>
        <v/>
      </c>
      <c r="G154" s="353" t="str">
        <f ca="1">IF($B154="","",IF(ISBLANK(INDIRECT(ADDRESS($B154,G$1,1,,"Score"))),"",1))</f>
        <v/>
      </c>
      <c r="H154" s="353" t="str">
        <f ca="1">IF($B154="","",IF(ISBLANK(INDIRECT(ADDRESS($B154,H$1,1,,"Score"))),"",1))</f>
        <v/>
      </c>
      <c r="I154" s="355" t="str">
        <f ca="1">IF(H154=1,F154,"")</f>
        <v/>
      </c>
      <c r="J154" s="353" t="str">
        <f t="shared" ca="1" si="47"/>
        <v/>
      </c>
      <c r="K154" s="353" t="str">
        <f t="shared" ca="1" si="47"/>
        <v/>
      </c>
      <c r="L154" s="353" t="str">
        <f t="shared" ca="1" si="47"/>
        <v/>
      </c>
      <c r="M154" s="351" t="str">
        <f t="shared" ca="1" si="48"/>
        <v/>
      </c>
      <c r="N154" s="350" t="str">
        <f ca="1">IF(ISNA(MATCH($A154,'Game Clock'!A$62:A$91,0)),"",INDIRECT(ADDRESS(MATCH($A154,'Game Clock'!A$62:A$91,0)+ROW('Game Clock'!A$61),N$1,1,,"Game Clock")))</f>
        <v/>
      </c>
      <c r="O154" s="350" t="str">
        <f ca="1">IF(OR(N154="",N154=0),"",60*E154/N154)</f>
        <v/>
      </c>
      <c r="P154" s="329"/>
      <c r="Q154" s="350">
        <f>Q152+1</f>
        <v>34</v>
      </c>
      <c r="R154" s="351" t="str">
        <f>IF(ISNA(MATCH($Q154,Score!T$51:T$88,0)),"",MATCH($Q154,Score!T$51:T$88,0)+ROW(Score!T$50) )</f>
        <v/>
      </c>
      <c r="S154" s="352" t="str">
        <f t="shared" ca="1" si="49"/>
        <v/>
      </c>
      <c r="T154" s="351" t="str">
        <f t="shared" ca="1" si="49"/>
        <v/>
      </c>
      <c r="U154" s="350" t="str">
        <f>IF(R154="","",SUM(T154,T155))</f>
        <v/>
      </c>
      <c r="V154" s="350" t="str">
        <f>IF(R154="","",U154-E154)</f>
        <v/>
      </c>
      <c r="W154" s="353" t="str">
        <f ca="1">IF($R154="","",IF(ISBLANK(INDIRECT(ADDRESS($R154,W$1,1,,"Score"))),"",1))</f>
        <v/>
      </c>
      <c r="X154" s="353" t="str">
        <f ca="1">IF($R154="","",IF(ISBLANK(INDIRECT(ADDRESS($R154,X$1,1,,"Score"))),"",1))</f>
        <v/>
      </c>
      <c r="Y154" s="355" t="str">
        <f ca="1">IF(X154=1,V154,"")</f>
        <v/>
      </c>
      <c r="Z154" s="353" t="str">
        <f t="shared" ca="1" si="50"/>
        <v/>
      </c>
      <c r="AA154" s="353" t="str">
        <f t="shared" ca="1" si="50"/>
        <v/>
      </c>
      <c r="AB154" s="353" t="str">
        <f t="shared" ca="1" si="50"/>
        <v/>
      </c>
      <c r="AC154" s="351" t="str">
        <f t="shared" ca="1" si="51"/>
        <v/>
      </c>
      <c r="AD154" s="350" t="str">
        <f ca="1">N154</f>
        <v/>
      </c>
      <c r="AE154" s="350" t="str">
        <f ca="1">IF(OR(AD154="",AD154=0),"",60*U154/AD154)</f>
        <v/>
      </c>
    </row>
    <row r="155" spans="1:31" x14ac:dyDescent="0.3">
      <c r="A155" s="350"/>
      <c r="B155" s="351" t="str">
        <f ca="1">IF($B154="","",IF(INDIRECT(ADDRESS($B154+1,C$1-1,1,,"Score"))="SP",$B154+1,""))</f>
        <v/>
      </c>
      <c r="C155" s="352" t="str">
        <f t="shared" ca="1" si="46"/>
        <v/>
      </c>
      <c r="D155" s="351" t="str">
        <f t="shared" ca="1" si="46"/>
        <v/>
      </c>
      <c r="E155" s="350"/>
      <c r="F155" s="350"/>
      <c r="G155" s="353"/>
      <c r="H155" s="354"/>
      <c r="I155" s="355"/>
      <c r="J155" s="353" t="str">
        <f t="shared" ca="1" si="47"/>
        <v/>
      </c>
      <c r="K155" s="353" t="str">
        <f t="shared" ca="1" si="47"/>
        <v/>
      </c>
      <c r="L155" s="353" t="str">
        <f t="shared" ca="1" si="47"/>
        <v/>
      </c>
      <c r="M155" s="351" t="str">
        <f t="shared" ca="1" si="48"/>
        <v/>
      </c>
      <c r="N155" s="350"/>
      <c r="O155" s="350"/>
      <c r="P155" s="329"/>
      <c r="Q155" s="350"/>
      <c r="R155" s="351" t="str">
        <f ca="1">IF($R154="","",IF(INDIRECT(ADDRESS($R154+1,S$1-1,1,,"Score"))="SP",$R154+1,""))</f>
        <v/>
      </c>
      <c r="S155" s="352" t="str">
        <f t="shared" ca="1" si="49"/>
        <v/>
      </c>
      <c r="T155" s="351" t="str">
        <f t="shared" ca="1" si="49"/>
        <v/>
      </c>
      <c r="U155" s="350"/>
      <c r="V155" s="350"/>
      <c r="W155" s="353"/>
      <c r="X155" s="354"/>
      <c r="Y155" s="355"/>
      <c r="Z155" s="353" t="str">
        <f t="shared" ca="1" si="50"/>
        <v/>
      </c>
      <c r="AA155" s="353" t="str">
        <f t="shared" ca="1" si="50"/>
        <v/>
      </c>
      <c r="AB155" s="353" t="str">
        <f t="shared" ca="1" si="50"/>
        <v/>
      </c>
      <c r="AC155" s="351" t="str">
        <f t="shared" ca="1" si="51"/>
        <v/>
      </c>
      <c r="AD155" s="350"/>
      <c r="AE155" s="350"/>
    </row>
    <row r="156" spans="1:31" x14ac:dyDescent="0.25">
      <c r="A156" s="331">
        <f>A154+1</f>
        <v>35</v>
      </c>
      <c r="B156" s="329" t="str">
        <f>IF(ISNA(MATCH($A156,Score!A$51:A$88,0)),"",MATCH($A156,Score!A$51:A$88,0)+ROW(Score!A$50))</f>
        <v/>
      </c>
      <c r="C156" s="330" t="str">
        <f t="shared" ca="1" si="46"/>
        <v/>
      </c>
      <c r="D156" s="329" t="str">
        <f t="shared" ca="1" si="46"/>
        <v/>
      </c>
      <c r="E156" s="331" t="str">
        <f>IF(B156="","",SUM(D156,D157))</f>
        <v/>
      </c>
      <c r="F156" s="331" t="str">
        <f>IF(B156="","",E156-U156)</f>
        <v/>
      </c>
      <c r="G156" s="359" t="str">
        <f ca="1">IF($B156="","",IF(ISBLANK(INDIRECT(ADDRESS($B156,G$1,1,,"Score"))),"",1))</f>
        <v/>
      </c>
      <c r="H156" s="359" t="str">
        <f ca="1">IF($B156="","",IF(ISBLANK(INDIRECT(ADDRESS($B156,H$1,1,,"Score"))),"",1))</f>
        <v/>
      </c>
      <c r="I156" s="349" t="str">
        <f ca="1">IF(H156=1,F156,"")</f>
        <v/>
      </c>
      <c r="J156" s="359" t="str">
        <f t="shared" ca="1" si="47"/>
        <v/>
      </c>
      <c r="K156" s="359" t="str">
        <f t="shared" ca="1" si="47"/>
        <v/>
      </c>
      <c r="L156" s="359" t="str">
        <f t="shared" ca="1" si="47"/>
        <v/>
      </c>
      <c r="M156" s="329" t="str">
        <f t="shared" ca="1" si="48"/>
        <v/>
      </c>
      <c r="N156" s="231" t="str">
        <f ca="1">IF(ISNA(MATCH($A156,'Game Clock'!A$62:A$91,0)),"",INDIRECT(ADDRESS(MATCH($A156,'Game Clock'!A$62:A$91,0)+ROW('Game Clock'!A$61),N$1,1,,"Game Clock")))</f>
        <v/>
      </c>
      <c r="O156" s="231" t="str">
        <f ca="1">IF(OR(N156="",N156=0),"",60*E156/N156)</f>
        <v/>
      </c>
      <c r="P156" s="329"/>
      <c r="Q156" s="331">
        <f>Q154+1</f>
        <v>35</v>
      </c>
      <c r="R156" s="329" t="str">
        <f>IF(ISNA(MATCH($Q156,Score!T$51:T$88,0)),"",MATCH($Q156,Score!T$51:T$88,0)+ROW(Score!T$50) )</f>
        <v/>
      </c>
      <c r="S156" s="330" t="str">
        <f t="shared" ca="1" si="49"/>
        <v/>
      </c>
      <c r="T156" s="329" t="str">
        <f t="shared" ca="1" si="49"/>
        <v/>
      </c>
      <c r="U156" s="331" t="str">
        <f>IF(R156="","",SUM(T156,T157))</f>
        <v/>
      </c>
      <c r="V156" s="331" t="str">
        <f>IF(R156="","",U156-E156)</f>
        <v/>
      </c>
      <c r="W156" s="359" t="str">
        <f ca="1">IF($R156="","",IF(ISBLANK(INDIRECT(ADDRESS($R156,W$1,1,,"Score"))),"",1))</f>
        <v/>
      </c>
      <c r="X156" s="359" t="str">
        <f ca="1">IF($R156="","",IF(ISBLANK(INDIRECT(ADDRESS($R156,X$1,1,,"Score"))),"",1))</f>
        <v/>
      </c>
      <c r="Y156" s="349" t="str">
        <f ca="1">IF(X156=1,V156,"")</f>
        <v/>
      </c>
      <c r="Z156" s="359" t="str">
        <f t="shared" ca="1" si="50"/>
        <v/>
      </c>
      <c r="AA156" s="359" t="str">
        <f t="shared" ca="1" si="50"/>
        <v/>
      </c>
      <c r="AB156" s="359" t="str">
        <f t="shared" ca="1" si="50"/>
        <v/>
      </c>
      <c r="AC156" s="329" t="str">
        <f t="shared" ca="1" si="51"/>
        <v/>
      </c>
      <c r="AD156" s="231" t="str">
        <f ca="1">N156</f>
        <v/>
      </c>
      <c r="AE156" s="231" t="str">
        <f ca="1">IF(OR(AD156="",AD156=0),"",60*U156/AD156)</f>
        <v/>
      </c>
    </row>
    <row r="157" spans="1:31" x14ac:dyDescent="0.25">
      <c r="A157" s="331"/>
      <c r="B157" s="329" t="str">
        <f ca="1">IF($B156="","",IF(INDIRECT(ADDRESS($B156+1,C$1-1,1,,"Score"))="SP",$B156+1,""))</f>
        <v/>
      </c>
      <c r="C157" s="330" t="str">
        <f t="shared" ca="1" si="46"/>
        <v/>
      </c>
      <c r="D157" s="329" t="str">
        <f t="shared" ca="1" si="46"/>
        <v/>
      </c>
      <c r="E157" s="331"/>
      <c r="F157" s="331"/>
      <c r="G157" s="359"/>
      <c r="H157" s="359"/>
      <c r="I157" s="349"/>
      <c r="J157" s="359" t="str">
        <f t="shared" ca="1" si="47"/>
        <v/>
      </c>
      <c r="K157" s="359" t="str">
        <f t="shared" ca="1" si="47"/>
        <v/>
      </c>
      <c r="L157" s="359" t="str">
        <f t="shared" ca="1" si="47"/>
        <v/>
      </c>
      <c r="M157" s="329" t="str">
        <f t="shared" ca="1" si="48"/>
        <v/>
      </c>
      <c r="N157" s="231"/>
      <c r="O157" s="231"/>
      <c r="P157" s="329"/>
      <c r="Q157" s="331"/>
      <c r="R157" s="329" t="str">
        <f ca="1">IF($R156="","",IF(INDIRECT(ADDRESS($R156+1,S$1-1,1,,"Score"))="SP",$R156+1,""))</f>
        <v/>
      </c>
      <c r="S157" s="330" t="str">
        <f t="shared" ca="1" si="49"/>
        <v/>
      </c>
      <c r="T157" s="329" t="str">
        <f t="shared" ca="1" si="49"/>
        <v/>
      </c>
      <c r="U157" s="331"/>
      <c r="V157" s="331"/>
      <c r="W157" s="359"/>
      <c r="X157" s="359"/>
      <c r="Y157" s="349"/>
      <c r="Z157" s="359" t="str">
        <f t="shared" ca="1" si="50"/>
        <v/>
      </c>
      <c r="AA157" s="359" t="str">
        <f t="shared" ca="1" si="50"/>
        <v/>
      </c>
      <c r="AB157" s="359" t="str">
        <f t="shared" ca="1" si="50"/>
        <v/>
      </c>
      <c r="AC157" s="329" t="str">
        <f t="shared" ca="1" si="51"/>
        <v/>
      </c>
      <c r="AD157" s="231"/>
      <c r="AE157" s="231"/>
    </row>
    <row r="158" spans="1:31" x14ac:dyDescent="0.25">
      <c r="A158" s="350">
        <f>A156+1</f>
        <v>36</v>
      </c>
      <c r="B158" s="351" t="str">
        <f>IF(ISNA(MATCH($A158,Score!A$51:A$88,0)),"",MATCH($A158,Score!A$51:A$88,0)+ROW(Score!A$50))</f>
        <v/>
      </c>
      <c r="C158" s="352" t="str">
        <f t="shared" ca="1" si="46"/>
        <v/>
      </c>
      <c r="D158" s="351" t="str">
        <f t="shared" ca="1" si="46"/>
        <v/>
      </c>
      <c r="E158" s="350" t="str">
        <f>IF(B158="","",SUM(D158,D159))</f>
        <v/>
      </c>
      <c r="F158" s="350" t="str">
        <f>IF(B158="","",E158-U158)</f>
        <v/>
      </c>
      <c r="G158" s="353" t="str">
        <f ca="1">IF($B158="","",IF(ISBLANK(INDIRECT(ADDRESS($B158,G$1,1,,"Score"))),"",1))</f>
        <v/>
      </c>
      <c r="H158" s="353" t="str">
        <f ca="1">IF($B158="","",IF(ISBLANK(INDIRECT(ADDRESS($B158,H$1,1,,"Score"))),"",1))</f>
        <v/>
      </c>
      <c r="I158" s="355" t="str">
        <f ca="1">IF(H158=1,F158,"")</f>
        <v/>
      </c>
      <c r="J158" s="353" t="str">
        <f t="shared" ca="1" si="47"/>
        <v/>
      </c>
      <c r="K158" s="353" t="str">
        <f t="shared" ca="1" si="47"/>
        <v/>
      </c>
      <c r="L158" s="353" t="str">
        <f t="shared" ca="1" si="47"/>
        <v/>
      </c>
      <c r="M158" s="351" t="str">
        <f t="shared" ca="1" si="48"/>
        <v/>
      </c>
      <c r="N158" s="350" t="str">
        <f ca="1">IF(ISNA(MATCH($A158,'Game Clock'!A$62:A$91,0)),"",INDIRECT(ADDRESS(MATCH($A158,'Game Clock'!A$62:A$91,0)+ROW('Game Clock'!A$61),N$1,1,,"Game Clock")))</f>
        <v/>
      </c>
      <c r="O158" s="350" t="str">
        <f ca="1">IF(OR(N158="",N158=0),"",60*E158/N158)</f>
        <v/>
      </c>
      <c r="P158" s="329"/>
      <c r="Q158" s="350">
        <f>Q156+1</f>
        <v>36</v>
      </c>
      <c r="R158" s="351" t="str">
        <f>IF(ISNA(MATCH($Q158,Score!T$51:T$88,0)),"",MATCH($Q158,Score!T$51:T$88,0)+ROW(Score!T$50) )</f>
        <v/>
      </c>
      <c r="S158" s="352" t="str">
        <f t="shared" ca="1" si="49"/>
        <v/>
      </c>
      <c r="T158" s="351" t="str">
        <f t="shared" ca="1" si="49"/>
        <v/>
      </c>
      <c r="U158" s="350" t="str">
        <f>IF(R158="","",SUM(T158,T159))</f>
        <v/>
      </c>
      <c r="V158" s="350" t="str">
        <f>IF(R158="","",U158-E158)</f>
        <v/>
      </c>
      <c r="W158" s="353" t="str">
        <f ca="1">IF($R158="","",IF(ISBLANK(INDIRECT(ADDRESS($R158,W$1,1,,"Score"))),"",1))</f>
        <v/>
      </c>
      <c r="X158" s="353" t="str">
        <f ca="1">IF($R158="","",IF(ISBLANK(INDIRECT(ADDRESS($R158,X$1,1,,"Score"))),"",1))</f>
        <v/>
      </c>
      <c r="Y158" s="355" t="str">
        <f ca="1">IF(X158=1,V158,"")</f>
        <v/>
      </c>
      <c r="Z158" s="353" t="str">
        <f t="shared" ca="1" si="50"/>
        <v/>
      </c>
      <c r="AA158" s="353" t="str">
        <f t="shared" ca="1" si="50"/>
        <v/>
      </c>
      <c r="AB158" s="353" t="str">
        <f t="shared" ca="1" si="50"/>
        <v/>
      </c>
      <c r="AC158" s="351" t="str">
        <f t="shared" ca="1" si="51"/>
        <v/>
      </c>
      <c r="AD158" s="350" t="str">
        <f ca="1">N158</f>
        <v/>
      </c>
      <c r="AE158" s="350" t="str">
        <f ca="1">IF(OR(AD158="",AD158=0),"",60*U158/AD158)</f>
        <v/>
      </c>
    </row>
    <row r="159" spans="1:31" x14ac:dyDescent="0.3">
      <c r="A159" s="350"/>
      <c r="B159" s="351" t="str">
        <f ca="1">IF($B158="","",IF(INDIRECT(ADDRESS($B158+1,C$1-1,1,,"Score"))="SP",$B158+1,""))</f>
        <v/>
      </c>
      <c r="C159" s="352" t="str">
        <f t="shared" ca="1" si="46"/>
        <v/>
      </c>
      <c r="D159" s="351" t="str">
        <f t="shared" ca="1" si="46"/>
        <v/>
      </c>
      <c r="E159" s="350"/>
      <c r="F159" s="350"/>
      <c r="G159" s="353"/>
      <c r="H159" s="354"/>
      <c r="I159" s="355"/>
      <c r="J159" s="353" t="str">
        <f t="shared" ca="1" si="47"/>
        <v/>
      </c>
      <c r="K159" s="353" t="str">
        <f t="shared" ca="1" si="47"/>
        <v/>
      </c>
      <c r="L159" s="353" t="str">
        <f t="shared" ca="1" si="47"/>
        <v/>
      </c>
      <c r="M159" s="351" t="str">
        <f t="shared" ca="1" si="48"/>
        <v/>
      </c>
      <c r="N159" s="350"/>
      <c r="O159" s="350"/>
      <c r="P159" s="329"/>
      <c r="Q159" s="350"/>
      <c r="R159" s="351" t="str">
        <f ca="1">IF($R158="","",IF(INDIRECT(ADDRESS($R158+1,S$1-1,1,,"Score"))="SP",$R158+1,""))</f>
        <v/>
      </c>
      <c r="S159" s="352" t="str">
        <f t="shared" ca="1" si="49"/>
        <v/>
      </c>
      <c r="T159" s="351" t="str">
        <f t="shared" ca="1" si="49"/>
        <v/>
      </c>
      <c r="U159" s="350"/>
      <c r="V159" s="350"/>
      <c r="W159" s="353"/>
      <c r="X159" s="354"/>
      <c r="Y159" s="355"/>
      <c r="Z159" s="353" t="str">
        <f t="shared" ca="1" si="50"/>
        <v/>
      </c>
      <c r="AA159" s="353" t="str">
        <f t="shared" ca="1" si="50"/>
        <v/>
      </c>
      <c r="AB159" s="353" t="str">
        <f t="shared" ca="1" si="50"/>
        <v/>
      </c>
      <c r="AC159" s="351" t="str">
        <f t="shared" ca="1" si="51"/>
        <v/>
      </c>
      <c r="AD159" s="350"/>
      <c r="AE159" s="350"/>
    </row>
    <row r="160" spans="1:31" x14ac:dyDescent="0.25">
      <c r="A160" s="331">
        <f>A158+1</f>
        <v>37</v>
      </c>
      <c r="B160" s="329" t="str">
        <f>IF(ISNA(MATCH($A160,Score!A$51:A$88,0)),"",MATCH($A160,Score!A$51:A$88,0)+ROW(Score!A$50))</f>
        <v/>
      </c>
      <c r="C160" s="330" t="str">
        <f t="shared" ref="C160:D163" ca="1" si="52">IF($B160="","",INDIRECT(ADDRESS($B160,C$1,1,,"Score")))</f>
        <v/>
      </c>
      <c r="D160" s="329" t="str">
        <f t="shared" ca="1" si="52"/>
        <v/>
      </c>
      <c r="E160" s="331" t="str">
        <f>IF(B160="","",SUM(D160,D161))</f>
        <v/>
      </c>
      <c r="F160" s="331" t="str">
        <f>IF(B160="","",E160-U160)</f>
        <v/>
      </c>
      <c r="G160" s="359" t="str">
        <f ca="1">IF($B160="","",IF(ISBLANK(INDIRECT(ADDRESS($B160,G$1,1,,"Score"))),"",1))</f>
        <v/>
      </c>
      <c r="H160" s="359" t="str">
        <f ca="1">IF($B160="","",IF(ISBLANK(INDIRECT(ADDRESS($B160,H$1,1,,"Score"))),"",1))</f>
        <v/>
      </c>
      <c r="I160" s="349" t="str">
        <f ca="1">IF(H160=1,F160,"")</f>
        <v/>
      </c>
      <c r="J160" s="359" t="str">
        <f t="shared" ref="J160:L163" ca="1" si="53">IF($B160="","",IF(ISBLANK(INDIRECT(ADDRESS($B160,J$1,1,,"Score"))),"",1))</f>
        <v/>
      </c>
      <c r="K160" s="359" t="str">
        <f t="shared" ca="1" si="53"/>
        <v/>
      </c>
      <c r="L160" s="359" t="str">
        <f t="shared" ca="1" si="53"/>
        <v/>
      </c>
      <c r="M160" s="329" t="str">
        <f t="shared" ca="1" si="48"/>
        <v/>
      </c>
      <c r="N160" s="231" t="str">
        <f ca="1">IF(ISNA(MATCH($A160,'Game Clock'!A$62:A$91,0)),"",INDIRECT(ADDRESS(MATCH($A160,'Game Clock'!A$62:A$91,0)+ROW('Game Clock'!A$61),N$1,1,,"Game Clock")))</f>
        <v/>
      </c>
      <c r="O160" s="231" t="str">
        <f ca="1">IF(OR(N160="",N160=0),"",60*E160/N160)</f>
        <v/>
      </c>
      <c r="P160" s="329"/>
      <c r="Q160" s="331">
        <f>Q158+1</f>
        <v>37</v>
      </c>
      <c r="R160" s="329" t="str">
        <f>IF(ISNA(MATCH($Q160,Score!T$51:T$88,0)),"",MATCH($Q160,Score!T$51:T$88,0)+ROW(Score!T$50) )</f>
        <v/>
      </c>
      <c r="S160" s="330" t="str">
        <f t="shared" ref="S160:T163" ca="1" si="54">IF($R160="","",INDIRECT(ADDRESS($R160,S$1,1,,"Score")))</f>
        <v/>
      </c>
      <c r="T160" s="329" t="str">
        <f t="shared" ca="1" si="54"/>
        <v/>
      </c>
      <c r="U160" s="331" t="str">
        <f>IF(R160="","",SUM(T160,T161))</f>
        <v/>
      </c>
      <c r="V160" s="331" t="str">
        <f>IF(R160="","",U160-E160)</f>
        <v/>
      </c>
      <c r="W160" s="359" t="str">
        <f ca="1">IF($R160="","",IF(ISBLANK(INDIRECT(ADDRESS($R160,W$1,1,,"Score"))),"",1))</f>
        <v/>
      </c>
      <c r="X160" s="359" t="str">
        <f ca="1">IF($R160="","",IF(ISBLANK(INDIRECT(ADDRESS($R160,X$1,1,,"Score"))),"",1))</f>
        <v/>
      </c>
      <c r="Y160" s="349" t="str">
        <f ca="1">IF(X160=1,V160,"")</f>
        <v/>
      </c>
      <c r="Z160" s="359" t="str">
        <f t="shared" ref="Z160:AB163" ca="1" si="55">IF($R160="","",IF(ISBLANK(INDIRECT(ADDRESS($R160,Z$1,1,,"Score"))),"",1))</f>
        <v/>
      </c>
      <c r="AA160" s="359" t="str">
        <f t="shared" ca="1" si="55"/>
        <v/>
      </c>
      <c r="AB160" s="359" t="str">
        <f t="shared" ca="1" si="55"/>
        <v/>
      </c>
      <c r="AC160" s="329" t="str">
        <f t="shared" ca="1" si="51"/>
        <v/>
      </c>
      <c r="AD160" s="231" t="str">
        <f ca="1">N160</f>
        <v/>
      </c>
      <c r="AE160" s="231" t="str">
        <f ca="1">IF(OR(AD160="",AD160=0),"",60*U160/AD160)</f>
        <v/>
      </c>
    </row>
    <row r="161" spans="1:31" x14ac:dyDescent="0.25">
      <c r="A161" s="331"/>
      <c r="B161" s="329" t="str">
        <f ca="1">IF($B160="","",IF(INDIRECT(ADDRESS($B160+1,C$1-1,1,,"Score"))="SP",$B160+1,""))</f>
        <v/>
      </c>
      <c r="C161" s="330" t="str">
        <f t="shared" ca="1" si="52"/>
        <v/>
      </c>
      <c r="D161" s="329" t="str">
        <f t="shared" ca="1" si="52"/>
        <v/>
      </c>
      <c r="E161" s="331"/>
      <c r="F161" s="331"/>
      <c r="G161" s="359"/>
      <c r="H161" s="359"/>
      <c r="I161" s="349"/>
      <c r="J161" s="359" t="str">
        <f t="shared" ca="1" si="53"/>
        <v/>
      </c>
      <c r="K161" s="359" t="str">
        <f t="shared" ca="1" si="53"/>
        <v/>
      </c>
      <c r="L161" s="359" t="str">
        <f t="shared" ca="1" si="53"/>
        <v/>
      </c>
      <c r="M161" s="329" t="str">
        <f t="shared" ca="1" si="48"/>
        <v/>
      </c>
      <c r="N161" s="231"/>
      <c r="O161" s="231"/>
      <c r="P161" s="329"/>
      <c r="Q161" s="331"/>
      <c r="R161" s="329" t="str">
        <f ca="1">IF($R160="","",IF(INDIRECT(ADDRESS($R160+1,S$1-1,1,,"Score"))="SP",$R160+1,""))</f>
        <v/>
      </c>
      <c r="S161" s="330" t="str">
        <f t="shared" ca="1" si="54"/>
        <v/>
      </c>
      <c r="T161" s="329" t="str">
        <f t="shared" ca="1" si="54"/>
        <v/>
      </c>
      <c r="U161" s="331"/>
      <c r="V161" s="331"/>
      <c r="W161" s="359"/>
      <c r="X161" s="359"/>
      <c r="Y161" s="349"/>
      <c r="Z161" s="359" t="str">
        <f t="shared" ca="1" si="55"/>
        <v/>
      </c>
      <c r="AA161" s="359" t="str">
        <f t="shared" ca="1" si="55"/>
        <v/>
      </c>
      <c r="AB161" s="359" t="str">
        <f t="shared" ca="1" si="55"/>
        <v/>
      </c>
      <c r="AC161" s="329" t="str">
        <f t="shared" ca="1" si="51"/>
        <v/>
      </c>
      <c r="AD161" s="231"/>
      <c r="AE161" s="231"/>
    </row>
    <row r="162" spans="1:31" x14ac:dyDescent="0.25">
      <c r="A162" s="350">
        <f>A160+1</f>
        <v>38</v>
      </c>
      <c r="B162" s="351" t="str">
        <f>IF(ISNA(MATCH($A162,Score!A$51:A$88,0)),"",MATCH($A162,Score!A$51:A$88,0)+ROW(Score!A$50))</f>
        <v/>
      </c>
      <c r="C162" s="352" t="str">
        <f t="shared" ca="1" si="52"/>
        <v/>
      </c>
      <c r="D162" s="351" t="str">
        <f t="shared" ca="1" si="52"/>
        <v/>
      </c>
      <c r="E162" s="350" t="str">
        <f>IF(B162="","",SUM(D162,D163))</f>
        <v/>
      </c>
      <c r="F162" s="350" t="str">
        <f>IF(B162="","",E162-U162)</f>
        <v/>
      </c>
      <c r="G162" s="353" t="str">
        <f ca="1">IF($B162="","",IF(ISBLANK(INDIRECT(ADDRESS($B162,G$1,1,,"Score"))),"",1))</f>
        <v/>
      </c>
      <c r="H162" s="353" t="str">
        <f ca="1">IF($B162="","",IF(ISBLANK(INDIRECT(ADDRESS($B162,H$1,1,,"Score"))),"",1))</f>
        <v/>
      </c>
      <c r="I162" s="355" t="str">
        <f ca="1">IF(H162=1,F162,"")</f>
        <v/>
      </c>
      <c r="J162" s="353" t="str">
        <f t="shared" ca="1" si="53"/>
        <v/>
      </c>
      <c r="K162" s="353" t="str">
        <f t="shared" ca="1" si="53"/>
        <v/>
      </c>
      <c r="L162" s="353" t="str">
        <f t="shared" ca="1" si="53"/>
        <v/>
      </c>
      <c r="M162" s="351" t="str">
        <f t="shared" ca="1" si="48"/>
        <v/>
      </c>
      <c r="N162" s="350" t="str">
        <f ca="1">IF(ISNA(MATCH($A162,'Game Clock'!A$62:A$91,0)),"",INDIRECT(ADDRESS(MATCH($A162,'Game Clock'!A$62:A$91,0)+ROW('Game Clock'!A$61),N$1,1,,"Game Clock")))</f>
        <v/>
      </c>
      <c r="O162" s="350" t="str">
        <f ca="1">IF(OR(N162="",N162=0),"",60*E162/N162)</f>
        <v/>
      </c>
      <c r="P162" s="329"/>
      <c r="Q162" s="350">
        <f>Q160+1</f>
        <v>38</v>
      </c>
      <c r="R162" s="351" t="str">
        <f>IF(ISNA(MATCH($Q162,Score!T$51:T$88,0)),"",MATCH($Q162,Score!T$51:T$88,0)+ROW(Score!T$50) )</f>
        <v/>
      </c>
      <c r="S162" s="352" t="str">
        <f t="shared" ca="1" si="54"/>
        <v/>
      </c>
      <c r="T162" s="351" t="str">
        <f t="shared" ca="1" si="54"/>
        <v/>
      </c>
      <c r="U162" s="350" t="str">
        <f>IF(R162="","",SUM(T162,T163))</f>
        <v/>
      </c>
      <c r="V162" s="350" t="str">
        <f>IF(R162="","",U162-E162)</f>
        <v/>
      </c>
      <c r="W162" s="353" t="str">
        <f ca="1">IF($R162="","",IF(ISBLANK(INDIRECT(ADDRESS($R162,W$1,1,,"Score"))),"",1))</f>
        <v/>
      </c>
      <c r="X162" s="353" t="str">
        <f ca="1">IF($R162="","",IF(ISBLANK(INDIRECT(ADDRESS($R162,X$1,1,,"Score"))),"",1))</f>
        <v/>
      </c>
      <c r="Y162" s="355" t="str">
        <f ca="1">IF(X162=1,V162,"")</f>
        <v/>
      </c>
      <c r="Z162" s="353" t="str">
        <f t="shared" ca="1" si="55"/>
        <v/>
      </c>
      <c r="AA162" s="353" t="str">
        <f t="shared" ca="1" si="55"/>
        <v/>
      </c>
      <c r="AB162" s="353" t="str">
        <f t="shared" ca="1" si="55"/>
        <v/>
      </c>
      <c r="AC162" s="351" t="str">
        <f t="shared" ca="1" si="51"/>
        <v/>
      </c>
      <c r="AD162" s="350" t="str">
        <f ca="1">N162</f>
        <v/>
      </c>
      <c r="AE162" s="350" t="str">
        <f ca="1">IF(OR(AD162="",AD162=0),"",60*U162/AD162)</f>
        <v/>
      </c>
    </row>
    <row r="163" spans="1:31" x14ac:dyDescent="0.3">
      <c r="A163" s="350"/>
      <c r="B163" s="351" t="str">
        <f ca="1">IF($B162="","",IF(INDIRECT(ADDRESS($B162+1,C$1-1,1,,"Score"))="SP",$B162+1,""))</f>
        <v/>
      </c>
      <c r="C163" s="352" t="str">
        <f t="shared" ca="1" si="52"/>
        <v/>
      </c>
      <c r="D163" s="351" t="str">
        <f t="shared" ca="1" si="52"/>
        <v/>
      </c>
      <c r="E163" s="350"/>
      <c r="F163" s="350"/>
      <c r="G163" s="353"/>
      <c r="H163" s="354"/>
      <c r="I163" s="355"/>
      <c r="J163" s="353" t="str">
        <f t="shared" ca="1" si="53"/>
        <v/>
      </c>
      <c r="K163" s="353" t="str">
        <f t="shared" ca="1" si="53"/>
        <v/>
      </c>
      <c r="L163" s="353" t="str">
        <f t="shared" ca="1" si="53"/>
        <v/>
      </c>
      <c r="M163" s="351" t="str">
        <f t="shared" ca="1" si="48"/>
        <v/>
      </c>
      <c r="N163" s="350"/>
      <c r="O163" s="350"/>
      <c r="P163" s="329"/>
      <c r="Q163" s="350"/>
      <c r="R163" s="351" t="str">
        <f ca="1">IF($R162="","",IF(INDIRECT(ADDRESS($R162+1,S$1-1,1,,"Score"))="SP",$R162+1,""))</f>
        <v/>
      </c>
      <c r="S163" s="352" t="str">
        <f t="shared" ca="1" si="54"/>
        <v/>
      </c>
      <c r="T163" s="351" t="str">
        <f t="shared" ca="1" si="54"/>
        <v/>
      </c>
      <c r="U163" s="350"/>
      <c r="V163" s="350"/>
      <c r="W163" s="353"/>
      <c r="X163" s="354"/>
      <c r="Y163" s="355"/>
      <c r="Z163" s="353" t="str">
        <f t="shared" ca="1" si="55"/>
        <v/>
      </c>
      <c r="AA163" s="353" t="str">
        <f t="shared" ca="1" si="55"/>
        <v/>
      </c>
      <c r="AB163" s="353" t="str">
        <f t="shared" ca="1" si="55"/>
        <v/>
      </c>
      <c r="AC163" s="351" t="str">
        <f t="shared" ca="1" si="51"/>
        <v/>
      </c>
      <c r="AD163" s="350"/>
      <c r="AE163" s="350"/>
    </row>
    <row r="164" spans="1:31" ht="12.75" customHeight="1" x14ac:dyDescent="0.25">
      <c r="A164" s="1375" t="s">
        <v>34</v>
      </c>
      <c r="B164" s="360"/>
      <c r="C164" s="360"/>
      <c r="D164" s="360"/>
      <c r="E164" s="361">
        <f ca="1">SUM(E88:E163)</f>
        <v>156</v>
      </c>
      <c r="F164" s="362"/>
      <c r="G164" s="358">
        <f ca="1">SUM(G88:G163)</f>
        <v>3</v>
      </c>
      <c r="H164" s="358">
        <f ca="1">SUM(H88:H163)</f>
        <v>15</v>
      </c>
      <c r="I164" s="348"/>
      <c r="J164" s="1376">
        <f ca="1">SUM(J88:J163)</f>
        <v>14</v>
      </c>
      <c r="K164" s="1376">
        <f ca="1">SUM(K88:K163)</f>
        <v>0</v>
      </c>
      <c r="L164" s="358">
        <f ca="1">SUM(L88,L90,L92,L94,L96,L98,L100,L102,L104,L106,L108,L110,L112,L114,L116,L118,L120,L122,L124,L126,L128,L130,L132,L134,L136,L138,L140,L142,L144,L146, L148, L150, L152, L154, L156,L158,L160,L162)</f>
        <v>1</v>
      </c>
      <c r="M164" s="360"/>
      <c r="N164" s="362" t="s">
        <v>32</v>
      </c>
      <c r="O164" s="361" t="str">
        <f ca="1">IF(COUNT(O88:O163),AVERAGE(O88:O163),"")</f>
        <v/>
      </c>
      <c r="P164" s="329"/>
      <c r="Q164" s="1375" t="s">
        <v>34</v>
      </c>
      <c r="R164" s="360"/>
      <c r="S164" s="360"/>
      <c r="T164" s="360"/>
      <c r="U164" s="361">
        <f ca="1">SUM(U88:U163)</f>
        <v>26</v>
      </c>
      <c r="V164" s="362"/>
      <c r="W164" s="358">
        <f ca="1">SUM(W88:W163)</f>
        <v>1</v>
      </c>
      <c r="X164" s="358">
        <f ca="1">SUM(X88:X163)</f>
        <v>9</v>
      </c>
      <c r="Y164" s="348"/>
      <c r="Z164" s="1376">
        <f ca="1">SUM(Z88:Z163)</f>
        <v>7</v>
      </c>
      <c r="AA164" s="1376">
        <f ca="1">SUM(AA88:AA163)</f>
        <v>0</v>
      </c>
      <c r="AB164" s="358">
        <f ca="1">SUM(AB88,AB90,AB92,AB94,AB96,AB98,AB100,AB102,AB104,AB106,AB108,AB110,AB112,AB114,AB116,AB118,AB120,AB122,AB124,AB126,AB128,AB130,AB132,AB134,AB136,AB138,AB140,AB142,AB144,AB146, AB148, AB150, AB152, AB154, AB156, AB158, AB160, AB162)</f>
        <v>5</v>
      </c>
      <c r="AC164" s="360"/>
      <c r="AD164" s="362" t="s">
        <v>32</v>
      </c>
      <c r="AE164" s="361" t="str">
        <f ca="1">IF(COUNT(AE88:AE163),AVERAGE(AE88:AE163),"")</f>
        <v/>
      </c>
    </row>
    <row r="165" spans="1:31" x14ac:dyDescent="0.3">
      <c r="A165" s="1375"/>
      <c r="B165" s="360"/>
      <c r="C165" s="360"/>
      <c r="D165" s="360"/>
      <c r="E165" s="361"/>
      <c r="F165" s="362"/>
      <c r="G165" s="358"/>
      <c r="H165" s="363"/>
      <c r="I165" s="348"/>
      <c r="J165" s="1376"/>
      <c r="K165" s="1376"/>
      <c r="L165" s="358">
        <f ca="1">SUM(L89,L91,L93,L95,L97,L99,L101,L103,L105,L107,L109,L111,L113,L115,L117,L119,L121,L123,L125,L127,L129,L131,L133,L135,L137,L139,L141,L143,L145,L147, L149, L151, L153, L155, L157,L159,L161,L163)</f>
        <v>0</v>
      </c>
      <c r="M165" s="360"/>
      <c r="N165" s="362"/>
      <c r="O165" s="361"/>
      <c r="P165" s="329"/>
      <c r="Q165" s="1375"/>
      <c r="R165" s="360"/>
      <c r="S165" s="360"/>
      <c r="T165" s="360"/>
      <c r="U165" s="361"/>
      <c r="V165" s="362"/>
      <c r="W165" s="358"/>
      <c r="X165" s="363"/>
      <c r="Y165" s="348"/>
      <c r="Z165" s="1376"/>
      <c r="AA165" s="1376"/>
      <c r="AB165" s="358">
        <f ca="1">SUM(AB89,AB91,AB93,AB95,AB97,AB99,AB101,AB103,AB105,AB107,AB109,AB111,AB113,AB115,AB117,AB119,AB121,AB123,AB125,AB127,AB129,AB131,AB133,AB135,AB137,AB139,AB141,AB143,AB145,AB147, AB149, AB151, AB153, AB155, AB157, AB159, AB161, AB163)</f>
        <v>0</v>
      </c>
      <c r="AC165" s="360"/>
      <c r="AD165" s="362"/>
      <c r="AE165" s="361"/>
    </row>
    <row r="171" spans="1:31" x14ac:dyDescent="0.25">
      <c r="A171" s="232" t="s">
        <v>18</v>
      </c>
      <c r="B171" s="232" t="s">
        <v>177</v>
      </c>
      <c r="D171" s="232" t="s">
        <v>241</v>
      </c>
      <c r="E171" s="232" t="s">
        <v>35</v>
      </c>
      <c r="F171" s="232" t="s">
        <v>23</v>
      </c>
      <c r="G171" s="232" t="s">
        <v>24</v>
      </c>
      <c r="H171" s="232" t="s">
        <v>25</v>
      </c>
      <c r="I171" s="232" t="s">
        <v>26</v>
      </c>
      <c r="J171" s="232" t="s">
        <v>27</v>
      </c>
      <c r="K171" s="232" t="s">
        <v>28</v>
      </c>
      <c r="L171" s="232" t="s">
        <v>263</v>
      </c>
      <c r="M171" s="232" t="s">
        <v>185</v>
      </c>
      <c r="N171" s="232"/>
      <c r="O171" s="232"/>
      <c r="Q171" s="232" t="s">
        <v>20</v>
      </c>
      <c r="R171" s="232" t="s">
        <v>177</v>
      </c>
      <c r="T171" s="232" t="s">
        <v>241</v>
      </c>
      <c r="U171" s="232" t="s">
        <v>35</v>
      </c>
      <c r="V171" s="232" t="s">
        <v>23</v>
      </c>
      <c r="W171" s="232" t="s">
        <v>24</v>
      </c>
      <c r="X171" s="232" t="s">
        <v>25</v>
      </c>
      <c r="Y171" s="232" t="s">
        <v>26</v>
      </c>
      <c r="Z171" s="232" t="s">
        <v>27</v>
      </c>
      <c r="AA171" s="232" t="s">
        <v>28</v>
      </c>
      <c r="AB171" s="232" t="s">
        <v>263</v>
      </c>
      <c r="AC171" s="232" t="s">
        <v>185</v>
      </c>
    </row>
    <row r="172" spans="1:31" x14ac:dyDescent="0.25">
      <c r="A172" s="229">
        <v>1</v>
      </c>
      <c r="B172" s="233" t="str">
        <f>IF(IGRF!B11="","",IGRF!B11)</f>
        <v>12</v>
      </c>
      <c r="C172" s="81" t="s">
        <v>17</v>
      </c>
      <c r="D172" s="81" t="str">
        <f ca="1">IF(OR($E172="",$E172=0),"",SUMPRODUCT(--($C$3:$C$78=$B172),D$3:D$78))</f>
        <v/>
      </c>
      <c r="E172" s="81">
        <f ca="1">IF($B172="","",SUMPRODUCT(--(C$3:C$78=$B172)))</f>
        <v>0</v>
      </c>
      <c r="F172" s="81" t="str">
        <f ca="1">IF(OR($E172="",$E172=0),"",SUMIF($C$3:$C$62,$B172,F$3:F$62))</f>
        <v/>
      </c>
      <c r="G172" s="365" t="str">
        <f t="shared" ref="G172:M172" ca="1" si="56">IF(OR($E172="",$E172=0),"",SUMPRODUCT(--($C$3:$C$78=$B172),G$3:G$78))</f>
        <v/>
      </c>
      <c r="H172" s="365" t="str">
        <f t="shared" ca="1" si="56"/>
        <v/>
      </c>
      <c r="I172" s="349" t="str">
        <f t="shared" ca="1" si="56"/>
        <v/>
      </c>
      <c r="J172" s="365" t="str">
        <f t="shared" ca="1" si="56"/>
        <v/>
      </c>
      <c r="K172" s="365" t="str">
        <f t="shared" ca="1" si="56"/>
        <v/>
      </c>
      <c r="L172" s="365" t="str">
        <f t="shared" ca="1" si="56"/>
        <v/>
      </c>
      <c r="M172" s="81" t="str">
        <f t="shared" ca="1" si="56"/>
        <v/>
      </c>
      <c r="Q172" s="229">
        <v>1</v>
      </c>
      <c r="R172" s="229" t="str">
        <f>IF(IGRF!H11="","",IGRF!H11)</f>
        <v>112</v>
      </c>
      <c r="S172" s="329" t="s">
        <v>17</v>
      </c>
      <c r="T172" s="329" t="str">
        <f ca="1">IF(OR($U172="",$U172=0),"",SUMPRODUCT(--($S$3:$S$78=$R172),T$3:T$78))</f>
        <v/>
      </c>
      <c r="U172" s="329">
        <f ca="1">IF($R172="","",SUMPRODUCT(--(S$3:S$78=$R172)))</f>
        <v>0</v>
      </c>
      <c r="V172" s="329" t="str">
        <f t="shared" ref="V172:AC172" ca="1" si="57">IF(OR($U172="",$U172=0),"",SUMPRODUCT(--($S$3:$S$78=$R172),V$3:V$78))</f>
        <v/>
      </c>
      <c r="W172" s="365" t="str">
        <f t="shared" ca="1" si="57"/>
        <v/>
      </c>
      <c r="X172" s="365" t="str">
        <f t="shared" ca="1" si="57"/>
        <v/>
      </c>
      <c r="Y172" s="349" t="str">
        <f t="shared" ca="1" si="57"/>
        <v/>
      </c>
      <c r="Z172" s="365" t="str">
        <f t="shared" ca="1" si="57"/>
        <v/>
      </c>
      <c r="AA172" s="365" t="str">
        <f t="shared" ca="1" si="57"/>
        <v/>
      </c>
      <c r="AB172" s="365" t="str">
        <f t="shared" ca="1" si="57"/>
        <v/>
      </c>
      <c r="AC172" s="329" t="str">
        <f t="shared" ca="1" si="57"/>
        <v/>
      </c>
    </row>
    <row r="173" spans="1:31" x14ac:dyDescent="0.25">
      <c r="A173" s="229"/>
      <c r="B173" s="233"/>
      <c r="C173" s="81" t="s">
        <v>33</v>
      </c>
      <c r="D173" s="81">
        <f ca="1">IF(OR($E173="",$E173=0),"",SUMPRODUCT(--($C$88:$C$163=$B172),D$88:D$163))</f>
        <v>11</v>
      </c>
      <c r="E173" s="81">
        <f ca="1">IF($B172="","",SUMPRODUCT(--(C$88:C$163=$B172)))</f>
        <v>1</v>
      </c>
      <c r="F173" s="81">
        <f ca="1">IF(OR($E173="",$E173=0),"",SUMIF($C$88:$C$147,$B172,F$88:F$147))</f>
        <v>0</v>
      </c>
      <c r="G173" s="365">
        <f t="shared" ref="G173:M173" ca="1" si="58">IF(OR($E173="",$E173=0),"",SUMPRODUCT(--($C$88:$C$163=$B172),G$88:G$163))</f>
        <v>0</v>
      </c>
      <c r="H173" s="365">
        <f t="shared" ca="1" si="58"/>
        <v>0</v>
      </c>
      <c r="I173" s="349">
        <f t="shared" ca="1" si="58"/>
        <v>0</v>
      </c>
      <c r="J173" s="365">
        <f t="shared" ca="1" si="58"/>
        <v>0</v>
      </c>
      <c r="K173" s="365">
        <f t="shared" ca="1" si="58"/>
        <v>0</v>
      </c>
      <c r="L173" s="365">
        <f t="shared" ca="1" si="58"/>
        <v>0</v>
      </c>
      <c r="M173" s="81">
        <f t="shared" ca="1" si="58"/>
        <v>3</v>
      </c>
      <c r="Q173" s="229"/>
      <c r="R173" s="229"/>
      <c r="S173" s="329" t="s">
        <v>33</v>
      </c>
      <c r="T173" s="329" t="str">
        <f ca="1">IF(OR($U173="",$U173=0),"",SUMPRODUCT(--($S$88:$S$163=$R172),T$88:T$163))</f>
        <v/>
      </c>
      <c r="U173" s="329">
        <f ca="1">IF($R172="","",SUMPRODUCT(--(S$88:S$163=$R172)))</f>
        <v>0</v>
      </c>
      <c r="V173" s="329" t="str">
        <f t="shared" ref="V173:AC173" ca="1" si="59">IF(OR($U173="",$U173=0),"",SUMPRODUCT(--($S$88:$S$163=$R172),V$88:V$163))</f>
        <v/>
      </c>
      <c r="W173" s="365" t="str">
        <f t="shared" ca="1" si="59"/>
        <v/>
      </c>
      <c r="X173" s="365" t="str">
        <f t="shared" ca="1" si="59"/>
        <v/>
      </c>
      <c r="Y173" s="349" t="str">
        <f t="shared" ca="1" si="59"/>
        <v/>
      </c>
      <c r="Z173" s="365" t="str">
        <f t="shared" ca="1" si="59"/>
        <v/>
      </c>
      <c r="AA173" s="365" t="str">
        <f t="shared" ca="1" si="59"/>
        <v/>
      </c>
      <c r="AB173" s="365" t="str">
        <f t="shared" ca="1" si="59"/>
        <v/>
      </c>
      <c r="AC173" s="329" t="str">
        <f t="shared" ca="1" si="59"/>
        <v/>
      </c>
    </row>
    <row r="174" spans="1:31" x14ac:dyDescent="0.25">
      <c r="A174" s="229"/>
      <c r="B174" s="233"/>
      <c r="C174" s="364" t="s">
        <v>19</v>
      </c>
      <c r="D174" s="364">
        <f ca="1">IF($B172="","",SUM(D172:D173))</f>
        <v>11</v>
      </c>
      <c r="E174" s="364">
        <f ca="1">IF($B172="","",SUM(E172:E173))</f>
        <v>1</v>
      </c>
      <c r="F174" s="364">
        <f ca="1">IF($B172="","",SUM(F172:F173))</f>
        <v>0</v>
      </c>
      <c r="G174" s="353">
        <f t="shared" ref="G174:L174" ca="1" si="60">IF($B172="","",SUM(G172,G173))</f>
        <v>0</v>
      </c>
      <c r="H174" s="353">
        <f t="shared" ca="1" si="60"/>
        <v>0</v>
      </c>
      <c r="I174" s="356">
        <f t="shared" ca="1" si="60"/>
        <v>0</v>
      </c>
      <c r="J174" s="353">
        <f t="shared" ca="1" si="60"/>
        <v>0</v>
      </c>
      <c r="K174" s="353">
        <f t="shared" ca="1" si="60"/>
        <v>0</v>
      </c>
      <c r="L174" s="353">
        <f t="shared" ca="1" si="60"/>
        <v>0</v>
      </c>
      <c r="M174" s="364">
        <f ca="1">IF($B172="","",SUM(M172:M173))</f>
        <v>3</v>
      </c>
      <c r="N174" s="85"/>
      <c r="O174" s="85"/>
      <c r="Q174" s="229"/>
      <c r="R174" s="229"/>
      <c r="S174" s="364" t="s">
        <v>19</v>
      </c>
      <c r="T174" s="364">
        <f ca="1">IF($R172="","",SUM(T172:T173))</f>
        <v>0</v>
      </c>
      <c r="U174" s="364">
        <f t="shared" ref="U174:AC174" ca="1" si="61">IF($R172="","",SUM(U172,U173))</f>
        <v>0</v>
      </c>
      <c r="V174" s="364">
        <f t="shared" ca="1" si="61"/>
        <v>0</v>
      </c>
      <c r="W174" s="353">
        <f t="shared" ca="1" si="61"/>
        <v>0</v>
      </c>
      <c r="X174" s="353">
        <f t="shared" ca="1" si="61"/>
        <v>0</v>
      </c>
      <c r="Y174" s="356">
        <f t="shared" ca="1" si="61"/>
        <v>0</v>
      </c>
      <c r="Z174" s="353">
        <f t="shared" ca="1" si="61"/>
        <v>0</v>
      </c>
      <c r="AA174" s="353">
        <f t="shared" ca="1" si="61"/>
        <v>0</v>
      </c>
      <c r="AB174" s="353">
        <f t="shared" ca="1" si="61"/>
        <v>0</v>
      </c>
      <c r="AC174" s="364">
        <f t="shared" ca="1" si="61"/>
        <v>0</v>
      </c>
    </row>
    <row r="175" spans="1:31" x14ac:dyDescent="0.25">
      <c r="A175" s="229">
        <f>A172+1</f>
        <v>2</v>
      </c>
      <c r="B175" s="233" t="str">
        <f>IF(IGRF!B12="","",IGRF!B12)</f>
        <v>123</v>
      </c>
      <c r="C175" s="329" t="s">
        <v>17</v>
      </c>
      <c r="D175" s="329" t="str">
        <f ca="1">IF(OR($E175="",$E175=0),"",SUMPRODUCT(--($C$3:$C$78=$B175),D$3:D$78))</f>
        <v/>
      </c>
      <c r="E175" s="329">
        <f ca="1">IF($B175="","",SUMPRODUCT(--(C$3:C$78=$B175)))</f>
        <v>0</v>
      </c>
      <c r="F175" s="329" t="str">
        <f ca="1">IF(OR($E175="",$E175=0),"",SUMIF($C$3:$C$62,$B175,F$3:F$62))</f>
        <v/>
      </c>
      <c r="G175" s="365" t="str">
        <f t="shared" ref="G175:M175" ca="1" si="62">IF(OR($E175="",$E175=0),"",SUMPRODUCT(--($C$3:$C$78=$B175),G$3:G$78))</f>
        <v/>
      </c>
      <c r="H175" s="365" t="str">
        <f t="shared" ca="1" si="62"/>
        <v/>
      </c>
      <c r="I175" s="349" t="str">
        <f t="shared" ca="1" si="62"/>
        <v/>
      </c>
      <c r="J175" s="365" t="str">
        <f t="shared" ca="1" si="62"/>
        <v/>
      </c>
      <c r="K175" s="365" t="str">
        <f t="shared" ca="1" si="62"/>
        <v/>
      </c>
      <c r="L175" s="365" t="str">
        <f t="shared" ca="1" si="62"/>
        <v/>
      </c>
      <c r="M175" s="329" t="str">
        <f t="shared" ca="1" si="62"/>
        <v/>
      </c>
      <c r="Q175" s="229">
        <f>Q172+1</f>
        <v>2</v>
      </c>
      <c r="R175" s="229" t="str">
        <f>IF(IGRF!H12="","",IGRF!H12)</f>
        <v>1542</v>
      </c>
      <c r="S175" s="329" t="s">
        <v>17</v>
      </c>
      <c r="T175" s="329" t="str">
        <f ca="1">IF(OR($U175="",$U175=0),"",SUMPRODUCT(--($S$3:$S$78=$R175),T$3:T$78))</f>
        <v/>
      </c>
      <c r="U175" s="329">
        <f ca="1">IF($R175="","",SUMPRODUCT(--(S$3:S$78=$R175)))</f>
        <v>0</v>
      </c>
      <c r="V175" s="329" t="str">
        <f t="shared" ref="V175:AC175" ca="1" si="63">IF(OR($U175="",$U175=0),"",SUMPRODUCT(--($S$3:$S$78=$R175),V$3:V$78))</f>
        <v/>
      </c>
      <c r="W175" s="365" t="str">
        <f t="shared" ca="1" si="63"/>
        <v/>
      </c>
      <c r="X175" s="365" t="str">
        <f t="shared" ca="1" si="63"/>
        <v/>
      </c>
      <c r="Y175" s="349" t="str">
        <f t="shared" ca="1" si="63"/>
        <v/>
      </c>
      <c r="Z175" s="365" t="str">
        <f t="shared" ca="1" si="63"/>
        <v/>
      </c>
      <c r="AA175" s="365" t="str">
        <f t="shared" ca="1" si="63"/>
        <v/>
      </c>
      <c r="AB175" s="365" t="str">
        <f t="shared" ca="1" si="63"/>
        <v/>
      </c>
      <c r="AC175" s="329" t="str">
        <f t="shared" ca="1" si="63"/>
        <v/>
      </c>
    </row>
    <row r="176" spans="1:31" x14ac:dyDescent="0.25">
      <c r="A176" s="229"/>
      <c r="B176" s="233"/>
      <c r="C176" s="329" t="s">
        <v>33</v>
      </c>
      <c r="D176" s="329" t="str">
        <f ca="1">IF(OR($E176="",$E176=0),"",SUMPRODUCT(--($C$88:$C$163=$B175),D$88:D$163))</f>
        <v/>
      </c>
      <c r="E176" s="329">
        <f ca="1">IF($B175="","",SUMPRODUCT(--(C$88:C$163=$B175)))</f>
        <v>0</v>
      </c>
      <c r="F176" s="329" t="str">
        <f ca="1">IF(OR($E176="",$E176=0),"",SUMIF($C$88:$C$147,$B175,F$88:F$147))</f>
        <v/>
      </c>
      <c r="G176" s="365" t="str">
        <f t="shared" ref="G176:M176" ca="1" si="64">IF(OR($E176="",$E176=0),"",SUMPRODUCT(--($C$88:$C$163=$B175),G$88:G$163))</f>
        <v/>
      </c>
      <c r="H176" s="365" t="str">
        <f t="shared" ca="1" si="64"/>
        <v/>
      </c>
      <c r="I176" s="349" t="str">
        <f t="shared" ca="1" si="64"/>
        <v/>
      </c>
      <c r="J176" s="365" t="str">
        <f t="shared" ca="1" si="64"/>
        <v/>
      </c>
      <c r="K176" s="365" t="str">
        <f t="shared" ca="1" si="64"/>
        <v/>
      </c>
      <c r="L176" s="365" t="str">
        <f t="shared" ca="1" si="64"/>
        <v/>
      </c>
      <c r="M176" s="329" t="str">
        <f t="shared" ca="1" si="64"/>
        <v/>
      </c>
      <c r="Q176" s="229"/>
      <c r="R176" s="229"/>
      <c r="S176" s="329" t="s">
        <v>33</v>
      </c>
      <c r="T176" s="329" t="str">
        <f ca="1">IF(OR($U176="",$U176=0),"",SUMPRODUCT(--($S$88:$S$163=$R175),T$88:T$163))</f>
        <v/>
      </c>
      <c r="U176" s="329">
        <f ca="1">IF($R175="","",SUMPRODUCT(--(S$88:S$163=$R175)))</f>
        <v>0</v>
      </c>
      <c r="V176" s="329" t="str">
        <f t="shared" ref="V176:AC176" ca="1" si="65">IF(OR($U176="",$U176=0),"",SUMPRODUCT(--($S$88:$S$163=$R175),V$88:V$163))</f>
        <v/>
      </c>
      <c r="W176" s="365" t="str">
        <f t="shared" ca="1" si="65"/>
        <v/>
      </c>
      <c r="X176" s="365" t="str">
        <f t="shared" ca="1" si="65"/>
        <v/>
      </c>
      <c r="Y176" s="349" t="str">
        <f t="shared" ca="1" si="65"/>
        <v/>
      </c>
      <c r="Z176" s="365" t="str">
        <f t="shared" ca="1" si="65"/>
        <v/>
      </c>
      <c r="AA176" s="365" t="str">
        <f t="shared" ca="1" si="65"/>
        <v/>
      </c>
      <c r="AB176" s="365" t="str">
        <f t="shared" ca="1" si="65"/>
        <v/>
      </c>
      <c r="AC176" s="329" t="str">
        <f t="shared" ca="1" si="65"/>
        <v/>
      </c>
    </row>
    <row r="177" spans="1:29" x14ac:dyDescent="0.25">
      <c r="A177" s="229"/>
      <c r="B177" s="233"/>
      <c r="C177" s="364" t="s">
        <v>19</v>
      </c>
      <c r="D177" s="364">
        <f ca="1">IF($B175="","",SUM(D175:D176))</f>
        <v>0</v>
      </c>
      <c r="E177" s="364">
        <f ca="1">IF($B175="","",SUM(E175:E176))</f>
        <v>0</v>
      </c>
      <c r="F177" s="364">
        <f ca="1">IF($B175="","",SUM(F175:F176))</f>
        <v>0</v>
      </c>
      <c r="G177" s="353">
        <f t="shared" ref="G177:L177" ca="1" si="66">IF($B175="","",SUM(G175,G176))</f>
        <v>0</v>
      </c>
      <c r="H177" s="353">
        <f t="shared" ca="1" si="66"/>
        <v>0</v>
      </c>
      <c r="I177" s="356">
        <f t="shared" ca="1" si="66"/>
        <v>0</v>
      </c>
      <c r="J177" s="353">
        <f t="shared" ca="1" si="66"/>
        <v>0</v>
      </c>
      <c r="K177" s="353">
        <f t="shared" ca="1" si="66"/>
        <v>0</v>
      </c>
      <c r="L177" s="353">
        <f t="shared" ca="1" si="66"/>
        <v>0</v>
      </c>
      <c r="M177" s="364">
        <f ca="1">IF($B175="","",SUM(M175:M176))</f>
        <v>0</v>
      </c>
      <c r="Q177" s="229"/>
      <c r="R177" s="229"/>
      <c r="S177" s="364" t="s">
        <v>19</v>
      </c>
      <c r="T177" s="364">
        <f ca="1">IF($R175="","",SUM(T175:T176))</f>
        <v>0</v>
      </c>
      <c r="U177" s="364">
        <f t="shared" ref="U177:AC177" ca="1" si="67">IF($R175="","",SUM(U175,U176))</f>
        <v>0</v>
      </c>
      <c r="V177" s="364">
        <f t="shared" ca="1" si="67"/>
        <v>0</v>
      </c>
      <c r="W177" s="353">
        <f t="shared" ca="1" si="67"/>
        <v>0</v>
      </c>
      <c r="X177" s="353">
        <f t="shared" ca="1" si="67"/>
        <v>0</v>
      </c>
      <c r="Y177" s="356">
        <f t="shared" ca="1" si="67"/>
        <v>0</v>
      </c>
      <c r="Z177" s="353">
        <f t="shared" ca="1" si="67"/>
        <v>0</v>
      </c>
      <c r="AA177" s="353">
        <f t="shared" ca="1" si="67"/>
        <v>0</v>
      </c>
      <c r="AB177" s="353">
        <f t="shared" ca="1" si="67"/>
        <v>0</v>
      </c>
      <c r="AC177" s="364">
        <f t="shared" ca="1" si="67"/>
        <v>0</v>
      </c>
    </row>
    <row r="178" spans="1:29" x14ac:dyDescent="0.25">
      <c r="A178" s="229">
        <f>A175+1</f>
        <v>3</v>
      </c>
      <c r="B178" s="233" t="str">
        <f>IF(IGRF!B13="","",IGRF!B13)</f>
        <v>14</v>
      </c>
      <c r="C178" s="329" t="s">
        <v>17</v>
      </c>
      <c r="D178" s="329" t="str">
        <f ca="1">IF(OR($E178="",$E178=0),"",SUMPRODUCT(--($C$3:$C$78=$B178),D$3:D$78))</f>
        <v/>
      </c>
      <c r="E178" s="329">
        <f ca="1">IF($B178="","",SUMPRODUCT(--(C$3:C$78=$B178)))</f>
        <v>0</v>
      </c>
      <c r="F178" s="329" t="str">
        <f ca="1">IF(OR($E178="",$E178=0),"",SUMIF($C$3:$C$62,$B178,F$3:F$62))</f>
        <v/>
      </c>
      <c r="G178" s="365" t="str">
        <f t="shared" ref="G178:M178" ca="1" si="68">IF(OR($E178="",$E178=0),"",SUMPRODUCT(--($C$3:$C$78=$B178),G$3:G$78))</f>
        <v/>
      </c>
      <c r="H178" s="365" t="str">
        <f t="shared" ca="1" si="68"/>
        <v/>
      </c>
      <c r="I178" s="349" t="str">
        <f t="shared" ca="1" si="68"/>
        <v/>
      </c>
      <c r="J178" s="365" t="str">
        <f t="shared" ca="1" si="68"/>
        <v/>
      </c>
      <c r="K178" s="365" t="str">
        <f t="shared" ca="1" si="68"/>
        <v/>
      </c>
      <c r="L178" s="365" t="str">
        <f t="shared" ca="1" si="68"/>
        <v/>
      </c>
      <c r="M178" s="329" t="str">
        <f t="shared" ca="1" si="68"/>
        <v/>
      </c>
      <c r="Q178" s="229">
        <f>Q175+1</f>
        <v>3</v>
      </c>
      <c r="R178" s="229" t="str">
        <f>IF(IGRF!H13="","",IGRF!H13)</f>
        <v>16</v>
      </c>
      <c r="S178" s="329" t="s">
        <v>17</v>
      </c>
      <c r="T178" s="329" t="str">
        <f ca="1">IF(OR($U178="",$U178=0),"",SUMPRODUCT(--($S$3:$S$78=$R178),T$3:T$78))</f>
        <v/>
      </c>
      <c r="U178" s="329">
        <f ca="1">IF($R178="","",SUMPRODUCT(--(S$3:S$78=$R178)))</f>
        <v>0</v>
      </c>
      <c r="V178" s="329" t="str">
        <f t="shared" ref="V178:AC178" ca="1" si="69">IF(OR($U178="",$U178=0),"",SUMPRODUCT(--($S$3:$S$78=$R178),V$3:V$78))</f>
        <v/>
      </c>
      <c r="W178" s="365" t="str">
        <f t="shared" ca="1" si="69"/>
        <v/>
      </c>
      <c r="X178" s="365" t="str">
        <f t="shared" ca="1" si="69"/>
        <v/>
      </c>
      <c r="Y178" s="349" t="str">
        <f t="shared" ca="1" si="69"/>
        <v/>
      </c>
      <c r="Z178" s="365" t="str">
        <f t="shared" ca="1" si="69"/>
        <v/>
      </c>
      <c r="AA178" s="365" t="str">
        <f t="shared" ca="1" si="69"/>
        <v/>
      </c>
      <c r="AB178" s="365" t="str">
        <f t="shared" ca="1" si="69"/>
        <v/>
      </c>
      <c r="AC178" s="329" t="str">
        <f t="shared" ca="1" si="69"/>
        <v/>
      </c>
    </row>
    <row r="179" spans="1:29" x14ac:dyDescent="0.25">
      <c r="A179" s="229"/>
      <c r="B179" s="233"/>
      <c r="C179" s="329" t="s">
        <v>33</v>
      </c>
      <c r="D179" s="329" t="str">
        <f ca="1">IF(OR($E179="",$E179=0),"",SUMPRODUCT(--($C$88:$C$163=$B178),D$88:D$163))</f>
        <v/>
      </c>
      <c r="E179" s="329">
        <f ca="1">IF($B178="","",SUMPRODUCT(--(C$88:C$163=$B178)))</f>
        <v>0</v>
      </c>
      <c r="F179" s="329" t="str">
        <f ca="1">IF(OR($E179="",$E179=0),"",SUMIF($C$88:$C$147,$B178,F$88:F$147))</f>
        <v/>
      </c>
      <c r="G179" s="365" t="str">
        <f t="shared" ref="G179:M179" ca="1" si="70">IF(OR($E179="",$E179=0),"",SUMPRODUCT(--($C$88:$C$163=$B178),G$88:G$163))</f>
        <v/>
      </c>
      <c r="H179" s="365" t="str">
        <f t="shared" ca="1" si="70"/>
        <v/>
      </c>
      <c r="I179" s="349" t="str">
        <f t="shared" ca="1" si="70"/>
        <v/>
      </c>
      <c r="J179" s="365" t="str">
        <f t="shared" ca="1" si="70"/>
        <v/>
      </c>
      <c r="K179" s="365" t="str">
        <f t="shared" ca="1" si="70"/>
        <v/>
      </c>
      <c r="L179" s="365" t="str">
        <f t="shared" ca="1" si="70"/>
        <v/>
      </c>
      <c r="M179" s="329" t="str">
        <f t="shared" ca="1" si="70"/>
        <v/>
      </c>
      <c r="Q179" s="229"/>
      <c r="R179" s="229"/>
      <c r="S179" s="329" t="s">
        <v>33</v>
      </c>
      <c r="T179" s="329" t="str">
        <f ca="1">IF(OR($U179="",$U179=0),"",SUMPRODUCT(--($S$88:$S$163=$R178),T$88:T$163))</f>
        <v/>
      </c>
      <c r="U179" s="329">
        <f ca="1">IF($R178="","",SUMPRODUCT(--(S$88:S$163=$R178)))</f>
        <v>0</v>
      </c>
      <c r="V179" s="329" t="str">
        <f t="shared" ref="V179:AC179" ca="1" si="71">IF(OR($U179="",$U179=0),"",SUMPRODUCT(--($S$88:$S$163=$R178),V$88:V$163))</f>
        <v/>
      </c>
      <c r="W179" s="365" t="str">
        <f t="shared" ca="1" si="71"/>
        <v/>
      </c>
      <c r="X179" s="365" t="str">
        <f t="shared" ca="1" si="71"/>
        <v/>
      </c>
      <c r="Y179" s="349" t="str">
        <f t="shared" ca="1" si="71"/>
        <v/>
      </c>
      <c r="Z179" s="365" t="str">
        <f t="shared" ca="1" si="71"/>
        <v/>
      </c>
      <c r="AA179" s="365" t="str">
        <f t="shared" ca="1" si="71"/>
        <v/>
      </c>
      <c r="AB179" s="365" t="str">
        <f t="shared" ca="1" si="71"/>
        <v/>
      </c>
      <c r="AC179" s="329" t="str">
        <f t="shared" ca="1" si="71"/>
        <v/>
      </c>
    </row>
    <row r="180" spans="1:29" x14ac:dyDescent="0.25">
      <c r="A180" s="229"/>
      <c r="B180" s="233"/>
      <c r="C180" s="364" t="s">
        <v>19</v>
      </c>
      <c r="D180" s="364">
        <f ca="1">IF($B178="","",SUM(D178:D179))</f>
        <v>0</v>
      </c>
      <c r="E180" s="364">
        <f ca="1">IF($B178="","",SUM(E178:E179))</f>
        <v>0</v>
      </c>
      <c r="F180" s="364">
        <f ca="1">IF($B178="","",SUM(F178:F179))</f>
        <v>0</v>
      </c>
      <c r="G180" s="353">
        <f t="shared" ref="G180:L180" ca="1" si="72">IF($B178="","",SUM(G178,G179))</f>
        <v>0</v>
      </c>
      <c r="H180" s="353">
        <f t="shared" ca="1" si="72"/>
        <v>0</v>
      </c>
      <c r="I180" s="356">
        <f t="shared" ca="1" si="72"/>
        <v>0</v>
      </c>
      <c r="J180" s="353">
        <f t="shared" ca="1" si="72"/>
        <v>0</v>
      </c>
      <c r="K180" s="353">
        <f t="shared" ca="1" si="72"/>
        <v>0</v>
      </c>
      <c r="L180" s="353">
        <f t="shared" ca="1" si="72"/>
        <v>0</v>
      </c>
      <c r="M180" s="364">
        <f ca="1">IF($B178="","",SUM(M178:M179))</f>
        <v>0</v>
      </c>
      <c r="Q180" s="229"/>
      <c r="R180" s="229"/>
      <c r="S180" s="364" t="s">
        <v>19</v>
      </c>
      <c r="T180" s="364">
        <f ca="1">IF($R178="","",SUM(T178:T179))</f>
        <v>0</v>
      </c>
      <c r="U180" s="364">
        <f t="shared" ref="U180:AC180" ca="1" si="73">IF($R178="","",SUM(U178,U179))</f>
        <v>0</v>
      </c>
      <c r="V180" s="364">
        <f t="shared" ca="1" si="73"/>
        <v>0</v>
      </c>
      <c r="W180" s="353">
        <f t="shared" ca="1" si="73"/>
        <v>0</v>
      </c>
      <c r="X180" s="353">
        <f t="shared" ca="1" si="73"/>
        <v>0</v>
      </c>
      <c r="Y180" s="356">
        <f t="shared" ca="1" si="73"/>
        <v>0</v>
      </c>
      <c r="Z180" s="353">
        <f t="shared" ca="1" si="73"/>
        <v>0</v>
      </c>
      <c r="AA180" s="353">
        <f t="shared" ca="1" si="73"/>
        <v>0</v>
      </c>
      <c r="AB180" s="353">
        <f t="shared" ca="1" si="73"/>
        <v>0</v>
      </c>
      <c r="AC180" s="364">
        <f t="shared" ca="1" si="73"/>
        <v>0</v>
      </c>
    </row>
    <row r="181" spans="1:29" x14ac:dyDescent="0.25">
      <c r="A181" s="229">
        <f>A178+1</f>
        <v>4</v>
      </c>
      <c r="B181" s="233" t="str">
        <f>IF(IGRF!B14="","",IGRF!B14)</f>
        <v>1618</v>
      </c>
      <c r="C181" s="329" t="s">
        <v>17</v>
      </c>
      <c r="D181" s="329">
        <f ca="1">IF(OR($E181="",$E181=0),"",SUMPRODUCT(--($C$3:$C$78=$B181),D$3:D$78))</f>
        <v>28</v>
      </c>
      <c r="E181" s="329">
        <f ca="1">IF($B181="","",SUMPRODUCT(--(C$3:C$78=$B181)))</f>
        <v>5</v>
      </c>
      <c r="F181" s="329">
        <f ca="1">IF(OR($E181="",$E181=0),"",SUMIF($C$3:$C$62,$B181,F$3:F$62))</f>
        <v>22</v>
      </c>
      <c r="G181" s="365">
        <f t="shared" ref="G181:M181" ca="1" si="74">IF(OR($E181="",$E181=0),"",SUMPRODUCT(--($C$3:$C$78=$B181),G$3:G$78))</f>
        <v>0</v>
      </c>
      <c r="H181" s="365">
        <f t="shared" ca="1" si="74"/>
        <v>3</v>
      </c>
      <c r="I181" s="349">
        <f t="shared" ca="1" si="74"/>
        <v>28</v>
      </c>
      <c r="J181" s="365">
        <f t="shared" ca="1" si="74"/>
        <v>2</v>
      </c>
      <c r="K181" s="365">
        <f t="shared" ca="1" si="74"/>
        <v>0</v>
      </c>
      <c r="L181" s="365">
        <f t="shared" ca="1" si="74"/>
        <v>0</v>
      </c>
      <c r="M181" s="329">
        <f t="shared" ca="1" si="74"/>
        <v>8</v>
      </c>
      <c r="Q181" s="229">
        <f>Q178+1</f>
        <v>4</v>
      </c>
      <c r="R181" s="229" t="str">
        <f>IF(IGRF!H14="","",IGRF!H14)</f>
        <v>19</v>
      </c>
      <c r="S181" s="329" t="s">
        <v>17</v>
      </c>
      <c r="T181" s="329" t="str">
        <f ca="1">IF(OR($U181="",$U181=0),"",SUMPRODUCT(--($S$3:$S$78=$R181),T$3:T$78))</f>
        <v/>
      </c>
      <c r="U181" s="329">
        <f ca="1">IF($R181="","",SUMPRODUCT(--(S$3:S$78=$R181)))</f>
        <v>0</v>
      </c>
      <c r="V181" s="329" t="str">
        <f t="shared" ref="V181:AC181" ca="1" si="75">IF(OR($U181="",$U181=0),"",SUMPRODUCT(--($S$3:$S$78=$R181),V$3:V$78))</f>
        <v/>
      </c>
      <c r="W181" s="365" t="str">
        <f t="shared" ca="1" si="75"/>
        <v/>
      </c>
      <c r="X181" s="365" t="str">
        <f t="shared" ca="1" si="75"/>
        <v/>
      </c>
      <c r="Y181" s="349" t="str">
        <f t="shared" ca="1" si="75"/>
        <v/>
      </c>
      <c r="Z181" s="365" t="str">
        <f t="shared" ca="1" si="75"/>
        <v/>
      </c>
      <c r="AA181" s="365" t="str">
        <f t="shared" ca="1" si="75"/>
        <v/>
      </c>
      <c r="AB181" s="365" t="str">
        <f t="shared" ca="1" si="75"/>
        <v/>
      </c>
      <c r="AC181" s="329" t="str">
        <f t="shared" ca="1" si="75"/>
        <v/>
      </c>
    </row>
    <row r="182" spans="1:29" x14ac:dyDescent="0.25">
      <c r="A182" s="229"/>
      <c r="B182" s="233"/>
      <c r="C182" s="329" t="s">
        <v>33</v>
      </c>
      <c r="D182" s="329">
        <f ca="1">IF(OR($E182="",$E182=0),"",SUMPRODUCT(--($C$88:$C$163=$B181),D$88:D$163))</f>
        <v>39</v>
      </c>
      <c r="E182" s="329">
        <f ca="1">IF($B181="","",SUMPRODUCT(--(C$88:C$163=$B181)))</f>
        <v>5</v>
      </c>
      <c r="F182" s="329">
        <f ca="1">IF(OR($E182="",$E182=0),"",SUMIF($C$88:$C$147,$B181,F$88:F$147))</f>
        <v>33</v>
      </c>
      <c r="G182" s="365">
        <f t="shared" ref="G182:M182" ca="1" si="76">IF(OR($E182="",$E182=0),"",SUMPRODUCT(--($C$88:$C$163=$B181),G$88:G$163))</f>
        <v>1</v>
      </c>
      <c r="H182" s="365">
        <f t="shared" ca="1" si="76"/>
        <v>2</v>
      </c>
      <c r="I182" s="349">
        <f t="shared" ca="1" si="76"/>
        <v>31</v>
      </c>
      <c r="J182" s="365">
        <f t="shared" ca="1" si="76"/>
        <v>2</v>
      </c>
      <c r="K182" s="365">
        <f t="shared" ca="1" si="76"/>
        <v>0</v>
      </c>
      <c r="L182" s="365">
        <f t="shared" ca="1" si="76"/>
        <v>0</v>
      </c>
      <c r="M182" s="329">
        <f t="shared" ca="1" si="76"/>
        <v>11</v>
      </c>
      <c r="Q182" s="229"/>
      <c r="R182" s="229"/>
      <c r="S182" s="329" t="s">
        <v>33</v>
      </c>
      <c r="T182" s="329" t="str">
        <f ca="1">IF(OR($U182="",$U182=0),"",SUMPRODUCT(--($S$88:$S$163=$R181),T$88:T$163))</f>
        <v/>
      </c>
      <c r="U182" s="329">
        <f ca="1">IF($R181="","",SUMPRODUCT(--(S$88:S$163=$R181)))</f>
        <v>0</v>
      </c>
      <c r="V182" s="329" t="str">
        <f t="shared" ref="V182:AC182" ca="1" si="77">IF(OR($U182="",$U182=0),"",SUMPRODUCT(--($S$88:$S$163=$R181),V$88:V$163))</f>
        <v/>
      </c>
      <c r="W182" s="365" t="str">
        <f t="shared" ca="1" si="77"/>
        <v/>
      </c>
      <c r="X182" s="365" t="str">
        <f t="shared" ca="1" si="77"/>
        <v/>
      </c>
      <c r="Y182" s="349" t="str">
        <f t="shared" ca="1" si="77"/>
        <v/>
      </c>
      <c r="Z182" s="365" t="str">
        <f t="shared" ca="1" si="77"/>
        <v/>
      </c>
      <c r="AA182" s="365" t="str">
        <f t="shared" ca="1" si="77"/>
        <v/>
      </c>
      <c r="AB182" s="365" t="str">
        <f t="shared" ca="1" si="77"/>
        <v/>
      </c>
      <c r="AC182" s="329" t="str">
        <f t="shared" ca="1" si="77"/>
        <v/>
      </c>
    </row>
    <row r="183" spans="1:29" x14ac:dyDescent="0.25">
      <c r="A183" s="229"/>
      <c r="B183" s="233"/>
      <c r="C183" s="364" t="s">
        <v>19</v>
      </c>
      <c r="D183" s="364">
        <f ca="1">IF($B181="","",SUM(D181:D182))</f>
        <v>67</v>
      </c>
      <c r="E183" s="364">
        <f ca="1">IF($B181="","",SUM(E181:E182))</f>
        <v>10</v>
      </c>
      <c r="F183" s="364">
        <f ca="1">IF($B181="","",SUM(F181:F182))</f>
        <v>55</v>
      </c>
      <c r="G183" s="353">
        <f t="shared" ref="G183:L183" ca="1" si="78">IF($B181="","",SUM(G181,G182))</f>
        <v>1</v>
      </c>
      <c r="H183" s="353">
        <f t="shared" ca="1" si="78"/>
        <v>5</v>
      </c>
      <c r="I183" s="356">
        <f t="shared" ca="1" si="78"/>
        <v>59</v>
      </c>
      <c r="J183" s="353">
        <f t="shared" ca="1" si="78"/>
        <v>4</v>
      </c>
      <c r="K183" s="353">
        <f t="shared" ca="1" si="78"/>
        <v>0</v>
      </c>
      <c r="L183" s="353">
        <f t="shared" ca="1" si="78"/>
        <v>0</v>
      </c>
      <c r="M183" s="364">
        <f ca="1">IF($B181="","",SUM(M181:M182))</f>
        <v>19</v>
      </c>
      <c r="Q183" s="229"/>
      <c r="R183" s="229"/>
      <c r="S183" s="364" t="s">
        <v>19</v>
      </c>
      <c r="T183" s="364">
        <f ca="1">IF($R181="","",SUM(T181:T182))</f>
        <v>0</v>
      </c>
      <c r="U183" s="364">
        <f t="shared" ref="U183:AC183" ca="1" si="79">IF($R181="","",SUM(U181,U182))</f>
        <v>0</v>
      </c>
      <c r="V183" s="364">
        <f t="shared" ca="1" si="79"/>
        <v>0</v>
      </c>
      <c r="W183" s="353">
        <f t="shared" ca="1" si="79"/>
        <v>0</v>
      </c>
      <c r="X183" s="353">
        <f t="shared" ca="1" si="79"/>
        <v>0</v>
      </c>
      <c r="Y183" s="356">
        <f t="shared" ca="1" si="79"/>
        <v>0</v>
      </c>
      <c r="Z183" s="353">
        <f t="shared" ca="1" si="79"/>
        <v>0</v>
      </c>
      <c r="AA183" s="353">
        <f t="shared" ca="1" si="79"/>
        <v>0</v>
      </c>
      <c r="AB183" s="353">
        <f t="shared" ca="1" si="79"/>
        <v>0</v>
      </c>
      <c r="AC183" s="364">
        <f t="shared" ca="1" si="79"/>
        <v>0</v>
      </c>
    </row>
    <row r="184" spans="1:29" x14ac:dyDescent="0.25">
      <c r="A184" s="229">
        <f>A181+1</f>
        <v>5</v>
      </c>
      <c r="B184" s="233" t="str">
        <f>IF(IGRF!B15="","",IGRF!B15)</f>
        <v>22</v>
      </c>
      <c r="C184" s="329" t="s">
        <v>17</v>
      </c>
      <c r="D184" s="329" t="str">
        <f ca="1">IF(OR($E184="",$E184=0),"",SUMPRODUCT(--($C$3:$C$78=$B184),D$3:D$78))</f>
        <v/>
      </c>
      <c r="E184" s="329">
        <f ca="1">IF($B184="","",SUMPRODUCT(--(C$3:C$78=$B184)))</f>
        <v>0</v>
      </c>
      <c r="F184" s="329" t="str">
        <f ca="1">IF(OR($E184="",$E184=0),"",SUMIF($C$3:$C$62,$B184,F$3:F$62))</f>
        <v/>
      </c>
      <c r="G184" s="365" t="str">
        <f t="shared" ref="G184:M184" ca="1" si="80">IF(OR($E184="",$E184=0),"",SUMPRODUCT(--($C$3:$C$78=$B184),G$3:G$78))</f>
        <v/>
      </c>
      <c r="H184" s="365" t="str">
        <f t="shared" ca="1" si="80"/>
        <v/>
      </c>
      <c r="I184" s="349" t="str">
        <f t="shared" ca="1" si="80"/>
        <v/>
      </c>
      <c r="J184" s="365" t="str">
        <f t="shared" ca="1" si="80"/>
        <v/>
      </c>
      <c r="K184" s="365" t="str">
        <f t="shared" ca="1" si="80"/>
        <v/>
      </c>
      <c r="L184" s="365" t="str">
        <f t="shared" ca="1" si="80"/>
        <v/>
      </c>
      <c r="M184" s="329" t="str">
        <f t="shared" ca="1" si="80"/>
        <v/>
      </c>
      <c r="Q184" s="229">
        <f>Q181+1</f>
        <v>5</v>
      </c>
      <c r="R184" s="229" t="str">
        <f>IF(IGRF!H15="","",IGRF!H15)</f>
        <v>2000</v>
      </c>
      <c r="S184" s="329" t="s">
        <v>17</v>
      </c>
      <c r="T184" s="329" t="str">
        <f ca="1">IF(OR($U184="",$U184=0),"",SUMPRODUCT(--($S$3:$S$78=$R184),T$3:T$78))</f>
        <v/>
      </c>
      <c r="U184" s="329">
        <f ca="1">IF($R184="","",SUMPRODUCT(--(S$3:S$78=$R184)))</f>
        <v>0</v>
      </c>
      <c r="V184" s="329" t="str">
        <f t="shared" ref="V184:AC184" ca="1" si="81">IF(OR($U184="",$U184=0),"",SUMPRODUCT(--($S$3:$S$78=$R184),V$3:V$78))</f>
        <v/>
      </c>
      <c r="W184" s="365" t="str">
        <f t="shared" ca="1" si="81"/>
        <v/>
      </c>
      <c r="X184" s="365" t="str">
        <f t="shared" ca="1" si="81"/>
        <v/>
      </c>
      <c r="Y184" s="349" t="str">
        <f t="shared" ca="1" si="81"/>
        <v/>
      </c>
      <c r="Z184" s="365" t="str">
        <f t="shared" ca="1" si="81"/>
        <v/>
      </c>
      <c r="AA184" s="365" t="str">
        <f t="shared" ca="1" si="81"/>
        <v/>
      </c>
      <c r="AB184" s="365" t="str">
        <f t="shared" ca="1" si="81"/>
        <v/>
      </c>
      <c r="AC184" s="329" t="str">
        <f t="shared" ca="1" si="81"/>
        <v/>
      </c>
    </row>
    <row r="185" spans="1:29" x14ac:dyDescent="0.25">
      <c r="A185" s="229"/>
      <c r="B185" s="233"/>
      <c r="C185" s="329" t="s">
        <v>33</v>
      </c>
      <c r="D185" s="329" t="str">
        <f ca="1">IF(OR($E185="",$E185=0),"",SUMPRODUCT(--($C$88:$C$163=$B184),D$88:D$163))</f>
        <v/>
      </c>
      <c r="E185" s="329">
        <f ca="1">IF($B184="","",SUMPRODUCT(--(C$88:C$163=$B184)))</f>
        <v>0</v>
      </c>
      <c r="F185" s="329" t="str">
        <f ca="1">IF(OR($E185="",$E185=0),"",SUMIF($C$88:$C$147,$B184,F$88:F$147))</f>
        <v/>
      </c>
      <c r="G185" s="365" t="str">
        <f t="shared" ref="G185:M185" ca="1" si="82">IF(OR($E185="",$E185=0),"",SUMPRODUCT(--($C$88:$C$163=$B184),G$88:G$163))</f>
        <v/>
      </c>
      <c r="H185" s="365" t="str">
        <f t="shared" ca="1" si="82"/>
        <v/>
      </c>
      <c r="I185" s="349" t="str">
        <f t="shared" ca="1" si="82"/>
        <v/>
      </c>
      <c r="J185" s="365" t="str">
        <f t="shared" ca="1" si="82"/>
        <v/>
      </c>
      <c r="K185" s="365" t="str">
        <f t="shared" ca="1" si="82"/>
        <v/>
      </c>
      <c r="L185" s="365" t="str">
        <f t="shared" ca="1" si="82"/>
        <v/>
      </c>
      <c r="M185" s="329" t="str">
        <f t="shared" ca="1" si="82"/>
        <v/>
      </c>
      <c r="Q185" s="229"/>
      <c r="R185" s="229"/>
      <c r="S185" s="329" t="s">
        <v>33</v>
      </c>
      <c r="T185" s="329" t="str">
        <f ca="1">IF(OR($U185="",$U185=0),"",SUMPRODUCT(--($S$88:$S$163=$R184),T$88:T$163))</f>
        <v/>
      </c>
      <c r="U185" s="329">
        <f ca="1">IF($R184="","",SUMPRODUCT(--(S$88:S$163=$R184)))</f>
        <v>0</v>
      </c>
      <c r="V185" s="329" t="str">
        <f t="shared" ref="V185:AC185" ca="1" si="83">IF(OR($U185="",$U185=0),"",SUMPRODUCT(--($S$88:$S$163=$R184),V$88:V$163))</f>
        <v/>
      </c>
      <c r="W185" s="365" t="str">
        <f t="shared" ca="1" si="83"/>
        <v/>
      </c>
      <c r="X185" s="365" t="str">
        <f t="shared" ca="1" si="83"/>
        <v/>
      </c>
      <c r="Y185" s="349" t="str">
        <f t="shared" ca="1" si="83"/>
        <v/>
      </c>
      <c r="Z185" s="365" t="str">
        <f t="shared" ca="1" si="83"/>
        <v/>
      </c>
      <c r="AA185" s="365" t="str">
        <f t="shared" ca="1" si="83"/>
        <v/>
      </c>
      <c r="AB185" s="365" t="str">
        <f t="shared" ca="1" si="83"/>
        <v/>
      </c>
      <c r="AC185" s="329" t="str">
        <f t="shared" ca="1" si="83"/>
        <v/>
      </c>
    </row>
    <row r="186" spans="1:29" x14ac:dyDescent="0.25">
      <c r="A186" s="229"/>
      <c r="B186" s="233"/>
      <c r="C186" s="364" t="s">
        <v>19</v>
      </c>
      <c r="D186" s="364">
        <f ca="1">IF($B184="","",SUM(D184:D185))</f>
        <v>0</v>
      </c>
      <c r="E186" s="364">
        <f ca="1">IF($B184="","",SUM(E184:E185))</f>
        <v>0</v>
      </c>
      <c r="F186" s="364">
        <f ca="1">IF($B184="","",SUM(F184:F185))</f>
        <v>0</v>
      </c>
      <c r="G186" s="353">
        <f t="shared" ref="G186:L186" ca="1" si="84">IF($B184="","",SUM(G184,G185))</f>
        <v>0</v>
      </c>
      <c r="H186" s="353">
        <f t="shared" ca="1" si="84"/>
        <v>0</v>
      </c>
      <c r="I186" s="356">
        <f t="shared" ca="1" si="84"/>
        <v>0</v>
      </c>
      <c r="J186" s="353">
        <f t="shared" ca="1" si="84"/>
        <v>0</v>
      </c>
      <c r="K186" s="353">
        <f t="shared" ca="1" si="84"/>
        <v>0</v>
      </c>
      <c r="L186" s="353">
        <f t="shared" ca="1" si="84"/>
        <v>0</v>
      </c>
      <c r="M186" s="364">
        <f ca="1">IF($B184="","",SUM(M184:M185))</f>
        <v>0</v>
      </c>
      <c r="Q186" s="229"/>
      <c r="R186" s="229"/>
      <c r="S186" s="364" t="s">
        <v>19</v>
      </c>
      <c r="T186" s="364">
        <f ca="1">IF($R184="","",SUM(T184:T185))</f>
        <v>0</v>
      </c>
      <c r="U186" s="364">
        <f t="shared" ref="U186:AC186" ca="1" si="85">IF($R184="","",SUM(U184,U185))</f>
        <v>0</v>
      </c>
      <c r="V186" s="364">
        <f t="shared" ca="1" si="85"/>
        <v>0</v>
      </c>
      <c r="W186" s="353">
        <f t="shared" ca="1" si="85"/>
        <v>0</v>
      </c>
      <c r="X186" s="353">
        <f t="shared" ca="1" si="85"/>
        <v>0</v>
      </c>
      <c r="Y186" s="356">
        <f t="shared" ca="1" si="85"/>
        <v>0</v>
      </c>
      <c r="Z186" s="353">
        <f t="shared" ca="1" si="85"/>
        <v>0</v>
      </c>
      <c r="AA186" s="353">
        <f t="shared" ca="1" si="85"/>
        <v>0</v>
      </c>
      <c r="AB186" s="353">
        <f t="shared" ca="1" si="85"/>
        <v>0</v>
      </c>
      <c r="AC186" s="364">
        <f t="shared" ca="1" si="85"/>
        <v>0</v>
      </c>
    </row>
    <row r="187" spans="1:29" x14ac:dyDescent="0.25">
      <c r="A187" s="229">
        <f>A184+1</f>
        <v>6</v>
      </c>
      <c r="B187" s="233" t="str">
        <f>IF(IGRF!B16="","",IGRF!B16)</f>
        <v>23</v>
      </c>
      <c r="C187" s="329" t="s">
        <v>17</v>
      </c>
      <c r="D187" s="329">
        <f ca="1">IF(OR($E187="",$E187=0),"",SUMPRODUCT(--($C$3:$C$78=$B187),D$3:D$78))</f>
        <v>26</v>
      </c>
      <c r="E187" s="329">
        <f ca="1">IF($B187="","",SUMPRODUCT(--(C$3:C$78=$B187)))</f>
        <v>6</v>
      </c>
      <c r="F187" s="329">
        <f ca="1">IF(OR($E187="",$E187=0),"",SUMIF($C$3:$C$62,$B187,F$3:F$62))</f>
        <v>13</v>
      </c>
      <c r="G187" s="365">
        <f t="shared" ref="G187:M187" ca="1" si="86">IF(OR($E187="",$E187=0),"",SUMPRODUCT(--($C$3:$C$78=$B187),G$3:G$78))</f>
        <v>1</v>
      </c>
      <c r="H187" s="365">
        <f t="shared" ca="1" si="86"/>
        <v>2</v>
      </c>
      <c r="I187" s="349">
        <f t="shared" ca="1" si="86"/>
        <v>20</v>
      </c>
      <c r="J187" s="365">
        <f t="shared" ca="1" si="86"/>
        <v>1</v>
      </c>
      <c r="K187" s="365">
        <f t="shared" ca="1" si="86"/>
        <v>0</v>
      </c>
      <c r="L187" s="365">
        <f t="shared" ca="1" si="86"/>
        <v>2</v>
      </c>
      <c r="M187" s="329">
        <f t="shared" ca="1" si="86"/>
        <v>8</v>
      </c>
      <c r="Q187" s="229">
        <f>Q184+1</f>
        <v>6</v>
      </c>
      <c r="R187" s="229" t="str">
        <f>IF(IGRF!H16="","",IGRF!H16)</f>
        <v>201</v>
      </c>
      <c r="S187" s="329" t="s">
        <v>17</v>
      </c>
      <c r="T187" s="329" t="str">
        <f ca="1">IF(OR($U187="",$U187=0),"",SUMPRODUCT(--($S$3:$S$78=$R187),T$3:T$78))</f>
        <v/>
      </c>
      <c r="U187" s="329">
        <f ca="1">IF($R187="","",SUMPRODUCT(--(S$3:S$78=$R187)))</f>
        <v>0</v>
      </c>
      <c r="V187" s="329" t="str">
        <f t="shared" ref="V187:AC187" ca="1" si="87">IF(OR($U187="",$U187=0),"",SUMPRODUCT(--($S$3:$S$78=$R187),V$3:V$78))</f>
        <v/>
      </c>
      <c r="W187" s="365" t="str">
        <f t="shared" ca="1" si="87"/>
        <v/>
      </c>
      <c r="X187" s="365" t="str">
        <f t="shared" ca="1" si="87"/>
        <v/>
      </c>
      <c r="Y187" s="349" t="str">
        <f t="shared" ca="1" si="87"/>
        <v/>
      </c>
      <c r="Z187" s="365" t="str">
        <f t="shared" ca="1" si="87"/>
        <v/>
      </c>
      <c r="AA187" s="365" t="str">
        <f t="shared" ca="1" si="87"/>
        <v/>
      </c>
      <c r="AB187" s="365" t="str">
        <f t="shared" ca="1" si="87"/>
        <v/>
      </c>
      <c r="AC187" s="329" t="str">
        <f t="shared" ca="1" si="87"/>
        <v/>
      </c>
    </row>
    <row r="188" spans="1:29" x14ac:dyDescent="0.25">
      <c r="A188" s="229"/>
      <c r="B188" s="233"/>
      <c r="C188" s="329" t="s">
        <v>33</v>
      </c>
      <c r="D188" s="329">
        <f ca="1">IF(OR($E188="",$E188=0),"",SUMPRODUCT(--($C$88:$C$163=$B187),D$88:D$163))</f>
        <v>4</v>
      </c>
      <c r="E188" s="329">
        <f ca="1">IF($B187="","",SUMPRODUCT(--(C$88:C$163=$B187)))</f>
        <v>6</v>
      </c>
      <c r="F188" s="329">
        <f ca="1">IF(OR($E188="",$E188=0),"",SUMIF($C$88:$C$147,$B187,F$88:F$147))</f>
        <v>-3</v>
      </c>
      <c r="G188" s="365">
        <f t="shared" ref="G188:M188" ca="1" si="88">IF(OR($E188="",$E188=0),"",SUMPRODUCT(--($C$88:$C$163=$B187),G$88:G$163))</f>
        <v>0</v>
      </c>
      <c r="H188" s="365">
        <f t="shared" ca="1" si="88"/>
        <v>3</v>
      </c>
      <c r="I188" s="349">
        <f t="shared" ca="1" si="88"/>
        <v>4</v>
      </c>
      <c r="J188" s="365">
        <f t="shared" ca="1" si="88"/>
        <v>3</v>
      </c>
      <c r="K188" s="365">
        <f t="shared" ca="1" si="88"/>
        <v>0</v>
      </c>
      <c r="L188" s="365">
        <f t="shared" ca="1" si="88"/>
        <v>0</v>
      </c>
      <c r="M188" s="329">
        <f t="shared" ca="1" si="88"/>
        <v>6</v>
      </c>
      <c r="Q188" s="229"/>
      <c r="R188" s="229"/>
      <c r="S188" s="329" t="s">
        <v>33</v>
      </c>
      <c r="T188" s="329" t="str">
        <f ca="1">IF(OR($U188="",$U188=0),"",SUMPRODUCT(--($S$88:$S$163=$R187),T$88:T$163))</f>
        <v/>
      </c>
      <c r="U188" s="329">
        <f ca="1">IF($R187="","",SUMPRODUCT(--(S$88:S$163=$R187)))</f>
        <v>0</v>
      </c>
      <c r="V188" s="329" t="str">
        <f t="shared" ref="V188:AC188" ca="1" si="89">IF(OR($U188="",$U188=0),"",SUMPRODUCT(--($S$88:$S$163=$R187),V$88:V$163))</f>
        <v/>
      </c>
      <c r="W188" s="365" t="str">
        <f t="shared" ca="1" si="89"/>
        <v/>
      </c>
      <c r="X188" s="365" t="str">
        <f t="shared" ca="1" si="89"/>
        <v/>
      </c>
      <c r="Y188" s="349" t="str">
        <f t="shared" ca="1" si="89"/>
        <v/>
      </c>
      <c r="Z188" s="365" t="str">
        <f t="shared" ca="1" si="89"/>
        <v/>
      </c>
      <c r="AA188" s="365" t="str">
        <f t="shared" ca="1" si="89"/>
        <v/>
      </c>
      <c r="AB188" s="365" t="str">
        <f t="shared" ca="1" si="89"/>
        <v/>
      </c>
      <c r="AC188" s="329" t="str">
        <f t="shared" ca="1" si="89"/>
        <v/>
      </c>
    </row>
    <row r="189" spans="1:29" x14ac:dyDescent="0.25">
      <c r="A189" s="229"/>
      <c r="B189" s="233"/>
      <c r="C189" s="364" t="s">
        <v>19</v>
      </c>
      <c r="D189" s="364">
        <f ca="1">IF($B187="","",SUM(D187:D188))</f>
        <v>30</v>
      </c>
      <c r="E189" s="364">
        <f ca="1">IF($B187="","",SUM(E187:E188))</f>
        <v>12</v>
      </c>
      <c r="F189" s="364">
        <f ca="1">IF($B187="","",SUM(F187:F188))</f>
        <v>10</v>
      </c>
      <c r="G189" s="353">
        <f t="shared" ref="G189:L189" ca="1" si="90">IF($B187="","",SUM(G187,G188))</f>
        <v>1</v>
      </c>
      <c r="H189" s="353">
        <f t="shared" ca="1" si="90"/>
        <v>5</v>
      </c>
      <c r="I189" s="356">
        <f t="shared" ca="1" si="90"/>
        <v>24</v>
      </c>
      <c r="J189" s="353">
        <f t="shared" ca="1" si="90"/>
        <v>4</v>
      </c>
      <c r="K189" s="353">
        <f t="shared" ca="1" si="90"/>
        <v>0</v>
      </c>
      <c r="L189" s="353">
        <f t="shared" ca="1" si="90"/>
        <v>2</v>
      </c>
      <c r="M189" s="364">
        <f ca="1">IF($B187="","",SUM(M187:M188))</f>
        <v>14</v>
      </c>
      <c r="Q189" s="229"/>
      <c r="R189" s="229"/>
      <c r="S189" s="364" t="s">
        <v>19</v>
      </c>
      <c r="T189" s="364">
        <f ca="1">IF($R187="","",SUM(T187:T188))</f>
        <v>0</v>
      </c>
      <c r="U189" s="364">
        <f t="shared" ref="U189:AC189" ca="1" si="91">IF($R187="","",SUM(U187,U188))</f>
        <v>0</v>
      </c>
      <c r="V189" s="364">
        <f t="shared" ca="1" si="91"/>
        <v>0</v>
      </c>
      <c r="W189" s="353">
        <f t="shared" ca="1" si="91"/>
        <v>0</v>
      </c>
      <c r="X189" s="353">
        <f t="shared" ca="1" si="91"/>
        <v>0</v>
      </c>
      <c r="Y189" s="356">
        <f t="shared" ca="1" si="91"/>
        <v>0</v>
      </c>
      <c r="Z189" s="353">
        <f t="shared" ca="1" si="91"/>
        <v>0</v>
      </c>
      <c r="AA189" s="353">
        <f t="shared" ca="1" si="91"/>
        <v>0</v>
      </c>
      <c r="AB189" s="353">
        <f t="shared" ca="1" si="91"/>
        <v>0</v>
      </c>
      <c r="AC189" s="364">
        <f t="shared" ca="1" si="91"/>
        <v>0</v>
      </c>
    </row>
    <row r="190" spans="1:29" x14ac:dyDescent="0.25">
      <c r="A190" s="229">
        <f>A187+1</f>
        <v>7</v>
      </c>
      <c r="B190" s="233" t="str">
        <f>IF(IGRF!B17="","",IGRF!B17)</f>
        <v>321</v>
      </c>
      <c r="C190" s="329" t="s">
        <v>17</v>
      </c>
      <c r="D190" s="329" t="str">
        <f ca="1">IF(OR($E190="",$E190=0),"",SUMPRODUCT(--($C$3:$C$78=$B190),D$3:D$78))</f>
        <v/>
      </c>
      <c r="E190" s="329">
        <f ca="1">IF($B190="","",SUMPRODUCT(--(C$3:C$78=$B190)))</f>
        <v>0</v>
      </c>
      <c r="F190" s="329" t="str">
        <f ca="1">IF(OR($E190="",$E190=0),"",SUMIF($C$3:$C$62,$B190,F$3:F$62))</f>
        <v/>
      </c>
      <c r="G190" s="365" t="str">
        <f t="shared" ref="G190:M190" ca="1" si="92">IF(OR($E190="",$E190=0),"",SUMPRODUCT(--($C$3:$C$78=$B190),G$3:G$78))</f>
        <v/>
      </c>
      <c r="H190" s="365" t="str">
        <f t="shared" ca="1" si="92"/>
        <v/>
      </c>
      <c r="I190" s="349" t="str">
        <f t="shared" ca="1" si="92"/>
        <v/>
      </c>
      <c r="J190" s="365" t="str">
        <f t="shared" ca="1" si="92"/>
        <v/>
      </c>
      <c r="K190" s="365" t="str">
        <f t="shared" ca="1" si="92"/>
        <v/>
      </c>
      <c r="L190" s="365" t="str">
        <f t="shared" ca="1" si="92"/>
        <v/>
      </c>
      <c r="M190" s="329" t="str">
        <f t="shared" ca="1" si="92"/>
        <v/>
      </c>
      <c r="Q190" s="229">
        <f>Q187+1</f>
        <v>7</v>
      </c>
      <c r="R190" s="229" t="str">
        <f>IF(IGRF!H17="","",IGRF!H17)</f>
        <v>21</v>
      </c>
      <c r="S190" s="329" t="s">
        <v>17</v>
      </c>
      <c r="T190" s="329" t="str">
        <f ca="1">IF(OR($U190="",$U190=0),"",SUMPRODUCT(--($S$3:$S$78=$R190),T$3:T$78))</f>
        <v/>
      </c>
      <c r="U190" s="329">
        <f ca="1">IF($R190="","",SUMPRODUCT(--(S$3:S$78=$R190)))</f>
        <v>0</v>
      </c>
      <c r="V190" s="329" t="str">
        <f t="shared" ref="V190:AC190" ca="1" si="93">IF(OR($U190="",$U190=0),"",SUMPRODUCT(--($S$3:$S$78=$R190),V$3:V$78))</f>
        <v/>
      </c>
      <c r="W190" s="365" t="str">
        <f t="shared" ca="1" si="93"/>
        <v/>
      </c>
      <c r="X190" s="365" t="str">
        <f t="shared" ca="1" si="93"/>
        <v/>
      </c>
      <c r="Y190" s="349" t="str">
        <f t="shared" ca="1" si="93"/>
        <v/>
      </c>
      <c r="Z190" s="365" t="str">
        <f t="shared" ca="1" si="93"/>
        <v/>
      </c>
      <c r="AA190" s="365" t="str">
        <f t="shared" ca="1" si="93"/>
        <v/>
      </c>
      <c r="AB190" s="365" t="str">
        <f t="shared" ca="1" si="93"/>
        <v/>
      </c>
      <c r="AC190" s="329" t="str">
        <f t="shared" ca="1" si="93"/>
        <v/>
      </c>
    </row>
    <row r="191" spans="1:29" x14ac:dyDescent="0.25">
      <c r="A191" s="229"/>
      <c r="B191" s="233"/>
      <c r="C191" s="329" t="s">
        <v>33</v>
      </c>
      <c r="D191" s="329" t="str">
        <f ca="1">IF(OR($E191="",$E191=0),"",SUMPRODUCT(--($C$88:$C$163=$B190),D$88:D$163))</f>
        <v/>
      </c>
      <c r="E191" s="329">
        <f ca="1">IF($B190="","",SUMPRODUCT(--(C$88:C$163=$B190)))</f>
        <v>0</v>
      </c>
      <c r="F191" s="329" t="str">
        <f ca="1">IF(OR($E191="",$E191=0),"",SUMIF($C$88:$C$147,$B190,F$88:F$147))</f>
        <v/>
      </c>
      <c r="G191" s="365" t="str">
        <f t="shared" ref="G191:M191" ca="1" si="94">IF(OR($E191="",$E191=0),"",SUMPRODUCT(--($C$88:$C$163=$B190),G$88:G$163))</f>
        <v/>
      </c>
      <c r="H191" s="365" t="str">
        <f t="shared" ca="1" si="94"/>
        <v/>
      </c>
      <c r="I191" s="349" t="str">
        <f t="shared" ca="1" si="94"/>
        <v/>
      </c>
      <c r="J191" s="365" t="str">
        <f t="shared" ca="1" si="94"/>
        <v/>
      </c>
      <c r="K191" s="365" t="str">
        <f t="shared" ca="1" si="94"/>
        <v/>
      </c>
      <c r="L191" s="365" t="str">
        <f t="shared" ca="1" si="94"/>
        <v/>
      </c>
      <c r="M191" s="329" t="str">
        <f t="shared" ca="1" si="94"/>
        <v/>
      </c>
      <c r="Q191" s="229"/>
      <c r="R191" s="229"/>
      <c r="S191" s="329" t="s">
        <v>33</v>
      </c>
      <c r="T191" s="329" t="str">
        <f ca="1">IF(OR($U191="",$U191=0),"",SUMPRODUCT(--($S$88:$S$163=$R190),T$88:T$163))</f>
        <v/>
      </c>
      <c r="U191" s="329">
        <f ca="1">IF($R190="","",SUMPRODUCT(--(S$88:S$163=$R190)))</f>
        <v>0</v>
      </c>
      <c r="V191" s="329" t="str">
        <f t="shared" ref="V191:AC191" ca="1" si="95">IF(OR($U191="",$U191=0),"",SUMPRODUCT(--($S$88:$S$163=$R190),V$88:V$163))</f>
        <v/>
      </c>
      <c r="W191" s="365" t="str">
        <f t="shared" ca="1" si="95"/>
        <v/>
      </c>
      <c r="X191" s="365" t="str">
        <f t="shared" ca="1" si="95"/>
        <v/>
      </c>
      <c r="Y191" s="349" t="str">
        <f t="shared" ca="1" si="95"/>
        <v/>
      </c>
      <c r="Z191" s="365" t="str">
        <f t="shared" ca="1" si="95"/>
        <v/>
      </c>
      <c r="AA191" s="365" t="str">
        <f t="shared" ca="1" si="95"/>
        <v/>
      </c>
      <c r="AB191" s="365" t="str">
        <f t="shared" ca="1" si="95"/>
        <v/>
      </c>
      <c r="AC191" s="329" t="str">
        <f t="shared" ca="1" si="95"/>
        <v/>
      </c>
    </row>
    <row r="192" spans="1:29" x14ac:dyDescent="0.25">
      <c r="A192" s="229"/>
      <c r="B192" s="233"/>
      <c r="C192" s="364" t="s">
        <v>19</v>
      </c>
      <c r="D192" s="364">
        <f ca="1">IF($B190="","",SUM(D190:D191))</f>
        <v>0</v>
      </c>
      <c r="E192" s="364">
        <f ca="1">IF($B190="","",SUM(E190:E191))</f>
        <v>0</v>
      </c>
      <c r="F192" s="364">
        <f ca="1">IF($B190="","",SUM(F190:F191))</f>
        <v>0</v>
      </c>
      <c r="G192" s="353">
        <f t="shared" ref="G192:L192" ca="1" si="96">IF($B190="","",SUM(G190,G191))</f>
        <v>0</v>
      </c>
      <c r="H192" s="353">
        <f t="shared" ca="1" si="96"/>
        <v>0</v>
      </c>
      <c r="I192" s="356">
        <f t="shared" ca="1" si="96"/>
        <v>0</v>
      </c>
      <c r="J192" s="353">
        <f t="shared" ca="1" si="96"/>
        <v>0</v>
      </c>
      <c r="K192" s="353">
        <f t="shared" ca="1" si="96"/>
        <v>0</v>
      </c>
      <c r="L192" s="353">
        <f t="shared" ca="1" si="96"/>
        <v>0</v>
      </c>
      <c r="M192" s="364">
        <f ca="1">IF($B190="","",SUM(M190:M191))</f>
        <v>0</v>
      </c>
      <c r="Q192" s="229"/>
      <c r="R192" s="229"/>
      <c r="S192" s="364" t="s">
        <v>19</v>
      </c>
      <c r="T192" s="364">
        <f ca="1">IF($R190="","",SUM(T190:T191))</f>
        <v>0</v>
      </c>
      <c r="U192" s="364">
        <f t="shared" ref="U192:AC192" ca="1" si="97">IF($R190="","",SUM(U190,U191))</f>
        <v>0</v>
      </c>
      <c r="V192" s="364">
        <f t="shared" ca="1" si="97"/>
        <v>0</v>
      </c>
      <c r="W192" s="353">
        <f t="shared" ca="1" si="97"/>
        <v>0</v>
      </c>
      <c r="X192" s="353">
        <f t="shared" ca="1" si="97"/>
        <v>0</v>
      </c>
      <c r="Y192" s="356">
        <f t="shared" ca="1" si="97"/>
        <v>0</v>
      </c>
      <c r="Z192" s="353">
        <f t="shared" ca="1" si="97"/>
        <v>0</v>
      </c>
      <c r="AA192" s="353">
        <f t="shared" ca="1" si="97"/>
        <v>0</v>
      </c>
      <c r="AB192" s="353">
        <f t="shared" ca="1" si="97"/>
        <v>0</v>
      </c>
      <c r="AC192" s="364">
        <f t="shared" ca="1" si="97"/>
        <v>0</v>
      </c>
    </row>
    <row r="193" spans="1:29" x14ac:dyDescent="0.25">
      <c r="A193" s="229">
        <f>A190+1</f>
        <v>8</v>
      </c>
      <c r="B193" s="233" t="str">
        <f>IF(IGRF!B18="","",IGRF!B18)</f>
        <v>4</v>
      </c>
      <c r="C193" s="329" t="s">
        <v>17</v>
      </c>
      <c r="D193" s="329" t="str">
        <f ca="1">IF(OR($E193="",$E193=0),"",SUMPRODUCT(--($C$3:$C$78=$B193),D$3:D$78))</f>
        <v/>
      </c>
      <c r="E193" s="329">
        <f ca="1">IF($B193="","",SUMPRODUCT(--(C$3:C$78=$B193)))</f>
        <v>0</v>
      </c>
      <c r="F193" s="329" t="str">
        <f ca="1">IF(OR($E193="",$E193=0),"",SUMIF($C$3:$C$62,$B193,F$3:F$62))</f>
        <v/>
      </c>
      <c r="G193" s="365" t="str">
        <f t="shared" ref="G193:M193" ca="1" si="98">IF(OR($E193="",$E193=0),"",SUMPRODUCT(--($C$3:$C$78=$B193),G$3:G$78))</f>
        <v/>
      </c>
      <c r="H193" s="365" t="str">
        <f t="shared" ca="1" si="98"/>
        <v/>
      </c>
      <c r="I193" s="349" t="str">
        <f t="shared" ca="1" si="98"/>
        <v/>
      </c>
      <c r="J193" s="365" t="str">
        <f t="shared" ca="1" si="98"/>
        <v/>
      </c>
      <c r="K193" s="365" t="str">
        <f t="shared" ca="1" si="98"/>
        <v/>
      </c>
      <c r="L193" s="365" t="str">
        <f t="shared" ca="1" si="98"/>
        <v/>
      </c>
      <c r="M193" s="329" t="str">
        <f t="shared" ca="1" si="98"/>
        <v/>
      </c>
      <c r="Q193" s="229">
        <f>Q190+1</f>
        <v>8</v>
      </c>
      <c r="R193" s="229" t="str">
        <f>IF(IGRF!H18="","",IGRF!H18)</f>
        <v>22</v>
      </c>
      <c r="S193" s="329" t="s">
        <v>17</v>
      </c>
      <c r="T193" s="329">
        <f ca="1">IF(OR($U193="",$U193=0),"",SUMPRODUCT(--($S$3:$S$78=$R193),T$3:T$78))</f>
        <v>14</v>
      </c>
      <c r="U193" s="329">
        <f ca="1">IF($R193="","",SUMPRODUCT(--(S$3:S$78=$R193)))</f>
        <v>7</v>
      </c>
      <c r="V193" s="329">
        <f t="shared" ref="V193:AC193" ca="1" si="99">IF(OR($U193="",$U193=0),"",SUMPRODUCT(--($S$3:$S$78=$R193),V$3:V$78))</f>
        <v>-15</v>
      </c>
      <c r="W193" s="365">
        <f t="shared" ca="1" si="99"/>
        <v>0</v>
      </c>
      <c r="X193" s="365">
        <f t="shared" ca="1" si="99"/>
        <v>5</v>
      </c>
      <c r="Y193" s="349">
        <f t="shared" ca="1" si="99"/>
        <v>10</v>
      </c>
      <c r="Z193" s="365">
        <f t="shared" ca="1" si="99"/>
        <v>5</v>
      </c>
      <c r="AA193" s="365">
        <f t="shared" ca="1" si="99"/>
        <v>0</v>
      </c>
      <c r="AB193" s="365">
        <f t="shared" ca="1" si="99"/>
        <v>0</v>
      </c>
      <c r="AC193" s="329">
        <f t="shared" ca="1" si="99"/>
        <v>7</v>
      </c>
    </row>
    <row r="194" spans="1:29" x14ac:dyDescent="0.25">
      <c r="A194" s="229"/>
      <c r="B194" s="233"/>
      <c r="C194" s="329" t="s">
        <v>33</v>
      </c>
      <c r="D194" s="329" t="str">
        <f ca="1">IF(OR($E194="",$E194=0),"",SUMPRODUCT(--($C$88:$C$163=$B193),D$88:D$163))</f>
        <v/>
      </c>
      <c r="E194" s="329">
        <f ca="1">IF($B193="","",SUMPRODUCT(--(C$88:C$163=$B193)))</f>
        <v>0</v>
      </c>
      <c r="F194" s="329" t="str">
        <f ca="1">IF(OR($E194="",$E194=0),"",SUMIF($C$88:$C$147,$B193,F$88:F$147))</f>
        <v/>
      </c>
      <c r="G194" s="365" t="str">
        <f t="shared" ref="G194:M194" ca="1" si="100">IF(OR($E194="",$E194=0),"",SUMPRODUCT(--($C$88:$C$163=$B193),G$88:G$163))</f>
        <v/>
      </c>
      <c r="H194" s="365" t="str">
        <f t="shared" ca="1" si="100"/>
        <v/>
      </c>
      <c r="I194" s="349" t="str">
        <f t="shared" ca="1" si="100"/>
        <v/>
      </c>
      <c r="J194" s="365" t="str">
        <f t="shared" ca="1" si="100"/>
        <v/>
      </c>
      <c r="K194" s="365" t="str">
        <f t="shared" ca="1" si="100"/>
        <v/>
      </c>
      <c r="L194" s="365" t="str">
        <f t="shared" ca="1" si="100"/>
        <v/>
      </c>
      <c r="M194" s="329" t="str">
        <f t="shared" ca="1" si="100"/>
        <v/>
      </c>
      <c r="Q194" s="229"/>
      <c r="R194" s="229"/>
      <c r="S194" s="329" t="s">
        <v>33</v>
      </c>
      <c r="T194" s="329">
        <f ca="1">IF(OR($U194="",$U194=0),"",SUMPRODUCT(--($S$88:$S$163=$R193),T$88:T$163))</f>
        <v>22</v>
      </c>
      <c r="U194" s="329">
        <f ca="1">IF($R193="","",SUMPRODUCT(--(S$88:S$163=$R193)))</f>
        <v>12</v>
      </c>
      <c r="V194" s="329">
        <f t="shared" ref="V194:AC194" ca="1" si="101">IF(OR($U194="",$U194=0),"",SUMPRODUCT(--($S$88:$S$163=$R193),V$88:V$163))</f>
        <v>-20</v>
      </c>
      <c r="W194" s="365">
        <f t="shared" ca="1" si="101"/>
        <v>0</v>
      </c>
      <c r="X194" s="365">
        <f t="shared" ca="1" si="101"/>
        <v>5</v>
      </c>
      <c r="Y194" s="349">
        <f t="shared" ca="1" si="101"/>
        <v>18</v>
      </c>
      <c r="Z194" s="365">
        <f t="shared" ca="1" si="101"/>
        <v>4</v>
      </c>
      <c r="AA194" s="365">
        <f t="shared" ca="1" si="101"/>
        <v>0</v>
      </c>
      <c r="AB194" s="365">
        <f t="shared" ca="1" si="101"/>
        <v>0</v>
      </c>
      <c r="AC194" s="329">
        <f t="shared" ca="1" si="101"/>
        <v>14</v>
      </c>
    </row>
    <row r="195" spans="1:29" x14ac:dyDescent="0.25">
      <c r="A195" s="229"/>
      <c r="B195" s="233"/>
      <c r="C195" s="364" t="s">
        <v>19</v>
      </c>
      <c r="D195" s="364">
        <f ca="1">IF($B193="","",SUM(D193:D194))</f>
        <v>0</v>
      </c>
      <c r="E195" s="364">
        <f ca="1">IF($B193="","",SUM(E193:E194))</f>
        <v>0</v>
      </c>
      <c r="F195" s="364">
        <f ca="1">IF($B193="","",SUM(F193:F194))</f>
        <v>0</v>
      </c>
      <c r="G195" s="353">
        <f t="shared" ref="G195:L195" ca="1" si="102">IF($B193="","",SUM(G193,G194))</f>
        <v>0</v>
      </c>
      <c r="H195" s="353">
        <f t="shared" ca="1" si="102"/>
        <v>0</v>
      </c>
      <c r="I195" s="356">
        <f t="shared" ca="1" si="102"/>
        <v>0</v>
      </c>
      <c r="J195" s="353">
        <f t="shared" ca="1" si="102"/>
        <v>0</v>
      </c>
      <c r="K195" s="353">
        <f t="shared" ca="1" si="102"/>
        <v>0</v>
      </c>
      <c r="L195" s="353">
        <f t="shared" ca="1" si="102"/>
        <v>0</v>
      </c>
      <c r="M195" s="364">
        <f ca="1">IF($B193="","",SUM(M193:M194))</f>
        <v>0</v>
      </c>
      <c r="Q195" s="229"/>
      <c r="R195" s="229"/>
      <c r="S195" s="364" t="s">
        <v>19</v>
      </c>
      <c r="T195" s="364">
        <f ca="1">IF($R193="","",SUM(T193:T194))</f>
        <v>36</v>
      </c>
      <c r="U195" s="364">
        <f t="shared" ref="U195:AC195" ca="1" si="103">IF($R193="","",SUM(U193,U194))</f>
        <v>19</v>
      </c>
      <c r="V195" s="364">
        <f t="shared" ca="1" si="103"/>
        <v>-35</v>
      </c>
      <c r="W195" s="353">
        <f t="shared" ca="1" si="103"/>
        <v>0</v>
      </c>
      <c r="X195" s="353">
        <f t="shared" ca="1" si="103"/>
        <v>10</v>
      </c>
      <c r="Y195" s="356">
        <f t="shared" ca="1" si="103"/>
        <v>28</v>
      </c>
      <c r="Z195" s="353">
        <f t="shared" ca="1" si="103"/>
        <v>9</v>
      </c>
      <c r="AA195" s="353">
        <f t="shared" ca="1" si="103"/>
        <v>0</v>
      </c>
      <c r="AB195" s="353">
        <f t="shared" ca="1" si="103"/>
        <v>0</v>
      </c>
      <c r="AC195" s="364">
        <f t="shared" ca="1" si="103"/>
        <v>21</v>
      </c>
    </row>
    <row r="196" spans="1:29" x14ac:dyDescent="0.25">
      <c r="A196" s="229">
        <f>A193+1</f>
        <v>9</v>
      </c>
      <c r="B196" s="233" t="str">
        <f>IF(IGRF!B19="","",IGRF!B19)</f>
        <v>505</v>
      </c>
      <c r="C196" s="329" t="s">
        <v>17</v>
      </c>
      <c r="D196" s="329" t="str">
        <f ca="1">IF(OR($E196="",$E196=0),"",SUMPRODUCT(--($C$3:$C$78=$B196),D$3:D$78))</f>
        <v/>
      </c>
      <c r="E196" s="329">
        <f ca="1">IF($B196="","",SUMPRODUCT(--(C$3:C$78=$B196)))</f>
        <v>0</v>
      </c>
      <c r="F196" s="329" t="str">
        <f ca="1">IF(OR($E196="",$E196=0),"",SUMIF($C$3:$C$62,$B196,F$3:F$62))</f>
        <v/>
      </c>
      <c r="G196" s="365" t="str">
        <f t="shared" ref="G196:M196" ca="1" si="104">IF(OR($E196="",$E196=0),"",SUMPRODUCT(--($C$3:$C$78=$B196),G$3:G$78))</f>
        <v/>
      </c>
      <c r="H196" s="365" t="str">
        <f t="shared" ca="1" si="104"/>
        <v/>
      </c>
      <c r="I196" s="349" t="str">
        <f t="shared" ca="1" si="104"/>
        <v/>
      </c>
      <c r="J196" s="365" t="str">
        <f t="shared" ca="1" si="104"/>
        <v/>
      </c>
      <c r="K196" s="365" t="str">
        <f t="shared" ca="1" si="104"/>
        <v/>
      </c>
      <c r="L196" s="365" t="str">
        <f t="shared" ca="1" si="104"/>
        <v/>
      </c>
      <c r="M196" s="329" t="str">
        <f t="shared" ca="1" si="104"/>
        <v/>
      </c>
      <c r="Q196" s="229">
        <f>Q193+1</f>
        <v>9</v>
      </c>
      <c r="R196" s="229" t="str">
        <f>IF(IGRF!H19="","",IGRF!H19)</f>
        <v>312</v>
      </c>
      <c r="S196" s="329" t="s">
        <v>17</v>
      </c>
      <c r="T196" s="329" t="str">
        <f ca="1">IF(OR($U196="",$U196=0),"",SUMPRODUCT(--($S$3:$S$78=$R196),T$3:T$78))</f>
        <v/>
      </c>
      <c r="U196" s="329">
        <f ca="1">IF($R196="","",SUMPRODUCT(--(S$3:S$78=$R196)))</f>
        <v>0</v>
      </c>
      <c r="V196" s="329" t="str">
        <f t="shared" ref="V196:AC196" ca="1" si="105">IF(OR($U196="",$U196=0),"",SUMPRODUCT(--($S$3:$S$78=$R196),V$3:V$78))</f>
        <v/>
      </c>
      <c r="W196" s="365" t="str">
        <f t="shared" ca="1" si="105"/>
        <v/>
      </c>
      <c r="X196" s="365" t="str">
        <f t="shared" ca="1" si="105"/>
        <v/>
      </c>
      <c r="Y196" s="349" t="str">
        <f t="shared" ca="1" si="105"/>
        <v/>
      </c>
      <c r="Z196" s="365" t="str">
        <f t="shared" ca="1" si="105"/>
        <v/>
      </c>
      <c r="AA196" s="365" t="str">
        <f t="shared" ca="1" si="105"/>
        <v/>
      </c>
      <c r="AB196" s="365" t="str">
        <f t="shared" ca="1" si="105"/>
        <v/>
      </c>
      <c r="AC196" s="329" t="str">
        <f t="shared" ca="1" si="105"/>
        <v/>
      </c>
    </row>
    <row r="197" spans="1:29" x14ac:dyDescent="0.25">
      <c r="A197" s="229"/>
      <c r="B197" s="233"/>
      <c r="C197" s="329" t="s">
        <v>33</v>
      </c>
      <c r="D197" s="329" t="str">
        <f ca="1">IF(OR($E197="",$E197=0),"",SUMPRODUCT(--($C$88:$C$163=$B196),D$88:D$163))</f>
        <v/>
      </c>
      <c r="E197" s="329">
        <f ca="1">IF($B196="","",SUMPRODUCT(--(C$88:C$163=$B196)))</f>
        <v>0</v>
      </c>
      <c r="F197" s="329" t="str">
        <f ca="1">IF(OR($E197="",$E197=0),"",SUMIF($C$88:$C$147,$B196,F$88:F$147))</f>
        <v/>
      </c>
      <c r="G197" s="365" t="str">
        <f t="shared" ref="G197:M197" ca="1" si="106">IF(OR($E197="",$E197=0),"",SUMPRODUCT(--($C$88:$C$163=$B196),G$88:G$163))</f>
        <v/>
      </c>
      <c r="H197" s="365" t="str">
        <f t="shared" ca="1" si="106"/>
        <v/>
      </c>
      <c r="I197" s="349" t="str">
        <f t="shared" ca="1" si="106"/>
        <v/>
      </c>
      <c r="J197" s="365" t="str">
        <f t="shared" ca="1" si="106"/>
        <v/>
      </c>
      <c r="K197" s="365" t="str">
        <f t="shared" ca="1" si="106"/>
        <v/>
      </c>
      <c r="L197" s="365" t="str">
        <f t="shared" ca="1" si="106"/>
        <v/>
      </c>
      <c r="M197" s="329" t="str">
        <f t="shared" ca="1" si="106"/>
        <v/>
      </c>
      <c r="Q197" s="229"/>
      <c r="R197" s="229"/>
      <c r="S197" s="329" t="s">
        <v>33</v>
      </c>
      <c r="T197" s="329" t="str">
        <f ca="1">IF(OR($U197="",$U197=0),"",SUMPRODUCT(--($S$88:$S$163=$R196),T$88:T$163))</f>
        <v/>
      </c>
      <c r="U197" s="329">
        <f ca="1">IF($R196="","",SUMPRODUCT(--(S$88:S$163=$R196)))</f>
        <v>0</v>
      </c>
      <c r="V197" s="329" t="str">
        <f t="shared" ref="V197:AC197" ca="1" si="107">IF(OR($U197="",$U197=0),"",SUMPRODUCT(--($S$88:$S$163=$R196),V$88:V$163))</f>
        <v/>
      </c>
      <c r="W197" s="365" t="str">
        <f t="shared" ca="1" si="107"/>
        <v/>
      </c>
      <c r="X197" s="365" t="str">
        <f t="shared" ca="1" si="107"/>
        <v/>
      </c>
      <c r="Y197" s="349" t="str">
        <f t="shared" ca="1" si="107"/>
        <v/>
      </c>
      <c r="Z197" s="365" t="str">
        <f t="shared" ca="1" si="107"/>
        <v/>
      </c>
      <c r="AA197" s="365" t="str">
        <f t="shared" ca="1" si="107"/>
        <v/>
      </c>
      <c r="AB197" s="365" t="str">
        <f t="shared" ca="1" si="107"/>
        <v/>
      </c>
      <c r="AC197" s="329" t="str">
        <f t="shared" ca="1" si="107"/>
        <v/>
      </c>
    </row>
    <row r="198" spans="1:29" x14ac:dyDescent="0.25">
      <c r="A198" s="229"/>
      <c r="B198" s="233"/>
      <c r="C198" s="364" t="s">
        <v>19</v>
      </c>
      <c r="D198" s="364">
        <f ca="1">IF($B196="","",SUM(D196:D197))</f>
        <v>0</v>
      </c>
      <c r="E198" s="364">
        <f ca="1">IF($B196="","",SUM(E196:E197))</f>
        <v>0</v>
      </c>
      <c r="F198" s="364">
        <f ca="1">IF($B196="","",SUM(F196:F197))</f>
        <v>0</v>
      </c>
      <c r="G198" s="353">
        <f t="shared" ref="G198:L198" ca="1" si="108">IF($B196="","",SUM(G196,G197))</f>
        <v>0</v>
      </c>
      <c r="H198" s="353">
        <f t="shared" ca="1" si="108"/>
        <v>0</v>
      </c>
      <c r="I198" s="356">
        <f t="shared" ca="1" si="108"/>
        <v>0</v>
      </c>
      <c r="J198" s="353">
        <f t="shared" ca="1" si="108"/>
        <v>0</v>
      </c>
      <c r="K198" s="353">
        <f t="shared" ca="1" si="108"/>
        <v>0</v>
      </c>
      <c r="L198" s="353">
        <f t="shared" ca="1" si="108"/>
        <v>0</v>
      </c>
      <c r="M198" s="364">
        <f ca="1">IF($B196="","",SUM(M196:M197))</f>
        <v>0</v>
      </c>
      <c r="Q198" s="229"/>
      <c r="R198" s="229"/>
      <c r="S198" s="364" t="s">
        <v>19</v>
      </c>
      <c r="T198" s="364">
        <f ca="1">IF($R196="","",SUM(T196:T197))</f>
        <v>0</v>
      </c>
      <c r="U198" s="364">
        <f t="shared" ref="U198:AC198" ca="1" si="109">IF($R196="","",SUM(U196,U197))</f>
        <v>0</v>
      </c>
      <c r="V198" s="364">
        <f t="shared" ca="1" si="109"/>
        <v>0</v>
      </c>
      <c r="W198" s="353">
        <f t="shared" ca="1" si="109"/>
        <v>0</v>
      </c>
      <c r="X198" s="353">
        <f t="shared" ca="1" si="109"/>
        <v>0</v>
      </c>
      <c r="Y198" s="356">
        <f t="shared" ca="1" si="109"/>
        <v>0</v>
      </c>
      <c r="Z198" s="353">
        <f t="shared" ca="1" si="109"/>
        <v>0</v>
      </c>
      <c r="AA198" s="353">
        <f t="shared" ca="1" si="109"/>
        <v>0</v>
      </c>
      <c r="AB198" s="353">
        <f t="shared" ca="1" si="109"/>
        <v>0</v>
      </c>
      <c r="AC198" s="364">
        <f t="shared" ca="1" si="109"/>
        <v>0</v>
      </c>
    </row>
    <row r="199" spans="1:29" x14ac:dyDescent="0.25">
      <c r="A199" s="229">
        <f>A196+1</f>
        <v>10</v>
      </c>
      <c r="B199" s="233" t="str">
        <f>IF(IGRF!B20="","",IGRF!B20)</f>
        <v>53</v>
      </c>
      <c r="C199" s="329" t="s">
        <v>17</v>
      </c>
      <c r="D199" s="329" t="str">
        <f ca="1">IF(OR($E199="",$E199=0),"",SUMPRODUCT(--($C$3:$C$78=$B199),D$3:D$78))</f>
        <v/>
      </c>
      <c r="E199" s="329">
        <f ca="1">IF($B199="","",SUMPRODUCT(--(C$3:C$78=$B199)))</f>
        <v>0</v>
      </c>
      <c r="F199" s="329" t="str">
        <f ca="1">IF(OR($E199="",$E199=0),"",SUMIF($C$3:$C$62,$B199,F$3:F$62))</f>
        <v/>
      </c>
      <c r="G199" s="365" t="str">
        <f t="shared" ref="G199:M199" ca="1" si="110">IF(OR($E199="",$E199=0),"",SUMPRODUCT(--($C$3:$C$78=$B199),G$3:G$78))</f>
        <v/>
      </c>
      <c r="H199" s="365" t="str">
        <f t="shared" ca="1" si="110"/>
        <v/>
      </c>
      <c r="I199" s="349" t="str">
        <f t="shared" ca="1" si="110"/>
        <v/>
      </c>
      <c r="J199" s="365" t="str">
        <f t="shared" ca="1" si="110"/>
        <v/>
      </c>
      <c r="K199" s="365" t="str">
        <f t="shared" ca="1" si="110"/>
        <v/>
      </c>
      <c r="L199" s="365" t="str">
        <f t="shared" ca="1" si="110"/>
        <v/>
      </c>
      <c r="M199" s="329" t="str">
        <f t="shared" ca="1" si="110"/>
        <v/>
      </c>
      <c r="Q199" s="229">
        <f>Q196+1</f>
        <v>10</v>
      </c>
      <c r="R199" s="229" t="str">
        <f>IF(IGRF!H20="","",IGRF!H20)</f>
        <v>51</v>
      </c>
      <c r="S199" s="329" t="s">
        <v>17</v>
      </c>
      <c r="T199" s="329" t="str">
        <f ca="1">IF(OR($U199="",$U199=0),"",SUMPRODUCT(--($S$3:$S$78=$R199),T$3:T$78))</f>
        <v/>
      </c>
      <c r="U199" s="329">
        <f ca="1">IF($R199="","",SUMPRODUCT(--(S$3:S$78=$R199)))</f>
        <v>0</v>
      </c>
      <c r="V199" s="329" t="str">
        <f t="shared" ref="V199:AC199" ca="1" si="111">IF(OR($U199="",$U199=0),"",SUMPRODUCT(--($S$3:$S$78=$R199),V$3:V$78))</f>
        <v/>
      </c>
      <c r="W199" s="365" t="str">
        <f t="shared" ca="1" si="111"/>
        <v/>
      </c>
      <c r="X199" s="365" t="str">
        <f t="shared" ca="1" si="111"/>
        <v/>
      </c>
      <c r="Y199" s="349" t="str">
        <f t="shared" ca="1" si="111"/>
        <v/>
      </c>
      <c r="Z199" s="365" t="str">
        <f t="shared" ca="1" si="111"/>
        <v/>
      </c>
      <c r="AA199" s="365" t="str">
        <f t="shared" ca="1" si="111"/>
        <v/>
      </c>
      <c r="AB199" s="365" t="str">
        <f t="shared" ca="1" si="111"/>
        <v/>
      </c>
      <c r="AC199" s="329" t="str">
        <f t="shared" ca="1" si="111"/>
        <v/>
      </c>
    </row>
    <row r="200" spans="1:29" x14ac:dyDescent="0.25">
      <c r="A200" s="229"/>
      <c r="B200" s="233"/>
      <c r="C200" s="329" t="s">
        <v>33</v>
      </c>
      <c r="D200" s="329" t="str">
        <f ca="1">IF(OR($E200="",$E200=0),"",SUMPRODUCT(--($C$88:$C$163=$B199),D$88:D$163))</f>
        <v/>
      </c>
      <c r="E200" s="329">
        <f ca="1">IF($B199="","",SUMPRODUCT(--(C$88:C$163=$B199)))</f>
        <v>0</v>
      </c>
      <c r="F200" s="329" t="str">
        <f ca="1">IF(OR($E200="",$E200=0),"",SUMIF($C$88:$C$147,$B199,F$88:F$147))</f>
        <v/>
      </c>
      <c r="G200" s="365" t="str">
        <f t="shared" ref="G200:M200" ca="1" si="112">IF(OR($E200="",$E200=0),"",SUMPRODUCT(--($C$88:$C$163=$B199),G$88:G$163))</f>
        <v/>
      </c>
      <c r="H200" s="365" t="str">
        <f t="shared" ca="1" si="112"/>
        <v/>
      </c>
      <c r="I200" s="349" t="str">
        <f t="shared" ca="1" si="112"/>
        <v/>
      </c>
      <c r="J200" s="365" t="str">
        <f t="shared" ca="1" si="112"/>
        <v/>
      </c>
      <c r="K200" s="365" t="str">
        <f t="shared" ca="1" si="112"/>
        <v/>
      </c>
      <c r="L200" s="365" t="str">
        <f t="shared" ca="1" si="112"/>
        <v/>
      </c>
      <c r="M200" s="329" t="str">
        <f t="shared" ca="1" si="112"/>
        <v/>
      </c>
      <c r="Q200" s="229"/>
      <c r="R200" s="229"/>
      <c r="S200" s="329" t="s">
        <v>33</v>
      </c>
      <c r="T200" s="329">
        <f ca="1">IF(OR($U200="",$U200=0),"",SUMPRODUCT(--($S$88:$S$163=$R199),T$88:T$163))</f>
        <v>0</v>
      </c>
      <c r="U200" s="329">
        <f ca="1">IF($R199="","",SUMPRODUCT(--(S$88:S$163=$R199)))</f>
        <v>2</v>
      </c>
      <c r="V200" s="329">
        <f t="shared" ref="V200:AC200" ca="1" si="113">IF(OR($U200="",$U200=0),"",SUMPRODUCT(--($S$88:$S$163=$R199),V$88:V$163))</f>
        <v>-31</v>
      </c>
      <c r="W200" s="365">
        <f t="shared" ca="1" si="113"/>
        <v>1</v>
      </c>
      <c r="X200" s="365">
        <f t="shared" ca="1" si="113"/>
        <v>1</v>
      </c>
      <c r="Y200" s="349">
        <f t="shared" ca="1" si="113"/>
        <v>-25</v>
      </c>
      <c r="Z200" s="365">
        <f t="shared" ca="1" si="113"/>
        <v>0</v>
      </c>
      <c r="AA200" s="365">
        <f t="shared" ca="1" si="113"/>
        <v>0</v>
      </c>
      <c r="AB200" s="365">
        <f t="shared" ca="1" si="113"/>
        <v>1</v>
      </c>
      <c r="AC200" s="329">
        <f t="shared" ca="1" si="113"/>
        <v>1</v>
      </c>
    </row>
    <row r="201" spans="1:29" x14ac:dyDescent="0.25">
      <c r="A201" s="229"/>
      <c r="B201" s="233"/>
      <c r="C201" s="364" t="s">
        <v>19</v>
      </c>
      <c r="D201" s="364">
        <f ca="1">IF($B199="","",SUM(D199:D200))</f>
        <v>0</v>
      </c>
      <c r="E201" s="364">
        <f ca="1">IF($B199="","",SUM(E199:E200))</f>
        <v>0</v>
      </c>
      <c r="F201" s="364">
        <f ca="1">IF($B199="","",SUM(F199:F200))</f>
        <v>0</v>
      </c>
      <c r="G201" s="353">
        <f t="shared" ref="G201:L201" ca="1" si="114">IF($B199="","",SUM(G199,G200))</f>
        <v>0</v>
      </c>
      <c r="H201" s="353">
        <f t="shared" ca="1" si="114"/>
        <v>0</v>
      </c>
      <c r="I201" s="356">
        <f t="shared" ca="1" si="114"/>
        <v>0</v>
      </c>
      <c r="J201" s="353">
        <f t="shared" ca="1" si="114"/>
        <v>0</v>
      </c>
      <c r="K201" s="353">
        <f t="shared" ca="1" si="114"/>
        <v>0</v>
      </c>
      <c r="L201" s="353">
        <f t="shared" ca="1" si="114"/>
        <v>0</v>
      </c>
      <c r="M201" s="364">
        <f ca="1">IF($B199="","",SUM(M199:M200))</f>
        <v>0</v>
      </c>
      <c r="Q201" s="229"/>
      <c r="R201" s="229"/>
      <c r="S201" s="364" t="s">
        <v>19</v>
      </c>
      <c r="T201" s="364">
        <f ca="1">IF($R199="","",SUM(T199:T200))</f>
        <v>0</v>
      </c>
      <c r="U201" s="364">
        <f t="shared" ref="U201:AC201" ca="1" si="115">IF($R199="","",SUM(U199,U200))</f>
        <v>2</v>
      </c>
      <c r="V201" s="364">
        <f t="shared" ca="1" si="115"/>
        <v>-31</v>
      </c>
      <c r="W201" s="353">
        <f t="shared" ca="1" si="115"/>
        <v>1</v>
      </c>
      <c r="X201" s="353">
        <f t="shared" ca="1" si="115"/>
        <v>1</v>
      </c>
      <c r="Y201" s="356">
        <f t="shared" ca="1" si="115"/>
        <v>-25</v>
      </c>
      <c r="Z201" s="353">
        <f t="shared" ca="1" si="115"/>
        <v>0</v>
      </c>
      <c r="AA201" s="353">
        <f t="shared" ca="1" si="115"/>
        <v>0</v>
      </c>
      <c r="AB201" s="353">
        <f t="shared" ca="1" si="115"/>
        <v>1</v>
      </c>
      <c r="AC201" s="364">
        <f t="shared" ca="1" si="115"/>
        <v>1</v>
      </c>
    </row>
    <row r="202" spans="1:29" x14ac:dyDescent="0.25">
      <c r="A202" s="229">
        <f>A199+1</f>
        <v>11</v>
      </c>
      <c r="B202" s="233" t="str">
        <f>IF(IGRF!B21="","",IGRF!B21)</f>
        <v>761</v>
      </c>
      <c r="C202" s="329" t="s">
        <v>17</v>
      </c>
      <c r="D202" s="329">
        <f ca="1">IF(OR($E202="",$E202=0),"",SUMPRODUCT(--($C$3:$C$78=$B202),D$3:D$78))</f>
        <v>29</v>
      </c>
      <c r="E202" s="329">
        <f ca="1">IF($B202="","",SUMPRODUCT(--(C$3:C$78=$B202)))</f>
        <v>5</v>
      </c>
      <c r="F202" s="329">
        <f ca="1">IF(OR($E202="",$E202=0),"",SUMIF($C$3:$C$62,$B202,F$3:F$62))</f>
        <v>18</v>
      </c>
      <c r="G202" s="365">
        <f t="shared" ref="G202:M202" ca="1" si="116">IF(OR($E202="",$E202=0),"",SUMPRODUCT(--($C$3:$C$78=$B202),G$3:G$78))</f>
        <v>1</v>
      </c>
      <c r="H202" s="365">
        <f t="shared" ca="1" si="116"/>
        <v>3</v>
      </c>
      <c r="I202" s="349">
        <f t="shared" ca="1" si="116"/>
        <v>18</v>
      </c>
      <c r="J202" s="365">
        <f t="shared" ca="1" si="116"/>
        <v>2</v>
      </c>
      <c r="K202" s="365">
        <f t="shared" ca="1" si="116"/>
        <v>0</v>
      </c>
      <c r="L202" s="365">
        <f t="shared" ca="1" si="116"/>
        <v>1</v>
      </c>
      <c r="M202" s="329">
        <f t="shared" ca="1" si="116"/>
        <v>9</v>
      </c>
      <c r="Q202" s="229">
        <f>Q199+1</f>
        <v>11</v>
      </c>
      <c r="R202" s="229" t="str">
        <f>IF(IGRF!H21="","",IGRF!H21)</f>
        <v>5309</v>
      </c>
      <c r="S202" s="329" t="s">
        <v>17</v>
      </c>
      <c r="T202" s="329" t="str">
        <f ca="1">IF(OR($U202="",$U202=0),"",SUMPRODUCT(--($S$3:$S$78=$R202),T$3:T$78))</f>
        <v/>
      </c>
      <c r="U202" s="329">
        <f ca="1">IF($R202="","",SUMPRODUCT(--(S$3:S$78=$R202)))</f>
        <v>0</v>
      </c>
      <c r="V202" s="329" t="str">
        <f t="shared" ref="V202:AC202" ca="1" si="117">IF(OR($U202="",$U202=0),"",SUMPRODUCT(--($S$3:$S$78=$R202),V$3:V$78))</f>
        <v/>
      </c>
      <c r="W202" s="365" t="str">
        <f t="shared" ca="1" si="117"/>
        <v/>
      </c>
      <c r="X202" s="365" t="str">
        <f t="shared" ca="1" si="117"/>
        <v/>
      </c>
      <c r="Y202" s="349" t="str">
        <f t="shared" ca="1" si="117"/>
        <v/>
      </c>
      <c r="Z202" s="365" t="str">
        <f t="shared" ca="1" si="117"/>
        <v/>
      </c>
      <c r="AA202" s="365" t="str">
        <f t="shared" ca="1" si="117"/>
        <v/>
      </c>
      <c r="AB202" s="365" t="str">
        <f t="shared" ca="1" si="117"/>
        <v/>
      </c>
      <c r="AC202" s="329" t="str">
        <f t="shared" ca="1" si="117"/>
        <v/>
      </c>
    </row>
    <row r="203" spans="1:29" x14ac:dyDescent="0.25">
      <c r="A203" s="229"/>
      <c r="B203" s="233"/>
      <c r="C203" s="329" t="s">
        <v>33</v>
      </c>
      <c r="D203" s="329">
        <f ca="1">IF(OR($E203="",$E203=0),"",SUMPRODUCT(--($C$88:$C$163=$B202),D$88:D$163))</f>
        <v>48</v>
      </c>
      <c r="E203" s="329">
        <f ca="1">IF($B202="","",SUMPRODUCT(--(C$88:C$163=$B202)))</f>
        <v>6</v>
      </c>
      <c r="F203" s="329">
        <f ca="1">IF(OR($E203="",$E203=0),"",SUMIF($C$88:$C$147,$B202,F$88:F$147))</f>
        <v>49</v>
      </c>
      <c r="G203" s="365">
        <f t="shared" ref="G203:M203" ca="1" si="118">IF(OR($E203="",$E203=0),"",SUMPRODUCT(--($C$88:$C$163=$B202),G$88:G$163))</f>
        <v>2</v>
      </c>
      <c r="H203" s="365">
        <f t="shared" ca="1" si="118"/>
        <v>4</v>
      </c>
      <c r="I203" s="349">
        <f t="shared" ca="1" si="118"/>
        <v>34</v>
      </c>
      <c r="J203" s="365">
        <f t="shared" ca="1" si="118"/>
        <v>3</v>
      </c>
      <c r="K203" s="365">
        <f t="shared" ca="1" si="118"/>
        <v>0</v>
      </c>
      <c r="L203" s="365">
        <f t="shared" ca="1" si="118"/>
        <v>1</v>
      </c>
      <c r="M203" s="329">
        <f t="shared" ca="1" si="118"/>
        <v>12</v>
      </c>
      <c r="Q203" s="229"/>
      <c r="R203" s="229"/>
      <c r="S203" s="329" t="s">
        <v>33</v>
      </c>
      <c r="T203" s="329" t="str">
        <f ca="1">IF(OR($U203="",$U203=0),"",SUMPRODUCT(--($S$88:$S$163=$R202),T$88:T$163))</f>
        <v/>
      </c>
      <c r="U203" s="329">
        <f ca="1">IF($R202="","",SUMPRODUCT(--(S$88:S$163=$R202)))</f>
        <v>0</v>
      </c>
      <c r="V203" s="329" t="str">
        <f t="shared" ref="V203:AC203" ca="1" si="119">IF(OR($U203="",$U203=0),"",SUMPRODUCT(--($S$88:$S$163=$R202),V$88:V$163))</f>
        <v/>
      </c>
      <c r="W203" s="365" t="str">
        <f t="shared" ca="1" si="119"/>
        <v/>
      </c>
      <c r="X203" s="365" t="str">
        <f t="shared" ca="1" si="119"/>
        <v/>
      </c>
      <c r="Y203" s="349" t="str">
        <f t="shared" ca="1" si="119"/>
        <v/>
      </c>
      <c r="Z203" s="365" t="str">
        <f t="shared" ca="1" si="119"/>
        <v/>
      </c>
      <c r="AA203" s="365" t="str">
        <f t="shared" ca="1" si="119"/>
        <v/>
      </c>
      <c r="AB203" s="365" t="str">
        <f t="shared" ca="1" si="119"/>
        <v/>
      </c>
      <c r="AC203" s="329" t="str">
        <f t="shared" ca="1" si="119"/>
        <v/>
      </c>
    </row>
    <row r="204" spans="1:29" x14ac:dyDescent="0.25">
      <c r="A204" s="229"/>
      <c r="B204" s="233"/>
      <c r="C204" s="364" t="s">
        <v>19</v>
      </c>
      <c r="D204" s="364">
        <f ca="1">IF($B202="","",SUM(D202:D203))</f>
        <v>77</v>
      </c>
      <c r="E204" s="364">
        <f ca="1">IF($B202="","",SUM(E202:E203))</f>
        <v>11</v>
      </c>
      <c r="F204" s="364">
        <f ca="1">IF($B202="","",SUM(F202:F203))</f>
        <v>67</v>
      </c>
      <c r="G204" s="353">
        <f t="shared" ref="G204:L204" ca="1" si="120">IF($B202="","",SUM(G202,G203))</f>
        <v>3</v>
      </c>
      <c r="H204" s="353">
        <f t="shared" ca="1" si="120"/>
        <v>7</v>
      </c>
      <c r="I204" s="356">
        <f t="shared" ca="1" si="120"/>
        <v>52</v>
      </c>
      <c r="J204" s="353">
        <f t="shared" ca="1" si="120"/>
        <v>5</v>
      </c>
      <c r="K204" s="353">
        <f t="shared" ca="1" si="120"/>
        <v>0</v>
      </c>
      <c r="L204" s="353">
        <f t="shared" ca="1" si="120"/>
        <v>2</v>
      </c>
      <c r="M204" s="364">
        <f ca="1">IF($B202="","",SUM(M202:M203))</f>
        <v>21</v>
      </c>
      <c r="Q204" s="229"/>
      <c r="R204" s="229"/>
      <c r="S204" s="364" t="s">
        <v>19</v>
      </c>
      <c r="T204" s="364">
        <f ca="1">IF($R202="","",SUM(T202:T203))</f>
        <v>0</v>
      </c>
      <c r="U204" s="364">
        <f t="shared" ref="U204:AC204" ca="1" si="121">IF($R202="","",SUM(U202,U203))</f>
        <v>0</v>
      </c>
      <c r="V204" s="364">
        <f t="shared" ca="1" si="121"/>
        <v>0</v>
      </c>
      <c r="W204" s="353">
        <f t="shared" ca="1" si="121"/>
        <v>0</v>
      </c>
      <c r="X204" s="353">
        <f t="shared" ca="1" si="121"/>
        <v>0</v>
      </c>
      <c r="Y204" s="356">
        <f t="shared" ca="1" si="121"/>
        <v>0</v>
      </c>
      <c r="Z204" s="353">
        <f t="shared" ca="1" si="121"/>
        <v>0</v>
      </c>
      <c r="AA204" s="353">
        <f t="shared" ca="1" si="121"/>
        <v>0</v>
      </c>
      <c r="AB204" s="353">
        <f t="shared" ca="1" si="121"/>
        <v>0</v>
      </c>
      <c r="AC204" s="364">
        <f t="shared" ca="1" si="121"/>
        <v>0</v>
      </c>
    </row>
    <row r="205" spans="1:29" x14ac:dyDescent="0.25">
      <c r="A205" s="229">
        <f>A202+1</f>
        <v>12</v>
      </c>
      <c r="B205" s="233" t="str">
        <f>IF(IGRF!B22="","",IGRF!B22)</f>
        <v>808</v>
      </c>
      <c r="C205" s="329" t="s">
        <v>17</v>
      </c>
      <c r="D205" s="329" t="str">
        <f ca="1">IF(OR($E205="",$E205=0),"",SUMPRODUCT(--($C$3:$C$78=$B205),D$3:D$78))</f>
        <v/>
      </c>
      <c r="E205" s="329">
        <f ca="1">IF($B205="","",SUMPRODUCT(--(C$3:C$78=$B205)))</f>
        <v>0</v>
      </c>
      <c r="F205" s="329" t="str">
        <f ca="1">IF(OR($E205="",$E205=0),"",SUMIF($C$3:$C$62,$B205,F$3:F$62))</f>
        <v/>
      </c>
      <c r="G205" s="365" t="str">
        <f t="shared" ref="G205:M205" ca="1" si="122">IF(OR($E205="",$E205=0),"",SUMPRODUCT(--($C$3:$C$78=$B205),G$3:G$78))</f>
        <v/>
      </c>
      <c r="H205" s="365" t="str">
        <f t="shared" ca="1" si="122"/>
        <v/>
      </c>
      <c r="I205" s="349" t="str">
        <f t="shared" ca="1" si="122"/>
        <v/>
      </c>
      <c r="J205" s="365" t="str">
        <f t="shared" ca="1" si="122"/>
        <v/>
      </c>
      <c r="K205" s="365" t="str">
        <f t="shared" ca="1" si="122"/>
        <v/>
      </c>
      <c r="L205" s="365" t="str">
        <f t="shared" ca="1" si="122"/>
        <v/>
      </c>
      <c r="M205" s="329" t="str">
        <f t="shared" ca="1" si="122"/>
        <v/>
      </c>
      <c r="Q205" s="229">
        <f>Q202+1</f>
        <v>12</v>
      </c>
      <c r="R205" s="229" t="str">
        <f>IF(IGRF!H22="","",IGRF!H22)</f>
        <v>69</v>
      </c>
      <c r="S205" s="329" t="s">
        <v>17</v>
      </c>
      <c r="T205" s="329">
        <f ca="1">IF(OR($U205="",$U205=0),"",SUMPRODUCT(--($S$3:$S$78=$R205),T$3:T$78))</f>
        <v>11</v>
      </c>
      <c r="U205" s="329">
        <f ca="1">IF($R205="","",SUMPRODUCT(--(S$3:S$78=$R205)))</f>
        <v>7</v>
      </c>
      <c r="V205" s="329">
        <f t="shared" ref="V205:AC205" ca="1" si="123">IF(OR($U205="",$U205=0),"",SUMPRODUCT(--($S$3:$S$78=$R205),V$3:V$78))</f>
        <v>-9</v>
      </c>
      <c r="W205" s="365">
        <f t="shared" ca="1" si="123"/>
        <v>1</v>
      </c>
      <c r="X205" s="365">
        <f t="shared" ca="1" si="123"/>
        <v>5</v>
      </c>
      <c r="Y205" s="349">
        <f t="shared" ca="1" si="123"/>
        <v>11</v>
      </c>
      <c r="Z205" s="365">
        <f t="shared" ca="1" si="123"/>
        <v>5</v>
      </c>
      <c r="AA205" s="365">
        <f t="shared" ca="1" si="123"/>
        <v>0</v>
      </c>
      <c r="AB205" s="365">
        <f t="shared" ca="1" si="123"/>
        <v>0</v>
      </c>
      <c r="AC205" s="329">
        <f t="shared" ca="1" si="123"/>
        <v>8</v>
      </c>
    </row>
    <row r="206" spans="1:29" x14ac:dyDescent="0.25">
      <c r="A206" s="229"/>
      <c r="B206" s="233"/>
      <c r="C206" s="329" t="s">
        <v>33</v>
      </c>
      <c r="D206" s="329" t="str">
        <f ca="1">IF(OR($E206="",$E206=0),"",SUMPRODUCT(--($C$88:$C$163=$B205),D$88:D$163))</f>
        <v/>
      </c>
      <c r="E206" s="329">
        <f ca="1">IF($B205="","",SUMPRODUCT(--(C$88:C$163=$B205)))</f>
        <v>0</v>
      </c>
      <c r="F206" s="329" t="str">
        <f ca="1">IF(OR($E206="",$E206=0),"",SUMIF($C$88:$C$147,$B205,F$88:F$147))</f>
        <v/>
      </c>
      <c r="G206" s="365" t="str">
        <f t="shared" ref="G206:M206" ca="1" si="124">IF(OR($E206="",$E206=0),"",SUMPRODUCT(--($C$88:$C$163=$B205),G$88:G$163))</f>
        <v/>
      </c>
      <c r="H206" s="365" t="str">
        <f t="shared" ca="1" si="124"/>
        <v/>
      </c>
      <c r="I206" s="349" t="str">
        <f t="shared" ca="1" si="124"/>
        <v/>
      </c>
      <c r="J206" s="365" t="str">
        <f t="shared" ca="1" si="124"/>
        <v/>
      </c>
      <c r="K206" s="365" t="str">
        <f t="shared" ca="1" si="124"/>
        <v/>
      </c>
      <c r="L206" s="365" t="str">
        <f t="shared" ca="1" si="124"/>
        <v/>
      </c>
      <c r="M206" s="329" t="str">
        <f t="shared" ca="1" si="124"/>
        <v/>
      </c>
      <c r="Q206" s="229"/>
      <c r="R206" s="229"/>
      <c r="S206" s="329" t="s">
        <v>33</v>
      </c>
      <c r="T206" s="329">
        <f ca="1">IF(OR($U206="",$U206=0),"",SUMPRODUCT(--($S$88:$S$163=$R205),T$88:T$163))</f>
        <v>4</v>
      </c>
      <c r="U206" s="329">
        <f ca="1">IF($R205="","",SUMPRODUCT(--(S$88:S$163=$R205)))</f>
        <v>9</v>
      </c>
      <c r="V206" s="329">
        <f t="shared" ref="V206:AC206" ca="1" si="125">IF(OR($U206="",$U206=0),"",SUMPRODUCT(--($S$88:$S$163=$R205),V$88:V$163))</f>
        <v>-75</v>
      </c>
      <c r="W206" s="365">
        <f t="shared" ca="1" si="125"/>
        <v>0</v>
      </c>
      <c r="X206" s="365">
        <f t="shared" ca="1" si="125"/>
        <v>3</v>
      </c>
      <c r="Y206" s="349">
        <f t="shared" ca="1" si="125"/>
        <v>-4</v>
      </c>
      <c r="Z206" s="365">
        <f t="shared" ca="1" si="125"/>
        <v>3</v>
      </c>
      <c r="AA206" s="365">
        <f t="shared" ca="1" si="125"/>
        <v>0</v>
      </c>
      <c r="AB206" s="365">
        <f t="shared" ca="1" si="125"/>
        <v>4</v>
      </c>
      <c r="AC206" s="329">
        <f t="shared" ca="1" si="125"/>
        <v>5</v>
      </c>
    </row>
    <row r="207" spans="1:29" x14ac:dyDescent="0.25">
      <c r="A207" s="229"/>
      <c r="B207" s="233"/>
      <c r="C207" s="364" t="s">
        <v>19</v>
      </c>
      <c r="D207" s="364">
        <f ca="1">IF($B205="","",SUM(D205:D206))</f>
        <v>0</v>
      </c>
      <c r="E207" s="364">
        <f ca="1">IF($B205="","",SUM(E205:E206))</f>
        <v>0</v>
      </c>
      <c r="F207" s="364">
        <f ca="1">IF($B205="","",SUM(F205:F206))</f>
        <v>0</v>
      </c>
      <c r="G207" s="353">
        <f t="shared" ref="G207:L207" ca="1" si="126">IF($B205="","",SUM(G205,G206))</f>
        <v>0</v>
      </c>
      <c r="H207" s="353">
        <f t="shared" ca="1" si="126"/>
        <v>0</v>
      </c>
      <c r="I207" s="356">
        <f t="shared" ca="1" si="126"/>
        <v>0</v>
      </c>
      <c r="J207" s="353">
        <f t="shared" ca="1" si="126"/>
        <v>0</v>
      </c>
      <c r="K207" s="353">
        <f t="shared" ca="1" si="126"/>
        <v>0</v>
      </c>
      <c r="L207" s="353">
        <f t="shared" ca="1" si="126"/>
        <v>0</v>
      </c>
      <c r="M207" s="364">
        <f ca="1">IF($B205="","",SUM(M205:M206))</f>
        <v>0</v>
      </c>
      <c r="Q207" s="229"/>
      <c r="R207" s="229"/>
      <c r="S207" s="364" t="s">
        <v>19</v>
      </c>
      <c r="T207" s="364">
        <f ca="1">IF($R205="","",SUM(T205:T206))</f>
        <v>15</v>
      </c>
      <c r="U207" s="364">
        <f t="shared" ref="U207:AC207" ca="1" si="127">IF($R205="","",SUM(U205,U206))</f>
        <v>16</v>
      </c>
      <c r="V207" s="364">
        <f t="shared" ca="1" si="127"/>
        <v>-84</v>
      </c>
      <c r="W207" s="353">
        <f t="shared" ca="1" si="127"/>
        <v>1</v>
      </c>
      <c r="X207" s="353">
        <f t="shared" ca="1" si="127"/>
        <v>8</v>
      </c>
      <c r="Y207" s="356">
        <f t="shared" ca="1" si="127"/>
        <v>7</v>
      </c>
      <c r="Z207" s="353">
        <f t="shared" ca="1" si="127"/>
        <v>8</v>
      </c>
      <c r="AA207" s="353">
        <f t="shared" ca="1" si="127"/>
        <v>0</v>
      </c>
      <c r="AB207" s="353">
        <f t="shared" ca="1" si="127"/>
        <v>4</v>
      </c>
      <c r="AC207" s="364">
        <f t="shared" ca="1" si="127"/>
        <v>13</v>
      </c>
    </row>
    <row r="208" spans="1:29" x14ac:dyDescent="0.25">
      <c r="A208" s="229">
        <f>A205+1</f>
        <v>13</v>
      </c>
      <c r="B208" s="233" t="str">
        <f>IF(IGRF!B23="","",IGRF!B23)</f>
        <v>9</v>
      </c>
      <c r="C208" s="329" t="s">
        <v>17</v>
      </c>
      <c r="D208" s="329" t="str">
        <f ca="1">IF(OR($E208="",$E208=0),"",SUMPRODUCT(--($C$3:$C$78=$B208),D$3:D$78))</f>
        <v/>
      </c>
      <c r="E208" s="329">
        <f ca="1">IF($B208="","",SUMPRODUCT(--(C$3:C$78=$B208)))</f>
        <v>0</v>
      </c>
      <c r="F208" s="329" t="str">
        <f ca="1">IF(OR($E208="",$E208=0),"",SUMIF($C$3:$C$62,$B208,F$3:F$62))</f>
        <v/>
      </c>
      <c r="G208" s="365" t="str">
        <f t="shared" ref="G208:M208" ca="1" si="128">IF(OR($E208="",$E208=0),"",SUMPRODUCT(--($C$3:$C$78=$B208),G$3:G$78))</f>
        <v/>
      </c>
      <c r="H208" s="365" t="str">
        <f t="shared" ca="1" si="128"/>
        <v/>
      </c>
      <c r="I208" s="349" t="str">
        <f t="shared" ca="1" si="128"/>
        <v/>
      </c>
      <c r="J208" s="365" t="str">
        <f t="shared" ca="1" si="128"/>
        <v/>
      </c>
      <c r="K208" s="365" t="str">
        <f t="shared" ca="1" si="128"/>
        <v/>
      </c>
      <c r="L208" s="365" t="str">
        <f t="shared" ca="1" si="128"/>
        <v/>
      </c>
      <c r="M208" s="329" t="str">
        <f t="shared" ca="1" si="128"/>
        <v/>
      </c>
      <c r="Q208" s="229">
        <f>Q205+1</f>
        <v>13</v>
      </c>
      <c r="R208" s="229" t="str">
        <f>IF(IGRF!H23="","",IGRF!H23)</f>
        <v>9</v>
      </c>
      <c r="S208" s="329" t="s">
        <v>17</v>
      </c>
      <c r="T208" s="329">
        <f ca="1">IF(OR($U208="",$U208=0),"",SUMPRODUCT(--($S$3:$S$78=$R208),T$3:T$78))</f>
        <v>26</v>
      </c>
      <c r="U208" s="329">
        <f ca="1">IF($R208="","",SUMPRODUCT(--(S$3:S$78=$R208)))</f>
        <v>8</v>
      </c>
      <c r="V208" s="329">
        <f t="shared" ref="V208:AC208" ca="1" si="129">IF(OR($U208="",$U208=0),"",SUMPRODUCT(--($S$3:$S$78=$R208),V$3:V$78))</f>
        <v>-9</v>
      </c>
      <c r="W208" s="365">
        <f t="shared" ca="1" si="129"/>
        <v>0</v>
      </c>
      <c r="X208" s="365">
        <f t="shared" ca="1" si="129"/>
        <v>4</v>
      </c>
      <c r="Y208" s="349">
        <f t="shared" ca="1" si="129"/>
        <v>12</v>
      </c>
      <c r="Z208" s="365">
        <f t="shared" ca="1" si="129"/>
        <v>4</v>
      </c>
      <c r="AA208" s="365">
        <f t="shared" ca="1" si="129"/>
        <v>0</v>
      </c>
      <c r="AB208" s="365">
        <f t="shared" ca="1" si="129"/>
        <v>1</v>
      </c>
      <c r="AC208" s="329">
        <f t="shared" ca="1" si="129"/>
        <v>10</v>
      </c>
    </row>
    <row r="209" spans="1:29" x14ac:dyDescent="0.25">
      <c r="A209" s="229"/>
      <c r="B209" s="233"/>
      <c r="C209" s="329" t="s">
        <v>33</v>
      </c>
      <c r="D209" s="329" t="str">
        <f ca="1">IF(OR($E209="",$E209=0),"",SUMPRODUCT(--($C$88:$C$163=$B208),D$88:D$163))</f>
        <v/>
      </c>
      <c r="E209" s="329">
        <f ca="1">IF($B208="","",SUMPRODUCT(--(C$88:C$163=$B208)))</f>
        <v>0</v>
      </c>
      <c r="F209" s="329" t="str">
        <f ca="1">IF(OR($E209="",$E209=0),"",SUMIF($C$88:$C$147,$B208,F$88:F$147))</f>
        <v/>
      </c>
      <c r="G209" s="365" t="str">
        <f t="shared" ref="G209:M209" ca="1" si="130">IF(OR($E209="",$E209=0),"",SUMPRODUCT(--($C$88:$C$163=$B208),G$88:G$163))</f>
        <v/>
      </c>
      <c r="H209" s="365" t="str">
        <f t="shared" ca="1" si="130"/>
        <v/>
      </c>
      <c r="I209" s="349" t="str">
        <f t="shared" ca="1" si="130"/>
        <v/>
      </c>
      <c r="J209" s="365" t="str">
        <f t="shared" ca="1" si="130"/>
        <v/>
      </c>
      <c r="K209" s="365" t="str">
        <f t="shared" ca="1" si="130"/>
        <v/>
      </c>
      <c r="L209" s="365" t="str">
        <f t="shared" ca="1" si="130"/>
        <v/>
      </c>
      <c r="M209" s="329" t="str">
        <f t="shared" ca="1" si="130"/>
        <v/>
      </c>
      <c r="Q209" s="229"/>
      <c r="R209" s="229"/>
      <c r="S209" s="329" t="s">
        <v>33</v>
      </c>
      <c r="T209" s="329">
        <f ca="1">IF(OR($U209="",$U209=0),"",SUMPRODUCT(--($S$88:$S$163=$R208),T$88:T$163))</f>
        <v>0</v>
      </c>
      <c r="U209" s="329">
        <f ca="1">IF($R208="","",SUMPRODUCT(--(S$88:S$163=$R208)))</f>
        <v>1</v>
      </c>
      <c r="V209" s="329">
        <f t="shared" ref="V209:AC209" ca="1" si="131">IF(OR($U209="",$U209=0),"",SUMPRODUCT(--($S$88:$S$163=$R208),V$88:V$163))</f>
        <v>-4</v>
      </c>
      <c r="W209" s="365">
        <f t="shared" ca="1" si="131"/>
        <v>0</v>
      </c>
      <c r="X209" s="365">
        <f t="shared" ca="1" si="131"/>
        <v>0</v>
      </c>
      <c r="Y209" s="349">
        <f t="shared" ca="1" si="131"/>
        <v>0</v>
      </c>
      <c r="Z209" s="365">
        <f t="shared" ca="1" si="131"/>
        <v>0</v>
      </c>
      <c r="AA209" s="365">
        <f t="shared" ca="1" si="131"/>
        <v>0</v>
      </c>
      <c r="AB209" s="365">
        <f t="shared" ca="1" si="131"/>
        <v>0</v>
      </c>
      <c r="AC209" s="329">
        <f t="shared" ca="1" si="131"/>
        <v>1</v>
      </c>
    </row>
    <row r="210" spans="1:29" x14ac:dyDescent="0.25">
      <c r="A210" s="229"/>
      <c r="B210" s="233"/>
      <c r="C210" s="364" t="s">
        <v>19</v>
      </c>
      <c r="D210" s="364">
        <f ca="1">IF($B208="","",SUM(D208:D209))</f>
        <v>0</v>
      </c>
      <c r="E210" s="364">
        <f ca="1">IF($B208="","",SUM(E208:E209))</f>
        <v>0</v>
      </c>
      <c r="F210" s="364">
        <f ca="1">IF($B208="","",SUM(F208:F209))</f>
        <v>0</v>
      </c>
      <c r="G210" s="353">
        <f t="shared" ref="G210:L210" ca="1" si="132">IF($B208="","",SUM(G208,G209))</f>
        <v>0</v>
      </c>
      <c r="H210" s="353">
        <f t="shared" ca="1" si="132"/>
        <v>0</v>
      </c>
      <c r="I210" s="356">
        <f t="shared" ca="1" si="132"/>
        <v>0</v>
      </c>
      <c r="J210" s="353">
        <f t="shared" ca="1" si="132"/>
        <v>0</v>
      </c>
      <c r="K210" s="353">
        <f t="shared" ca="1" si="132"/>
        <v>0</v>
      </c>
      <c r="L210" s="353">
        <f t="shared" ca="1" si="132"/>
        <v>0</v>
      </c>
      <c r="M210" s="364">
        <f ca="1">IF($B208="","",SUM(M208:M209))</f>
        <v>0</v>
      </c>
      <c r="Q210" s="229"/>
      <c r="R210" s="229"/>
      <c r="S210" s="364" t="s">
        <v>19</v>
      </c>
      <c r="T210" s="364">
        <f ca="1">IF($R208="","",SUM(T208:T209))</f>
        <v>26</v>
      </c>
      <c r="U210" s="364">
        <f t="shared" ref="U210:AC210" ca="1" si="133">IF($R208="","",SUM(U208,U209))</f>
        <v>9</v>
      </c>
      <c r="V210" s="364">
        <f t="shared" ca="1" si="133"/>
        <v>-13</v>
      </c>
      <c r="W210" s="353">
        <f t="shared" ca="1" si="133"/>
        <v>0</v>
      </c>
      <c r="X210" s="353">
        <f t="shared" ca="1" si="133"/>
        <v>4</v>
      </c>
      <c r="Y210" s="356">
        <f t="shared" ca="1" si="133"/>
        <v>12</v>
      </c>
      <c r="Z210" s="353">
        <f t="shared" ca="1" si="133"/>
        <v>4</v>
      </c>
      <c r="AA210" s="353">
        <f t="shared" ca="1" si="133"/>
        <v>0</v>
      </c>
      <c r="AB210" s="353">
        <f t="shared" ca="1" si="133"/>
        <v>1</v>
      </c>
      <c r="AC210" s="364">
        <f t="shared" ca="1" si="133"/>
        <v>11</v>
      </c>
    </row>
    <row r="211" spans="1:29" x14ac:dyDescent="0.25">
      <c r="A211" s="229">
        <f>A208+1</f>
        <v>14</v>
      </c>
      <c r="B211" s="233" t="str">
        <f>IF(IGRF!B24="","",IGRF!B24)</f>
        <v>911</v>
      </c>
      <c r="C211" s="329" t="s">
        <v>17</v>
      </c>
      <c r="D211" s="329">
        <f ca="1">IF(OR($E211="",$E211=0),"",SUMPRODUCT(--($C$3:$C$78=$B211),D$3:D$78))</f>
        <v>21</v>
      </c>
      <c r="E211" s="329">
        <f ca="1">IF($B211="","",SUMPRODUCT(--(C$3:C$78=$B211)))</f>
        <v>7</v>
      </c>
      <c r="F211" s="329">
        <f ca="1">IF(OR($E211="",$E211=0),"",SUMIF($C$3:$C$62,$B211,F$3:F$62))</f>
        <v>0</v>
      </c>
      <c r="G211" s="365">
        <f t="shared" ref="G211:M211" ca="1" si="134">IF(OR($E211="",$E211=0),"",SUMPRODUCT(--($C$3:$C$78=$B211),G$3:G$78))</f>
        <v>3</v>
      </c>
      <c r="H211" s="365">
        <f t="shared" ca="1" si="134"/>
        <v>1</v>
      </c>
      <c r="I211" s="349">
        <f t="shared" ca="1" si="134"/>
        <v>20</v>
      </c>
      <c r="J211" s="365">
        <f t="shared" ca="1" si="134"/>
        <v>0</v>
      </c>
      <c r="K211" s="365">
        <f t="shared" ca="1" si="134"/>
        <v>0</v>
      </c>
      <c r="L211" s="365">
        <f t="shared" ca="1" si="134"/>
        <v>3</v>
      </c>
      <c r="M211" s="329">
        <f t="shared" ca="1" si="134"/>
        <v>8</v>
      </c>
      <c r="Q211" s="229">
        <f>Q208+1</f>
        <v>14</v>
      </c>
      <c r="R211" s="229" t="str">
        <f>IF(IGRF!H24="","",IGRF!H24)</f>
        <v>93</v>
      </c>
      <c r="S211" s="329" t="s">
        <v>17</v>
      </c>
      <c r="T211" s="329" t="str">
        <f ca="1">IF(OR($U211="",$U211=0),"",SUMPRODUCT(--($S$3:$S$78=$R211),T$3:T$78))</f>
        <v/>
      </c>
      <c r="U211" s="329">
        <f ca="1">IF($R211="","",SUMPRODUCT(--(S$3:S$78=$R211)))</f>
        <v>0</v>
      </c>
      <c r="V211" s="329" t="str">
        <f t="shared" ref="V211:AC211" ca="1" si="135">IF(OR($U211="",$U211=0),"",SUMPRODUCT(--($S$3:$S$78=$R211),V$3:V$78))</f>
        <v/>
      </c>
      <c r="W211" s="365" t="str">
        <f t="shared" ca="1" si="135"/>
        <v/>
      </c>
      <c r="X211" s="365" t="str">
        <f t="shared" ca="1" si="135"/>
        <v/>
      </c>
      <c r="Y211" s="349" t="str">
        <f t="shared" ca="1" si="135"/>
        <v/>
      </c>
      <c r="Z211" s="365" t="str">
        <f t="shared" ca="1" si="135"/>
        <v/>
      </c>
      <c r="AA211" s="365" t="str">
        <f t="shared" ca="1" si="135"/>
        <v/>
      </c>
      <c r="AB211" s="365" t="str">
        <f t="shared" ca="1" si="135"/>
        <v/>
      </c>
      <c r="AC211" s="329" t="str">
        <f t="shared" ca="1" si="135"/>
        <v/>
      </c>
    </row>
    <row r="212" spans="1:29" x14ac:dyDescent="0.25">
      <c r="A212" s="229"/>
      <c r="B212" s="233"/>
      <c r="C212" s="329" t="s">
        <v>33</v>
      </c>
      <c r="D212" s="329">
        <f ca="1">IF(OR($E212="",$E212=0),"",SUMPRODUCT(--($C$88:$C$163=$B211),D$88:D$163))</f>
        <v>54</v>
      </c>
      <c r="E212" s="329">
        <f ca="1">IF($B211="","",SUMPRODUCT(--(C$88:C$163=$B211)))</f>
        <v>7</v>
      </c>
      <c r="F212" s="329">
        <f ca="1">IF(OR($E212="",$E212=0),"",SUMIF($C$88:$C$147,$B211,F$88:F$147))</f>
        <v>51</v>
      </c>
      <c r="G212" s="365">
        <f t="shared" ref="G212:M212" ca="1" si="136">IF(OR($E212="",$E212=0),"",SUMPRODUCT(--($C$88:$C$163=$B211),G$88:G$163))</f>
        <v>0</v>
      </c>
      <c r="H212" s="365">
        <f t="shared" ca="1" si="136"/>
        <v>6</v>
      </c>
      <c r="I212" s="349">
        <f t="shared" ca="1" si="136"/>
        <v>50</v>
      </c>
      <c r="J212" s="365">
        <f t="shared" ca="1" si="136"/>
        <v>6</v>
      </c>
      <c r="K212" s="365">
        <f t="shared" ca="1" si="136"/>
        <v>0</v>
      </c>
      <c r="L212" s="365">
        <f t="shared" ca="1" si="136"/>
        <v>0</v>
      </c>
      <c r="M212" s="329">
        <f t="shared" ca="1" si="136"/>
        <v>13</v>
      </c>
      <c r="Q212" s="229"/>
      <c r="R212" s="229"/>
      <c r="S212" s="329" t="s">
        <v>33</v>
      </c>
      <c r="T212" s="329" t="str">
        <f ca="1">IF(OR($U212="",$U212=0),"",SUMPRODUCT(--($S$88:$S$163=$R211),T$88:T$163))</f>
        <v/>
      </c>
      <c r="U212" s="329">
        <f ca="1">IF($R211="","",SUMPRODUCT(--(S$88:S$163=$R211)))</f>
        <v>0</v>
      </c>
      <c r="V212" s="329" t="str">
        <f t="shared" ref="V212:AC212" ca="1" si="137">IF(OR($U212="",$U212=0),"",SUMPRODUCT(--($S$88:$S$163=$R211),V$88:V$163))</f>
        <v/>
      </c>
      <c r="W212" s="365" t="str">
        <f t="shared" ca="1" si="137"/>
        <v/>
      </c>
      <c r="X212" s="365" t="str">
        <f t="shared" ca="1" si="137"/>
        <v/>
      </c>
      <c r="Y212" s="349" t="str">
        <f t="shared" ca="1" si="137"/>
        <v/>
      </c>
      <c r="Z212" s="365" t="str">
        <f t="shared" ca="1" si="137"/>
        <v/>
      </c>
      <c r="AA212" s="365" t="str">
        <f t="shared" ca="1" si="137"/>
        <v/>
      </c>
      <c r="AB212" s="365" t="str">
        <f t="shared" ca="1" si="137"/>
        <v/>
      </c>
      <c r="AC212" s="329" t="str">
        <f t="shared" ca="1" si="137"/>
        <v/>
      </c>
    </row>
    <row r="213" spans="1:29" x14ac:dyDescent="0.25">
      <c r="A213" s="229"/>
      <c r="B213" s="233"/>
      <c r="C213" s="364" t="s">
        <v>19</v>
      </c>
      <c r="D213" s="364">
        <f ca="1">IF($B211="","",SUM(D211:D212))</f>
        <v>75</v>
      </c>
      <c r="E213" s="364">
        <f ca="1">IF($B211="","",SUM(E211:E212))</f>
        <v>14</v>
      </c>
      <c r="F213" s="364">
        <f ca="1">IF($B211="","",SUM(F211:F212))</f>
        <v>51</v>
      </c>
      <c r="G213" s="353">
        <f t="shared" ref="G213:L213" ca="1" si="138">IF($B211="","",SUM(G211,G212))</f>
        <v>3</v>
      </c>
      <c r="H213" s="353">
        <f t="shared" ca="1" si="138"/>
        <v>7</v>
      </c>
      <c r="I213" s="356">
        <f t="shared" ca="1" si="138"/>
        <v>70</v>
      </c>
      <c r="J213" s="353">
        <f t="shared" ca="1" si="138"/>
        <v>6</v>
      </c>
      <c r="K213" s="353">
        <f t="shared" ca="1" si="138"/>
        <v>0</v>
      </c>
      <c r="L213" s="353">
        <f t="shared" ca="1" si="138"/>
        <v>3</v>
      </c>
      <c r="M213" s="364">
        <f ca="1">IF($B211="","",SUM(M211:M212))</f>
        <v>21</v>
      </c>
      <c r="Q213" s="229"/>
      <c r="R213" s="229"/>
      <c r="S213" s="364" t="s">
        <v>19</v>
      </c>
      <c r="T213" s="364">
        <f ca="1">IF($R211="","",SUM(T211:T212))</f>
        <v>0</v>
      </c>
      <c r="U213" s="364">
        <f t="shared" ref="U213:AC213" ca="1" si="139">IF($R211="","",SUM(U211,U212))</f>
        <v>0</v>
      </c>
      <c r="V213" s="364">
        <f t="shared" ca="1" si="139"/>
        <v>0</v>
      </c>
      <c r="W213" s="353">
        <f t="shared" ca="1" si="139"/>
        <v>0</v>
      </c>
      <c r="X213" s="353">
        <f t="shared" ca="1" si="139"/>
        <v>0</v>
      </c>
      <c r="Y213" s="356">
        <f t="shared" ca="1" si="139"/>
        <v>0</v>
      </c>
      <c r="Z213" s="353">
        <f t="shared" ca="1" si="139"/>
        <v>0</v>
      </c>
      <c r="AA213" s="353">
        <f t="shared" ca="1" si="139"/>
        <v>0</v>
      </c>
      <c r="AB213" s="353">
        <f t="shared" ca="1" si="139"/>
        <v>0</v>
      </c>
      <c r="AC213" s="364">
        <f t="shared" ca="1" si="139"/>
        <v>0</v>
      </c>
    </row>
    <row r="214" spans="1:29" x14ac:dyDescent="0.25">
      <c r="A214" s="229">
        <f>A211+1</f>
        <v>15</v>
      </c>
      <c r="B214" s="233" t="str">
        <f>IF(IGRF!B25="","",IGRF!B25)</f>
        <v>0</v>
      </c>
      <c r="C214" s="329" t="s">
        <v>17</v>
      </c>
      <c r="D214" s="329" t="str">
        <f ca="1">IF(OR($E214="",$E214=0),"",SUMPRODUCT(--($C$3:$C$78=$B214),D$3:D$78))</f>
        <v/>
      </c>
      <c r="E214" s="329">
        <f ca="1">IF($B214="","",SUMPRODUCT(--(C$3:C$78=$B214)))</f>
        <v>0</v>
      </c>
      <c r="F214" s="329" t="str">
        <f ca="1">IF(OR($E214="",$E214=0),"",SUMIF($C$3:$C$62,$B214,F$3:F$62))</f>
        <v/>
      </c>
      <c r="G214" s="365" t="str">
        <f t="shared" ref="G214:M214" ca="1" si="140">IF(OR($E214="",$E214=0),"",SUMPRODUCT(--($C$3:$C$78=$B214),G$3:G$78))</f>
        <v/>
      </c>
      <c r="H214" s="365" t="str">
        <f t="shared" ca="1" si="140"/>
        <v/>
      </c>
      <c r="I214" s="349" t="str">
        <f t="shared" ca="1" si="140"/>
        <v/>
      </c>
      <c r="J214" s="365" t="str">
        <f t="shared" ca="1" si="140"/>
        <v/>
      </c>
      <c r="K214" s="365" t="str">
        <f t="shared" ca="1" si="140"/>
        <v/>
      </c>
      <c r="L214" s="365" t="str">
        <f t="shared" ca="1" si="140"/>
        <v/>
      </c>
      <c r="M214" s="329" t="str">
        <f t="shared" ca="1" si="140"/>
        <v/>
      </c>
      <c r="Q214" s="229">
        <f>Q211+1</f>
        <v>15</v>
      </c>
      <c r="R214" s="229" t="str">
        <f>IF(IGRF!H25="","",IGRF!H25)</f>
        <v/>
      </c>
      <c r="S214" s="329" t="s">
        <v>17</v>
      </c>
      <c r="T214" s="329" t="str">
        <f>IF(OR($U214="",$U214=0),"",SUMPRODUCT(--($S$3:$S$78=$R214),T$3:T$78))</f>
        <v/>
      </c>
      <c r="U214" s="329" t="str">
        <f>IF($R214="","",SUMPRODUCT(--(S$3:S$78=$R214)))</f>
        <v/>
      </c>
      <c r="V214" s="329" t="str">
        <f t="shared" ref="V214:AC214" si="141">IF(OR($U214="",$U214=0),"",SUMPRODUCT(--($S$3:$S$78=$R214),V$3:V$78))</f>
        <v/>
      </c>
      <c r="W214" s="365" t="str">
        <f t="shared" si="141"/>
        <v/>
      </c>
      <c r="X214" s="365" t="str">
        <f t="shared" si="141"/>
        <v/>
      </c>
      <c r="Y214" s="349" t="str">
        <f t="shared" si="141"/>
        <v/>
      </c>
      <c r="Z214" s="365" t="str">
        <f t="shared" si="141"/>
        <v/>
      </c>
      <c r="AA214" s="365" t="str">
        <f t="shared" si="141"/>
        <v/>
      </c>
      <c r="AB214" s="365" t="str">
        <f t="shared" si="141"/>
        <v/>
      </c>
      <c r="AC214" s="329" t="str">
        <f t="shared" si="141"/>
        <v/>
      </c>
    </row>
    <row r="215" spans="1:29" x14ac:dyDescent="0.25">
      <c r="A215" s="229"/>
      <c r="B215" s="233"/>
      <c r="C215" s="329" t="s">
        <v>33</v>
      </c>
      <c r="D215" s="329" t="str">
        <f ca="1">IF(OR($E215="",$E215=0),"",SUMPRODUCT(--($C$88:$C$163=$B214),D$88:D$163))</f>
        <v/>
      </c>
      <c r="E215" s="329">
        <f ca="1">IF($B214="","",SUMPRODUCT(--(C$88:C$163=$B214)))</f>
        <v>0</v>
      </c>
      <c r="F215" s="329" t="str">
        <f ca="1">IF(OR($E215="",$E215=0),"",SUMIF($C$88:$C$147,$B214,F$88:F$147))</f>
        <v/>
      </c>
      <c r="G215" s="365" t="str">
        <f t="shared" ref="G215:M215" ca="1" si="142">IF(OR($E215="",$E215=0),"",SUMPRODUCT(--($C$88:$C$163=$B214),G$88:G$163))</f>
        <v/>
      </c>
      <c r="H215" s="365" t="str">
        <f t="shared" ca="1" si="142"/>
        <v/>
      </c>
      <c r="I215" s="349" t="str">
        <f t="shared" ca="1" si="142"/>
        <v/>
      </c>
      <c r="J215" s="365" t="str">
        <f t="shared" ca="1" si="142"/>
        <v/>
      </c>
      <c r="K215" s="365" t="str">
        <f t="shared" ca="1" si="142"/>
        <v/>
      </c>
      <c r="L215" s="365" t="str">
        <f t="shared" ca="1" si="142"/>
        <v/>
      </c>
      <c r="M215" s="329" t="str">
        <f t="shared" ca="1" si="142"/>
        <v/>
      </c>
      <c r="Q215" s="229"/>
      <c r="R215" s="229"/>
      <c r="S215" s="329" t="s">
        <v>33</v>
      </c>
      <c r="T215" s="329" t="str">
        <f>IF(OR($U215="",$U215=0),"",SUMPRODUCT(--($S$88:$S$163=$R214),T$88:T$163))</f>
        <v/>
      </c>
      <c r="U215" s="329" t="str">
        <f>IF($R214="","",SUMPRODUCT(--(S$88:S$163=$R214)))</f>
        <v/>
      </c>
      <c r="V215" s="329" t="str">
        <f t="shared" ref="V215:AC215" si="143">IF(OR($U215="",$U215=0),"",SUMPRODUCT(--($S$88:$S$163=$R214),V$88:V$163))</f>
        <v/>
      </c>
      <c r="W215" s="365" t="str">
        <f t="shared" si="143"/>
        <v/>
      </c>
      <c r="X215" s="365" t="str">
        <f t="shared" si="143"/>
        <v/>
      </c>
      <c r="Y215" s="349" t="str">
        <f t="shared" si="143"/>
        <v/>
      </c>
      <c r="Z215" s="365" t="str">
        <f t="shared" si="143"/>
        <v/>
      </c>
      <c r="AA215" s="365" t="str">
        <f t="shared" si="143"/>
        <v/>
      </c>
      <c r="AB215" s="365" t="str">
        <f t="shared" si="143"/>
        <v/>
      </c>
      <c r="AC215" s="329" t="str">
        <f t="shared" si="143"/>
        <v/>
      </c>
    </row>
    <row r="216" spans="1:29" x14ac:dyDescent="0.25">
      <c r="A216" s="229"/>
      <c r="B216" s="233"/>
      <c r="C216" s="364" t="s">
        <v>19</v>
      </c>
      <c r="D216" s="364">
        <f ca="1">IF($B214="","",SUM(D214:D215))</f>
        <v>0</v>
      </c>
      <c r="E216" s="364">
        <f ca="1">IF($B214="","",SUM(E214:E215))</f>
        <v>0</v>
      </c>
      <c r="F216" s="364">
        <f ca="1">IF($B214="","",SUM(F214:F215))</f>
        <v>0</v>
      </c>
      <c r="G216" s="353">
        <f t="shared" ref="G216:L216" ca="1" si="144">IF($B214="","",SUM(G214,G215))</f>
        <v>0</v>
      </c>
      <c r="H216" s="353">
        <f t="shared" ca="1" si="144"/>
        <v>0</v>
      </c>
      <c r="I216" s="356">
        <f t="shared" ca="1" si="144"/>
        <v>0</v>
      </c>
      <c r="J216" s="353">
        <f t="shared" ca="1" si="144"/>
        <v>0</v>
      </c>
      <c r="K216" s="353">
        <f t="shared" ca="1" si="144"/>
        <v>0</v>
      </c>
      <c r="L216" s="353">
        <f t="shared" ca="1" si="144"/>
        <v>0</v>
      </c>
      <c r="M216" s="364">
        <f ca="1">IF($B214="","",SUM(M214:M215))</f>
        <v>0</v>
      </c>
      <c r="Q216" s="229"/>
      <c r="R216" s="229"/>
      <c r="S216" s="364" t="s">
        <v>19</v>
      </c>
      <c r="T216" s="364" t="str">
        <f>IF($R214="","",SUM(T214:T215))</f>
        <v/>
      </c>
      <c r="U216" s="364" t="str">
        <f t="shared" ref="U216:AC216" si="145">IF($R214="","",SUM(U214,U215))</f>
        <v/>
      </c>
      <c r="V216" s="364" t="str">
        <f t="shared" si="145"/>
        <v/>
      </c>
      <c r="W216" s="353" t="str">
        <f t="shared" si="145"/>
        <v/>
      </c>
      <c r="X216" s="353" t="str">
        <f t="shared" si="145"/>
        <v/>
      </c>
      <c r="Y216" s="356" t="str">
        <f t="shared" si="145"/>
        <v/>
      </c>
      <c r="Z216" s="353" t="str">
        <f t="shared" si="145"/>
        <v/>
      </c>
      <c r="AA216" s="353" t="str">
        <f t="shared" si="145"/>
        <v/>
      </c>
      <c r="AB216" s="353" t="str">
        <f t="shared" si="145"/>
        <v/>
      </c>
      <c r="AC216" s="364" t="str">
        <f t="shared" si="145"/>
        <v/>
      </c>
    </row>
    <row r="217" spans="1:29" x14ac:dyDescent="0.25">
      <c r="A217" s="229">
        <f>A214+1</f>
        <v>16</v>
      </c>
      <c r="B217" s="233" t="str">
        <f>IF(IGRF!B26="","",IGRF!B26)</f>
        <v>88</v>
      </c>
      <c r="C217" s="329" t="s">
        <v>17</v>
      </c>
      <c r="D217" s="329" t="str">
        <f ca="1">IF(OR($E217="",$E217=0),"",SUMPRODUCT(--($C$3:$C$78=$B217),D$3:D$78))</f>
        <v/>
      </c>
      <c r="E217" s="329">
        <f ca="1">IF($B217="","",SUMPRODUCT(--(C$3:C$78=$B217)))</f>
        <v>0</v>
      </c>
      <c r="F217" s="329" t="str">
        <f ca="1">IF(OR($E217="",$E217=0),"",SUMIF($C$3:$C$62,$B217,F$3:F$62))</f>
        <v/>
      </c>
      <c r="G217" s="365" t="str">
        <f t="shared" ref="G217:M217" ca="1" si="146">IF(OR($E217="",$E217=0),"",SUMPRODUCT(--($C$3:$C$78=$B217),G$3:G$78))</f>
        <v/>
      </c>
      <c r="H217" s="365" t="str">
        <f t="shared" ca="1" si="146"/>
        <v/>
      </c>
      <c r="I217" s="349" t="str">
        <f t="shared" ca="1" si="146"/>
        <v/>
      </c>
      <c r="J217" s="365" t="str">
        <f t="shared" ca="1" si="146"/>
        <v/>
      </c>
      <c r="K217" s="365" t="str">
        <f t="shared" ca="1" si="146"/>
        <v/>
      </c>
      <c r="L217" s="365" t="str">
        <f t="shared" ca="1" si="146"/>
        <v/>
      </c>
      <c r="M217" s="329" t="str">
        <f t="shared" ca="1" si="146"/>
        <v/>
      </c>
      <c r="Q217" s="229">
        <f>Q214+1</f>
        <v>16</v>
      </c>
      <c r="R217" s="229" t="str">
        <f>IF(IGRF!H26="","",IGRF!H26)</f>
        <v/>
      </c>
      <c r="S217" s="329" t="s">
        <v>17</v>
      </c>
      <c r="T217" s="329" t="str">
        <f>IF(OR($U217="",$U217=0),"",SUMPRODUCT(--($S$3:$S$78=$R217),T$3:T$78))</f>
        <v/>
      </c>
      <c r="U217" s="329" t="str">
        <f>IF($R217="","",SUMPRODUCT(--(S$3:S$78=$R217)))</f>
        <v/>
      </c>
      <c r="V217" s="329" t="str">
        <f t="shared" ref="V217:AC217" si="147">IF(OR($U217="",$U217=0),"",SUMPRODUCT(--($S$3:$S$78=$R217),V$3:V$78))</f>
        <v/>
      </c>
      <c r="W217" s="365" t="str">
        <f t="shared" si="147"/>
        <v/>
      </c>
      <c r="X217" s="365" t="str">
        <f t="shared" si="147"/>
        <v/>
      </c>
      <c r="Y217" s="349" t="str">
        <f t="shared" si="147"/>
        <v/>
      </c>
      <c r="Z217" s="365" t="str">
        <f t="shared" si="147"/>
        <v/>
      </c>
      <c r="AA217" s="365" t="str">
        <f t="shared" si="147"/>
        <v/>
      </c>
      <c r="AB217" s="365" t="str">
        <f t="shared" si="147"/>
        <v/>
      </c>
      <c r="AC217" s="329" t="str">
        <f t="shared" si="147"/>
        <v/>
      </c>
    </row>
    <row r="218" spans="1:29" x14ac:dyDescent="0.25">
      <c r="A218" s="229"/>
      <c r="B218" s="233"/>
      <c r="C218" s="329" t="s">
        <v>33</v>
      </c>
      <c r="D218" s="329" t="str">
        <f ca="1">IF(OR($E218="",$E218=0),"",SUMPRODUCT(--($C$88:$C$163=$B217),D$88:D$163))</f>
        <v/>
      </c>
      <c r="E218" s="329">
        <f ca="1">IF($B217="","",SUMPRODUCT(--(C$88:C$163=$B217)))</f>
        <v>0</v>
      </c>
      <c r="F218" s="329" t="str">
        <f ca="1">IF(OR($E218="",$E218=0),"",SUMIF($C$88:$C$147,$B217,F$88:F$147))</f>
        <v/>
      </c>
      <c r="G218" s="365" t="str">
        <f t="shared" ref="G218:M218" ca="1" si="148">IF(OR($E218="",$E218=0),"",SUMPRODUCT(--($C$88:$C$163=$B217),G$88:G$163))</f>
        <v/>
      </c>
      <c r="H218" s="365" t="str">
        <f t="shared" ca="1" si="148"/>
        <v/>
      </c>
      <c r="I218" s="349" t="str">
        <f t="shared" ca="1" si="148"/>
        <v/>
      </c>
      <c r="J218" s="365" t="str">
        <f t="shared" ca="1" si="148"/>
        <v/>
      </c>
      <c r="K218" s="365" t="str">
        <f t="shared" ca="1" si="148"/>
        <v/>
      </c>
      <c r="L218" s="365" t="str">
        <f t="shared" ca="1" si="148"/>
        <v/>
      </c>
      <c r="M218" s="329" t="str">
        <f t="shared" ca="1" si="148"/>
        <v/>
      </c>
      <c r="Q218" s="229"/>
      <c r="R218" s="229"/>
      <c r="S218" s="329" t="s">
        <v>33</v>
      </c>
      <c r="T218" s="329" t="str">
        <f>IF(OR($U218="",$U218=0),"",SUMPRODUCT(--($S$88:$S$163=$R217),T$88:T$163))</f>
        <v/>
      </c>
      <c r="U218" s="329" t="str">
        <f>IF($R217="","",SUMPRODUCT(--(S$88:S$163=$R217)))</f>
        <v/>
      </c>
      <c r="V218" s="329" t="str">
        <f t="shared" ref="V218:AC218" si="149">IF(OR($U218="",$U218=0),"",SUMPRODUCT(--($S$88:$S$163=$R217),V$88:V$163))</f>
        <v/>
      </c>
      <c r="W218" s="365" t="str">
        <f t="shared" si="149"/>
        <v/>
      </c>
      <c r="X218" s="365" t="str">
        <f t="shared" si="149"/>
        <v/>
      </c>
      <c r="Y218" s="349" t="str">
        <f t="shared" si="149"/>
        <v/>
      </c>
      <c r="Z218" s="365" t="str">
        <f t="shared" si="149"/>
        <v/>
      </c>
      <c r="AA218" s="365" t="str">
        <f t="shared" si="149"/>
        <v/>
      </c>
      <c r="AB218" s="365" t="str">
        <f t="shared" si="149"/>
        <v/>
      </c>
      <c r="AC218" s="329" t="str">
        <f t="shared" si="149"/>
        <v/>
      </c>
    </row>
    <row r="219" spans="1:29" x14ac:dyDescent="0.25">
      <c r="A219" s="229"/>
      <c r="B219" s="233"/>
      <c r="C219" s="364" t="s">
        <v>19</v>
      </c>
      <c r="D219" s="364">
        <f ca="1">IF($B217="","",SUM(D217:D218))</f>
        <v>0</v>
      </c>
      <c r="E219" s="364">
        <f ca="1">IF($B217="","",SUM(E217:E218))</f>
        <v>0</v>
      </c>
      <c r="F219" s="364">
        <f ca="1">IF($B217="","",SUM(F217:F218))</f>
        <v>0</v>
      </c>
      <c r="G219" s="353">
        <f t="shared" ref="G219:L219" ca="1" si="150">IF($B217="","",SUM(G217,G218))</f>
        <v>0</v>
      </c>
      <c r="H219" s="353">
        <f t="shared" ca="1" si="150"/>
        <v>0</v>
      </c>
      <c r="I219" s="356">
        <f t="shared" ca="1" si="150"/>
        <v>0</v>
      </c>
      <c r="J219" s="353">
        <f t="shared" ca="1" si="150"/>
        <v>0</v>
      </c>
      <c r="K219" s="353">
        <f t="shared" ca="1" si="150"/>
        <v>0</v>
      </c>
      <c r="L219" s="353">
        <f t="shared" ca="1" si="150"/>
        <v>0</v>
      </c>
      <c r="M219" s="364">
        <f ca="1">IF($B217="","",SUM(M217:M218))</f>
        <v>0</v>
      </c>
      <c r="Q219" s="229"/>
      <c r="R219" s="229"/>
      <c r="S219" s="364" t="s">
        <v>19</v>
      </c>
      <c r="T219" s="364" t="str">
        <f>IF($R217="","",SUM(T217:T218))</f>
        <v/>
      </c>
      <c r="U219" s="364" t="str">
        <f t="shared" ref="U219:AC219" si="151">IF($R217="","",SUM(U217,U218))</f>
        <v/>
      </c>
      <c r="V219" s="364" t="str">
        <f t="shared" si="151"/>
        <v/>
      </c>
      <c r="W219" s="353" t="str">
        <f t="shared" si="151"/>
        <v/>
      </c>
      <c r="X219" s="353" t="str">
        <f t="shared" si="151"/>
        <v/>
      </c>
      <c r="Y219" s="356" t="str">
        <f t="shared" si="151"/>
        <v/>
      </c>
      <c r="Z219" s="353" t="str">
        <f t="shared" si="151"/>
        <v/>
      </c>
      <c r="AA219" s="353" t="str">
        <f t="shared" si="151"/>
        <v/>
      </c>
      <c r="AB219" s="353" t="str">
        <f t="shared" si="151"/>
        <v/>
      </c>
      <c r="AC219" s="364" t="str">
        <f t="shared" si="151"/>
        <v/>
      </c>
    </row>
    <row r="220" spans="1:29" x14ac:dyDescent="0.25">
      <c r="A220" s="229">
        <f>A217+1</f>
        <v>17</v>
      </c>
      <c r="B220" s="233" t="str">
        <f>IF(IGRF!B27="","",IGRF!B27)</f>
        <v/>
      </c>
      <c r="C220" s="329" t="s">
        <v>17</v>
      </c>
      <c r="D220" s="329" t="str">
        <f>IF(OR($E220="",$E220=0),"",SUMPRODUCT(--($C$3:$C$78=$B220),D$3:D$78))</f>
        <v/>
      </c>
      <c r="E220" s="329" t="str">
        <f>IF($B220="","",SUMPRODUCT(--(C$3:C$78=$B220)))</f>
        <v/>
      </c>
      <c r="F220" s="329" t="str">
        <f>IF(OR($E220="",$E220=0),"",SUMIF($C$3:$C$62,$B220,F$3:F$62))</f>
        <v/>
      </c>
      <c r="G220" s="365" t="str">
        <f t="shared" ref="G220:M220" si="152">IF(OR($E220="",$E220=0),"",SUMPRODUCT(--($C$3:$C$78=$B220),G$3:G$78))</f>
        <v/>
      </c>
      <c r="H220" s="365" t="str">
        <f t="shared" si="152"/>
        <v/>
      </c>
      <c r="I220" s="349" t="str">
        <f t="shared" si="152"/>
        <v/>
      </c>
      <c r="J220" s="365" t="str">
        <f t="shared" si="152"/>
        <v/>
      </c>
      <c r="K220" s="365" t="str">
        <f t="shared" si="152"/>
        <v/>
      </c>
      <c r="L220" s="365" t="str">
        <f t="shared" si="152"/>
        <v/>
      </c>
      <c r="M220" s="329" t="str">
        <f t="shared" si="152"/>
        <v/>
      </c>
      <c r="Q220" s="229">
        <f>Q217+1</f>
        <v>17</v>
      </c>
      <c r="R220" s="229" t="str">
        <f>IF(IGRF!H27="","",IGRF!H27)</f>
        <v/>
      </c>
      <c r="S220" s="329" t="s">
        <v>17</v>
      </c>
      <c r="T220" s="329" t="str">
        <f>IF(OR($U220="",$U220=0),"",SUMPRODUCT(--($S$3:$S$78=$R220),T$3:T$78))</f>
        <v/>
      </c>
      <c r="U220" s="329" t="str">
        <f>IF($R220="","",SUMPRODUCT(--(S$3:S$78=$R220)))</f>
        <v/>
      </c>
      <c r="V220" s="329" t="str">
        <f t="shared" ref="V220:AC220" si="153">IF(OR($U220="",$U220=0),"",SUMPRODUCT(--($S$3:$S$78=$R220),V$3:V$78))</f>
        <v/>
      </c>
      <c r="W220" s="365" t="str">
        <f t="shared" si="153"/>
        <v/>
      </c>
      <c r="X220" s="365" t="str">
        <f t="shared" si="153"/>
        <v/>
      </c>
      <c r="Y220" s="349" t="str">
        <f t="shared" si="153"/>
        <v/>
      </c>
      <c r="Z220" s="365" t="str">
        <f t="shared" si="153"/>
        <v/>
      </c>
      <c r="AA220" s="365" t="str">
        <f t="shared" si="153"/>
        <v/>
      </c>
      <c r="AB220" s="365" t="str">
        <f t="shared" si="153"/>
        <v/>
      </c>
      <c r="AC220" s="329" t="str">
        <f t="shared" si="153"/>
        <v/>
      </c>
    </row>
    <row r="221" spans="1:29" x14ac:dyDescent="0.25">
      <c r="A221" s="229"/>
      <c r="B221" s="233"/>
      <c r="C221" s="329" t="s">
        <v>33</v>
      </c>
      <c r="D221" s="329" t="str">
        <f>IF(OR($E221="",$E221=0),"",SUMPRODUCT(--($C$88:$C$163=$B220),D$88:D$163))</f>
        <v/>
      </c>
      <c r="E221" s="329" t="str">
        <f>IF($B220="","",SUMPRODUCT(--(C$88:C$163=$B220)))</f>
        <v/>
      </c>
      <c r="F221" s="329" t="str">
        <f>IF(OR($E221="",$E221=0),"",SUMIF($C$88:$C$147,$B220,F$88:F$147))</f>
        <v/>
      </c>
      <c r="G221" s="365" t="str">
        <f t="shared" ref="G221:M221" si="154">IF(OR($E221="",$E221=0),"",SUMPRODUCT(--($C$88:$C$163=$B220),G$88:G$163))</f>
        <v/>
      </c>
      <c r="H221" s="365" t="str">
        <f t="shared" si="154"/>
        <v/>
      </c>
      <c r="I221" s="349" t="str">
        <f t="shared" si="154"/>
        <v/>
      </c>
      <c r="J221" s="365" t="str">
        <f t="shared" si="154"/>
        <v/>
      </c>
      <c r="K221" s="365" t="str">
        <f t="shared" si="154"/>
        <v/>
      </c>
      <c r="L221" s="365" t="str">
        <f t="shared" si="154"/>
        <v/>
      </c>
      <c r="M221" s="329" t="str">
        <f t="shared" si="154"/>
        <v/>
      </c>
      <c r="Q221" s="229"/>
      <c r="R221" s="229"/>
      <c r="S221" s="329" t="s">
        <v>33</v>
      </c>
      <c r="T221" s="329" t="str">
        <f>IF(OR($U221="",$U221=0),"",SUMPRODUCT(--($S$88:$S$163=$R220),T$88:T$163))</f>
        <v/>
      </c>
      <c r="U221" s="329" t="str">
        <f>IF($R220="","",SUMPRODUCT(--(S$88:S$163=$R220)))</f>
        <v/>
      </c>
      <c r="V221" s="329" t="str">
        <f t="shared" ref="V221:AC221" si="155">IF(OR($U221="",$U221=0),"",SUMPRODUCT(--($S$88:$S$163=$R220),V$88:V$163))</f>
        <v/>
      </c>
      <c r="W221" s="365" t="str">
        <f t="shared" si="155"/>
        <v/>
      </c>
      <c r="X221" s="365" t="str">
        <f t="shared" si="155"/>
        <v/>
      </c>
      <c r="Y221" s="349" t="str">
        <f t="shared" si="155"/>
        <v/>
      </c>
      <c r="Z221" s="365" t="str">
        <f t="shared" si="155"/>
        <v/>
      </c>
      <c r="AA221" s="365" t="str">
        <f t="shared" si="155"/>
        <v/>
      </c>
      <c r="AB221" s="365" t="str">
        <f t="shared" si="155"/>
        <v/>
      </c>
      <c r="AC221" s="329" t="str">
        <f t="shared" si="155"/>
        <v/>
      </c>
    </row>
    <row r="222" spans="1:29" x14ac:dyDescent="0.25">
      <c r="A222" s="229"/>
      <c r="B222" s="233"/>
      <c r="C222" s="364" t="s">
        <v>19</v>
      </c>
      <c r="D222" s="364" t="str">
        <f>IF($B220="","",SUM(D220:D221))</f>
        <v/>
      </c>
      <c r="E222" s="364" t="str">
        <f>IF($B220="","",SUM(E220:E221))</f>
        <v/>
      </c>
      <c r="F222" s="364" t="str">
        <f>IF($B220="","",SUM(F220:F221))</f>
        <v/>
      </c>
      <c r="G222" s="353" t="str">
        <f t="shared" ref="G222:L222" si="156">IF($B220="","",SUM(G220,G221))</f>
        <v/>
      </c>
      <c r="H222" s="353" t="str">
        <f t="shared" si="156"/>
        <v/>
      </c>
      <c r="I222" s="356" t="str">
        <f t="shared" si="156"/>
        <v/>
      </c>
      <c r="J222" s="353" t="str">
        <f t="shared" si="156"/>
        <v/>
      </c>
      <c r="K222" s="353" t="str">
        <f t="shared" si="156"/>
        <v/>
      </c>
      <c r="L222" s="353" t="str">
        <f t="shared" si="156"/>
        <v/>
      </c>
      <c r="M222" s="364" t="str">
        <f>IF($B220="","",SUM(M220:M221))</f>
        <v/>
      </c>
      <c r="Q222" s="229"/>
      <c r="R222" s="229"/>
      <c r="S222" s="364" t="s">
        <v>19</v>
      </c>
      <c r="T222" s="364" t="str">
        <f>IF($R220="","",SUM(T220:T221))</f>
        <v/>
      </c>
      <c r="U222" s="364" t="str">
        <f t="shared" ref="U222:AC222" si="157">IF($R220="","",SUM(U220,U221))</f>
        <v/>
      </c>
      <c r="V222" s="364" t="str">
        <f t="shared" si="157"/>
        <v/>
      </c>
      <c r="W222" s="353" t="str">
        <f t="shared" si="157"/>
        <v/>
      </c>
      <c r="X222" s="353" t="str">
        <f t="shared" si="157"/>
        <v/>
      </c>
      <c r="Y222" s="356" t="str">
        <f t="shared" si="157"/>
        <v/>
      </c>
      <c r="Z222" s="353" t="str">
        <f t="shared" si="157"/>
        <v/>
      </c>
      <c r="AA222" s="353" t="str">
        <f t="shared" si="157"/>
        <v/>
      </c>
      <c r="AB222" s="353" t="str">
        <f t="shared" si="157"/>
        <v/>
      </c>
      <c r="AC222" s="364" t="str">
        <f t="shared" si="157"/>
        <v/>
      </c>
    </row>
    <row r="223" spans="1:29" x14ac:dyDescent="0.25">
      <c r="A223" s="229">
        <f>A220+1</f>
        <v>18</v>
      </c>
      <c r="B223" s="233" t="str">
        <f>IF(IGRF!B28="","",IGRF!B28)</f>
        <v/>
      </c>
      <c r="C223" s="329" t="s">
        <v>17</v>
      </c>
      <c r="D223" s="329" t="str">
        <f>IF(OR($E223="",$E223=0),"",SUMPRODUCT(--($C$3:$C$78=$B223),D$3:D$78))</f>
        <v/>
      </c>
      <c r="E223" s="329" t="str">
        <f>IF($B223="","",SUMPRODUCT(--(C$3:C$78=$B223)))</f>
        <v/>
      </c>
      <c r="F223" s="329" t="str">
        <f>IF(OR($E223="",$E223=0),"",SUMIF($C$3:$C$62,$B223,F$3:F$62))</f>
        <v/>
      </c>
      <c r="G223" s="365" t="str">
        <f t="shared" ref="G223:M223" si="158">IF(OR($E223="",$E223=0),"",SUMPRODUCT(--($C$3:$C$78=$B223),G$3:G$78))</f>
        <v/>
      </c>
      <c r="H223" s="365" t="str">
        <f t="shared" si="158"/>
        <v/>
      </c>
      <c r="I223" s="349" t="str">
        <f t="shared" si="158"/>
        <v/>
      </c>
      <c r="J223" s="365" t="str">
        <f t="shared" si="158"/>
        <v/>
      </c>
      <c r="K223" s="365" t="str">
        <f t="shared" si="158"/>
        <v/>
      </c>
      <c r="L223" s="365" t="str">
        <f t="shared" si="158"/>
        <v/>
      </c>
      <c r="M223" s="329" t="str">
        <f t="shared" si="158"/>
        <v/>
      </c>
      <c r="Q223" s="229">
        <f>Q220+1</f>
        <v>18</v>
      </c>
      <c r="R223" s="229" t="str">
        <f>IF(IGRF!H28="","",IGRF!H28)</f>
        <v/>
      </c>
      <c r="S223" s="329" t="s">
        <v>17</v>
      </c>
      <c r="T223" s="329" t="str">
        <f>IF(OR($U223="",$U223=0),"",SUMPRODUCT(--($S$3:$S$78=$R223),T$3:T$78))</f>
        <v/>
      </c>
      <c r="U223" s="329" t="str">
        <f>IF($R223="","",SUMPRODUCT(--(S$3:S$78=$R223)))</f>
        <v/>
      </c>
      <c r="V223" s="329" t="str">
        <f t="shared" ref="V223:AC223" si="159">IF(OR($U223="",$U223=0),"",SUMPRODUCT(--($S$3:$S$78=$R223),V$3:V$78))</f>
        <v/>
      </c>
      <c r="W223" s="365" t="str">
        <f t="shared" si="159"/>
        <v/>
      </c>
      <c r="X223" s="365" t="str">
        <f t="shared" si="159"/>
        <v/>
      </c>
      <c r="Y223" s="349" t="str">
        <f t="shared" si="159"/>
        <v/>
      </c>
      <c r="Z223" s="365" t="str">
        <f t="shared" si="159"/>
        <v/>
      </c>
      <c r="AA223" s="365" t="str">
        <f t="shared" si="159"/>
        <v/>
      </c>
      <c r="AB223" s="365" t="str">
        <f t="shared" si="159"/>
        <v/>
      </c>
      <c r="AC223" s="329" t="str">
        <f t="shared" si="159"/>
        <v/>
      </c>
    </row>
    <row r="224" spans="1:29" x14ac:dyDescent="0.25">
      <c r="A224" s="229"/>
      <c r="B224" s="233"/>
      <c r="C224" s="329" t="s">
        <v>33</v>
      </c>
      <c r="D224" s="329" t="str">
        <f>IF(OR($E224="",$E224=0),"",SUMPRODUCT(--($C$88:$C$163=$B223),D$88:D$163))</f>
        <v/>
      </c>
      <c r="E224" s="329" t="str">
        <f>IF($B223="","",SUMPRODUCT(--(C$88:C$163=$B223)))</f>
        <v/>
      </c>
      <c r="F224" s="329" t="str">
        <f>IF(OR($E224="",$E224=0),"",SUMIF($C$88:$C$147,$B223,F$88:F$147))</f>
        <v/>
      </c>
      <c r="G224" s="365" t="str">
        <f t="shared" ref="G224:M224" si="160">IF(OR($E224="",$E224=0),"",SUMPRODUCT(--($C$88:$C$163=$B223),G$88:G$163))</f>
        <v/>
      </c>
      <c r="H224" s="365" t="str">
        <f t="shared" si="160"/>
        <v/>
      </c>
      <c r="I224" s="349" t="str">
        <f t="shared" si="160"/>
        <v/>
      </c>
      <c r="J224" s="365" t="str">
        <f t="shared" si="160"/>
        <v/>
      </c>
      <c r="K224" s="365" t="str">
        <f t="shared" si="160"/>
        <v/>
      </c>
      <c r="L224" s="365" t="str">
        <f t="shared" si="160"/>
        <v/>
      </c>
      <c r="M224" s="329" t="str">
        <f t="shared" si="160"/>
        <v/>
      </c>
      <c r="Q224" s="229"/>
      <c r="R224" s="229"/>
      <c r="S224" s="329" t="s">
        <v>33</v>
      </c>
      <c r="T224" s="329" t="str">
        <f>IF(OR($U224="",$U224=0),"",SUMPRODUCT(--($S$88:$S$163=$R223),T$88:T$163))</f>
        <v/>
      </c>
      <c r="U224" s="329" t="str">
        <f>IF($R223="","",SUMPRODUCT(--(S$88:S$163=$R223)))</f>
        <v/>
      </c>
      <c r="V224" s="329" t="str">
        <f t="shared" ref="V224:AC224" si="161">IF(OR($U224="",$U224=0),"",SUMPRODUCT(--($S$88:$S$163=$R223),V$88:V$163))</f>
        <v/>
      </c>
      <c r="W224" s="365" t="str">
        <f t="shared" si="161"/>
        <v/>
      </c>
      <c r="X224" s="365" t="str">
        <f t="shared" si="161"/>
        <v/>
      </c>
      <c r="Y224" s="349" t="str">
        <f t="shared" si="161"/>
        <v/>
      </c>
      <c r="Z224" s="365" t="str">
        <f t="shared" si="161"/>
        <v/>
      </c>
      <c r="AA224" s="365" t="str">
        <f t="shared" si="161"/>
        <v/>
      </c>
      <c r="AB224" s="365" t="str">
        <f t="shared" si="161"/>
        <v/>
      </c>
      <c r="AC224" s="329" t="str">
        <f t="shared" si="161"/>
        <v/>
      </c>
    </row>
    <row r="225" spans="1:29" x14ac:dyDescent="0.25">
      <c r="A225" s="229"/>
      <c r="B225" s="233"/>
      <c r="C225" s="364" t="s">
        <v>19</v>
      </c>
      <c r="D225" s="364" t="str">
        <f>IF($B223="","",SUM(D223:D224))</f>
        <v/>
      </c>
      <c r="E225" s="364" t="str">
        <f>IF($B223="","",SUM(E223:E224))</f>
        <v/>
      </c>
      <c r="F225" s="364" t="str">
        <f>IF($B223="","",SUM(F223:F224))</f>
        <v/>
      </c>
      <c r="G225" s="353" t="str">
        <f t="shared" ref="G225:L225" si="162">IF($B223="","",SUM(G223,G224))</f>
        <v/>
      </c>
      <c r="H225" s="353" t="str">
        <f t="shared" si="162"/>
        <v/>
      </c>
      <c r="I225" s="356" t="str">
        <f t="shared" si="162"/>
        <v/>
      </c>
      <c r="J225" s="353" t="str">
        <f t="shared" si="162"/>
        <v/>
      </c>
      <c r="K225" s="353" t="str">
        <f t="shared" si="162"/>
        <v/>
      </c>
      <c r="L225" s="353" t="str">
        <f t="shared" si="162"/>
        <v/>
      </c>
      <c r="M225" s="364" t="str">
        <f>IF($B223="","",SUM(M223:M224))</f>
        <v/>
      </c>
      <c r="Q225" s="229"/>
      <c r="R225" s="229"/>
      <c r="S225" s="364" t="s">
        <v>19</v>
      </c>
      <c r="T225" s="364" t="str">
        <f>IF($R223="","",SUM(T223:T224))</f>
        <v/>
      </c>
      <c r="U225" s="364" t="str">
        <f t="shared" ref="U225:AC225" si="163">IF($R223="","",SUM(U223,U224))</f>
        <v/>
      </c>
      <c r="V225" s="364" t="str">
        <f t="shared" si="163"/>
        <v/>
      </c>
      <c r="W225" s="353" t="str">
        <f t="shared" si="163"/>
        <v/>
      </c>
      <c r="X225" s="353" t="str">
        <f t="shared" si="163"/>
        <v/>
      </c>
      <c r="Y225" s="356" t="str">
        <f t="shared" si="163"/>
        <v/>
      </c>
      <c r="Z225" s="353" t="str">
        <f t="shared" si="163"/>
        <v/>
      </c>
      <c r="AA225" s="353" t="str">
        <f t="shared" si="163"/>
        <v/>
      </c>
      <c r="AB225" s="353" t="str">
        <f t="shared" si="163"/>
        <v/>
      </c>
      <c r="AC225" s="364" t="str">
        <f t="shared" si="163"/>
        <v/>
      </c>
    </row>
    <row r="226" spans="1:29" x14ac:dyDescent="0.25">
      <c r="A226" s="229">
        <f>A223+1</f>
        <v>19</v>
      </c>
      <c r="B226" s="233" t="str">
        <f>IF(IGRF!B29="","",IGRF!B29)</f>
        <v/>
      </c>
      <c r="C226" s="329" t="s">
        <v>17</v>
      </c>
      <c r="D226" s="329" t="str">
        <f>IF(OR($E226="",$E226=0),"",SUMPRODUCT(--($C$3:$C$78=$B226),D$3:D$78))</f>
        <v/>
      </c>
      <c r="E226" s="329" t="str">
        <f>IF($B226="","",SUMPRODUCT(--(C$3:C$78=$B226)))</f>
        <v/>
      </c>
      <c r="F226" s="329" t="str">
        <f>IF(OR($E226="",$E226=0),"",SUMIF($C$3:$C$62,$B226,F$3:F$62))</f>
        <v/>
      </c>
      <c r="G226" s="365" t="str">
        <f t="shared" ref="G226:M226" si="164">IF(OR($E226="",$E226=0),"",SUMPRODUCT(--($C$3:$C$78=$B226),G$3:G$78))</f>
        <v/>
      </c>
      <c r="H226" s="365" t="str">
        <f t="shared" si="164"/>
        <v/>
      </c>
      <c r="I226" s="349" t="str">
        <f t="shared" si="164"/>
        <v/>
      </c>
      <c r="J226" s="365" t="str">
        <f t="shared" si="164"/>
        <v/>
      </c>
      <c r="K226" s="365" t="str">
        <f t="shared" si="164"/>
        <v/>
      </c>
      <c r="L226" s="365" t="str">
        <f t="shared" si="164"/>
        <v/>
      </c>
      <c r="M226" s="329" t="str">
        <f t="shared" si="164"/>
        <v/>
      </c>
      <c r="Q226" s="229">
        <f>Q223+1</f>
        <v>19</v>
      </c>
      <c r="R226" s="229" t="str">
        <f>IF(IGRF!H29="","",IGRF!H29)</f>
        <v/>
      </c>
      <c r="S226" s="329" t="s">
        <v>17</v>
      </c>
      <c r="T226" s="329" t="str">
        <f>IF(OR($U226="",$U226=0),"",SUMPRODUCT(--($S$3:$S$78=$R226),T$3:T$78))</f>
        <v/>
      </c>
      <c r="U226" s="329" t="str">
        <f>IF($R226="","",SUMPRODUCT(--(S$3:S$78=$R226)))</f>
        <v/>
      </c>
      <c r="V226" s="329" t="str">
        <f t="shared" ref="V226:AC226" si="165">IF(OR($U226="",$U226=0),"",SUMPRODUCT(--($S$3:$S$78=$R226),V$3:V$78))</f>
        <v/>
      </c>
      <c r="W226" s="365" t="str">
        <f t="shared" si="165"/>
        <v/>
      </c>
      <c r="X226" s="365" t="str">
        <f t="shared" si="165"/>
        <v/>
      </c>
      <c r="Y226" s="349" t="str">
        <f t="shared" si="165"/>
        <v/>
      </c>
      <c r="Z226" s="365" t="str">
        <f t="shared" si="165"/>
        <v/>
      </c>
      <c r="AA226" s="365" t="str">
        <f t="shared" si="165"/>
        <v/>
      </c>
      <c r="AB226" s="365" t="str">
        <f t="shared" si="165"/>
        <v/>
      </c>
      <c r="AC226" s="329" t="str">
        <f t="shared" si="165"/>
        <v/>
      </c>
    </row>
    <row r="227" spans="1:29" x14ac:dyDescent="0.25">
      <c r="A227" s="229"/>
      <c r="B227" s="233"/>
      <c r="C227" s="329" t="s">
        <v>33</v>
      </c>
      <c r="D227" s="329" t="str">
        <f>IF(OR($E227="",$E227=0),"",SUMPRODUCT(--($C$88:$C$163=$B226),D$88:D$163))</f>
        <v/>
      </c>
      <c r="E227" s="329" t="str">
        <f>IF($B226="","",SUMPRODUCT(--(C$88:C$163=$B226)))</f>
        <v/>
      </c>
      <c r="F227" s="329" t="str">
        <f>IF(OR($E227="",$E227=0),"",SUMIF($C$88:$C$147,$B226,F$88:F$147))</f>
        <v/>
      </c>
      <c r="G227" s="365" t="str">
        <f t="shared" ref="G227:M227" si="166">IF(OR($E227="",$E227=0),"",SUMPRODUCT(--($C$88:$C$163=$B226),G$88:G$163))</f>
        <v/>
      </c>
      <c r="H227" s="365" t="str">
        <f t="shared" si="166"/>
        <v/>
      </c>
      <c r="I227" s="349" t="str">
        <f t="shared" si="166"/>
        <v/>
      </c>
      <c r="J227" s="365" t="str">
        <f t="shared" si="166"/>
        <v/>
      </c>
      <c r="K227" s="365" t="str">
        <f t="shared" si="166"/>
        <v/>
      </c>
      <c r="L227" s="365" t="str">
        <f t="shared" si="166"/>
        <v/>
      </c>
      <c r="M227" s="329" t="str">
        <f t="shared" si="166"/>
        <v/>
      </c>
      <c r="Q227" s="229"/>
      <c r="R227" s="229"/>
      <c r="S227" s="329" t="s">
        <v>33</v>
      </c>
      <c r="T227" s="329" t="str">
        <f>IF(OR($U227="",$U227=0),"",SUMPRODUCT(--($S$88:$S$163=$R226),T$88:T$163))</f>
        <v/>
      </c>
      <c r="U227" s="329" t="str">
        <f>IF($R226="","",SUMPRODUCT(--(S$88:S$163=$R226)))</f>
        <v/>
      </c>
      <c r="V227" s="329" t="str">
        <f t="shared" ref="V227:AC227" si="167">IF(OR($U227="",$U227=0),"",SUMPRODUCT(--($S$88:$S$163=$R226),V$88:V$163))</f>
        <v/>
      </c>
      <c r="W227" s="365" t="str">
        <f t="shared" si="167"/>
        <v/>
      </c>
      <c r="X227" s="365" t="str">
        <f t="shared" si="167"/>
        <v/>
      </c>
      <c r="Y227" s="349" t="str">
        <f t="shared" si="167"/>
        <v/>
      </c>
      <c r="Z227" s="365" t="str">
        <f t="shared" si="167"/>
        <v/>
      </c>
      <c r="AA227" s="365" t="str">
        <f t="shared" si="167"/>
        <v/>
      </c>
      <c r="AB227" s="365" t="str">
        <f t="shared" si="167"/>
        <v/>
      </c>
      <c r="AC227" s="329" t="str">
        <f t="shared" si="167"/>
        <v/>
      </c>
    </row>
    <row r="228" spans="1:29" x14ac:dyDescent="0.25">
      <c r="A228" s="229"/>
      <c r="B228" s="233"/>
      <c r="C228" s="364" t="s">
        <v>19</v>
      </c>
      <c r="D228" s="364" t="str">
        <f>IF($B226="","",SUM(D226:D227))</f>
        <v/>
      </c>
      <c r="E228" s="364" t="str">
        <f>IF($B226="","",SUM(E226:E227))</f>
        <v/>
      </c>
      <c r="F228" s="364" t="str">
        <f>IF($B226="","",SUM(F226:F227))</f>
        <v/>
      </c>
      <c r="G228" s="353" t="str">
        <f t="shared" ref="G228:L228" si="168">IF($B226="","",SUM(G226,G227))</f>
        <v/>
      </c>
      <c r="H228" s="353" t="str">
        <f t="shared" si="168"/>
        <v/>
      </c>
      <c r="I228" s="356" t="str">
        <f t="shared" si="168"/>
        <v/>
      </c>
      <c r="J228" s="353" t="str">
        <f t="shared" si="168"/>
        <v/>
      </c>
      <c r="K228" s="353" t="str">
        <f t="shared" si="168"/>
        <v/>
      </c>
      <c r="L228" s="353" t="str">
        <f t="shared" si="168"/>
        <v/>
      </c>
      <c r="M228" s="364" t="str">
        <f>IF($B226="","",SUM(M226:M227))</f>
        <v/>
      </c>
      <c r="Q228" s="229"/>
      <c r="R228" s="229"/>
      <c r="S228" s="364" t="s">
        <v>19</v>
      </c>
      <c r="T228" s="364" t="str">
        <f>IF($R226="","",SUM(T226:T227))</f>
        <v/>
      </c>
      <c r="U228" s="364" t="str">
        <f t="shared" ref="U228:AC228" si="169">IF($R226="","",SUM(U226,U227))</f>
        <v/>
      </c>
      <c r="V228" s="364" t="str">
        <f t="shared" si="169"/>
        <v/>
      </c>
      <c r="W228" s="353" t="str">
        <f t="shared" si="169"/>
        <v/>
      </c>
      <c r="X228" s="353" t="str">
        <f t="shared" si="169"/>
        <v/>
      </c>
      <c r="Y228" s="356" t="str">
        <f t="shared" si="169"/>
        <v/>
      </c>
      <c r="Z228" s="353" t="str">
        <f t="shared" si="169"/>
        <v/>
      </c>
      <c r="AA228" s="353" t="str">
        <f t="shared" si="169"/>
        <v/>
      </c>
      <c r="AB228" s="353" t="str">
        <f t="shared" si="169"/>
        <v/>
      </c>
      <c r="AC228" s="364" t="str">
        <f t="shared" si="169"/>
        <v/>
      </c>
    </row>
    <row r="229" spans="1:29" x14ac:dyDescent="0.25">
      <c r="A229" s="229">
        <v>20</v>
      </c>
      <c r="B229" s="233" t="str">
        <f>IF(IGRF!B30="","",IGRF!B30)</f>
        <v/>
      </c>
      <c r="C229" s="329" t="s">
        <v>17</v>
      </c>
      <c r="D229" s="329" t="str">
        <f>IF(OR($E229="",$E229=0),"",SUMPRODUCT(--($C$3:$C$78=$B229),D$3:D$78))</f>
        <v/>
      </c>
      <c r="E229" s="329" t="str">
        <f>IF($B229="","",SUMPRODUCT(--(C$3:C$78=$B229)))</f>
        <v/>
      </c>
      <c r="F229" s="329" t="str">
        <f>IF(OR($E229="",$E229=0),"",SUMIF($C$3:$C$62,$B229,F$3:F$62))</f>
        <v/>
      </c>
      <c r="G229" s="365" t="str">
        <f t="shared" ref="G229:M229" si="170">IF(OR($E229="",$E229=0),"",SUMPRODUCT(--($C$3:$C$78=$B229),G$3:G$78))</f>
        <v/>
      </c>
      <c r="H229" s="365" t="str">
        <f t="shared" si="170"/>
        <v/>
      </c>
      <c r="I229" s="349" t="str">
        <f t="shared" si="170"/>
        <v/>
      </c>
      <c r="J229" s="365" t="str">
        <f t="shared" si="170"/>
        <v/>
      </c>
      <c r="K229" s="365" t="str">
        <f t="shared" si="170"/>
        <v/>
      </c>
      <c r="L229" s="365" t="str">
        <f t="shared" si="170"/>
        <v/>
      </c>
      <c r="M229" s="329" t="str">
        <f t="shared" si="170"/>
        <v/>
      </c>
      <c r="Q229" s="229">
        <v>20</v>
      </c>
      <c r="R229" s="229" t="str">
        <f>IF(IGRF!H30="","",IGRF!H30)</f>
        <v/>
      </c>
      <c r="S229" s="329" t="s">
        <v>17</v>
      </c>
      <c r="T229" s="329" t="str">
        <f>IF(OR($U229="",$U229=0),"",SUMPRODUCT(--($S$3:$S$78=$R229),T$3:T$78))</f>
        <v/>
      </c>
      <c r="U229" s="329" t="str">
        <f>IF($R229="","",SUMPRODUCT(--(S$3:S$78=$R229)))</f>
        <v/>
      </c>
      <c r="V229" s="329" t="str">
        <f t="shared" ref="V229:AC229" si="171">IF(OR($U229="",$U229=0),"",SUMPRODUCT(--($S$3:$S$78=$R229),V$3:V$78))</f>
        <v/>
      </c>
      <c r="W229" s="365" t="str">
        <f t="shared" si="171"/>
        <v/>
      </c>
      <c r="X229" s="365" t="str">
        <f t="shared" si="171"/>
        <v/>
      </c>
      <c r="Y229" s="349" t="str">
        <f t="shared" si="171"/>
        <v/>
      </c>
      <c r="Z229" s="365" t="str">
        <f t="shared" si="171"/>
        <v/>
      </c>
      <c r="AA229" s="365" t="str">
        <f t="shared" si="171"/>
        <v/>
      </c>
      <c r="AB229" s="365" t="str">
        <f t="shared" si="171"/>
        <v/>
      </c>
      <c r="AC229" s="329" t="str">
        <f t="shared" si="171"/>
        <v/>
      </c>
    </row>
    <row r="230" spans="1:29" x14ac:dyDescent="0.25">
      <c r="A230" s="229"/>
      <c r="B230" s="233"/>
      <c r="C230" s="329" t="s">
        <v>33</v>
      </c>
      <c r="D230" s="329" t="str">
        <f>IF(OR($E230="",$E230=0),"",SUMPRODUCT(--($C$88:$C$163=$B229),D$88:D$163))</f>
        <v/>
      </c>
      <c r="E230" s="329" t="str">
        <f>IF($B229="","",SUMPRODUCT(--(C$88:C$163=$B229)))</f>
        <v/>
      </c>
      <c r="F230" s="329" t="str">
        <f>IF(OR($E230="",$E230=0),"",SUMIF($C$88:$C$147,$B229,F$88:F$147))</f>
        <v/>
      </c>
      <c r="G230" s="365" t="str">
        <f t="shared" ref="G230:M230" si="172">IF(OR($E230="",$E230=0),"",SUMPRODUCT(--($C$88:$C$163=$B229),G$88:G$163))</f>
        <v/>
      </c>
      <c r="H230" s="365" t="str">
        <f t="shared" si="172"/>
        <v/>
      </c>
      <c r="I230" s="349" t="str">
        <f t="shared" si="172"/>
        <v/>
      </c>
      <c r="J230" s="365" t="str">
        <f t="shared" si="172"/>
        <v/>
      </c>
      <c r="K230" s="365" t="str">
        <f t="shared" si="172"/>
        <v/>
      </c>
      <c r="L230" s="365" t="str">
        <f t="shared" si="172"/>
        <v/>
      </c>
      <c r="M230" s="329" t="str">
        <f t="shared" si="172"/>
        <v/>
      </c>
      <c r="Q230" s="229"/>
      <c r="R230" s="229"/>
      <c r="S230" s="329" t="s">
        <v>33</v>
      </c>
      <c r="T230" s="329" t="str">
        <f>IF(OR($U230="",$U230=0),"",SUMPRODUCT(--($S$88:$S$163=$R229),T$88:T$163))</f>
        <v/>
      </c>
      <c r="U230" s="329" t="str">
        <f>IF($R229="","",SUMPRODUCT(--(S$88:S$163=$R229)))</f>
        <v/>
      </c>
      <c r="V230" s="329" t="str">
        <f t="shared" ref="V230:AC230" si="173">IF(OR($U230="",$U230=0),"",SUMPRODUCT(--($S$88:$S$163=$R229),V$88:V$163))</f>
        <v/>
      </c>
      <c r="W230" s="365" t="str">
        <f t="shared" si="173"/>
        <v/>
      </c>
      <c r="X230" s="365" t="str">
        <f t="shared" si="173"/>
        <v/>
      </c>
      <c r="Y230" s="349" t="str">
        <f t="shared" si="173"/>
        <v/>
      </c>
      <c r="Z230" s="365" t="str">
        <f t="shared" si="173"/>
        <v/>
      </c>
      <c r="AA230" s="365" t="str">
        <f t="shared" si="173"/>
        <v/>
      </c>
      <c r="AB230" s="365" t="str">
        <f t="shared" si="173"/>
        <v/>
      </c>
      <c r="AC230" s="329" t="str">
        <f t="shared" si="173"/>
        <v/>
      </c>
    </row>
    <row r="231" spans="1:29" x14ac:dyDescent="0.25">
      <c r="A231" s="229"/>
      <c r="B231" s="229"/>
      <c r="C231" s="364" t="s">
        <v>19</v>
      </c>
      <c r="D231" s="364" t="str">
        <f>IF($B229="","",SUM(D229:D230))</f>
        <v/>
      </c>
      <c r="E231" s="364" t="str">
        <f>IF($B229="","",SUM(E229:E230))</f>
        <v/>
      </c>
      <c r="F231" s="364" t="str">
        <f>IF($B229="","",SUM(F229:F230))</f>
        <v/>
      </c>
      <c r="G231" s="353" t="str">
        <f t="shared" ref="G231:L231" si="174">IF($B229="","",SUM(G229,G230))</f>
        <v/>
      </c>
      <c r="H231" s="353" t="str">
        <f t="shared" si="174"/>
        <v/>
      </c>
      <c r="I231" s="356" t="str">
        <f t="shared" si="174"/>
        <v/>
      </c>
      <c r="J231" s="353" t="str">
        <f t="shared" si="174"/>
        <v/>
      </c>
      <c r="K231" s="353" t="str">
        <f t="shared" si="174"/>
        <v/>
      </c>
      <c r="L231" s="353" t="str">
        <f t="shared" si="174"/>
        <v/>
      </c>
      <c r="M231" s="364" t="str">
        <f>IF($B229="","",SUM(M229:M230))</f>
        <v/>
      </c>
      <c r="Q231" s="229"/>
      <c r="R231" s="229"/>
      <c r="S231" s="364" t="s">
        <v>19</v>
      </c>
      <c r="T231" s="364" t="str">
        <f>IF($R229="","",SUM(T229:T230))</f>
        <v/>
      </c>
      <c r="U231" s="364" t="str">
        <f t="shared" ref="U231:AC231" si="175">IF($R229="","",SUM(U229,U230))</f>
        <v/>
      </c>
      <c r="V231" s="364" t="str">
        <f t="shared" si="175"/>
        <v/>
      </c>
      <c r="W231" s="353" t="str">
        <f t="shared" si="175"/>
        <v/>
      </c>
      <c r="X231" s="353" t="str">
        <f t="shared" si="175"/>
        <v/>
      </c>
      <c r="Y231" s="356" t="str">
        <f t="shared" si="175"/>
        <v/>
      </c>
      <c r="Z231" s="353" t="str">
        <f t="shared" si="175"/>
        <v/>
      </c>
      <c r="AA231" s="353" t="str">
        <f t="shared" si="175"/>
        <v/>
      </c>
      <c r="AB231" s="353" t="str">
        <f t="shared" si="175"/>
        <v/>
      </c>
      <c r="AC231" s="36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8" type="noConversion"/>
  <pageMargins left="0.7" right="0.7" top="0.75" bottom="0.75" header="0.51180555555555551" footer="0.51180555555555551"/>
  <pageSetup scale="50" firstPageNumber="0" orientation="portrait" horizontalDpi="300" verticalDpi="300"/>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1"/>
  </sheetPr>
  <dimension ref="A1:K51"/>
  <sheetViews>
    <sheetView workbookViewId="0">
      <selection sqref="A1:K1"/>
    </sheetView>
  </sheetViews>
  <sheetFormatPr defaultColWidth="8.6640625" defaultRowHeight="13.8" x14ac:dyDescent="0.3"/>
  <cols>
    <col min="1" max="11" width="7.6640625" style="255" customWidth="1"/>
    <col min="12" max="16384" width="8.6640625" style="255"/>
  </cols>
  <sheetData>
    <row r="1" spans="1:11" ht="30" customHeight="1" x14ac:dyDescent="0.4">
      <c r="A1" s="1386" t="s">
        <v>379</v>
      </c>
      <c r="B1" s="1386"/>
      <c r="C1" s="1386"/>
      <c r="D1" s="1386"/>
      <c r="E1" s="1386"/>
      <c r="F1" s="1386"/>
      <c r="G1" s="1386"/>
      <c r="H1" s="1386"/>
      <c r="I1" s="1386"/>
      <c r="J1" s="1386"/>
      <c r="K1" s="1386"/>
    </row>
    <row r="2" spans="1:11" ht="6" customHeight="1" x14ac:dyDescent="0.5">
      <c r="A2" s="392"/>
      <c r="B2" s="392"/>
      <c r="C2" s="392"/>
      <c r="D2" s="392"/>
      <c r="E2" s="392"/>
      <c r="F2" s="392"/>
      <c r="G2" s="392"/>
      <c r="H2" s="393"/>
      <c r="I2" s="393"/>
      <c r="J2" s="393"/>
      <c r="K2" s="393"/>
    </row>
    <row r="3" spans="1:11" ht="45" customHeight="1" x14ac:dyDescent="0.3">
      <c r="A3" s="1384" t="s">
        <v>483</v>
      </c>
      <c r="B3" s="1385"/>
      <c r="C3" s="1385"/>
      <c r="D3" s="1385"/>
      <c r="E3" s="1385"/>
      <c r="F3" s="1385"/>
      <c r="G3" s="1385"/>
      <c r="H3" s="1385"/>
      <c r="I3" s="1385"/>
      <c r="J3" s="1385"/>
      <c r="K3" s="1385"/>
    </row>
    <row r="4" spans="1:11" ht="6" customHeight="1" x14ac:dyDescent="0.3">
      <c r="A4" s="392"/>
      <c r="B4" s="392"/>
      <c r="C4" s="392"/>
      <c r="D4" s="392"/>
      <c r="E4" s="392"/>
      <c r="F4" s="392"/>
      <c r="G4" s="392"/>
      <c r="H4" s="392"/>
      <c r="I4" s="392"/>
      <c r="J4" s="392"/>
      <c r="K4" s="392"/>
    </row>
    <row r="5" spans="1:11" ht="30" customHeight="1" x14ac:dyDescent="0.3">
      <c r="A5" s="1384" t="s">
        <v>484</v>
      </c>
      <c r="B5" s="1385"/>
      <c r="C5" s="1385"/>
      <c r="D5" s="1385"/>
      <c r="E5" s="1385"/>
      <c r="F5" s="1385"/>
      <c r="G5" s="1385"/>
      <c r="H5" s="1385"/>
      <c r="I5" s="1385"/>
      <c r="J5" s="1385"/>
      <c r="K5" s="1385"/>
    </row>
    <row r="6" spans="1:11" ht="6" customHeight="1" x14ac:dyDescent="0.3">
      <c r="A6" s="392"/>
      <c r="B6" s="392"/>
      <c r="C6" s="392"/>
      <c r="D6" s="392"/>
      <c r="E6" s="392"/>
      <c r="F6" s="392"/>
      <c r="G6" s="392"/>
      <c r="H6" s="392"/>
      <c r="I6" s="392"/>
      <c r="J6" s="392"/>
      <c r="K6" s="392"/>
    </row>
    <row r="7" spans="1:11" ht="15" customHeight="1" x14ac:dyDescent="0.3">
      <c r="A7" s="1379" t="s">
        <v>380</v>
      </c>
      <c r="B7" s="1379"/>
      <c r="C7" s="1379"/>
      <c r="D7" s="1379"/>
      <c r="E7" s="1379"/>
      <c r="F7" s="1379"/>
      <c r="G7" s="1379"/>
      <c r="H7" s="1379"/>
      <c r="I7" s="1379"/>
      <c r="J7" s="1379"/>
      <c r="K7" s="1379"/>
    </row>
    <row r="8" spans="1:11" ht="15" customHeight="1" x14ac:dyDescent="0.3">
      <c r="A8" s="394"/>
      <c r="B8" s="394"/>
      <c r="C8" s="394"/>
      <c r="D8" s="394"/>
      <c r="E8" s="394"/>
      <c r="F8" s="394"/>
      <c r="G8" s="394"/>
      <c r="H8" s="394"/>
      <c r="I8" s="394"/>
      <c r="J8" s="394"/>
      <c r="K8" s="394"/>
    </row>
    <row r="9" spans="1:11" s="256" customFormat="1" ht="18" customHeight="1" x14ac:dyDescent="0.25">
      <c r="A9" s="1383" t="s">
        <v>381</v>
      </c>
      <c r="B9" s="1383"/>
      <c r="C9" s="1383"/>
      <c r="D9" s="1383"/>
      <c r="E9" s="1383"/>
      <c r="F9" s="395"/>
      <c r="G9" s="1383" t="s">
        <v>382</v>
      </c>
      <c r="H9" s="1383"/>
      <c r="I9" s="1383"/>
      <c r="J9" s="1383"/>
      <c r="K9" s="1383"/>
    </row>
    <row r="10" spans="1:11" ht="6" customHeight="1" x14ac:dyDescent="0.3">
      <c r="A10" s="392"/>
      <c r="B10" s="392"/>
      <c r="C10" s="392"/>
      <c r="D10" s="392"/>
      <c r="E10" s="392"/>
      <c r="F10" s="392"/>
      <c r="G10" s="392"/>
      <c r="H10" s="392"/>
      <c r="I10" s="392"/>
      <c r="J10" s="392"/>
      <c r="K10" s="392"/>
    </row>
    <row r="11" spans="1:11" ht="15" customHeight="1" x14ac:dyDescent="0.3">
      <c r="A11" s="1378" t="s">
        <v>546</v>
      </c>
      <c r="B11" s="1379"/>
      <c r="C11" s="1379"/>
      <c r="D11" s="1379"/>
      <c r="E11" s="1379"/>
      <c r="F11" s="392"/>
      <c r="G11" s="1379" t="s">
        <v>392</v>
      </c>
      <c r="H11" s="1379"/>
      <c r="I11" s="1379"/>
      <c r="J11" s="1379"/>
      <c r="K11" s="1379"/>
    </row>
    <row r="12" spans="1:11" ht="15" customHeight="1" x14ac:dyDescent="0.3">
      <c r="A12" s="1379" t="s">
        <v>383</v>
      </c>
      <c r="B12" s="1379"/>
      <c r="C12" s="1379"/>
      <c r="D12" s="1379"/>
      <c r="E12" s="1379"/>
      <c r="F12" s="392"/>
      <c r="G12" s="1379" t="s">
        <v>393</v>
      </c>
      <c r="H12" s="1379"/>
      <c r="I12" s="1379"/>
      <c r="J12" s="1379"/>
      <c r="K12" s="1379"/>
    </row>
    <row r="13" spans="1:11" ht="6" customHeight="1" x14ac:dyDescent="0.3">
      <c r="A13" s="392"/>
      <c r="B13" s="392"/>
      <c r="C13" s="392"/>
      <c r="D13" s="392"/>
      <c r="E13" s="392"/>
      <c r="F13" s="392"/>
      <c r="G13" s="392"/>
      <c r="H13" s="392"/>
      <c r="I13" s="392"/>
      <c r="J13" s="392"/>
      <c r="K13" s="392"/>
    </row>
    <row r="14" spans="1:11" ht="15" customHeight="1" x14ac:dyDescent="0.3">
      <c r="A14" s="1379" t="s">
        <v>385</v>
      </c>
      <c r="B14" s="1379"/>
      <c r="C14" s="1379"/>
      <c r="D14" s="1379"/>
      <c r="E14" s="1379"/>
      <c r="F14" s="392"/>
      <c r="G14" s="1378" t="s">
        <v>611</v>
      </c>
      <c r="H14" s="1379"/>
      <c r="I14" s="1379"/>
      <c r="J14" s="1379"/>
      <c r="K14" s="1379"/>
    </row>
    <row r="15" spans="1:11" ht="15" customHeight="1" x14ac:dyDescent="0.3">
      <c r="A15" s="1379" t="s">
        <v>384</v>
      </c>
      <c r="B15" s="1379"/>
      <c r="C15" s="1379"/>
      <c r="D15" s="1379"/>
      <c r="E15" s="1379"/>
      <c r="F15" s="392"/>
      <c r="G15" s="1379" t="s">
        <v>395</v>
      </c>
      <c r="H15" s="1379"/>
      <c r="I15" s="1379"/>
      <c r="J15" s="1379"/>
      <c r="K15" s="1379"/>
    </row>
    <row r="16" spans="1:11" ht="6" customHeight="1" x14ac:dyDescent="0.3">
      <c r="A16" s="392"/>
      <c r="B16" s="392"/>
      <c r="C16" s="392"/>
      <c r="D16" s="392"/>
      <c r="E16" s="392"/>
      <c r="F16" s="392"/>
      <c r="G16" s="392"/>
      <c r="H16" s="392"/>
      <c r="I16" s="392"/>
      <c r="J16" s="392"/>
      <c r="K16" s="392"/>
    </row>
    <row r="17" spans="1:11" ht="15" customHeight="1" x14ac:dyDescent="0.3">
      <c r="A17" s="1379" t="s">
        <v>394</v>
      </c>
      <c r="B17" s="1379"/>
      <c r="C17" s="1379"/>
      <c r="D17" s="1379"/>
      <c r="E17" s="1379"/>
      <c r="F17" s="392"/>
      <c r="G17" s="1379" t="s">
        <v>396</v>
      </c>
      <c r="H17" s="1379"/>
      <c r="I17" s="1379"/>
      <c r="J17" s="1379"/>
      <c r="K17" s="1379"/>
    </row>
    <row r="18" spans="1:11" ht="15" customHeight="1" x14ac:dyDescent="0.3">
      <c r="A18" s="1379" t="s">
        <v>386</v>
      </c>
      <c r="B18" s="1379"/>
      <c r="C18" s="1379"/>
      <c r="D18" s="1379"/>
      <c r="E18" s="1379"/>
      <c r="F18" s="392"/>
      <c r="G18" s="1379" t="s">
        <v>397</v>
      </c>
      <c r="H18" s="1379"/>
      <c r="I18" s="1379"/>
      <c r="J18" s="1379"/>
      <c r="K18" s="1379"/>
    </row>
    <row r="19" spans="1:11" ht="6" customHeight="1" x14ac:dyDescent="0.3">
      <c r="A19" s="392"/>
      <c r="B19" s="392"/>
      <c r="C19" s="392"/>
      <c r="D19" s="392"/>
      <c r="E19" s="392"/>
      <c r="F19" s="392"/>
      <c r="G19" s="392"/>
      <c r="H19" s="392"/>
      <c r="I19" s="392"/>
      <c r="J19" s="392"/>
      <c r="K19" s="392"/>
    </row>
    <row r="20" spans="1:11" ht="15" customHeight="1" x14ac:dyDescent="0.3">
      <c r="A20" s="1379" t="s">
        <v>387</v>
      </c>
      <c r="B20" s="1379"/>
      <c r="C20" s="1379"/>
      <c r="D20" s="1379"/>
      <c r="E20" s="1379"/>
      <c r="F20" s="392"/>
      <c r="G20" s="1379" t="s">
        <v>398</v>
      </c>
      <c r="H20" s="1379"/>
      <c r="I20" s="1379"/>
      <c r="J20" s="1379"/>
      <c r="K20" s="1379"/>
    </row>
    <row r="21" spans="1:11" ht="15" customHeight="1" x14ac:dyDescent="0.3">
      <c r="A21" s="1379" t="s">
        <v>388</v>
      </c>
      <c r="B21" s="1379"/>
      <c r="C21" s="1379"/>
      <c r="D21" s="1379"/>
      <c r="E21" s="1379"/>
      <c r="F21" s="392"/>
      <c r="G21" s="1379" t="s">
        <v>399</v>
      </c>
      <c r="H21" s="1379"/>
      <c r="I21" s="1379"/>
      <c r="J21" s="1379"/>
      <c r="K21" s="1379"/>
    </row>
    <row r="22" spans="1:11" ht="6" customHeight="1" x14ac:dyDescent="0.3">
      <c r="A22" s="392"/>
      <c r="B22" s="392"/>
      <c r="C22" s="392"/>
      <c r="D22" s="392"/>
      <c r="E22" s="392"/>
      <c r="F22" s="392"/>
      <c r="G22" s="392"/>
      <c r="H22" s="392"/>
      <c r="I22" s="392"/>
      <c r="J22" s="392"/>
      <c r="K22" s="392"/>
    </row>
    <row r="23" spans="1:11" ht="15" customHeight="1" x14ac:dyDescent="0.3">
      <c r="A23" s="1379" t="s">
        <v>391</v>
      </c>
      <c r="B23" s="1379"/>
      <c r="C23" s="1379"/>
      <c r="D23" s="1379"/>
      <c r="E23" s="1379"/>
      <c r="F23" s="392"/>
      <c r="G23" s="1379" t="s">
        <v>400</v>
      </c>
      <c r="H23" s="1379"/>
      <c r="I23" s="1379"/>
      <c r="J23" s="1379"/>
      <c r="K23" s="1379"/>
    </row>
    <row r="24" spans="1:11" ht="15" customHeight="1" x14ac:dyDescent="0.3">
      <c r="A24" s="1379" t="s">
        <v>389</v>
      </c>
      <c r="B24" s="1379"/>
      <c r="C24" s="1379"/>
      <c r="D24" s="1379"/>
      <c r="E24" s="1379"/>
      <c r="F24" s="392"/>
      <c r="G24" s="1378" t="s">
        <v>492</v>
      </c>
      <c r="H24" s="1379"/>
      <c r="I24" s="1379"/>
      <c r="J24" s="1379"/>
      <c r="K24" s="1379"/>
    </row>
    <row r="25" spans="1:11" ht="6" customHeight="1" x14ac:dyDescent="0.3">
      <c r="A25" s="392"/>
      <c r="B25" s="392"/>
      <c r="C25" s="392"/>
      <c r="D25" s="392"/>
      <c r="E25" s="392"/>
      <c r="F25" s="392"/>
      <c r="G25" s="392"/>
      <c r="H25" s="392"/>
      <c r="I25" s="392"/>
      <c r="J25" s="392"/>
      <c r="K25" s="392"/>
    </row>
    <row r="26" spans="1:11" ht="15" customHeight="1" x14ac:dyDescent="0.3">
      <c r="A26" s="392"/>
      <c r="B26" s="392"/>
      <c r="C26" s="392"/>
      <c r="D26" s="392"/>
      <c r="E26" s="392"/>
      <c r="F26" s="392"/>
      <c r="G26" s="1379" t="s">
        <v>401</v>
      </c>
      <c r="H26" s="1379"/>
      <c r="I26" s="1379"/>
      <c r="J26" s="1379"/>
      <c r="K26" s="1379"/>
    </row>
    <row r="27" spans="1:11" ht="15" customHeight="1" x14ac:dyDescent="0.3">
      <c r="A27" s="392"/>
      <c r="B27" s="392"/>
      <c r="C27" s="392"/>
      <c r="D27" s="392"/>
      <c r="E27" s="392"/>
      <c r="F27" s="392"/>
      <c r="G27" s="1378" t="s">
        <v>493</v>
      </c>
      <c r="H27" s="1379"/>
      <c r="I27" s="1379"/>
      <c r="J27" s="1379"/>
      <c r="K27" s="1379"/>
    </row>
    <row r="28" spans="1:11" ht="6" customHeight="1" x14ac:dyDescent="0.3">
      <c r="A28" s="392"/>
      <c r="B28" s="392"/>
      <c r="C28" s="392"/>
      <c r="D28" s="392"/>
      <c r="E28" s="392"/>
      <c r="F28" s="392"/>
      <c r="G28" s="392"/>
      <c r="H28" s="392"/>
      <c r="I28" s="392"/>
      <c r="J28" s="392"/>
      <c r="K28" s="392"/>
    </row>
    <row r="29" spans="1:11" ht="15" customHeight="1" x14ac:dyDescent="0.3">
      <c r="A29" s="392"/>
      <c r="B29" s="392"/>
      <c r="C29" s="392"/>
      <c r="D29" s="392"/>
      <c r="E29" s="392"/>
      <c r="F29" s="392"/>
      <c r="G29" s="483" t="s">
        <v>494</v>
      </c>
      <c r="H29" s="484"/>
      <c r="I29" s="484"/>
      <c r="J29" s="484"/>
      <c r="K29" s="484"/>
    </row>
    <row r="30" spans="1:11" ht="15" customHeight="1" x14ac:dyDescent="0.3">
      <c r="A30" s="392"/>
      <c r="B30" s="392"/>
      <c r="C30" s="392"/>
      <c r="D30" s="392"/>
      <c r="E30" s="392"/>
      <c r="F30" s="392"/>
      <c r="G30" s="483" t="s">
        <v>495</v>
      </c>
      <c r="H30" s="484"/>
      <c r="I30" s="484"/>
    </row>
    <row r="31" spans="1:11" ht="6" customHeight="1" x14ac:dyDescent="0.3">
      <c r="A31" s="392"/>
      <c r="B31" s="392"/>
      <c r="C31" s="392"/>
      <c r="D31" s="392"/>
      <c r="E31" s="392"/>
      <c r="F31" s="392"/>
      <c r="G31" s="483"/>
      <c r="H31" s="484"/>
      <c r="I31" s="484"/>
      <c r="J31" s="484"/>
      <c r="K31" s="484"/>
    </row>
    <row r="32" spans="1:11" ht="15" customHeight="1" x14ac:dyDescent="0.3">
      <c r="A32" s="392"/>
      <c r="B32" s="392"/>
      <c r="C32" s="392"/>
      <c r="D32" s="392"/>
      <c r="E32" s="392"/>
      <c r="F32" s="392"/>
      <c r="G32" s="392"/>
      <c r="H32" s="392"/>
      <c r="I32" s="392"/>
      <c r="J32" s="392"/>
      <c r="K32" s="392"/>
    </row>
    <row r="33" spans="1:11" s="256" customFormat="1" ht="18" customHeight="1" x14ac:dyDescent="0.25">
      <c r="A33" s="1383" t="s">
        <v>402</v>
      </c>
      <c r="B33" s="1383"/>
      <c r="C33" s="1383"/>
      <c r="D33" s="1383"/>
      <c r="E33" s="1383"/>
      <c r="F33" s="395"/>
      <c r="G33" s="1383" t="s">
        <v>403</v>
      </c>
      <c r="H33" s="1383"/>
      <c r="I33" s="1383"/>
      <c r="J33" s="1383"/>
      <c r="K33" s="1383"/>
    </row>
    <row r="34" spans="1:11" ht="6" customHeight="1" x14ac:dyDescent="0.3">
      <c r="A34" s="392"/>
      <c r="B34" s="392"/>
      <c r="C34" s="392"/>
      <c r="D34" s="392"/>
      <c r="E34" s="392"/>
      <c r="F34" s="392"/>
      <c r="G34" s="392"/>
      <c r="H34" s="392"/>
      <c r="I34" s="392"/>
      <c r="J34" s="392"/>
      <c r="K34" s="392"/>
    </row>
    <row r="35" spans="1:11" ht="15" customHeight="1" x14ac:dyDescent="0.3">
      <c r="A35" s="1379" t="s">
        <v>404</v>
      </c>
      <c r="B35" s="1379"/>
      <c r="C35" s="1379"/>
      <c r="D35" s="1379"/>
      <c r="E35" s="1379"/>
      <c r="F35" s="392"/>
      <c r="G35" s="1379" t="s">
        <v>410</v>
      </c>
      <c r="H35" s="1379"/>
      <c r="I35" s="1379"/>
      <c r="J35" s="1379"/>
      <c r="K35" s="1379"/>
    </row>
    <row r="36" spans="1:11" ht="15" customHeight="1" x14ac:dyDescent="0.3">
      <c r="A36" s="1379" t="s">
        <v>405</v>
      </c>
      <c r="B36" s="1379"/>
      <c r="C36" s="1379"/>
      <c r="D36" s="1379"/>
      <c r="E36" s="1379"/>
      <c r="F36" s="392"/>
      <c r="G36" s="1379" t="s">
        <v>411</v>
      </c>
      <c r="H36" s="1379"/>
      <c r="I36" s="1379"/>
      <c r="J36" s="1379"/>
      <c r="K36" s="1379"/>
    </row>
    <row r="37" spans="1:11" ht="15" customHeight="1" x14ac:dyDescent="0.3">
      <c r="A37" s="392"/>
      <c r="B37" s="392"/>
      <c r="C37" s="392"/>
      <c r="D37" s="392"/>
      <c r="E37" s="392"/>
      <c r="F37" s="392"/>
      <c r="G37" s="16" t="s">
        <v>656</v>
      </c>
    </row>
    <row r="38" spans="1:11" ht="15" customHeight="1" x14ac:dyDescent="0.3">
      <c r="A38" s="1379" t="s">
        <v>406</v>
      </c>
      <c r="B38" s="1379"/>
      <c r="C38" s="1379"/>
      <c r="D38" s="1379"/>
      <c r="E38" s="1379"/>
      <c r="F38" s="392"/>
      <c r="G38" s="1379" t="s">
        <v>412</v>
      </c>
      <c r="H38" s="1379"/>
      <c r="I38" s="1379"/>
      <c r="J38" s="1379"/>
      <c r="K38" s="1379"/>
    </row>
    <row r="39" spans="1:11" ht="15" customHeight="1" x14ac:dyDescent="0.3">
      <c r="A39" s="1379" t="s">
        <v>407</v>
      </c>
      <c r="B39" s="1379"/>
      <c r="C39" s="1379"/>
      <c r="D39" s="1379"/>
      <c r="E39" s="1379"/>
      <c r="F39" s="392"/>
      <c r="G39" s="1379" t="s">
        <v>413</v>
      </c>
      <c r="H39" s="1379"/>
      <c r="I39" s="1379"/>
      <c r="J39" s="1379"/>
      <c r="K39" s="1379"/>
    </row>
    <row r="40" spans="1:11" ht="15" customHeight="1" x14ac:dyDescent="0.3">
      <c r="A40" s="392"/>
      <c r="B40" s="392"/>
      <c r="C40" s="392"/>
      <c r="D40" s="392"/>
      <c r="E40" s="392"/>
      <c r="F40" s="392"/>
      <c r="G40" s="1378" t="s">
        <v>601</v>
      </c>
      <c r="H40" s="1378"/>
      <c r="I40" s="1378"/>
      <c r="J40" s="1378"/>
      <c r="K40" s="1378"/>
    </row>
    <row r="41" spans="1:11" ht="15" customHeight="1" x14ac:dyDescent="0.3">
      <c r="A41" s="1379" t="s">
        <v>408</v>
      </c>
      <c r="B41" s="1379"/>
      <c r="C41" s="1379"/>
      <c r="D41" s="1379"/>
      <c r="E41" s="1379"/>
      <c r="F41" s="392"/>
      <c r="G41" s="1379" t="s">
        <v>414</v>
      </c>
      <c r="H41" s="1379"/>
      <c r="I41" s="1379"/>
      <c r="J41" s="1379"/>
      <c r="K41" s="1379"/>
    </row>
    <row r="42" spans="1:11" ht="15" customHeight="1" x14ac:dyDescent="0.3">
      <c r="A42" s="1379" t="s">
        <v>409</v>
      </c>
      <c r="B42" s="1379"/>
      <c r="C42" s="1379"/>
      <c r="D42" s="1379"/>
      <c r="E42" s="1379"/>
      <c r="F42" s="392"/>
      <c r="G42" s="255" t="s">
        <v>655</v>
      </c>
      <c r="H42" s="845"/>
      <c r="I42" s="845"/>
      <c r="J42" s="845"/>
      <c r="K42" s="845"/>
    </row>
    <row r="43" spans="1:11" ht="15" customHeight="1" x14ac:dyDescent="0.3">
      <c r="A43" s="484"/>
      <c r="B43" s="484"/>
      <c r="C43" s="484"/>
      <c r="D43" s="484"/>
      <c r="E43" s="484"/>
      <c r="F43" s="392"/>
      <c r="G43" s="845" t="s">
        <v>415</v>
      </c>
      <c r="H43" s="845"/>
      <c r="I43" s="845"/>
      <c r="J43" s="845"/>
      <c r="K43" s="845"/>
    </row>
    <row r="44" spans="1:11" ht="15" customHeight="1" x14ac:dyDescent="0.3">
      <c r="A44" s="483" t="s">
        <v>496</v>
      </c>
      <c r="B44" s="484"/>
      <c r="C44" s="484"/>
      <c r="D44" s="484"/>
      <c r="E44" s="484"/>
      <c r="F44" s="392"/>
      <c r="G44" s="16" t="s">
        <v>657</v>
      </c>
      <c r="H44" s="845"/>
      <c r="I44" s="845"/>
      <c r="J44" s="845"/>
      <c r="K44" s="845"/>
    </row>
    <row r="45" spans="1:11" ht="15" customHeight="1" x14ac:dyDescent="0.3">
      <c r="A45" s="485" t="s">
        <v>497</v>
      </c>
      <c r="B45" s="392"/>
      <c r="C45" s="392"/>
      <c r="D45" s="392"/>
      <c r="E45" s="392"/>
      <c r="F45" s="392"/>
      <c r="G45" s="845" t="s">
        <v>416</v>
      </c>
      <c r="H45" s="486"/>
      <c r="I45" s="486"/>
      <c r="J45" s="486"/>
      <c r="K45" s="486"/>
    </row>
    <row r="46" spans="1:11" x14ac:dyDescent="0.3">
      <c r="A46" s="392"/>
      <c r="B46" s="392"/>
      <c r="C46" s="392"/>
      <c r="D46" s="392"/>
      <c r="E46" s="392"/>
      <c r="F46" s="392"/>
      <c r="G46" s="845" t="s">
        <v>417</v>
      </c>
      <c r="H46" s="392"/>
      <c r="I46" s="392"/>
      <c r="J46" s="392"/>
      <c r="K46" s="392"/>
    </row>
    <row r="47" spans="1:11" x14ac:dyDescent="0.3">
      <c r="A47" s="1377" t="s">
        <v>421</v>
      </c>
      <c r="B47" s="1377"/>
      <c r="C47" s="1377"/>
      <c r="D47" s="1377"/>
      <c r="E47" s="1377"/>
      <c r="F47" s="1377"/>
      <c r="G47" s="1377"/>
      <c r="H47" s="1377"/>
      <c r="I47" s="1377"/>
      <c r="J47" s="1377"/>
      <c r="K47" s="1377"/>
    </row>
    <row r="48" spans="1:11" x14ac:dyDescent="0.3">
      <c r="A48" s="1379" t="s">
        <v>289</v>
      </c>
      <c r="B48" s="1380"/>
      <c r="C48" s="1380"/>
      <c r="D48" s="1380"/>
      <c r="E48" s="1380"/>
      <c r="F48" s="1380"/>
      <c r="G48" s="1380"/>
      <c r="H48" s="1380"/>
      <c r="I48" s="1380"/>
      <c r="J48" s="1380"/>
      <c r="K48" s="1380"/>
    </row>
    <row r="49" spans="1:11" x14ac:dyDescent="0.3">
      <c r="A49" s="1379" t="s">
        <v>420</v>
      </c>
      <c r="B49" s="1379"/>
      <c r="C49" s="1379"/>
      <c r="D49" s="1379"/>
      <c r="E49" s="1379"/>
      <c r="F49" s="1379"/>
      <c r="G49" s="1381" t="s">
        <v>485</v>
      </c>
      <c r="H49" s="1381"/>
      <c r="I49" s="396"/>
      <c r="J49" s="392"/>
      <c r="K49" s="392"/>
    </row>
    <row r="50" spans="1:11" x14ac:dyDescent="0.3">
      <c r="A50" s="1382" t="s">
        <v>419</v>
      </c>
      <c r="B50" s="1382"/>
      <c r="C50" s="1382"/>
      <c r="D50" s="1382"/>
      <c r="E50" s="1382"/>
      <c r="F50" s="1382"/>
      <c r="G50" s="1381" t="s">
        <v>486</v>
      </c>
      <c r="H50" s="1381"/>
      <c r="I50" s="397"/>
      <c r="J50" s="392"/>
      <c r="K50" s="392"/>
    </row>
    <row r="51" spans="1:11" x14ac:dyDescent="0.3">
      <c r="A51" s="1378" t="s">
        <v>418</v>
      </c>
      <c r="B51" s="1380"/>
      <c r="C51" s="1380"/>
      <c r="D51" s="1380"/>
      <c r="E51" s="1380"/>
      <c r="F51" s="1380"/>
      <c r="G51" s="1380"/>
      <c r="H51" s="1380"/>
      <c r="I51" s="1380"/>
      <c r="J51" s="1380"/>
      <c r="K51" s="1380"/>
    </row>
  </sheetData>
  <mergeCells count="49">
    <mergeCell ref="A5:K5"/>
    <mergeCell ref="G26:K26"/>
    <mergeCell ref="A35:E35"/>
    <mergeCell ref="A1:K1"/>
    <mergeCell ref="A7:K7"/>
    <mergeCell ref="G17:K17"/>
    <mergeCell ref="G14:K14"/>
    <mergeCell ref="G9:K9"/>
    <mergeCell ref="A12:E12"/>
    <mergeCell ref="A11:E11"/>
    <mergeCell ref="A9:E9"/>
    <mergeCell ref="G15:K15"/>
    <mergeCell ref="G12:K12"/>
    <mergeCell ref="A17:E17"/>
    <mergeCell ref="A15:E15"/>
    <mergeCell ref="A14:E14"/>
    <mergeCell ref="G11:K11"/>
    <mergeCell ref="A39:E39"/>
    <mergeCell ref="A38:E38"/>
    <mergeCell ref="G35:K35"/>
    <mergeCell ref="A3:K3"/>
    <mergeCell ref="G33:K33"/>
    <mergeCell ref="A24:E24"/>
    <mergeCell ref="A23:E23"/>
    <mergeCell ref="A21:E21"/>
    <mergeCell ref="A20:E20"/>
    <mergeCell ref="G27:K27"/>
    <mergeCell ref="G20:K20"/>
    <mergeCell ref="G18:K18"/>
    <mergeCell ref="G24:K24"/>
    <mergeCell ref="A18:E18"/>
    <mergeCell ref="G23:K23"/>
    <mergeCell ref="G21:K21"/>
    <mergeCell ref="A33:E33"/>
    <mergeCell ref="G39:K39"/>
    <mergeCell ref="G38:K38"/>
    <mergeCell ref="G36:K36"/>
    <mergeCell ref="A36:E36"/>
    <mergeCell ref="A51:K51"/>
    <mergeCell ref="A48:K48"/>
    <mergeCell ref="G49:H49"/>
    <mergeCell ref="G50:H50"/>
    <mergeCell ref="A49:F49"/>
    <mergeCell ref="A50:F50"/>
    <mergeCell ref="A47:K47"/>
    <mergeCell ref="G40:K40"/>
    <mergeCell ref="G41:K41"/>
    <mergeCell ref="A42:E42"/>
    <mergeCell ref="A41:E41"/>
  </mergeCells>
  <phoneticPr fontId="6" type="noConversion"/>
  <pageMargins left="0.75" right="0.75" top="1.25" bottom="0.5" header="0.5" footer="0.5"/>
  <pageSetup scale="95" orientation="portrait" horizontalDpi="200" verticalDpi="200"/>
  <headerFooter>
    <oddHeader>&amp;L&amp;K000000&amp;G&amp;"Calibri,Regular"&amp;18WFTDA StatsBook Credits&amp;R&amp;"Calibri,Regular"&amp;K000000‘WFTDA StatsBook Credits’ revision 140421
StatsBook © 2008–2014 WFTDA</oddHeader>
  </headerFooter>
  <colBreaks count="1" manualBreakCount="1">
    <brk id="11" max="1048575" man="1"/>
  </colBreaks>
  <legacyDrawingHF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1"/>
  </sheetPr>
  <dimension ref="A1:J109"/>
  <sheetViews>
    <sheetView topLeftCell="A4" workbookViewId="0"/>
  </sheetViews>
  <sheetFormatPr defaultColWidth="8.6640625" defaultRowHeight="13.8" x14ac:dyDescent="0.3"/>
  <cols>
    <col min="1" max="1" width="8.6640625" style="255" customWidth="1"/>
    <col min="2" max="2" width="4.6640625" style="255" customWidth="1"/>
    <col min="3" max="3" width="12.6640625" style="255" customWidth="1"/>
    <col min="4" max="9" width="8.6640625" style="255" customWidth="1"/>
    <col min="10" max="10" width="25.33203125" style="255" customWidth="1"/>
    <col min="11" max="16384" width="8.6640625" style="255"/>
  </cols>
  <sheetData>
    <row r="1" spans="1:10" ht="15" customHeight="1" x14ac:dyDescent="0.3">
      <c r="C1" s="258"/>
      <c r="D1" s="258"/>
      <c r="E1" s="258"/>
      <c r="F1" s="258"/>
      <c r="G1" s="258"/>
      <c r="H1" s="258"/>
      <c r="I1" s="258"/>
      <c r="J1" s="258"/>
    </row>
    <row r="2" spans="1:10" ht="30" customHeight="1" x14ac:dyDescent="0.3">
      <c r="A2" s="1396" t="s">
        <v>422</v>
      </c>
      <c r="B2" s="1396"/>
      <c r="C2" s="1396"/>
      <c r="D2" s="1396"/>
      <c r="E2" s="1396"/>
      <c r="F2" s="1396"/>
      <c r="G2" s="1396"/>
      <c r="H2" s="1396"/>
      <c r="I2" s="1396"/>
      <c r="J2" s="1396"/>
    </row>
    <row r="3" spans="1:10" ht="75" customHeight="1" x14ac:dyDescent="0.3">
      <c r="B3" s="1397" t="s">
        <v>423</v>
      </c>
      <c r="C3" s="1397"/>
      <c r="D3" s="1397"/>
      <c r="E3" s="1397"/>
      <c r="F3" s="1397"/>
      <c r="G3" s="1397"/>
      <c r="H3" s="1397"/>
      <c r="I3" s="1397"/>
      <c r="J3" s="1397"/>
    </row>
    <row r="4" spans="1:10" ht="15" customHeight="1" x14ac:dyDescent="0.3">
      <c r="B4" s="1387" t="s">
        <v>424</v>
      </c>
      <c r="C4" s="1387"/>
      <c r="D4" s="1387"/>
      <c r="E4" s="1387"/>
      <c r="F4" s="1387"/>
      <c r="G4" s="1387"/>
      <c r="H4" s="1387"/>
      <c r="I4" s="1387"/>
      <c r="J4" s="1387"/>
    </row>
    <row r="5" spans="1:10" ht="30" customHeight="1" x14ac:dyDescent="0.3">
      <c r="B5" s="258"/>
      <c r="C5" s="258"/>
      <c r="D5" s="258"/>
      <c r="E5" s="258"/>
      <c r="F5" s="258"/>
      <c r="G5" s="258"/>
      <c r="H5" s="258"/>
      <c r="I5" s="258"/>
      <c r="J5" s="258"/>
    </row>
    <row r="6" spans="1:10" ht="30" customHeight="1" x14ac:dyDescent="0.3">
      <c r="A6" s="1396" t="s">
        <v>425</v>
      </c>
      <c r="B6" s="1396"/>
      <c r="C6" s="1396"/>
      <c r="D6" s="1396"/>
      <c r="E6" s="1396"/>
      <c r="F6" s="1396"/>
      <c r="G6" s="1396"/>
      <c r="H6" s="1396"/>
      <c r="I6" s="1396"/>
      <c r="J6" s="1396"/>
    </row>
    <row r="7" spans="1:10" ht="15" customHeight="1" x14ac:dyDescent="0.3">
      <c r="B7" s="1392" t="s">
        <v>651</v>
      </c>
      <c r="C7" s="1387"/>
      <c r="D7" s="1387"/>
      <c r="E7" s="1387"/>
      <c r="F7" s="1387"/>
      <c r="G7" s="1387"/>
      <c r="H7" s="1387"/>
      <c r="I7" s="1387"/>
      <c r="J7" s="1387"/>
    </row>
    <row r="8" spans="1:10" ht="15" customHeight="1" x14ac:dyDescent="0.3">
      <c r="B8" s="1392" t="s">
        <v>549</v>
      </c>
      <c r="C8" s="1387"/>
      <c r="D8" s="1387"/>
      <c r="E8" s="1387"/>
      <c r="F8" s="1387"/>
      <c r="G8" s="1387"/>
      <c r="H8" s="1387"/>
      <c r="I8" s="1387"/>
      <c r="J8" s="1387"/>
    </row>
    <row r="9" spans="1:10" ht="15" customHeight="1" x14ac:dyDescent="0.3"/>
    <row r="10" spans="1:10" ht="15" customHeight="1" x14ac:dyDescent="0.3">
      <c r="B10" s="759" t="s">
        <v>598</v>
      </c>
    </row>
    <row r="11" spans="1:10" ht="15" customHeight="1" x14ac:dyDescent="0.3">
      <c r="B11" s="259" t="s">
        <v>293</v>
      </c>
      <c r="C11" s="16" t="s">
        <v>582</v>
      </c>
    </row>
    <row r="12" spans="1:10" ht="15" customHeight="1" x14ac:dyDescent="0.3">
      <c r="B12" s="259" t="s">
        <v>267</v>
      </c>
      <c r="C12" s="16" t="s">
        <v>609</v>
      </c>
    </row>
    <row r="13" spans="1:10" ht="12.75" customHeight="1" x14ac:dyDescent="0.3">
      <c r="B13" s="471" t="s">
        <v>270</v>
      </c>
      <c r="C13" s="852" t="s">
        <v>603</v>
      </c>
      <c r="D13" s="852"/>
      <c r="E13" s="852"/>
      <c r="F13" s="852"/>
      <c r="G13" s="852"/>
      <c r="H13" s="852"/>
      <c r="I13" s="852"/>
      <c r="J13" s="852"/>
    </row>
    <row r="14" spans="1:10" ht="15" customHeight="1" x14ac:dyDescent="0.3">
      <c r="B14" s="471" t="s">
        <v>272</v>
      </c>
      <c r="C14" s="16" t="s">
        <v>602</v>
      </c>
    </row>
    <row r="15" spans="1:10" ht="15" customHeight="1" x14ac:dyDescent="0.3">
      <c r="B15" s="471" t="s">
        <v>274</v>
      </c>
      <c r="C15" s="16" t="s">
        <v>600</v>
      </c>
    </row>
    <row r="16" spans="1:10" ht="15" customHeight="1" x14ac:dyDescent="0.3">
      <c r="B16" s="471" t="s">
        <v>285</v>
      </c>
      <c r="C16" s="16" t="s">
        <v>624</v>
      </c>
    </row>
    <row r="17" spans="2:10" ht="15" customHeight="1" x14ac:dyDescent="0.3">
      <c r="B17" s="853" t="s">
        <v>435</v>
      </c>
      <c r="C17" s="16" t="s">
        <v>623</v>
      </c>
    </row>
    <row r="18" spans="2:10" ht="15" customHeight="1" x14ac:dyDescent="0.3"/>
    <row r="19" spans="2:10" ht="15" customHeight="1" x14ac:dyDescent="0.3">
      <c r="B19" s="759" t="s">
        <v>612</v>
      </c>
    </row>
    <row r="20" spans="2:10" ht="15" customHeight="1" x14ac:dyDescent="0.3">
      <c r="B20" s="259" t="s">
        <v>293</v>
      </c>
      <c r="C20" s="16" t="s">
        <v>555</v>
      </c>
    </row>
    <row r="21" spans="2:10" ht="15" customHeight="1" x14ac:dyDescent="0.3">
      <c r="B21" s="259" t="s">
        <v>267</v>
      </c>
      <c r="C21" s="16" t="s">
        <v>556</v>
      </c>
    </row>
    <row r="22" spans="2:10" ht="15" customHeight="1" x14ac:dyDescent="0.3">
      <c r="B22" s="471" t="s">
        <v>270</v>
      </c>
      <c r="C22" s="16" t="s">
        <v>560</v>
      </c>
    </row>
    <row r="23" spans="2:10" ht="15" customHeight="1" x14ac:dyDescent="0.3">
      <c r="B23" s="471" t="s">
        <v>272</v>
      </c>
      <c r="C23" s="16" t="s">
        <v>561</v>
      </c>
    </row>
    <row r="24" spans="2:10" ht="15" customHeight="1" x14ac:dyDescent="0.3">
      <c r="B24" s="471" t="s">
        <v>274</v>
      </c>
      <c r="C24" s="16" t="s">
        <v>558</v>
      </c>
    </row>
    <row r="25" spans="2:10" ht="15" customHeight="1" x14ac:dyDescent="0.3"/>
    <row r="26" spans="2:10" ht="15" customHeight="1" x14ac:dyDescent="0.3">
      <c r="B26" s="1398" t="s">
        <v>548</v>
      </c>
      <c r="C26" s="1391"/>
      <c r="D26" s="1391"/>
      <c r="E26" s="1391"/>
      <c r="F26" s="1391"/>
      <c r="G26" s="1391"/>
      <c r="H26" s="1391"/>
      <c r="I26" s="1391"/>
      <c r="J26" s="1391"/>
    </row>
    <row r="27" spans="2:10" ht="15" customHeight="1" x14ac:dyDescent="0.3">
      <c r="B27" s="259" t="s">
        <v>293</v>
      </c>
      <c r="C27" s="1392" t="s">
        <v>488</v>
      </c>
      <c r="D27" s="1387"/>
      <c r="E27" s="1387"/>
      <c r="F27" s="1387"/>
      <c r="G27" s="1387"/>
      <c r="H27" s="1387"/>
      <c r="I27" s="1387"/>
      <c r="J27" s="1387"/>
    </row>
    <row r="28" spans="2:10" ht="15" customHeight="1" x14ac:dyDescent="0.3">
      <c r="B28" s="259" t="s">
        <v>267</v>
      </c>
      <c r="C28" s="1392" t="s">
        <v>487</v>
      </c>
      <c r="D28" s="1387"/>
      <c r="E28" s="1387"/>
      <c r="F28" s="1387"/>
      <c r="G28" s="1387"/>
      <c r="H28" s="1387"/>
      <c r="I28" s="1387"/>
      <c r="J28" s="1387"/>
    </row>
    <row r="29" spans="2:10" ht="15" customHeight="1" x14ac:dyDescent="0.3">
      <c r="B29" s="471" t="s">
        <v>270</v>
      </c>
      <c r="C29" s="1392" t="s">
        <v>490</v>
      </c>
      <c r="D29" s="1387"/>
      <c r="E29" s="1387"/>
      <c r="F29" s="1387"/>
      <c r="G29" s="1387"/>
      <c r="H29" s="1387"/>
      <c r="I29" s="1387"/>
      <c r="J29" s="1387"/>
    </row>
    <row r="30" spans="2:10" ht="15" customHeight="1" x14ac:dyDescent="0.3">
      <c r="B30" s="471" t="s">
        <v>272</v>
      </c>
      <c r="C30" s="451" t="s">
        <v>491</v>
      </c>
      <c r="D30" s="450"/>
      <c r="E30" s="450"/>
      <c r="F30" s="450"/>
      <c r="G30" s="450"/>
      <c r="H30" s="450"/>
      <c r="I30" s="450"/>
      <c r="J30" s="450"/>
    </row>
    <row r="31" spans="2:10" ht="15" customHeight="1" x14ac:dyDescent="0.3">
      <c r="B31" s="471" t="s">
        <v>274</v>
      </c>
      <c r="C31" s="1392" t="s">
        <v>489</v>
      </c>
      <c r="D31" s="1387"/>
      <c r="E31" s="1387"/>
      <c r="F31" s="1387"/>
      <c r="G31" s="1387"/>
      <c r="H31" s="1387"/>
      <c r="I31" s="1387"/>
      <c r="J31" s="1387"/>
    </row>
    <row r="32" spans="2:10" ht="15" customHeight="1" x14ac:dyDescent="0.3"/>
    <row r="33" spans="2:10" ht="15" customHeight="1" x14ac:dyDescent="0.3">
      <c r="B33" s="1398" t="s">
        <v>547</v>
      </c>
      <c r="C33" s="1391"/>
      <c r="D33" s="1391"/>
      <c r="E33" s="1391"/>
      <c r="F33" s="1391"/>
      <c r="G33" s="1391"/>
      <c r="H33" s="1391"/>
      <c r="I33" s="1391"/>
      <c r="J33" s="1391"/>
    </row>
    <row r="34" spans="2:10" ht="15" customHeight="1" x14ac:dyDescent="0.3">
      <c r="B34" s="259" t="s">
        <v>293</v>
      </c>
      <c r="C34" s="1387" t="s">
        <v>426</v>
      </c>
      <c r="D34" s="1387"/>
      <c r="E34" s="1387"/>
      <c r="F34" s="1387"/>
      <c r="G34" s="1387"/>
      <c r="H34" s="1387"/>
      <c r="I34" s="1387"/>
      <c r="J34" s="1387"/>
    </row>
    <row r="35" spans="2:10" ht="15" customHeight="1" x14ac:dyDescent="0.3">
      <c r="B35" s="259" t="s">
        <v>267</v>
      </c>
      <c r="C35" s="1387" t="s">
        <v>432</v>
      </c>
      <c r="D35" s="1387"/>
      <c r="E35" s="1387"/>
      <c r="F35" s="1387"/>
      <c r="G35" s="1387"/>
      <c r="H35" s="1387"/>
      <c r="I35" s="1387"/>
      <c r="J35" s="1387"/>
    </row>
    <row r="36" spans="2:10" ht="15" customHeight="1" x14ac:dyDescent="0.3">
      <c r="B36" s="259" t="s">
        <v>270</v>
      </c>
      <c r="C36" s="1387" t="s">
        <v>427</v>
      </c>
      <c r="D36" s="1387"/>
      <c r="E36" s="1387"/>
      <c r="F36" s="1387"/>
      <c r="G36" s="1387"/>
      <c r="H36" s="1387"/>
      <c r="I36" s="1387"/>
      <c r="J36" s="1387"/>
    </row>
    <row r="37" spans="2:10" ht="15" customHeight="1" x14ac:dyDescent="0.3">
      <c r="B37" s="259" t="s">
        <v>272</v>
      </c>
      <c r="C37" s="1387" t="s">
        <v>428</v>
      </c>
      <c r="D37" s="1387"/>
      <c r="E37" s="1387"/>
      <c r="F37" s="1387"/>
      <c r="G37" s="1387"/>
      <c r="H37" s="1387"/>
      <c r="I37" s="1387"/>
      <c r="J37" s="1387"/>
    </row>
    <row r="38" spans="2:10" ht="15" customHeight="1" x14ac:dyDescent="0.3">
      <c r="B38" s="259" t="s">
        <v>274</v>
      </c>
      <c r="C38" s="1387" t="s">
        <v>429</v>
      </c>
      <c r="D38" s="1387"/>
      <c r="E38" s="1387"/>
      <c r="F38" s="1387"/>
      <c r="G38" s="1387"/>
      <c r="H38" s="1387"/>
      <c r="I38" s="1387"/>
      <c r="J38" s="1387"/>
    </row>
    <row r="39" spans="2:10" ht="15" customHeight="1" x14ac:dyDescent="0.3">
      <c r="B39" s="259" t="s">
        <v>285</v>
      </c>
      <c r="C39" s="1387" t="s">
        <v>430</v>
      </c>
      <c r="D39" s="1387"/>
      <c r="E39" s="1387"/>
      <c r="F39" s="1387"/>
      <c r="G39" s="1387"/>
      <c r="H39" s="1387"/>
      <c r="I39" s="1387"/>
      <c r="J39" s="1387"/>
    </row>
    <row r="40" spans="2:10" ht="15" customHeight="1" x14ac:dyDescent="0.3">
      <c r="B40" s="259" t="s">
        <v>435</v>
      </c>
      <c r="C40" s="1387" t="s">
        <v>431</v>
      </c>
      <c r="D40" s="1387"/>
      <c r="E40" s="1387"/>
      <c r="F40" s="1387"/>
      <c r="G40" s="1387"/>
      <c r="H40" s="1387"/>
      <c r="I40" s="1387"/>
      <c r="J40" s="1387"/>
    </row>
    <row r="41" spans="2:10" ht="15" customHeight="1" x14ac:dyDescent="0.3">
      <c r="B41" s="259" t="s">
        <v>436</v>
      </c>
      <c r="C41" s="1387" t="s">
        <v>433</v>
      </c>
      <c r="D41" s="1387"/>
      <c r="E41" s="1387"/>
      <c r="F41" s="1387"/>
      <c r="G41" s="1387"/>
      <c r="H41" s="1387"/>
      <c r="I41" s="1387"/>
      <c r="J41" s="1387"/>
    </row>
    <row r="42" spans="2:10" ht="30" customHeight="1" x14ac:dyDescent="0.3">
      <c r="B42" s="260" t="s">
        <v>437</v>
      </c>
      <c r="C42" s="1397" t="s">
        <v>434</v>
      </c>
      <c r="D42" s="1397"/>
      <c r="E42" s="1397"/>
      <c r="F42" s="1397"/>
      <c r="G42" s="1397"/>
      <c r="H42" s="1397"/>
      <c r="I42" s="1397"/>
      <c r="J42" s="1397"/>
    </row>
    <row r="43" spans="2:10" ht="15" customHeight="1" x14ac:dyDescent="0.3">
      <c r="C43" s="258"/>
      <c r="D43" s="258"/>
      <c r="E43" s="258"/>
      <c r="F43" s="258"/>
      <c r="G43" s="258"/>
      <c r="H43" s="258"/>
      <c r="I43" s="258"/>
      <c r="J43" s="258"/>
    </row>
    <row r="44" spans="2:10" ht="15" customHeight="1" x14ac:dyDescent="0.3">
      <c r="B44" s="1391" t="s">
        <v>438</v>
      </c>
      <c r="C44" s="1391"/>
      <c r="D44" s="1391"/>
      <c r="E44" s="1391"/>
      <c r="F44" s="1391"/>
      <c r="G44" s="1391"/>
      <c r="H44" s="1391"/>
      <c r="I44" s="1391"/>
      <c r="J44" s="1391"/>
    </row>
    <row r="45" spans="2:10" ht="15" customHeight="1" x14ac:dyDescent="0.3">
      <c r="B45" s="259" t="s">
        <v>293</v>
      </c>
      <c r="C45" s="1392" t="s">
        <v>567</v>
      </c>
      <c r="D45" s="1387"/>
      <c r="E45" s="1387"/>
      <c r="F45" s="1387"/>
      <c r="G45" s="1387"/>
      <c r="H45" s="1387"/>
      <c r="I45" s="1387"/>
      <c r="J45" s="1387"/>
    </row>
    <row r="46" spans="2:10" x14ac:dyDescent="0.3">
      <c r="B46" s="839" t="s">
        <v>267</v>
      </c>
      <c r="C46" s="900" t="s">
        <v>559</v>
      </c>
      <c r="D46" s="1395"/>
      <c r="E46" s="1395"/>
      <c r="F46" s="1395"/>
      <c r="G46" s="1395"/>
      <c r="H46" s="1395"/>
      <c r="I46" s="1395"/>
      <c r="J46" s="1395"/>
    </row>
    <row r="47" spans="2:10" ht="30" customHeight="1" x14ac:dyDescent="0.3">
      <c r="B47" s="260" t="s">
        <v>270</v>
      </c>
      <c r="C47" s="1397" t="s">
        <v>439</v>
      </c>
      <c r="D47" s="1397"/>
      <c r="E47" s="1397"/>
      <c r="F47" s="1397"/>
      <c r="G47" s="1397"/>
      <c r="H47" s="1397"/>
      <c r="I47" s="1397"/>
      <c r="J47" s="1397"/>
    </row>
    <row r="48" spans="2:10" ht="15" customHeight="1" x14ac:dyDescent="0.3"/>
    <row r="49" spans="1:10" ht="15" customHeight="1" x14ac:dyDescent="0.3"/>
    <row r="50" spans="1:10" ht="15" customHeight="1" x14ac:dyDescent="0.3"/>
    <row r="51" spans="1:10" ht="15" customHeight="1" x14ac:dyDescent="0.3"/>
    <row r="52" spans="1:10" ht="15" customHeight="1" x14ac:dyDescent="0.3"/>
    <row r="53" spans="1:10" ht="15" customHeight="1" x14ac:dyDescent="0.3"/>
    <row r="54" spans="1:10" ht="15" customHeight="1" x14ac:dyDescent="0.3"/>
    <row r="55" spans="1:10" ht="15" customHeight="1" x14ac:dyDescent="0.3">
      <c r="B55" s="258"/>
      <c r="C55" s="258"/>
      <c r="D55" s="258"/>
      <c r="E55" s="258"/>
      <c r="F55" s="258"/>
      <c r="G55" s="258"/>
      <c r="H55" s="258"/>
      <c r="I55" s="258"/>
      <c r="J55" s="258"/>
    </row>
    <row r="56" spans="1:10" ht="15" customHeight="1" x14ac:dyDescent="0.3"/>
    <row r="57" spans="1:10" ht="29.25" customHeight="1" x14ac:dyDescent="0.3">
      <c r="A57" s="1396" t="s">
        <v>468</v>
      </c>
      <c r="B57" s="1396"/>
      <c r="C57" s="1396"/>
      <c r="D57" s="1396"/>
      <c r="E57" s="1396"/>
      <c r="F57" s="1396"/>
      <c r="G57" s="1396"/>
      <c r="H57" s="1396"/>
      <c r="I57" s="1396"/>
      <c r="J57" s="1396"/>
    </row>
    <row r="58" spans="1:10" ht="15" customHeight="1" x14ac:dyDescent="0.3"/>
    <row r="59" spans="1:10" ht="15" customHeight="1" x14ac:dyDescent="0.3">
      <c r="B59" s="759" t="s">
        <v>564</v>
      </c>
    </row>
    <row r="60" spans="1:10" ht="15" customHeight="1" x14ac:dyDescent="0.3">
      <c r="B60" s="16" t="s">
        <v>563</v>
      </c>
    </row>
    <row r="61" spans="1:10" ht="15" customHeight="1" x14ac:dyDescent="0.3">
      <c r="B61" s="16" t="s">
        <v>565</v>
      </c>
    </row>
    <row r="62" spans="1:10" ht="15" customHeight="1" x14ac:dyDescent="0.3"/>
    <row r="63" spans="1:10" ht="15" customHeight="1" x14ac:dyDescent="0.3">
      <c r="B63" s="759" t="s">
        <v>552</v>
      </c>
    </row>
    <row r="64" spans="1:10" ht="15" customHeight="1" x14ac:dyDescent="0.3">
      <c r="B64" s="16" t="s">
        <v>562</v>
      </c>
    </row>
    <row r="65" spans="2:10" ht="15" customHeight="1" x14ac:dyDescent="0.3">
      <c r="B65" s="16" t="s">
        <v>566</v>
      </c>
    </row>
    <row r="66" spans="2:10" ht="15" customHeight="1" x14ac:dyDescent="0.3"/>
    <row r="67" spans="2:10" ht="15" customHeight="1" x14ac:dyDescent="0.3">
      <c r="B67" s="1390" t="s">
        <v>550</v>
      </c>
      <c r="C67" s="1391"/>
      <c r="D67" s="1391"/>
      <c r="E67" s="1391"/>
      <c r="F67" s="1391"/>
      <c r="G67" s="1391"/>
      <c r="H67" s="1391"/>
      <c r="I67" s="1391"/>
      <c r="J67" s="1391"/>
    </row>
    <row r="68" spans="2:10" ht="15" customHeight="1" x14ac:dyDescent="0.3">
      <c r="B68" s="1387" t="s">
        <v>469</v>
      </c>
      <c r="C68" s="1387"/>
      <c r="D68" s="1387"/>
      <c r="E68" s="1387"/>
      <c r="F68" s="1387"/>
      <c r="G68" s="1387"/>
      <c r="H68" s="1387"/>
      <c r="I68" s="1387"/>
      <c r="J68" s="1387"/>
    </row>
    <row r="69" spans="2:10" ht="15" customHeight="1" x14ac:dyDescent="0.3">
      <c r="B69" s="1392" t="s">
        <v>551</v>
      </c>
      <c r="C69" s="1387"/>
      <c r="D69" s="1387"/>
      <c r="E69" s="1387"/>
      <c r="F69" s="1387"/>
      <c r="G69" s="1387"/>
      <c r="H69" s="1387"/>
      <c r="I69" s="1387"/>
      <c r="J69" s="1387"/>
    </row>
    <row r="70" spans="2:10" ht="15" customHeight="1" x14ac:dyDescent="0.3"/>
    <row r="71" spans="2:10" ht="15" customHeight="1" x14ac:dyDescent="0.3">
      <c r="B71" s="1399" t="s">
        <v>441</v>
      </c>
      <c r="C71" s="1391"/>
      <c r="D71" s="1391"/>
      <c r="E71" s="1391"/>
      <c r="F71" s="1391"/>
      <c r="G71" s="1391"/>
      <c r="H71" s="1391"/>
      <c r="I71" s="1391"/>
      <c r="J71" s="1391"/>
    </row>
    <row r="72" spans="2:10" ht="15" customHeight="1" x14ac:dyDescent="0.3">
      <c r="B72" s="1392" t="s">
        <v>477</v>
      </c>
      <c r="C72" s="1387"/>
      <c r="D72" s="1387"/>
      <c r="E72" s="1387"/>
      <c r="F72" s="1387"/>
      <c r="G72" s="1387"/>
      <c r="H72" s="1387"/>
      <c r="I72" s="1387"/>
      <c r="J72" s="1387"/>
    </row>
    <row r="73" spans="2:10" ht="15" customHeight="1" x14ac:dyDescent="0.3">
      <c r="B73" s="1387" t="s">
        <v>470</v>
      </c>
      <c r="C73" s="1387"/>
      <c r="D73" s="1387"/>
      <c r="E73" s="1387"/>
      <c r="F73" s="1387"/>
      <c r="G73" s="1387"/>
      <c r="H73" s="1387"/>
      <c r="I73" s="1387"/>
      <c r="J73" s="1387"/>
    </row>
    <row r="74" spans="2:10" ht="15" customHeight="1" x14ac:dyDescent="0.3"/>
    <row r="75" spans="2:10" ht="15" customHeight="1" x14ac:dyDescent="0.3">
      <c r="B75" s="1393" t="s">
        <v>450</v>
      </c>
      <c r="C75" s="1393"/>
      <c r="D75" s="1393"/>
      <c r="E75" s="1394">
        <v>40354</v>
      </c>
      <c r="F75" s="1394"/>
      <c r="G75" s="1387"/>
      <c r="H75" s="1387"/>
      <c r="I75" s="1387"/>
      <c r="J75" s="1387"/>
    </row>
    <row r="76" spans="2:10" ht="15" customHeight="1" x14ac:dyDescent="0.3">
      <c r="B76" s="1387" t="s">
        <v>440</v>
      </c>
      <c r="C76" s="1387"/>
      <c r="D76" s="1387"/>
      <c r="E76" s="1387"/>
      <c r="F76" s="1387"/>
      <c r="G76" s="1387"/>
      <c r="H76" s="1387"/>
      <c r="I76" s="1387"/>
      <c r="J76" s="1387"/>
    </row>
    <row r="77" spans="2:10" ht="15" customHeight="1" x14ac:dyDescent="0.3">
      <c r="B77" s="1387" t="s">
        <v>466</v>
      </c>
      <c r="C77" s="1387"/>
      <c r="D77" s="1387"/>
      <c r="E77" s="1387"/>
      <c r="F77" s="1387"/>
      <c r="G77" s="1387"/>
      <c r="H77" s="1387"/>
      <c r="I77" s="1387"/>
      <c r="J77" s="1387"/>
    </row>
    <row r="78" spans="2:10" ht="15" customHeight="1" x14ac:dyDescent="0.3"/>
    <row r="79" spans="2:10" ht="15" customHeight="1" x14ac:dyDescent="0.3">
      <c r="B79" s="1393" t="s">
        <v>451</v>
      </c>
      <c r="C79" s="1393"/>
      <c r="D79" s="1393"/>
      <c r="E79" s="1394">
        <v>40268</v>
      </c>
      <c r="F79" s="1394"/>
      <c r="G79" s="1387"/>
      <c r="H79" s="1387"/>
      <c r="I79" s="1387"/>
      <c r="J79" s="1387"/>
    </row>
    <row r="80" spans="2:10" ht="15" customHeight="1" x14ac:dyDescent="0.3">
      <c r="B80" s="1393" t="s">
        <v>448</v>
      </c>
      <c r="C80" s="1393"/>
      <c r="D80" s="1393"/>
      <c r="E80" s="1394">
        <v>40256</v>
      </c>
      <c r="F80" s="1394"/>
      <c r="G80" s="1387" t="s">
        <v>467</v>
      </c>
      <c r="H80" s="1387"/>
      <c r="I80" s="1387"/>
      <c r="J80" s="1387"/>
    </row>
    <row r="81" spans="2:10" ht="15" customHeight="1" x14ac:dyDescent="0.3">
      <c r="B81" s="1393" t="s">
        <v>452</v>
      </c>
      <c r="C81" s="1393"/>
      <c r="D81" s="1393"/>
      <c r="E81" s="1394">
        <v>40218</v>
      </c>
      <c r="F81" s="1394"/>
      <c r="G81" s="1387" t="s">
        <v>459</v>
      </c>
      <c r="H81" s="1387"/>
      <c r="I81" s="1387"/>
      <c r="J81" s="1387"/>
    </row>
    <row r="82" spans="2:10" ht="15" customHeight="1" x14ac:dyDescent="0.3">
      <c r="B82" s="1393" t="s">
        <v>446</v>
      </c>
      <c r="C82" s="1393"/>
      <c r="D82" s="1393"/>
      <c r="E82" s="1394">
        <v>40107</v>
      </c>
      <c r="F82" s="1394"/>
      <c r="G82" s="1387"/>
      <c r="H82" s="1387"/>
      <c r="I82" s="1387"/>
      <c r="J82" s="1387"/>
    </row>
    <row r="83" spans="2:10" ht="15" customHeight="1" x14ac:dyDescent="0.3">
      <c r="B83" s="1393" t="s">
        <v>453</v>
      </c>
      <c r="C83" s="1393"/>
      <c r="D83" s="1393"/>
      <c r="E83" s="1394">
        <v>40092</v>
      </c>
      <c r="F83" s="1394"/>
      <c r="G83" s="1387" t="s">
        <v>458</v>
      </c>
      <c r="H83" s="1387"/>
      <c r="I83" s="1387"/>
      <c r="J83" s="1387"/>
    </row>
    <row r="84" spans="2:10" ht="15" customHeight="1" x14ac:dyDescent="0.3">
      <c r="B84" s="1387" t="s">
        <v>440</v>
      </c>
      <c r="C84" s="1387"/>
      <c r="D84" s="1387"/>
      <c r="E84" s="1387"/>
      <c r="F84" s="1387"/>
      <c r="G84" s="1387"/>
      <c r="H84" s="1387"/>
      <c r="I84" s="1387"/>
      <c r="J84" s="1387"/>
    </row>
    <row r="85" spans="2:10" ht="15" customHeight="1" x14ac:dyDescent="0.3">
      <c r="B85" s="262"/>
      <c r="C85" s="262"/>
      <c r="D85" s="262"/>
      <c r="E85" s="263"/>
      <c r="F85" s="263"/>
      <c r="G85" s="261"/>
      <c r="H85" s="261"/>
      <c r="I85" s="261"/>
      <c r="J85" s="261"/>
    </row>
    <row r="86" spans="2:10" ht="15" customHeight="1" x14ac:dyDescent="0.3">
      <c r="B86" s="1393" t="s">
        <v>447</v>
      </c>
      <c r="C86" s="1393"/>
      <c r="D86" s="1393"/>
      <c r="E86" s="1394"/>
      <c r="F86" s="1394"/>
      <c r="G86" s="1387"/>
      <c r="H86" s="1387"/>
      <c r="I86" s="1387"/>
      <c r="J86" s="1387"/>
    </row>
    <row r="87" spans="2:10" ht="15" customHeight="1" x14ac:dyDescent="0.3">
      <c r="B87" s="1387" t="s">
        <v>454</v>
      </c>
      <c r="C87" s="1387"/>
      <c r="D87" s="1387"/>
      <c r="E87" s="1387"/>
      <c r="F87" s="1387"/>
      <c r="G87" s="1387"/>
      <c r="H87" s="1387"/>
      <c r="I87" s="1387"/>
      <c r="J87" s="1387"/>
    </row>
    <row r="88" spans="2:10" ht="45" customHeight="1" x14ac:dyDescent="0.3">
      <c r="B88" s="1388" t="s">
        <v>472</v>
      </c>
      <c r="C88" s="1389"/>
      <c r="D88" s="1389"/>
      <c r="E88" s="1389"/>
      <c r="F88" s="1389"/>
      <c r="G88" s="1389"/>
      <c r="H88" s="1389"/>
      <c r="I88" s="1389"/>
      <c r="J88" s="1389"/>
    </row>
    <row r="89" spans="2:10" ht="15" customHeight="1" x14ac:dyDescent="0.3"/>
    <row r="90" spans="2:10" ht="15" customHeight="1" x14ac:dyDescent="0.3">
      <c r="B90" s="1393" t="s">
        <v>449</v>
      </c>
      <c r="C90" s="1393"/>
      <c r="D90" s="1393"/>
      <c r="E90" s="1394"/>
      <c r="F90" s="1394"/>
      <c r="G90" s="1387"/>
      <c r="H90" s="1387"/>
      <c r="I90" s="1387"/>
      <c r="J90" s="1387"/>
    </row>
    <row r="91" spans="2:10" ht="15" customHeight="1" x14ac:dyDescent="0.3">
      <c r="B91" s="1393" t="s">
        <v>456</v>
      </c>
      <c r="C91" s="1393"/>
      <c r="D91" s="1393"/>
      <c r="E91" s="1394">
        <v>40034</v>
      </c>
      <c r="F91" s="1394"/>
      <c r="G91" s="1387"/>
      <c r="H91" s="1387"/>
      <c r="I91" s="1387"/>
      <c r="J91" s="1387"/>
    </row>
    <row r="92" spans="2:10" ht="15" customHeight="1" x14ac:dyDescent="0.3">
      <c r="B92" s="1387" t="s">
        <v>455</v>
      </c>
      <c r="C92" s="1387"/>
      <c r="D92" s="1387"/>
      <c r="E92" s="1387"/>
      <c r="F92" s="1387"/>
      <c r="G92" s="1387"/>
      <c r="H92" s="1387"/>
      <c r="I92" s="1387"/>
      <c r="J92" s="1387"/>
    </row>
    <row r="93" spans="2:10" ht="30" customHeight="1" x14ac:dyDescent="0.3">
      <c r="B93" s="900" t="s">
        <v>471</v>
      </c>
      <c r="C93" s="1395"/>
      <c r="D93" s="1395"/>
      <c r="E93" s="1395"/>
      <c r="F93" s="1395"/>
      <c r="G93" s="1395"/>
      <c r="H93" s="1395"/>
      <c r="I93" s="1395"/>
      <c r="J93" s="1395"/>
    </row>
    <row r="94" spans="2:10" ht="15" customHeight="1" x14ac:dyDescent="0.3"/>
    <row r="95" spans="2:10" ht="15" customHeight="1" x14ac:dyDescent="0.3">
      <c r="B95" s="1393" t="s">
        <v>457</v>
      </c>
      <c r="C95" s="1393"/>
      <c r="D95" s="1393"/>
      <c r="E95" s="1394">
        <v>39898</v>
      </c>
      <c r="F95" s="1394"/>
      <c r="G95" s="1387"/>
      <c r="H95" s="1387"/>
      <c r="I95" s="1387"/>
      <c r="J95" s="1387"/>
    </row>
    <row r="96" spans="2:10" ht="15" customHeight="1" x14ac:dyDescent="0.3">
      <c r="B96" s="1387" t="s">
        <v>444</v>
      </c>
      <c r="C96" s="1387"/>
      <c r="D96" s="1387"/>
      <c r="E96" s="1387"/>
      <c r="F96" s="1387"/>
      <c r="G96" s="1387"/>
      <c r="H96" s="1387"/>
      <c r="I96" s="1387"/>
      <c r="J96" s="1387"/>
    </row>
    <row r="97" spans="2:10" ht="60" customHeight="1" x14ac:dyDescent="0.3">
      <c r="B97" s="1389" t="s">
        <v>465</v>
      </c>
      <c r="C97" s="1389"/>
      <c r="D97" s="1389"/>
      <c r="E97" s="1389"/>
      <c r="F97" s="1389"/>
      <c r="G97" s="1389"/>
      <c r="H97" s="1389"/>
      <c r="I97" s="1389"/>
      <c r="J97" s="1389"/>
    </row>
    <row r="98" spans="2:10" ht="15" customHeight="1" x14ac:dyDescent="0.3"/>
    <row r="99" spans="2:10" ht="15" customHeight="1" x14ac:dyDescent="0.3">
      <c r="B99" s="1393" t="s">
        <v>445</v>
      </c>
      <c r="C99" s="1393"/>
      <c r="D99" s="1393"/>
      <c r="E99" s="1394">
        <v>39720</v>
      </c>
      <c r="F99" s="1394"/>
      <c r="G99" s="1387"/>
      <c r="H99" s="1387"/>
      <c r="I99" s="1387"/>
      <c r="J99" s="1387"/>
    </row>
    <row r="100" spans="2:10" ht="15" customHeight="1" x14ac:dyDescent="0.3">
      <c r="B100" s="1387" t="s">
        <v>444</v>
      </c>
      <c r="C100" s="1387"/>
      <c r="D100" s="1387"/>
      <c r="E100" s="1387"/>
      <c r="F100" s="1387"/>
      <c r="G100" s="1387"/>
      <c r="H100" s="1387"/>
      <c r="I100" s="1387"/>
      <c r="J100" s="1387"/>
    </row>
    <row r="101" spans="2:10" ht="15" customHeight="1" x14ac:dyDescent="0.3">
      <c r="B101" s="1387" t="s">
        <v>460</v>
      </c>
      <c r="C101" s="1387"/>
      <c r="D101" s="1387"/>
      <c r="E101" s="1387"/>
      <c r="F101" s="1387"/>
      <c r="G101" s="1387"/>
      <c r="H101" s="1387"/>
      <c r="I101" s="1387"/>
      <c r="J101" s="1387"/>
    </row>
    <row r="102" spans="2:10" ht="15" customHeight="1" x14ac:dyDescent="0.3"/>
    <row r="103" spans="2:10" ht="15" customHeight="1" x14ac:dyDescent="0.3">
      <c r="B103" s="1393" t="s">
        <v>442</v>
      </c>
      <c r="C103" s="1393"/>
      <c r="D103" s="1393"/>
      <c r="E103" s="1394">
        <v>39692</v>
      </c>
      <c r="F103" s="1394"/>
      <c r="G103" s="1387"/>
      <c r="H103" s="1387"/>
      <c r="I103" s="1387"/>
      <c r="J103" s="1387"/>
    </row>
    <row r="104" spans="2:10" ht="15" customHeight="1" x14ac:dyDescent="0.3">
      <c r="B104" s="1387" t="s">
        <v>443</v>
      </c>
      <c r="C104" s="1387"/>
      <c r="D104" s="1387"/>
      <c r="E104" s="1387"/>
      <c r="F104" s="1387"/>
      <c r="G104" s="1387"/>
      <c r="H104" s="1387"/>
      <c r="I104" s="1387"/>
      <c r="J104" s="1387"/>
    </row>
    <row r="105" spans="2:10" ht="15" customHeight="1" x14ac:dyDescent="0.3">
      <c r="B105" s="1387" t="s">
        <v>464</v>
      </c>
      <c r="C105" s="1387"/>
      <c r="D105" s="1387"/>
      <c r="E105" s="1387"/>
      <c r="F105" s="1387"/>
      <c r="G105" s="1387"/>
      <c r="H105" s="1387"/>
      <c r="I105" s="1387"/>
      <c r="J105" s="1387"/>
    </row>
    <row r="106" spans="2:10" ht="15" customHeight="1" x14ac:dyDescent="0.3"/>
    <row r="107" spans="2:10" ht="15" customHeight="1" x14ac:dyDescent="0.3">
      <c r="B107" s="1393" t="s">
        <v>461</v>
      </c>
      <c r="C107" s="1393"/>
      <c r="D107" s="1393"/>
      <c r="E107" s="1394">
        <v>39118</v>
      </c>
      <c r="F107" s="1394"/>
      <c r="G107" s="1387"/>
      <c r="H107" s="1387"/>
      <c r="I107" s="1387"/>
      <c r="J107" s="1387"/>
    </row>
    <row r="108" spans="2:10" ht="15" customHeight="1" x14ac:dyDescent="0.3">
      <c r="B108" s="1387" t="s">
        <v>462</v>
      </c>
      <c r="C108" s="1387"/>
      <c r="D108" s="1387"/>
      <c r="E108" s="1387"/>
      <c r="F108" s="1387"/>
      <c r="G108" s="1387"/>
      <c r="H108" s="1387"/>
      <c r="I108" s="1387"/>
      <c r="J108" s="1387"/>
    </row>
    <row r="109" spans="2:10" ht="15" customHeight="1" x14ac:dyDescent="0.3">
      <c r="B109" s="1387" t="s">
        <v>463</v>
      </c>
      <c r="C109" s="1387"/>
      <c r="D109" s="1387"/>
      <c r="E109" s="1387"/>
      <c r="F109" s="1387"/>
      <c r="G109" s="1387"/>
      <c r="H109" s="1387"/>
      <c r="I109" s="1387"/>
      <c r="J109" s="1387"/>
    </row>
  </sheetData>
  <mergeCells count="86">
    <mergeCell ref="B26:J26"/>
    <mergeCell ref="C27:J27"/>
    <mergeCell ref="C28:J28"/>
    <mergeCell ref="C29:J29"/>
    <mergeCell ref="C31:J31"/>
    <mergeCell ref="B72:J72"/>
    <mergeCell ref="C42:J42"/>
    <mergeCell ref="C45:J45"/>
    <mergeCell ref="C46:J46"/>
    <mergeCell ref="C47:J47"/>
    <mergeCell ref="B71:J71"/>
    <mergeCell ref="B44:J44"/>
    <mergeCell ref="A6:J6"/>
    <mergeCell ref="A2:J2"/>
    <mergeCell ref="A57:J57"/>
    <mergeCell ref="C37:J37"/>
    <mergeCell ref="C38:J38"/>
    <mergeCell ref="C39:J39"/>
    <mergeCell ref="C40:J40"/>
    <mergeCell ref="C41:J41"/>
    <mergeCell ref="C34:J34"/>
    <mergeCell ref="C35:J35"/>
    <mergeCell ref="C36:J36"/>
    <mergeCell ref="B3:J3"/>
    <mergeCell ref="B4:J4"/>
    <mergeCell ref="B7:J7"/>
    <mergeCell ref="B8:J8"/>
    <mergeCell ref="B33:J33"/>
    <mergeCell ref="B80:D80"/>
    <mergeCell ref="E80:F80"/>
    <mergeCell ref="G80:J80"/>
    <mergeCell ref="B73:J73"/>
    <mergeCell ref="B76:J76"/>
    <mergeCell ref="B77:J77"/>
    <mergeCell ref="B75:D75"/>
    <mergeCell ref="E75:F75"/>
    <mergeCell ref="G75:J75"/>
    <mergeCell ref="B79:D79"/>
    <mergeCell ref="E79:F79"/>
    <mergeCell ref="G79:J79"/>
    <mergeCell ref="B104:J104"/>
    <mergeCell ref="B92:J92"/>
    <mergeCell ref="B93:J93"/>
    <mergeCell ref="B87:J87"/>
    <mergeCell ref="B100:J100"/>
    <mergeCell ref="B101:J101"/>
    <mergeCell ref="B96:J96"/>
    <mergeCell ref="B97:J97"/>
    <mergeCell ref="G99:J99"/>
    <mergeCell ref="B91:D91"/>
    <mergeCell ref="E91:F91"/>
    <mergeCell ref="G91:J91"/>
    <mergeCell ref="G90:J90"/>
    <mergeCell ref="B81:D81"/>
    <mergeCell ref="E81:F81"/>
    <mergeCell ref="G81:J81"/>
    <mergeCell ref="B82:D82"/>
    <mergeCell ref="E82:F82"/>
    <mergeCell ref="G82:J82"/>
    <mergeCell ref="B83:D83"/>
    <mergeCell ref="E83:F83"/>
    <mergeCell ref="G83:J83"/>
    <mergeCell ref="B86:D86"/>
    <mergeCell ref="E86:F86"/>
    <mergeCell ref="G86:J86"/>
    <mergeCell ref="B107:D107"/>
    <mergeCell ref="E107:F107"/>
    <mergeCell ref="G107:J107"/>
    <mergeCell ref="B108:J108"/>
    <mergeCell ref="B109:J109"/>
    <mergeCell ref="B105:J105"/>
    <mergeCell ref="B88:J88"/>
    <mergeCell ref="B67:J67"/>
    <mergeCell ref="B68:J68"/>
    <mergeCell ref="B69:J69"/>
    <mergeCell ref="B103:D103"/>
    <mergeCell ref="E103:F103"/>
    <mergeCell ref="G103:J103"/>
    <mergeCell ref="B95:D95"/>
    <mergeCell ref="E95:F95"/>
    <mergeCell ref="G95:J95"/>
    <mergeCell ref="B99:D99"/>
    <mergeCell ref="E99:F99"/>
    <mergeCell ref="B84:J84"/>
    <mergeCell ref="B90:D90"/>
    <mergeCell ref="E90:F90"/>
  </mergeCells>
  <phoneticPr fontId="6" type="noConversion"/>
  <pageMargins left="0.75" right="0.75" top="1.25" bottom="1" header="0.5" footer="0.5"/>
  <pageSetup scale="85" orientation="portrait" horizontalDpi="200" verticalDpi="200"/>
  <headerFooter>
    <oddHeader>&amp;L&amp;G&amp;"Calibri,Regular"&amp;18&amp;A&amp;R&amp;"Calibri,Regular"‘&amp;A’ revision 140421
StatsBook © 2008–2014 WFTDA</oddHeader>
  </headerFooter>
  <rowBreaks count="2" manualBreakCount="2">
    <brk id="42" max="16383" man="1"/>
    <brk id="88" max="9" man="1"/>
  </rowBreaks>
  <colBreaks count="1" manualBreakCount="1">
    <brk id="10" max="1048575" man="1"/>
  </colBreaks>
  <legacyDrawingHF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theme="5"/>
  </sheetPr>
  <dimension ref="A1:IV104"/>
  <sheetViews>
    <sheetView tabSelected="1" zoomScaleSheetLayoutView="100" workbookViewId="0">
      <selection sqref="A1:L1"/>
    </sheetView>
  </sheetViews>
  <sheetFormatPr defaultColWidth="8.6640625" defaultRowHeight="13.8" x14ac:dyDescent="0.3"/>
  <cols>
    <col min="1" max="1" width="12.6640625" style="158" customWidth="1"/>
    <col min="2" max="3" width="11.6640625" style="158" customWidth="1"/>
    <col min="4" max="4" width="9.44140625" style="158" customWidth="1"/>
    <col min="5" max="5" width="5.6640625" style="158" customWidth="1"/>
    <col min="6" max="6" width="4.6640625" style="158" customWidth="1"/>
    <col min="7" max="7" width="8.6640625" style="158" customWidth="1"/>
    <col min="8" max="9" width="11.6640625" style="158" customWidth="1"/>
    <col min="10" max="10" width="9.44140625" style="158" customWidth="1"/>
    <col min="11" max="11" width="4.44140625" style="158" customWidth="1"/>
    <col min="12" max="12" width="6.33203125" style="158" customWidth="1"/>
    <col min="13" max="13" width="8.6640625" style="157" customWidth="1"/>
    <col min="14" max="14" width="11" style="157" customWidth="1"/>
    <col min="15" max="179" width="8.6640625" style="157" customWidth="1"/>
    <col min="180" max="256" width="11.44140625" style="158" customWidth="1"/>
    <col min="257" max="16384" width="8.6640625" style="158"/>
  </cols>
  <sheetData>
    <row r="1" spans="1:256" s="155" customFormat="1" ht="18.45" customHeight="1" thickBot="1" x14ac:dyDescent="0.3">
      <c r="A1" s="976" t="s">
        <v>572</v>
      </c>
      <c r="B1" s="976"/>
      <c r="C1" s="976"/>
      <c r="D1" s="976"/>
      <c r="E1" s="976"/>
      <c r="F1" s="976"/>
      <c r="G1" s="976"/>
      <c r="H1" s="976"/>
      <c r="I1" s="976"/>
      <c r="J1" s="976"/>
      <c r="K1" s="976"/>
      <c r="L1" s="976"/>
      <c r="M1" s="859"/>
      <c r="FX1" s="156"/>
      <c r="FY1" s="156"/>
      <c r="FZ1" s="156"/>
      <c r="GA1" s="156"/>
      <c r="GB1" s="156"/>
      <c r="GC1" s="156"/>
      <c r="GD1" s="156"/>
      <c r="GE1" s="156"/>
      <c r="GF1" s="156"/>
      <c r="GG1" s="156"/>
      <c r="GH1" s="156"/>
      <c r="GI1" s="156"/>
      <c r="GJ1" s="156"/>
      <c r="GK1" s="156"/>
      <c r="GL1" s="156"/>
      <c r="GM1" s="156"/>
      <c r="GN1" s="156"/>
      <c r="GO1" s="156"/>
      <c r="GP1" s="156"/>
      <c r="GQ1" s="156"/>
      <c r="GR1" s="156"/>
      <c r="GS1" s="156"/>
      <c r="GT1" s="156"/>
      <c r="GU1" s="156"/>
      <c r="GV1" s="156"/>
      <c r="GW1" s="156"/>
      <c r="GX1" s="156"/>
      <c r="GY1" s="156"/>
      <c r="GZ1" s="156"/>
      <c r="HA1" s="156"/>
      <c r="HB1" s="156"/>
      <c r="HC1" s="156"/>
      <c r="HD1" s="156"/>
      <c r="HE1" s="156"/>
      <c r="HF1" s="156"/>
      <c r="HG1" s="156"/>
      <c r="HH1" s="156"/>
      <c r="HI1" s="156"/>
      <c r="HJ1" s="156"/>
      <c r="HK1" s="156"/>
      <c r="HL1" s="156"/>
      <c r="HM1" s="156"/>
      <c r="HN1" s="156"/>
      <c r="HO1" s="156"/>
      <c r="HP1" s="156"/>
      <c r="HQ1" s="156"/>
      <c r="HR1" s="156"/>
      <c r="HS1" s="156"/>
      <c r="HT1" s="156"/>
      <c r="HU1" s="156"/>
      <c r="HV1" s="156"/>
      <c r="HW1" s="156"/>
      <c r="HX1" s="156"/>
      <c r="HY1" s="156"/>
      <c r="HZ1" s="156"/>
      <c r="IA1" s="156"/>
      <c r="IB1" s="156"/>
      <c r="IC1" s="156"/>
      <c r="ID1" s="156"/>
      <c r="IE1" s="156"/>
      <c r="IF1" s="156"/>
      <c r="IG1" s="156"/>
      <c r="IH1" s="156"/>
      <c r="II1" s="156"/>
      <c r="IJ1" s="156"/>
      <c r="IK1" s="156"/>
      <c r="IL1" s="156"/>
      <c r="IM1" s="156"/>
      <c r="IN1" s="156"/>
      <c r="IO1" s="156"/>
      <c r="IP1" s="156"/>
      <c r="IQ1" s="156"/>
      <c r="IR1" s="156"/>
      <c r="IS1" s="156"/>
      <c r="IT1" s="156"/>
      <c r="IU1" s="156"/>
      <c r="IV1" s="156"/>
    </row>
    <row r="2" spans="1:256" ht="12.75" customHeight="1" thickBot="1" x14ac:dyDescent="0.35">
      <c r="A2" s="901" t="s">
        <v>519</v>
      </c>
      <c r="B2" s="901"/>
      <c r="C2" s="901"/>
      <c r="D2" s="901"/>
      <c r="E2" s="901"/>
      <c r="F2" s="901"/>
      <c r="G2" s="901"/>
      <c r="H2" s="902"/>
      <c r="I2" s="902"/>
      <c r="J2" s="902"/>
      <c r="K2" s="901"/>
      <c r="L2" s="901"/>
    </row>
    <row r="3" spans="1:256" ht="14.25" customHeight="1" thickBot="1" x14ac:dyDescent="0.35">
      <c r="A3" s="903" t="s">
        <v>220</v>
      </c>
      <c r="B3" s="904" t="s">
        <v>673</v>
      </c>
      <c r="C3" s="904"/>
      <c r="D3" s="904"/>
      <c r="E3" s="904"/>
      <c r="F3" s="904"/>
      <c r="G3" s="905"/>
      <c r="H3" s="906" t="s">
        <v>674</v>
      </c>
      <c r="I3" s="906"/>
      <c r="J3" s="398" t="s">
        <v>658</v>
      </c>
      <c r="K3" s="907">
        <v>2</v>
      </c>
      <c r="L3" s="908"/>
    </row>
    <row r="4" spans="1:256" s="159" customFormat="1" ht="12.75" customHeight="1" x14ac:dyDescent="0.25">
      <c r="A4" s="903"/>
      <c r="B4" s="909" t="s">
        <v>221</v>
      </c>
      <c r="C4" s="909"/>
      <c r="D4" s="909"/>
      <c r="E4" s="909"/>
      <c r="F4" s="909"/>
      <c r="G4" s="909"/>
      <c r="H4" s="910" t="s">
        <v>222</v>
      </c>
      <c r="I4" s="910"/>
      <c r="J4" s="264" t="s">
        <v>223</v>
      </c>
      <c r="K4" s="911" t="s">
        <v>522</v>
      </c>
      <c r="L4" s="912"/>
      <c r="FX4" s="160"/>
      <c r="FY4" s="160"/>
      <c r="FZ4" s="160"/>
      <c r="GA4" s="160"/>
      <c r="GB4" s="160"/>
      <c r="GC4" s="160"/>
      <c r="GD4" s="160"/>
      <c r="GE4" s="160"/>
      <c r="GF4" s="160"/>
      <c r="GG4" s="160"/>
      <c r="GH4" s="160"/>
      <c r="GI4" s="160"/>
      <c r="GJ4" s="160"/>
      <c r="GK4" s="160"/>
      <c r="GL4" s="160"/>
      <c r="GM4" s="160"/>
      <c r="GN4" s="160"/>
      <c r="GO4" s="160"/>
      <c r="GP4" s="160"/>
      <c r="GQ4" s="160"/>
      <c r="GR4" s="160"/>
      <c r="GS4" s="160"/>
      <c r="GT4" s="160"/>
      <c r="GU4" s="160"/>
      <c r="GV4" s="160"/>
      <c r="GW4" s="160"/>
      <c r="GX4" s="160"/>
      <c r="GY4" s="160"/>
      <c r="GZ4" s="160"/>
      <c r="HA4" s="160"/>
      <c r="HB4" s="160"/>
      <c r="HC4" s="160"/>
      <c r="HD4" s="160"/>
      <c r="HE4" s="160"/>
      <c r="HF4" s="160"/>
      <c r="HG4" s="160"/>
      <c r="HH4" s="160"/>
      <c r="HI4" s="160"/>
      <c r="HJ4" s="160"/>
      <c r="HK4" s="160"/>
      <c r="HL4" s="160"/>
      <c r="HM4" s="160"/>
      <c r="HN4" s="160"/>
      <c r="HO4" s="160"/>
      <c r="HP4" s="160"/>
      <c r="HQ4" s="160"/>
      <c r="HR4" s="160"/>
      <c r="HS4" s="160"/>
      <c r="HT4" s="160"/>
      <c r="HU4" s="160"/>
      <c r="HV4" s="160"/>
      <c r="HW4" s="160"/>
      <c r="HX4" s="160"/>
      <c r="HY4" s="160"/>
      <c r="HZ4" s="160"/>
      <c r="IA4" s="160"/>
      <c r="IB4" s="160"/>
      <c r="IC4" s="160"/>
      <c r="ID4" s="160"/>
      <c r="IE4" s="160"/>
      <c r="IF4" s="160"/>
      <c r="IG4" s="160"/>
      <c r="IH4" s="160"/>
      <c r="II4" s="160"/>
      <c r="IJ4" s="160"/>
      <c r="IK4" s="160"/>
      <c r="IL4" s="160"/>
      <c r="IM4" s="160"/>
      <c r="IN4" s="160"/>
      <c r="IO4" s="160"/>
      <c r="IP4" s="160"/>
      <c r="IQ4" s="160"/>
      <c r="IR4" s="160"/>
      <c r="IS4" s="160"/>
      <c r="IT4" s="160"/>
      <c r="IU4" s="160"/>
      <c r="IV4" s="160"/>
    </row>
    <row r="5" spans="1:256" s="161" customFormat="1" ht="14.25" customHeight="1" thickBot="1" x14ac:dyDescent="0.35">
      <c r="A5" s="265" t="s">
        <v>224</v>
      </c>
      <c r="B5" s="913">
        <v>41832</v>
      </c>
      <c r="C5" s="913"/>
      <c r="D5" s="913"/>
      <c r="E5" s="913"/>
      <c r="F5" s="914" t="s">
        <v>225</v>
      </c>
      <c r="G5" s="914"/>
      <c r="H5" s="915">
        <v>0.83333333333333337</v>
      </c>
      <c r="I5" s="915"/>
      <c r="J5" s="266" t="s">
        <v>226</v>
      </c>
      <c r="K5" s="916">
        <v>0.89583333333333337</v>
      </c>
      <c r="L5" s="916"/>
      <c r="FX5" s="162"/>
      <c r="FY5" s="162"/>
      <c r="FZ5" s="162"/>
      <c r="GA5" s="162"/>
      <c r="GB5" s="162"/>
      <c r="GC5" s="162"/>
      <c r="GD5" s="162"/>
      <c r="GE5" s="162"/>
      <c r="GF5" s="162"/>
      <c r="GG5" s="162"/>
      <c r="GH5" s="162"/>
      <c r="GI5" s="162"/>
      <c r="GJ5" s="162"/>
      <c r="GK5" s="162"/>
      <c r="GL5" s="162"/>
      <c r="GM5" s="162"/>
      <c r="GN5" s="162"/>
      <c r="GO5" s="162"/>
      <c r="GP5" s="162"/>
      <c r="GQ5" s="162"/>
      <c r="GR5" s="162"/>
      <c r="GS5" s="162"/>
      <c r="GT5" s="162"/>
      <c r="GU5" s="162"/>
      <c r="GV5" s="162"/>
      <c r="GW5" s="162"/>
      <c r="GX5" s="162"/>
      <c r="GY5" s="162"/>
      <c r="GZ5" s="162"/>
      <c r="HA5" s="162"/>
      <c r="HB5" s="162"/>
      <c r="HC5" s="162"/>
      <c r="HD5" s="162"/>
      <c r="HE5" s="162"/>
      <c r="HF5" s="162"/>
      <c r="HG5" s="162"/>
      <c r="HH5" s="162"/>
      <c r="HI5" s="162"/>
      <c r="HJ5" s="162"/>
      <c r="HK5" s="162"/>
      <c r="HL5" s="162"/>
      <c r="HM5" s="162"/>
      <c r="HN5" s="162"/>
      <c r="HO5" s="162"/>
      <c r="HP5" s="162"/>
      <c r="HQ5" s="162"/>
      <c r="HR5" s="162"/>
      <c r="HS5" s="162"/>
      <c r="HT5" s="162"/>
      <c r="HU5" s="162"/>
      <c r="HV5" s="162"/>
      <c r="HW5" s="162"/>
      <c r="HX5" s="162"/>
      <c r="HY5" s="162"/>
      <c r="HZ5" s="162"/>
      <c r="IA5" s="162"/>
      <c r="IB5" s="162"/>
      <c r="IC5" s="162"/>
      <c r="ID5" s="162"/>
      <c r="IE5" s="162"/>
      <c r="IF5" s="162"/>
      <c r="IG5" s="162"/>
      <c r="IH5" s="162"/>
      <c r="II5" s="162"/>
      <c r="IJ5" s="162"/>
      <c r="IK5" s="162"/>
      <c r="IL5" s="162"/>
      <c r="IM5" s="162"/>
      <c r="IN5" s="162"/>
      <c r="IO5" s="162"/>
      <c r="IP5" s="162"/>
      <c r="IQ5" s="162"/>
      <c r="IR5" s="162"/>
      <c r="IS5" s="162"/>
      <c r="IT5" s="162"/>
      <c r="IU5" s="162"/>
      <c r="IV5" s="162"/>
    </row>
    <row r="6" spans="1:256" ht="14.4" thickBot="1" x14ac:dyDescent="0.35">
      <c r="A6" s="917" t="s">
        <v>581</v>
      </c>
      <c r="B6" s="917"/>
      <c r="C6" s="917"/>
      <c r="D6" s="917"/>
      <c r="E6" s="917"/>
      <c r="F6" s="918"/>
      <c r="G6" s="918"/>
      <c r="H6" s="918"/>
      <c r="I6" s="918"/>
      <c r="J6" s="918"/>
      <c r="K6" s="918"/>
      <c r="L6" s="918"/>
    </row>
    <row r="7" spans="1:256" ht="13.5" customHeight="1" x14ac:dyDescent="0.3">
      <c r="A7" s="919" t="s">
        <v>227</v>
      </c>
      <c r="B7" s="919"/>
      <c r="C7" s="919"/>
      <c r="D7" s="919"/>
      <c r="E7" s="920"/>
      <c r="F7" s="921" t="s">
        <v>228</v>
      </c>
      <c r="G7" s="922"/>
      <c r="H7" s="922"/>
      <c r="I7" s="922"/>
      <c r="J7" s="922"/>
      <c r="K7" s="922"/>
      <c r="L7" s="923"/>
    </row>
    <row r="8" spans="1:256" ht="16.95" customHeight="1" x14ac:dyDescent="0.3">
      <c r="A8" s="267" t="s">
        <v>229</v>
      </c>
      <c r="B8" s="924" t="s">
        <v>659</v>
      </c>
      <c r="C8" s="924"/>
      <c r="D8" s="924"/>
      <c r="E8" s="925"/>
      <c r="F8" s="926" t="s">
        <v>229</v>
      </c>
      <c r="G8" s="927"/>
      <c r="H8" s="924" t="s">
        <v>735</v>
      </c>
      <c r="I8" s="924"/>
      <c r="J8" s="924"/>
      <c r="K8" s="924"/>
      <c r="L8" s="928"/>
    </row>
    <row r="9" spans="1:256" ht="16.95" customHeight="1" x14ac:dyDescent="0.3">
      <c r="A9" s="268" t="s">
        <v>230</v>
      </c>
      <c r="B9" s="924" t="s">
        <v>679</v>
      </c>
      <c r="C9" s="924"/>
      <c r="D9" s="924"/>
      <c r="E9" s="925"/>
      <c r="F9" s="926" t="s">
        <v>230</v>
      </c>
      <c r="G9" s="927"/>
      <c r="H9" s="925" t="s">
        <v>679</v>
      </c>
      <c r="I9" s="929"/>
      <c r="J9" s="929"/>
      <c r="K9" s="929"/>
      <c r="L9" s="930"/>
    </row>
    <row r="10" spans="1:256" ht="16.95" customHeight="1" x14ac:dyDescent="0.3">
      <c r="A10" s="269" t="s">
        <v>231</v>
      </c>
      <c r="B10" s="270" t="s">
        <v>232</v>
      </c>
      <c r="C10" s="931" t="s">
        <v>233</v>
      </c>
      <c r="D10" s="931"/>
      <c r="E10" s="932"/>
      <c r="F10" s="933" t="s">
        <v>231</v>
      </c>
      <c r="G10" s="934"/>
      <c r="H10" s="270" t="s">
        <v>232</v>
      </c>
      <c r="I10" s="935" t="s">
        <v>233</v>
      </c>
      <c r="J10" s="935"/>
      <c r="K10" s="935"/>
      <c r="L10" s="936"/>
    </row>
    <row r="11" spans="1:256" ht="16.95" customHeight="1" x14ac:dyDescent="0.3">
      <c r="A11" s="271">
        <v>1</v>
      </c>
      <c r="B11" s="399" t="s">
        <v>676</v>
      </c>
      <c r="C11" s="400" t="s">
        <v>683</v>
      </c>
      <c r="D11" s="163"/>
      <c r="E11" s="164"/>
      <c r="F11" s="937">
        <v>1</v>
      </c>
      <c r="G11" s="938"/>
      <c r="H11" s="405" t="s">
        <v>711</v>
      </c>
      <c r="I11" s="406" t="s">
        <v>712</v>
      </c>
      <c r="J11" s="165"/>
      <c r="K11" s="165"/>
      <c r="L11" s="166"/>
    </row>
    <row r="12" spans="1:256" ht="16.95" customHeight="1" x14ac:dyDescent="0.3">
      <c r="A12" s="271">
        <v>2</v>
      </c>
      <c r="B12" s="399" t="s">
        <v>677</v>
      </c>
      <c r="C12" s="400" t="s">
        <v>684</v>
      </c>
      <c r="D12" s="163"/>
      <c r="E12" s="164"/>
      <c r="F12" s="937">
        <v>2</v>
      </c>
      <c r="G12" s="938"/>
      <c r="H12" s="407" t="s">
        <v>713</v>
      </c>
      <c r="I12" s="406" t="s">
        <v>714</v>
      </c>
      <c r="J12" s="165"/>
      <c r="K12" s="165"/>
      <c r="L12" s="166"/>
    </row>
    <row r="13" spans="1:256" ht="16.95" customHeight="1" x14ac:dyDescent="0.3">
      <c r="A13" s="271">
        <v>3</v>
      </c>
      <c r="B13" s="399" t="s">
        <v>685</v>
      </c>
      <c r="C13" s="400" t="s">
        <v>686</v>
      </c>
      <c r="D13" s="163"/>
      <c r="E13" s="164"/>
      <c r="F13" s="939">
        <v>3</v>
      </c>
      <c r="G13" s="940"/>
      <c r="H13" s="405" t="s">
        <v>675</v>
      </c>
      <c r="I13" s="406" t="s">
        <v>715</v>
      </c>
      <c r="J13" s="165"/>
      <c r="K13" s="165"/>
      <c r="L13" s="166"/>
    </row>
    <row r="14" spans="1:256" ht="16.95" customHeight="1" x14ac:dyDescent="0.3">
      <c r="A14" s="271">
        <v>4</v>
      </c>
      <c r="B14" s="399" t="s">
        <v>687</v>
      </c>
      <c r="C14" s="400" t="s">
        <v>688</v>
      </c>
      <c r="D14" s="163"/>
      <c r="E14" s="164"/>
      <c r="F14" s="939">
        <v>4</v>
      </c>
      <c r="G14" s="940"/>
      <c r="H14" s="407" t="s">
        <v>716</v>
      </c>
      <c r="I14" s="406" t="s">
        <v>717</v>
      </c>
      <c r="J14" s="165"/>
      <c r="K14" s="165"/>
      <c r="L14" s="166"/>
    </row>
    <row r="15" spans="1:256" ht="16.95" customHeight="1" x14ac:dyDescent="0.3">
      <c r="A15" s="271">
        <v>5</v>
      </c>
      <c r="B15" s="399" t="s">
        <v>689</v>
      </c>
      <c r="C15" s="400" t="s">
        <v>690</v>
      </c>
      <c r="D15" s="163"/>
      <c r="E15" s="164"/>
      <c r="F15" s="939">
        <v>5</v>
      </c>
      <c r="G15" s="940"/>
      <c r="H15" s="405" t="s">
        <v>718</v>
      </c>
      <c r="I15" s="406" t="s">
        <v>719</v>
      </c>
      <c r="J15" s="165"/>
      <c r="K15" s="165"/>
      <c r="L15" s="166"/>
    </row>
    <row r="16" spans="1:256" ht="16.95" customHeight="1" x14ac:dyDescent="0.3">
      <c r="A16" s="271">
        <v>6</v>
      </c>
      <c r="B16" s="399" t="s">
        <v>691</v>
      </c>
      <c r="C16" s="400" t="s">
        <v>692</v>
      </c>
      <c r="D16" s="163"/>
      <c r="E16" s="164"/>
      <c r="F16" s="939">
        <v>6</v>
      </c>
      <c r="G16" s="940"/>
      <c r="H16" s="407" t="s">
        <v>720</v>
      </c>
      <c r="I16" s="406" t="s">
        <v>721</v>
      </c>
      <c r="J16" s="165"/>
      <c r="K16" s="165"/>
      <c r="L16" s="166"/>
      <c r="N16" s="167"/>
      <c r="O16" s="167"/>
      <c r="P16" s="167"/>
      <c r="Q16" s="167"/>
    </row>
    <row r="17" spans="1:17" ht="16.95" customHeight="1" x14ac:dyDescent="0.3">
      <c r="A17" s="271">
        <v>7</v>
      </c>
      <c r="B17" s="399" t="s">
        <v>693</v>
      </c>
      <c r="C17" s="400" t="s">
        <v>694</v>
      </c>
      <c r="D17" s="163"/>
      <c r="E17" s="164"/>
      <c r="F17" s="939">
        <v>7</v>
      </c>
      <c r="G17" s="940"/>
      <c r="H17" s="405" t="s">
        <v>722</v>
      </c>
      <c r="I17" s="406" t="s">
        <v>723</v>
      </c>
      <c r="J17" s="165"/>
      <c r="K17" s="165"/>
      <c r="L17" s="166"/>
    </row>
    <row r="18" spans="1:17" ht="16.95" customHeight="1" x14ac:dyDescent="0.3">
      <c r="A18" s="271">
        <v>8</v>
      </c>
      <c r="B18" s="399" t="s">
        <v>695</v>
      </c>
      <c r="C18" s="400" t="s">
        <v>696</v>
      </c>
      <c r="D18" s="163"/>
      <c r="E18" s="164"/>
      <c r="F18" s="939">
        <v>8</v>
      </c>
      <c r="G18" s="940"/>
      <c r="H18" s="407" t="s">
        <v>689</v>
      </c>
      <c r="I18" s="406" t="s">
        <v>724</v>
      </c>
      <c r="J18" s="165"/>
      <c r="K18" s="165"/>
      <c r="L18" s="166"/>
    </row>
    <row r="19" spans="1:17" ht="16.95" customHeight="1" x14ac:dyDescent="0.3">
      <c r="A19" s="271">
        <v>9</v>
      </c>
      <c r="B19" s="399" t="s">
        <v>697</v>
      </c>
      <c r="C19" s="400" t="s">
        <v>698</v>
      </c>
      <c r="D19" s="163"/>
      <c r="E19" s="164"/>
      <c r="F19" s="939">
        <v>9</v>
      </c>
      <c r="G19" s="940"/>
      <c r="H19" s="405" t="s">
        <v>725</v>
      </c>
      <c r="I19" s="406" t="s">
        <v>726</v>
      </c>
      <c r="J19" s="165"/>
      <c r="K19" s="165"/>
      <c r="L19" s="166"/>
    </row>
    <row r="20" spans="1:17" ht="16.95" customHeight="1" x14ac:dyDescent="0.3">
      <c r="A20" s="271">
        <v>10</v>
      </c>
      <c r="B20" s="399" t="s">
        <v>699</v>
      </c>
      <c r="C20" s="400" t="s">
        <v>700</v>
      </c>
      <c r="D20" s="163"/>
      <c r="E20" s="164"/>
      <c r="F20" s="939">
        <v>10</v>
      </c>
      <c r="G20" s="940"/>
      <c r="H20" s="407" t="s">
        <v>678</v>
      </c>
      <c r="I20" s="406" t="s">
        <v>727</v>
      </c>
      <c r="J20" s="165"/>
      <c r="K20" s="165"/>
      <c r="L20" s="166"/>
    </row>
    <row r="21" spans="1:17" ht="16.95" customHeight="1" x14ac:dyDescent="0.3">
      <c r="A21" s="271">
        <v>11</v>
      </c>
      <c r="B21" s="399" t="s">
        <v>701</v>
      </c>
      <c r="C21" s="400" t="s">
        <v>702</v>
      </c>
      <c r="D21" s="163"/>
      <c r="E21" s="164"/>
      <c r="F21" s="939">
        <v>11</v>
      </c>
      <c r="G21" s="940"/>
      <c r="H21" s="405" t="s">
        <v>728</v>
      </c>
      <c r="I21" s="406" t="s">
        <v>729</v>
      </c>
      <c r="J21" s="165"/>
      <c r="K21" s="165"/>
      <c r="L21" s="166"/>
    </row>
    <row r="22" spans="1:17" ht="16.95" customHeight="1" x14ac:dyDescent="0.3">
      <c r="A22" s="271">
        <v>12</v>
      </c>
      <c r="B22" s="399" t="s">
        <v>703</v>
      </c>
      <c r="C22" s="400" t="s">
        <v>704</v>
      </c>
      <c r="D22" s="163"/>
      <c r="E22" s="164"/>
      <c r="F22" s="939">
        <v>12</v>
      </c>
      <c r="G22" s="940"/>
      <c r="H22" s="407" t="s">
        <v>730</v>
      </c>
      <c r="I22" s="406" t="s">
        <v>731</v>
      </c>
      <c r="J22" s="165"/>
      <c r="K22" s="165"/>
      <c r="L22" s="166"/>
    </row>
    <row r="23" spans="1:17" ht="16.95" customHeight="1" x14ac:dyDescent="0.3">
      <c r="A23" s="271">
        <v>13</v>
      </c>
      <c r="B23" s="399" t="s">
        <v>707</v>
      </c>
      <c r="C23" s="400" t="s">
        <v>708</v>
      </c>
      <c r="D23" s="163"/>
      <c r="E23" s="164"/>
      <c r="F23" s="939">
        <v>13</v>
      </c>
      <c r="G23" s="940"/>
      <c r="H23" s="405" t="s">
        <v>707</v>
      </c>
      <c r="I23" s="406" t="s">
        <v>732</v>
      </c>
      <c r="J23" s="165"/>
      <c r="K23" s="165"/>
      <c r="L23" s="166"/>
    </row>
    <row r="24" spans="1:17" ht="16.95" customHeight="1" x14ac:dyDescent="0.3">
      <c r="A24" s="272">
        <v>14</v>
      </c>
      <c r="B24" s="401" t="s">
        <v>709</v>
      </c>
      <c r="C24" s="400" t="s">
        <v>710</v>
      </c>
      <c r="D24" s="163"/>
      <c r="E24" s="164"/>
      <c r="F24" s="941">
        <v>14</v>
      </c>
      <c r="G24" s="942"/>
      <c r="H24" s="407" t="s">
        <v>733</v>
      </c>
      <c r="I24" s="406" t="s">
        <v>734</v>
      </c>
      <c r="J24" s="165"/>
      <c r="K24" s="165"/>
      <c r="L24" s="166"/>
      <c r="N24" s="167"/>
      <c r="O24" s="167"/>
      <c r="P24" s="167"/>
      <c r="Q24" s="167"/>
    </row>
    <row r="25" spans="1:17" ht="16.95" customHeight="1" x14ac:dyDescent="0.3">
      <c r="A25" s="271">
        <v>15</v>
      </c>
      <c r="B25" s="402" t="s">
        <v>681</v>
      </c>
      <c r="C25" s="400" t="s">
        <v>682</v>
      </c>
      <c r="D25" s="163"/>
      <c r="E25" s="164"/>
      <c r="F25" s="939">
        <v>15</v>
      </c>
      <c r="G25" s="940"/>
      <c r="H25" s="405"/>
      <c r="I25" s="406"/>
      <c r="J25" s="165"/>
      <c r="K25" s="165"/>
      <c r="L25" s="166"/>
    </row>
    <row r="26" spans="1:17" ht="16.95" customHeight="1" x14ac:dyDescent="0.3">
      <c r="A26" s="273">
        <v>16</v>
      </c>
      <c r="B26" s="403" t="s">
        <v>705</v>
      </c>
      <c r="C26" s="400" t="s">
        <v>706</v>
      </c>
      <c r="D26" s="168"/>
      <c r="E26" s="169"/>
      <c r="F26" s="943">
        <v>16</v>
      </c>
      <c r="G26" s="944"/>
      <c r="H26" s="408"/>
      <c r="I26" s="406"/>
      <c r="J26" s="170"/>
      <c r="K26" s="170"/>
      <c r="L26" s="171"/>
    </row>
    <row r="27" spans="1:17" ht="16.95" customHeight="1" x14ac:dyDescent="0.3">
      <c r="A27" s="274">
        <v>17</v>
      </c>
      <c r="B27" s="404"/>
      <c r="C27" s="400"/>
      <c r="D27" s="172"/>
      <c r="E27" s="173"/>
      <c r="F27" s="945">
        <v>17</v>
      </c>
      <c r="G27" s="945"/>
      <c r="H27" s="404"/>
      <c r="I27" s="406"/>
      <c r="J27" s="172"/>
      <c r="K27" s="172"/>
      <c r="L27" s="173"/>
    </row>
    <row r="28" spans="1:17" ht="16.95" customHeight="1" x14ac:dyDescent="0.3">
      <c r="A28" s="271">
        <v>18</v>
      </c>
      <c r="B28" s="402"/>
      <c r="C28" s="400"/>
      <c r="D28" s="174"/>
      <c r="E28" s="175"/>
      <c r="F28" s="940">
        <v>18</v>
      </c>
      <c r="G28" s="940"/>
      <c r="H28" s="402"/>
      <c r="I28" s="406"/>
      <c r="J28" s="174"/>
      <c r="K28" s="174"/>
      <c r="L28" s="175"/>
    </row>
    <row r="29" spans="1:17" ht="16.95" customHeight="1" x14ac:dyDescent="0.3">
      <c r="A29" s="271">
        <v>19</v>
      </c>
      <c r="B29" s="402"/>
      <c r="C29" s="400"/>
      <c r="D29" s="176"/>
      <c r="E29" s="177"/>
      <c r="F29" s="940">
        <v>19</v>
      </c>
      <c r="G29" s="940"/>
      <c r="H29" s="402"/>
      <c r="I29" s="406"/>
      <c r="J29" s="176"/>
      <c r="K29" s="176"/>
      <c r="L29" s="177"/>
    </row>
    <row r="30" spans="1:17" ht="16.95" customHeight="1" thickBot="1" x14ac:dyDescent="0.35">
      <c r="A30" s="272">
        <v>20</v>
      </c>
      <c r="B30" s="401"/>
      <c r="C30" s="400"/>
      <c r="D30" s="178"/>
      <c r="E30" s="179"/>
      <c r="F30" s="942">
        <v>20</v>
      </c>
      <c r="G30" s="942"/>
      <c r="H30" s="401"/>
      <c r="I30" s="406"/>
      <c r="J30" s="178"/>
      <c r="K30" s="178"/>
      <c r="L30" s="179"/>
      <c r="N30" s="167"/>
      <c r="O30" s="167"/>
      <c r="P30" s="167"/>
      <c r="Q30" s="167"/>
    </row>
    <row r="31" spans="1:17" ht="14.4" thickBot="1" x14ac:dyDescent="0.35">
      <c r="A31" s="946" t="s">
        <v>234</v>
      </c>
      <c r="B31" s="946"/>
      <c r="C31" s="282" t="s">
        <v>235</v>
      </c>
      <c r="D31" s="282" t="s">
        <v>236</v>
      </c>
      <c r="E31" s="283" t="s">
        <v>237</v>
      </c>
      <c r="F31" s="947" t="s">
        <v>234</v>
      </c>
      <c r="G31" s="947"/>
      <c r="H31" s="947"/>
      <c r="I31" s="284" t="s">
        <v>235</v>
      </c>
      <c r="J31" s="948" t="s">
        <v>236</v>
      </c>
      <c r="K31" s="948"/>
      <c r="L31" s="285" t="s">
        <v>237</v>
      </c>
    </row>
    <row r="32" spans="1:17" ht="15" customHeight="1" x14ac:dyDescent="0.3">
      <c r="A32" s="472" t="s">
        <v>749</v>
      </c>
      <c r="B32" s="476"/>
      <c r="C32" s="409" t="s">
        <v>660</v>
      </c>
      <c r="D32" s="409" t="s">
        <v>747</v>
      </c>
      <c r="E32" s="412">
        <v>3</v>
      </c>
      <c r="F32" s="473"/>
      <c r="G32" s="477" t="s">
        <v>753</v>
      </c>
      <c r="H32" s="478"/>
      <c r="I32" s="840" t="s">
        <v>663</v>
      </c>
      <c r="J32" s="949" t="s">
        <v>680</v>
      </c>
      <c r="K32" s="949"/>
      <c r="L32" s="412">
        <v>2</v>
      </c>
    </row>
    <row r="33" spans="1:256" ht="15" customHeight="1" x14ac:dyDescent="0.3">
      <c r="A33" s="453" t="s">
        <v>758</v>
      </c>
      <c r="B33" s="455"/>
      <c r="C33" s="410" t="s">
        <v>661</v>
      </c>
      <c r="D33" s="410" t="s">
        <v>747</v>
      </c>
      <c r="E33" s="413">
        <v>5</v>
      </c>
      <c r="F33" s="474"/>
      <c r="G33" s="479" t="s">
        <v>754</v>
      </c>
      <c r="H33" s="480"/>
      <c r="I33" s="841" t="s">
        <v>663</v>
      </c>
      <c r="J33" s="950" t="s">
        <v>747</v>
      </c>
      <c r="K33" s="950"/>
      <c r="L33" s="413"/>
    </row>
    <row r="34" spans="1:256" ht="15" customHeight="1" x14ac:dyDescent="0.3">
      <c r="A34" s="453" t="s">
        <v>751</v>
      </c>
      <c r="B34" s="455"/>
      <c r="C34" s="410" t="s">
        <v>662</v>
      </c>
      <c r="D34" s="410" t="s">
        <v>747</v>
      </c>
      <c r="E34" s="413">
        <v>5</v>
      </c>
      <c r="F34" s="474"/>
      <c r="G34" s="479" t="s">
        <v>755</v>
      </c>
      <c r="H34" s="480"/>
      <c r="I34" s="841" t="s">
        <v>663</v>
      </c>
      <c r="J34" s="950" t="s">
        <v>747</v>
      </c>
      <c r="K34" s="950"/>
      <c r="L34" s="413"/>
    </row>
    <row r="35" spans="1:256" ht="15" customHeight="1" thickBot="1" x14ac:dyDescent="0.35">
      <c r="A35" s="459" t="s">
        <v>752</v>
      </c>
      <c r="B35" s="461"/>
      <c r="C35" s="411" t="s">
        <v>662</v>
      </c>
      <c r="D35" s="411" t="s">
        <v>680</v>
      </c>
      <c r="E35" s="414">
        <v>4</v>
      </c>
      <c r="F35" s="475"/>
      <c r="G35" s="481"/>
      <c r="H35" s="482"/>
      <c r="I35" s="842"/>
      <c r="J35" s="951"/>
      <c r="K35" s="951"/>
      <c r="L35" s="414"/>
    </row>
    <row r="36" spans="1:256" s="167" customFormat="1" ht="12" customHeight="1" x14ac:dyDescent="0.3">
      <c r="A36" s="952" t="s">
        <v>520</v>
      </c>
      <c r="B36" s="952"/>
      <c r="C36" s="952"/>
      <c r="D36" s="952"/>
      <c r="E36" s="952"/>
      <c r="F36" s="952"/>
      <c r="G36" s="952"/>
      <c r="H36" s="952"/>
      <c r="I36" s="952"/>
      <c r="J36" s="952"/>
      <c r="K36" s="952"/>
      <c r="L36" s="952"/>
      <c r="N36" s="157"/>
      <c r="O36" s="157"/>
      <c r="P36" s="157"/>
      <c r="Q36" s="157"/>
      <c r="FX36" s="180"/>
      <c r="FY36" s="180"/>
      <c r="FZ36" s="180"/>
      <c r="GA36" s="180"/>
      <c r="GB36" s="180"/>
      <c r="GC36" s="180"/>
      <c r="GD36" s="180"/>
      <c r="GE36" s="180"/>
      <c r="GF36" s="180"/>
      <c r="GG36" s="180"/>
      <c r="GH36" s="180"/>
      <c r="GI36" s="180"/>
      <c r="GJ36" s="180"/>
      <c r="GK36" s="180"/>
      <c r="GL36" s="180"/>
      <c r="GM36" s="180"/>
      <c r="GN36" s="180"/>
      <c r="GO36" s="180"/>
      <c r="GP36" s="180"/>
      <c r="GQ36" s="180"/>
      <c r="GR36" s="180"/>
      <c r="GS36" s="180"/>
      <c r="GT36" s="180"/>
      <c r="GU36" s="180"/>
      <c r="GV36" s="180"/>
      <c r="GW36" s="180"/>
      <c r="GX36" s="180"/>
      <c r="GY36" s="180"/>
      <c r="GZ36" s="180"/>
      <c r="HA36" s="180"/>
      <c r="HB36" s="180"/>
      <c r="HC36" s="180"/>
      <c r="HD36" s="180"/>
      <c r="HE36" s="180"/>
      <c r="HF36" s="180"/>
      <c r="HG36" s="180"/>
      <c r="HH36" s="180"/>
      <c r="HI36" s="180"/>
      <c r="HJ36" s="180"/>
      <c r="HK36" s="180"/>
      <c r="HL36" s="180"/>
      <c r="HM36" s="180"/>
      <c r="HN36" s="180"/>
      <c r="HO36" s="180"/>
      <c r="HP36" s="180"/>
      <c r="HQ36" s="180"/>
      <c r="HR36" s="180"/>
      <c r="HS36" s="180"/>
      <c r="HT36" s="180"/>
      <c r="HU36" s="180"/>
      <c r="HV36" s="180"/>
      <c r="HW36" s="180"/>
      <c r="HX36" s="180"/>
      <c r="HY36" s="180"/>
      <c r="HZ36" s="180"/>
      <c r="IA36" s="180"/>
      <c r="IB36" s="180"/>
      <c r="IC36" s="180"/>
      <c r="ID36" s="180"/>
      <c r="IE36" s="180"/>
      <c r="IF36" s="180"/>
      <c r="IG36" s="180"/>
      <c r="IH36" s="180"/>
      <c r="II36" s="180"/>
      <c r="IJ36" s="180"/>
      <c r="IK36" s="180"/>
      <c r="IL36" s="180"/>
      <c r="IM36" s="180"/>
      <c r="IN36" s="180"/>
      <c r="IO36" s="180"/>
      <c r="IP36" s="180"/>
      <c r="IQ36" s="180"/>
      <c r="IR36" s="180"/>
      <c r="IS36" s="180"/>
      <c r="IT36" s="180"/>
      <c r="IU36" s="180"/>
      <c r="IV36" s="180"/>
    </row>
    <row r="37" spans="1:256" x14ac:dyDescent="0.3">
      <c r="A37" s="955" t="s">
        <v>238</v>
      </c>
      <c r="B37" s="956"/>
      <c r="C37" s="956"/>
      <c r="D37" s="956"/>
      <c r="E37" s="956"/>
      <c r="F37" s="957"/>
      <c r="G37" s="932" t="s">
        <v>239</v>
      </c>
      <c r="H37" s="956"/>
      <c r="I37" s="956"/>
      <c r="J37" s="956"/>
      <c r="K37" s="956"/>
      <c r="L37" s="958"/>
    </row>
    <row r="38" spans="1:256" ht="15" customHeight="1" x14ac:dyDescent="0.3">
      <c r="A38" s="275" t="s">
        <v>240</v>
      </c>
      <c r="B38" s="276" t="s">
        <v>241</v>
      </c>
      <c r="C38" s="181">
        <f>IF(COUNT(Score!A4:A41)=0,"",Score!Q42)</f>
        <v>104</v>
      </c>
      <c r="D38" s="277" t="s">
        <v>271</v>
      </c>
      <c r="E38" s="961">
        <f>IF(COUNT(Score!A4:A41)=0,"",Penalties!L44)</f>
        <v>18</v>
      </c>
      <c r="F38" s="962"/>
      <c r="G38" s="278" t="s">
        <v>240</v>
      </c>
      <c r="H38" s="276" t="s">
        <v>241</v>
      </c>
      <c r="I38" s="181">
        <f>IF(COUNT(Score!T4:T41)=0,"",Score!AJ42)</f>
        <v>51</v>
      </c>
      <c r="J38" s="277" t="s">
        <v>271</v>
      </c>
      <c r="K38" s="961">
        <f>IF(COUNT(Score!T4:T41)=0,"",Penalties!AA44)</f>
        <v>14</v>
      </c>
      <c r="L38" s="963"/>
    </row>
    <row r="39" spans="1:256" ht="15" customHeight="1" x14ac:dyDescent="0.3">
      <c r="A39" s="275" t="s">
        <v>242</v>
      </c>
      <c r="B39" s="276" t="s">
        <v>241</v>
      </c>
      <c r="C39" s="181">
        <f>IF(COUNT(Score!A51:A88)=0,"",Score!Q89)</f>
        <v>156</v>
      </c>
      <c r="D39" s="277" t="s">
        <v>271</v>
      </c>
      <c r="E39" s="961">
        <f>IF(COUNT(Score!A51:A88)=0,"",Penalties!AN44)</f>
        <v>13</v>
      </c>
      <c r="F39" s="962"/>
      <c r="G39" s="278" t="s">
        <v>242</v>
      </c>
      <c r="H39" s="276" t="s">
        <v>241</v>
      </c>
      <c r="I39" s="181">
        <f>IF(COUNT(Score!T51:T88)=0,"",Score!AJ89)</f>
        <v>26</v>
      </c>
      <c r="J39" s="277" t="s">
        <v>271</v>
      </c>
      <c r="K39" s="961">
        <f>IF(COUNT(Score!T51:T88)=0,"",Penalties!BC44)</f>
        <v>16</v>
      </c>
      <c r="L39" s="963"/>
    </row>
    <row r="40" spans="1:256" ht="15" customHeight="1" thickBot="1" x14ac:dyDescent="0.35">
      <c r="A40" s="953" t="s">
        <v>244</v>
      </c>
      <c r="B40" s="953"/>
      <c r="C40" s="280">
        <f>IF(COUNT(Score!A4:A41)=0,"",SUM(C38:C39))</f>
        <v>260</v>
      </c>
      <c r="D40" s="281" t="s">
        <v>243</v>
      </c>
      <c r="E40" s="964">
        <f>IF(COUNT(Score!A4:A41)=0,"",SUM(E38:E39))</f>
        <v>31</v>
      </c>
      <c r="F40" s="965"/>
      <c r="G40" s="954" t="s">
        <v>244</v>
      </c>
      <c r="H40" s="954"/>
      <c r="I40" s="280">
        <f>IF(COUNT(Score!T4:T41)=0,"",SUM(I38:I39))</f>
        <v>77</v>
      </c>
      <c r="J40" s="281" t="s">
        <v>243</v>
      </c>
      <c r="K40" s="964">
        <f>IF(COUNT(Score!T4:T41)=0,"",SUM(K38:K39))</f>
        <v>30</v>
      </c>
      <c r="L40" s="966"/>
    </row>
    <row r="41" spans="1:256" ht="15" customHeight="1" x14ac:dyDescent="0.3">
      <c r="A41" s="959" t="s">
        <v>245</v>
      </c>
      <c r="B41" s="959"/>
      <c r="C41" s="959"/>
      <c r="D41" s="960"/>
      <c r="E41" s="960"/>
      <c r="F41" s="960"/>
      <c r="G41" s="960"/>
      <c r="H41" s="960"/>
      <c r="I41" s="960"/>
      <c r="J41" s="960"/>
      <c r="K41" s="960"/>
      <c r="L41" s="960"/>
      <c r="FO41" s="158"/>
      <c r="FP41" s="158"/>
      <c r="FQ41" s="158"/>
      <c r="FR41" s="158"/>
      <c r="FS41" s="158"/>
      <c r="FT41" s="158"/>
      <c r="FU41" s="158"/>
      <c r="FV41" s="158"/>
      <c r="FW41" s="158"/>
    </row>
    <row r="42" spans="1:256" ht="15" customHeight="1" thickBot="1" x14ac:dyDescent="0.35">
      <c r="A42" s="967"/>
      <c r="B42" s="967"/>
      <c r="C42" s="967"/>
      <c r="D42" s="967"/>
      <c r="E42" s="967"/>
      <c r="F42" s="967"/>
      <c r="G42" s="967"/>
      <c r="H42" s="967"/>
      <c r="I42" s="967"/>
      <c r="J42" s="967"/>
      <c r="K42" s="967"/>
      <c r="L42" s="967"/>
      <c r="FO42" s="158"/>
      <c r="FP42" s="158"/>
      <c r="FQ42" s="158"/>
      <c r="FR42" s="158"/>
      <c r="FS42" s="158"/>
      <c r="FT42" s="158"/>
      <c r="FU42" s="158"/>
      <c r="FV42" s="158"/>
      <c r="FW42" s="158"/>
    </row>
    <row r="43" spans="1:256" s="167" customFormat="1" ht="12" customHeight="1" thickBot="1" x14ac:dyDescent="0.35">
      <c r="A43" s="968" t="s">
        <v>521</v>
      </c>
      <c r="B43" s="968"/>
      <c r="C43" s="968"/>
      <c r="D43" s="968"/>
      <c r="E43" s="968"/>
      <c r="F43" s="968"/>
      <c r="G43" s="968"/>
      <c r="H43" s="968"/>
      <c r="I43" s="968"/>
      <c r="J43" s="968"/>
      <c r="K43" s="968"/>
      <c r="L43" s="968"/>
      <c r="N43" s="157"/>
      <c r="O43" s="157"/>
      <c r="P43" s="157"/>
      <c r="Q43" s="157"/>
      <c r="FX43" s="180"/>
      <c r="FY43" s="180"/>
      <c r="FZ43" s="180"/>
      <c r="GA43" s="180"/>
      <c r="GB43" s="180"/>
      <c r="GC43" s="180"/>
      <c r="GD43" s="180"/>
      <c r="GE43" s="180"/>
      <c r="GF43" s="180"/>
      <c r="GG43" s="180"/>
      <c r="GH43" s="180"/>
      <c r="GI43" s="180"/>
      <c r="GJ43" s="180"/>
      <c r="GK43" s="180"/>
      <c r="GL43" s="180"/>
      <c r="GM43" s="180"/>
      <c r="GN43" s="180"/>
      <c r="GO43" s="180"/>
      <c r="GP43" s="180"/>
      <c r="GQ43" s="180"/>
      <c r="GR43" s="180"/>
      <c r="GS43" s="180"/>
      <c r="GT43" s="180"/>
      <c r="GU43" s="180"/>
      <c r="GV43" s="180"/>
      <c r="GW43" s="180"/>
      <c r="GX43" s="180"/>
      <c r="GY43" s="180"/>
      <c r="GZ43" s="180"/>
      <c r="HA43" s="180"/>
      <c r="HB43" s="180"/>
      <c r="HC43" s="180"/>
      <c r="HD43" s="180"/>
      <c r="HE43" s="180"/>
      <c r="HF43" s="180"/>
      <c r="HG43" s="180"/>
      <c r="HH43" s="180"/>
      <c r="HI43" s="180"/>
      <c r="HJ43" s="180"/>
      <c r="HK43" s="180"/>
      <c r="HL43" s="180"/>
      <c r="HM43" s="180"/>
      <c r="HN43" s="180"/>
      <c r="HO43" s="180"/>
      <c r="HP43" s="180"/>
      <c r="HQ43" s="180"/>
      <c r="HR43" s="180"/>
      <c r="HS43" s="180"/>
      <c r="HT43" s="180"/>
      <c r="HU43" s="180"/>
      <c r="HV43" s="180"/>
      <c r="HW43" s="180"/>
      <c r="HX43" s="180"/>
      <c r="HY43" s="180"/>
      <c r="HZ43" s="180"/>
      <c r="IA43" s="180"/>
      <c r="IB43" s="180"/>
      <c r="IC43" s="180"/>
      <c r="ID43" s="180"/>
      <c r="IE43" s="180"/>
      <c r="IF43" s="180"/>
      <c r="IG43" s="180"/>
      <c r="IH43" s="180"/>
      <c r="II43" s="180"/>
      <c r="IJ43" s="180"/>
      <c r="IK43" s="180"/>
      <c r="IL43" s="180"/>
      <c r="IM43" s="180"/>
      <c r="IN43" s="180"/>
      <c r="IO43" s="180"/>
      <c r="IP43" s="180"/>
      <c r="IQ43" s="180"/>
      <c r="IR43" s="180"/>
      <c r="IS43" s="180"/>
      <c r="IT43" s="180"/>
      <c r="IU43" s="180"/>
      <c r="IV43" s="180"/>
    </row>
    <row r="44" spans="1:256" ht="12" customHeight="1" x14ac:dyDescent="0.3">
      <c r="A44" s="969" t="s">
        <v>246</v>
      </c>
      <c r="B44" s="969"/>
      <c r="C44" s="969"/>
      <c r="D44" s="969"/>
      <c r="E44" s="969"/>
      <c r="F44" s="970" t="s">
        <v>247</v>
      </c>
      <c r="G44" s="970"/>
      <c r="H44" s="970"/>
      <c r="I44" s="970"/>
      <c r="J44" s="970"/>
      <c r="K44" s="970"/>
      <c r="L44" s="970"/>
    </row>
    <row r="45" spans="1:256" x14ac:dyDescent="0.3">
      <c r="A45" s="269" t="s">
        <v>248</v>
      </c>
      <c r="B45" s="924" t="s">
        <v>690</v>
      </c>
      <c r="C45" s="924"/>
      <c r="D45" s="924"/>
      <c r="E45" s="924"/>
      <c r="F45" s="971" t="s">
        <v>248</v>
      </c>
      <c r="G45" s="971"/>
      <c r="H45" s="924" t="s">
        <v>717</v>
      </c>
      <c r="I45" s="924"/>
      <c r="J45" s="924"/>
      <c r="K45" s="924"/>
      <c r="L45" s="924"/>
    </row>
    <row r="46" spans="1:256" x14ac:dyDescent="0.3">
      <c r="A46" s="269" t="s">
        <v>249</v>
      </c>
      <c r="B46" s="924"/>
      <c r="C46" s="924"/>
      <c r="D46" s="924"/>
      <c r="E46" s="924"/>
      <c r="F46" s="971" t="s">
        <v>249</v>
      </c>
      <c r="G46" s="971"/>
      <c r="H46" s="924"/>
      <c r="I46" s="924"/>
      <c r="J46" s="924"/>
      <c r="K46" s="924"/>
      <c r="L46" s="924"/>
    </row>
    <row r="47" spans="1:256" ht="18" customHeight="1" thickBot="1" x14ac:dyDescent="0.35">
      <c r="A47" s="279" t="s">
        <v>250</v>
      </c>
      <c r="B47" s="972"/>
      <c r="C47" s="972"/>
      <c r="D47" s="972"/>
      <c r="E47" s="972"/>
      <c r="F47" s="973" t="s">
        <v>250</v>
      </c>
      <c r="G47" s="973"/>
      <c r="H47" s="972"/>
      <c r="I47" s="972"/>
      <c r="J47" s="972"/>
      <c r="K47" s="972"/>
      <c r="L47" s="972"/>
    </row>
    <row r="48" spans="1:256" ht="12" customHeight="1" x14ac:dyDescent="0.3">
      <c r="A48" s="974" t="s">
        <v>251</v>
      </c>
      <c r="B48" s="974"/>
      <c r="C48" s="974"/>
      <c r="D48" s="974"/>
      <c r="E48" s="974"/>
      <c r="F48" s="975" t="s">
        <v>252</v>
      </c>
      <c r="G48" s="975"/>
      <c r="H48" s="975"/>
      <c r="I48" s="975"/>
      <c r="J48" s="975"/>
      <c r="K48" s="975"/>
      <c r="L48" s="975"/>
    </row>
    <row r="49" spans="1:179" x14ac:dyDescent="0.3">
      <c r="A49" s="269" t="s">
        <v>248</v>
      </c>
      <c r="B49" s="924" t="s">
        <v>749</v>
      </c>
      <c r="C49" s="924"/>
      <c r="D49" s="924"/>
      <c r="E49" s="924"/>
      <c r="F49" s="971" t="s">
        <v>248</v>
      </c>
      <c r="G49" s="971"/>
      <c r="H49" s="924" t="s">
        <v>736</v>
      </c>
      <c r="I49" s="924"/>
      <c r="J49" s="924"/>
      <c r="K49" s="924"/>
      <c r="L49" s="924"/>
    </row>
    <row r="50" spans="1:179" x14ac:dyDescent="0.3">
      <c r="A50" s="269" t="s">
        <v>249</v>
      </c>
      <c r="B50" s="924" t="s">
        <v>750</v>
      </c>
      <c r="C50" s="924"/>
      <c r="D50" s="924"/>
      <c r="E50" s="924"/>
      <c r="F50" s="971" t="s">
        <v>249</v>
      </c>
      <c r="G50" s="971"/>
      <c r="H50" s="924" t="s">
        <v>748</v>
      </c>
      <c r="I50" s="924"/>
      <c r="J50" s="924"/>
      <c r="K50" s="924"/>
      <c r="L50" s="924"/>
    </row>
    <row r="51" spans="1:179" ht="18" customHeight="1" thickBot="1" x14ac:dyDescent="0.35">
      <c r="A51" s="279" t="s">
        <v>250</v>
      </c>
      <c r="B51" s="972"/>
      <c r="C51" s="972"/>
      <c r="D51" s="972"/>
      <c r="E51" s="972"/>
      <c r="F51" s="973" t="s">
        <v>250</v>
      </c>
      <c r="G51" s="973"/>
      <c r="H51" s="972"/>
      <c r="I51" s="972"/>
      <c r="J51" s="972"/>
      <c r="K51" s="972"/>
      <c r="L51" s="972"/>
    </row>
    <row r="52" spans="1:179" ht="23.25" customHeight="1" x14ac:dyDescent="0.3">
      <c r="A52" s="979" t="s">
        <v>579</v>
      </c>
      <c r="B52" s="979"/>
      <c r="C52" s="979"/>
      <c r="D52" s="979"/>
      <c r="E52" s="979"/>
      <c r="F52" s="979"/>
      <c r="G52" s="979"/>
      <c r="H52" s="979"/>
      <c r="I52" s="979"/>
      <c r="J52" s="979"/>
      <c r="K52" s="979"/>
      <c r="L52" s="979"/>
    </row>
    <row r="53" spans="1:179" ht="15" customHeight="1" thickBot="1" x14ac:dyDescent="0.35">
      <c r="A53" s="977" t="s">
        <v>652</v>
      </c>
      <c r="B53" s="977"/>
      <c r="C53" s="977"/>
      <c r="D53" s="977"/>
      <c r="E53" s="977"/>
      <c r="F53" s="977"/>
      <c r="G53" s="977"/>
      <c r="H53" s="977"/>
      <c r="I53" s="977"/>
      <c r="J53" s="977"/>
      <c r="K53" s="977"/>
      <c r="L53" s="977"/>
      <c r="FT53" s="158"/>
      <c r="FU53" s="158"/>
      <c r="FV53" s="158"/>
      <c r="FW53" s="158"/>
    </row>
    <row r="54" spans="1:179" ht="18.45" customHeight="1" x14ac:dyDescent="0.3">
      <c r="A54" s="980" t="s">
        <v>253</v>
      </c>
      <c r="B54" s="980"/>
      <c r="C54" s="980"/>
      <c r="D54" s="980"/>
      <c r="E54" s="980"/>
      <c r="F54" s="980"/>
      <c r="G54" s="980"/>
      <c r="H54" s="980"/>
      <c r="I54" s="980"/>
      <c r="J54" s="980"/>
      <c r="K54" s="980"/>
      <c r="L54" s="980"/>
    </row>
    <row r="55" spans="1:179" x14ac:dyDescent="0.3">
      <c r="A55" s="981" t="s">
        <v>254</v>
      </c>
      <c r="B55" s="981"/>
      <c r="C55" s="981"/>
      <c r="D55" s="982" t="s">
        <v>255</v>
      </c>
      <c r="E55" s="982"/>
      <c r="F55" s="982"/>
      <c r="G55" s="982"/>
      <c r="H55" s="982" t="s">
        <v>236</v>
      </c>
      <c r="I55" s="982"/>
      <c r="J55" s="931" t="s">
        <v>256</v>
      </c>
      <c r="K55" s="931"/>
      <c r="L55" s="931"/>
    </row>
    <row r="56" spans="1:179" x14ac:dyDescent="0.3">
      <c r="A56" s="453"/>
      <c r="B56" s="454" t="s">
        <v>736</v>
      </c>
      <c r="C56" s="455"/>
      <c r="D56" s="462"/>
      <c r="E56" s="454" t="s">
        <v>664</v>
      </c>
      <c r="F56" s="454"/>
      <c r="G56" s="455"/>
      <c r="H56" s="465" t="s">
        <v>747</v>
      </c>
      <c r="I56" s="466"/>
      <c r="J56" s="462"/>
      <c r="K56" s="454">
        <v>2</v>
      </c>
      <c r="L56" s="469"/>
    </row>
    <row r="57" spans="1:179" x14ac:dyDescent="0.3">
      <c r="A57" s="453"/>
      <c r="B57" s="454" t="s">
        <v>759</v>
      </c>
      <c r="C57" s="455"/>
      <c r="D57" s="462"/>
      <c r="E57" s="454" t="s">
        <v>672</v>
      </c>
      <c r="F57" s="454"/>
      <c r="G57" s="455"/>
      <c r="H57" s="465" t="s">
        <v>747</v>
      </c>
      <c r="I57" s="466"/>
      <c r="J57" s="462"/>
      <c r="K57" s="864" t="s">
        <v>760</v>
      </c>
      <c r="L57" s="469"/>
    </row>
    <row r="58" spans="1:179" x14ac:dyDescent="0.3">
      <c r="A58" s="456"/>
      <c r="B58" s="457" t="s">
        <v>737</v>
      </c>
      <c r="C58" s="458"/>
      <c r="D58" s="463"/>
      <c r="E58" s="457" t="s">
        <v>665</v>
      </c>
      <c r="F58" s="457"/>
      <c r="G58" s="458"/>
      <c r="H58" s="465" t="s">
        <v>747</v>
      </c>
      <c r="I58" s="466"/>
      <c r="J58" s="462"/>
      <c r="K58" s="454"/>
      <c r="L58" s="469"/>
    </row>
    <row r="59" spans="1:179" x14ac:dyDescent="0.3">
      <c r="A59" s="456"/>
      <c r="B59" s="457" t="s">
        <v>738</v>
      </c>
      <c r="C59" s="458"/>
      <c r="D59" s="463"/>
      <c r="E59" s="457" t="s">
        <v>665</v>
      </c>
      <c r="F59" s="457"/>
      <c r="G59" s="458"/>
      <c r="H59" s="465" t="s">
        <v>680</v>
      </c>
      <c r="I59" s="466"/>
      <c r="J59" s="462"/>
      <c r="K59" s="454"/>
      <c r="L59" s="469"/>
    </row>
    <row r="60" spans="1:179" x14ac:dyDescent="0.3">
      <c r="A60" s="456"/>
      <c r="B60" s="457" t="s">
        <v>739</v>
      </c>
      <c r="C60" s="458"/>
      <c r="D60" s="463"/>
      <c r="E60" s="457" t="s">
        <v>666</v>
      </c>
      <c r="F60" s="457"/>
      <c r="G60" s="458"/>
      <c r="H60" s="465" t="s">
        <v>747</v>
      </c>
      <c r="I60" s="466"/>
      <c r="J60" s="462"/>
      <c r="K60" s="454"/>
      <c r="L60" s="469"/>
    </row>
    <row r="61" spans="1:179" x14ac:dyDescent="0.3">
      <c r="A61" s="453"/>
      <c r="B61" s="454" t="s">
        <v>740</v>
      </c>
      <c r="C61" s="455"/>
      <c r="D61" s="462"/>
      <c r="E61" s="454" t="s">
        <v>667</v>
      </c>
      <c r="F61" s="454"/>
      <c r="G61" s="455"/>
      <c r="H61" s="465" t="s">
        <v>747</v>
      </c>
      <c r="I61" s="466"/>
      <c r="J61" s="462"/>
      <c r="K61" s="454">
        <v>3</v>
      </c>
      <c r="L61" s="469"/>
    </row>
    <row r="62" spans="1:179" x14ac:dyDescent="0.3">
      <c r="A62" s="453"/>
      <c r="B62" s="454" t="s">
        <v>741</v>
      </c>
      <c r="C62" s="455"/>
      <c r="D62" s="462"/>
      <c r="E62" s="454" t="s">
        <v>667</v>
      </c>
      <c r="F62" s="454"/>
      <c r="G62" s="455"/>
      <c r="H62" s="465" t="s">
        <v>747</v>
      </c>
      <c r="I62" s="466"/>
      <c r="J62" s="462"/>
      <c r="K62" s="454"/>
      <c r="L62" s="469"/>
    </row>
    <row r="63" spans="1:179" x14ac:dyDescent="0.3">
      <c r="A63" s="453"/>
      <c r="B63" s="454" t="s">
        <v>742</v>
      </c>
      <c r="C63" s="455"/>
      <c r="D63" s="462"/>
      <c r="E63" s="454" t="s">
        <v>668</v>
      </c>
      <c r="F63" s="454"/>
      <c r="G63" s="455"/>
      <c r="H63" s="465" t="s">
        <v>747</v>
      </c>
      <c r="I63" s="466"/>
      <c r="J63" s="462"/>
      <c r="K63" s="454">
        <v>4</v>
      </c>
      <c r="L63" s="469"/>
    </row>
    <row r="64" spans="1:179" x14ac:dyDescent="0.3">
      <c r="A64" s="453"/>
      <c r="B64" s="454" t="s">
        <v>743</v>
      </c>
      <c r="C64" s="455"/>
      <c r="D64" s="462"/>
      <c r="E64" s="454" t="s">
        <v>669</v>
      </c>
      <c r="F64" s="454"/>
      <c r="G64" s="455"/>
      <c r="H64" s="465" t="s">
        <v>680</v>
      </c>
      <c r="I64" s="466"/>
      <c r="J64" s="462"/>
      <c r="K64" s="454"/>
      <c r="L64" s="469"/>
    </row>
    <row r="65" spans="1:12" x14ac:dyDescent="0.3">
      <c r="A65" s="453"/>
      <c r="B65" s="454" t="s">
        <v>744</v>
      </c>
      <c r="C65" s="455"/>
      <c r="D65" s="462"/>
      <c r="E65" s="454" t="s">
        <v>670</v>
      </c>
      <c r="F65" s="454"/>
      <c r="G65" s="455"/>
      <c r="H65" s="465" t="s">
        <v>747</v>
      </c>
      <c r="I65" s="466"/>
      <c r="J65" s="462"/>
      <c r="K65" s="454">
        <v>3</v>
      </c>
      <c r="L65" s="469"/>
    </row>
    <row r="66" spans="1:12" x14ac:dyDescent="0.3">
      <c r="A66" s="453"/>
      <c r="B66" s="454" t="s">
        <v>745</v>
      </c>
      <c r="C66" s="455"/>
      <c r="D66" s="462"/>
      <c r="E66" s="454" t="s">
        <v>671</v>
      </c>
      <c r="F66" s="454"/>
      <c r="G66" s="455"/>
      <c r="H66" s="465" t="s">
        <v>747</v>
      </c>
      <c r="I66" s="466"/>
      <c r="J66" s="462"/>
      <c r="K66" s="454"/>
      <c r="L66" s="469"/>
    </row>
    <row r="67" spans="1:12" x14ac:dyDescent="0.3">
      <c r="A67" s="453"/>
      <c r="B67" s="454" t="s">
        <v>746</v>
      </c>
      <c r="C67" s="455"/>
      <c r="D67" s="462"/>
      <c r="E67" s="454" t="s">
        <v>671</v>
      </c>
      <c r="F67" s="454"/>
      <c r="G67" s="455"/>
      <c r="H67" s="465" t="s">
        <v>747</v>
      </c>
      <c r="I67" s="466"/>
      <c r="J67" s="462"/>
      <c r="K67" s="454">
        <v>2</v>
      </c>
      <c r="L67" s="469"/>
    </row>
    <row r="68" spans="1:12" x14ac:dyDescent="0.3">
      <c r="A68" s="453"/>
      <c r="B68" s="454"/>
      <c r="C68" s="455"/>
      <c r="D68" s="462"/>
      <c r="E68" s="454"/>
      <c r="F68" s="454"/>
      <c r="G68" s="455"/>
      <c r="H68" s="465"/>
      <c r="I68" s="466"/>
      <c r="J68" s="462"/>
      <c r="K68" s="454"/>
      <c r="L68" s="469"/>
    </row>
    <row r="69" spans="1:12" x14ac:dyDescent="0.3">
      <c r="A69" s="453"/>
      <c r="B69" s="454"/>
      <c r="C69" s="455"/>
      <c r="D69" s="462"/>
      <c r="E69" s="454"/>
      <c r="F69" s="454"/>
      <c r="G69" s="455"/>
      <c r="H69" s="465"/>
      <c r="I69" s="466"/>
      <c r="J69" s="462"/>
      <c r="K69" s="454"/>
      <c r="L69" s="469"/>
    </row>
    <row r="70" spans="1:12" x14ac:dyDescent="0.3">
      <c r="A70" s="453"/>
      <c r="B70" s="454"/>
      <c r="C70" s="455"/>
      <c r="D70" s="462"/>
      <c r="E70" s="454"/>
      <c r="F70" s="454"/>
      <c r="G70" s="455"/>
      <c r="H70" s="465"/>
      <c r="I70" s="466"/>
      <c r="J70" s="462"/>
      <c r="K70" s="454"/>
      <c r="L70" s="469"/>
    </row>
    <row r="71" spans="1:12" x14ac:dyDescent="0.3">
      <c r="A71" s="453"/>
      <c r="B71" s="454"/>
      <c r="C71" s="455"/>
      <c r="D71" s="462"/>
      <c r="E71" s="454"/>
      <c r="F71" s="454"/>
      <c r="G71" s="455"/>
      <c r="H71" s="465"/>
      <c r="I71" s="466"/>
      <c r="J71" s="462"/>
      <c r="K71" s="454"/>
      <c r="L71" s="469"/>
    </row>
    <row r="72" spans="1:12" x14ac:dyDescent="0.3">
      <c r="A72" s="453"/>
      <c r="B72" s="454"/>
      <c r="C72" s="455"/>
      <c r="D72" s="462"/>
      <c r="E72" s="454"/>
      <c r="F72" s="454"/>
      <c r="G72" s="455"/>
      <c r="H72" s="465"/>
      <c r="I72" s="466"/>
      <c r="J72" s="462"/>
      <c r="K72" s="454"/>
      <c r="L72" s="469"/>
    </row>
    <row r="73" spans="1:12" x14ac:dyDescent="0.3">
      <c r="A73" s="453"/>
      <c r="B73" s="454"/>
      <c r="C73" s="455"/>
      <c r="D73" s="462"/>
      <c r="E73" s="454"/>
      <c r="F73" s="454"/>
      <c r="G73" s="455"/>
      <c r="H73" s="465"/>
      <c r="I73" s="466"/>
      <c r="J73" s="462"/>
      <c r="K73" s="454"/>
      <c r="L73" s="469"/>
    </row>
    <row r="74" spans="1:12" x14ac:dyDescent="0.3">
      <c r="A74" s="453"/>
      <c r="B74" s="454"/>
      <c r="C74" s="455"/>
      <c r="D74" s="462"/>
      <c r="E74" s="454"/>
      <c r="F74" s="454"/>
      <c r="G74" s="455"/>
      <c r="H74" s="465"/>
      <c r="I74" s="466"/>
      <c r="J74" s="462"/>
      <c r="K74" s="454"/>
      <c r="L74" s="469"/>
    </row>
    <row r="75" spans="1:12" x14ac:dyDescent="0.3">
      <c r="A75" s="453"/>
      <c r="B75" s="454"/>
      <c r="C75" s="455"/>
      <c r="D75" s="462"/>
      <c r="E75" s="454"/>
      <c r="F75" s="454"/>
      <c r="G75" s="455"/>
      <c r="H75" s="465"/>
      <c r="I75" s="466"/>
      <c r="J75" s="462"/>
      <c r="K75" s="454"/>
      <c r="L75" s="469"/>
    </row>
    <row r="76" spans="1:12" ht="14.4" thickBot="1" x14ac:dyDescent="0.35">
      <c r="A76" s="459"/>
      <c r="B76" s="460"/>
      <c r="C76" s="461"/>
      <c r="D76" s="464"/>
      <c r="E76" s="460"/>
      <c r="F76" s="460"/>
      <c r="G76" s="461"/>
      <c r="H76" s="467"/>
      <c r="I76" s="468"/>
      <c r="J76" s="464"/>
      <c r="K76" s="460"/>
      <c r="L76" s="470"/>
    </row>
    <row r="77" spans="1:12" ht="15" customHeight="1" x14ac:dyDescent="0.3">
      <c r="A77" s="979" t="s">
        <v>580</v>
      </c>
      <c r="B77" s="979"/>
      <c r="C77" s="979"/>
      <c r="D77" s="979"/>
      <c r="E77" s="979"/>
      <c r="F77" s="979"/>
      <c r="G77" s="979"/>
      <c r="H77" s="979"/>
      <c r="I77" s="979"/>
      <c r="J77" s="979"/>
      <c r="K77" s="979"/>
      <c r="L77" s="979"/>
    </row>
    <row r="78" spans="1:12" ht="15" customHeight="1" x14ac:dyDescent="0.3">
      <c r="A78" s="978" t="str">
        <f>A53</f>
        <v>IGRF Rev. 140421 © 2014 Women's Flat Track Derby Association (WFTDA)</v>
      </c>
      <c r="B78" s="978"/>
      <c r="C78" s="978"/>
      <c r="D78" s="978"/>
      <c r="E78" s="978"/>
      <c r="F78" s="978"/>
      <c r="G78" s="978"/>
      <c r="H78" s="978"/>
      <c r="I78" s="978"/>
      <c r="J78" s="978"/>
      <c r="K78" s="978"/>
      <c r="L78" s="978"/>
    </row>
    <row r="79" spans="1:12" x14ac:dyDescent="0.3">
      <c r="A79" s="157"/>
      <c r="B79" s="157"/>
      <c r="C79" s="157"/>
      <c r="D79" s="157"/>
      <c r="E79" s="157"/>
      <c r="F79" s="157"/>
      <c r="G79" s="157"/>
      <c r="H79" s="157"/>
      <c r="I79" s="157"/>
      <c r="J79" s="157"/>
      <c r="K79" s="157"/>
      <c r="L79" s="157"/>
    </row>
    <row r="80" spans="1:12" x14ac:dyDescent="0.3">
      <c r="A80" s="157"/>
      <c r="B80" s="157"/>
      <c r="C80" s="157"/>
      <c r="D80" s="157"/>
      <c r="E80" s="157"/>
      <c r="F80" s="157"/>
      <c r="G80" s="157"/>
      <c r="H80" s="157"/>
      <c r="I80" s="157"/>
      <c r="J80" s="157"/>
      <c r="K80" s="157"/>
      <c r="L80" s="157"/>
    </row>
    <row r="81" spans="1:12" x14ac:dyDescent="0.3">
      <c r="A81" s="157"/>
      <c r="B81" s="157"/>
      <c r="C81" s="157"/>
      <c r="D81" s="157"/>
      <c r="E81" s="157"/>
      <c r="F81" s="157"/>
      <c r="G81" s="157"/>
      <c r="H81" s="157"/>
      <c r="I81" s="157"/>
      <c r="J81" s="157"/>
      <c r="K81" s="157"/>
      <c r="L81" s="157"/>
    </row>
    <row r="82" spans="1:12" x14ac:dyDescent="0.3">
      <c r="A82" s="157"/>
      <c r="B82" s="157"/>
      <c r="C82" s="157"/>
      <c r="D82" s="157"/>
      <c r="E82" s="157"/>
      <c r="F82" s="157"/>
      <c r="G82" s="157"/>
      <c r="H82" s="157"/>
      <c r="I82" s="157"/>
      <c r="J82" s="157"/>
      <c r="K82" s="157"/>
      <c r="L82" s="157"/>
    </row>
    <row r="83" spans="1:12" x14ac:dyDescent="0.3">
      <c r="A83" s="157"/>
      <c r="B83" s="157"/>
      <c r="C83" s="157"/>
      <c r="D83" s="157"/>
      <c r="E83" s="157"/>
      <c r="F83" s="157"/>
      <c r="G83" s="157"/>
      <c r="H83" s="157"/>
      <c r="I83" s="157"/>
      <c r="J83" s="157"/>
      <c r="K83" s="157"/>
      <c r="L83" s="157"/>
    </row>
    <row r="84" spans="1:12" x14ac:dyDescent="0.3">
      <c r="A84" s="157"/>
      <c r="B84" s="157"/>
      <c r="C84" s="157"/>
      <c r="D84" s="157"/>
      <c r="E84" s="157"/>
      <c r="F84" s="157"/>
      <c r="G84" s="157"/>
      <c r="H84" s="157"/>
      <c r="I84" s="157"/>
      <c r="J84" s="157"/>
      <c r="K84" s="157"/>
      <c r="L84" s="157"/>
    </row>
    <row r="85" spans="1:12" x14ac:dyDescent="0.3">
      <c r="A85" s="157"/>
      <c r="B85" s="157"/>
      <c r="C85" s="157"/>
      <c r="D85" s="157"/>
      <c r="E85" s="157"/>
      <c r="F85" s="157"/>
      <c r="G85" s="157"/>
      <c r="H85" s="157"/>
      <c r="I85" s="157"/>
      <c r="J85" s="157"/>
      <c r="K85" s="157"/>
      <c r="L85" s="157"/>
    </row>
    <row r="86" spans="1:12" x14ac:dyDescent="0.3">
      <c r="A86" s="157"/>
      <c r="B86" s="157"/>
      <c r="C86" s="157"/>
      <c r="D86" s="157"/>
      <c r="E86" s="157"/>
      <c r="F86" s="157"/>
      <c r="G86" s="157"/>
      <c r="H86" s="157"/>
      <c r="I86" s="157"/>
      <c r="J86" s="157"/>
      <c r="K86" s="157"/>
      <c r="L86" s="157"/>
    </row>
    <row r="87" spans="1:12" x14ac:dyDescent="0.3">
      <c r="A87" s="157"/>
      <c r="B87" s="157"/>
      <c r="C87" s="157"/>
      <c r="D87" s="157"/>
      <c r="E87" s="157"/>
      <c r="F87" s="157"/>
      <c r="G87" s="157"/>
      <c r="H87" s="157"/>
      <c r="I87" s="157"/>
      <c r="J87" s="157"/>
      <c r="K87" s="157"/>
      <c r="L87" s="157"/>
    </row>
    <row r="88" spans="1:12" x14ac:dyDescent="0.3">
      <c r="A88" s="157"/>
      <c r="B88" s="157"/>
      <c r="C88" s="157"/>
      <c r="D88" s="157"/>
      <c r="E88" s="157"/>
      <c r="F88" s="157"/>
      <c r="G88" s="157"/>
      <c r="H88" s="157"/>
      <c r="I88" s="157"/>
      <c r="J88" s="157"/>
      <c r="K88" s="157"/>
      <c r="L88" s="157"/>
    </row>
    <row r="89" spans="1:12" x14ac:dyDescent="0.3">
      <c r="A89" s="157"/>
      <c r="B89" s="157"/>
      <c r="C89" s="157"/>
      <c r="D89" s="157"/>
      <c r="E89" s="157"/>
      <c r="F89" s="157"/>
      <c r="G89" s="157"/>
      <c r="H89" s="157"/>
      <c r="I89" s="157"/>
      <c r="J89" s="157"/>
      <c r="K89" s="157"/>
      <c r="L89" s="157"/>
    </row>
    <row r="90" spans="1:12" x14ac:dyDescent="0.3">
      <c r="A90" s="157"/>
      <c r="B90" s="157"/>
      <c r="C90" s="157"/>
      <c r="D90" s="157"/>
      <c r="E90" s="157"/>
      <c r="F90" s="157"/>
      <c r="G90" s="157"/>
      <c r="H90" s="157"/>
      <c r="I90" s="157"/>
      <c r="J90" s="157"/>
      <c r="K90" s="157"/>
      <c r="L90" s="157"/>
    </row>
    <row r="91" spans="1:12" x14ac:dyDescent="0.3">
      <c r="A91" s="157"/>
      <c r="B91" s="157"/>
      <c r="C91" s="157"/>
      <c r="D91" s="157"/>
      <c r="E91" s="157"/>
      <c r="F91" s="157"/>
      <c r="G91" s="157"/>
      <c r="H91" s="157"/>
      <c r="I91" s="157"/>
      <c r="J91" s="157"/>
      <c r="K91" s="157"/>
      <c r="L91" s="157"/>
    </row>
    <row r="92" spans="1:12" x14ac:dyDescent="0.3">
      <c r="A92" s="157"/>
      <c r="B92" s="157"/>
      <c r="C92" s="157"/>
      <c r="D92" s="157"/>
      <c r="E92" s="157"/>
      <c r="F92" s="157"/>
      <c r="G92" s="157"/>
      <c r="H92" s="157"/>
      <c r="I92" s="157"/>
      <c r="J92" s="157"/>
      <c r="K92" s="157"/>
      <c r="L92" s="157"/>
    </row>
    <row r="93" spans="1:12" x14ac:dyDescent="0.3">
      <c r="A93" s="157"/>
      <c r="B93" s="157"/>
      <c r="C93" s="157"/>
      <c r="D93" s="157"/>
      <c r="E93" s="157"/>
      <c r="F93" s="157"/>
      <c r="G93" s="157"/>
      <c r="H93" s="157"/>
      <c r="I93" s="157"/>
      <c r="J93" s="157"/>
      <c r="K93" s="157"/>
      <c r="L93" s="157"/>
    </row>
    <row r="94" spans="1:12" x14ac:dyDescent="0.3">
      <c r="A94" s="157"/>
      <c r="B94" s="157"/>
      <c r="C94" s="157"/>
      <c r="D94" s="157"/>
      <c r="E94" s="157"/>
      <c r="F94" s="157"/>
      <c r="G94" s="157"/>
      <c r="H94" s="157"/>
      <c r="I94" s="157"/>
      <c r="J94" s="157"/>
      <c r="K94" s="157"/>
      <c r="L94" s="157"/>
    </row>
    <row r="95" spans="1:12" x14ac:dyDescent="0.3">
      <c r="A95" s="157"/>
      <c r="B95" s="157"/>
      <c r="C95" s="157"/>
      <c r="D95" s="157"/>
      <c r="E95" s="157"/>
      <c r="F95" s="157"/>
      <c r="G95" s="157"/>
      <c r="H95" s="157"/>
      <c r="I95" s="157"/>
      <c r="J95" s="157"/>
      <c r="K95" s="157"/>
      <c r="L95" s="157"/>
    </row>
    <row r="96" spans="1:12" x14ac:dyDescent="0.3">
      <c r="A96" s="157"/>
      <c r="B96" s="157"/>
      <c r="C96" s="157"/>
      <c r="D96" s="157"/>
      <c r="E96" s="157"/>
      <c r="F96" s="157"/>
      <c r="G96" s="157"/>
      <c r="H96" s="157"/>
      <c r="I96" s="157"/>
      <c r="J96" s="157"/>
      <c r="K96" s="157"/>
      <c r="L96" s="157"/>
    </row>
    <row r="97" spans="1:12" x14ac:dyDescent="0.3">
      <c r="A97" s="157"/>
      <c r="B97" s="157"/>
      <c r="C97" s="157"/>
      <c r="D97" s="157"/>
      <c r="E97" s="157"/>
      <c r="F97" s="157"/>
      <c r="G97" s="157"/>
      <c r="H97" s="157"/>
      <c r="I97" s="157"/>
      <c r="J97" s="157"/>
      <c r="K97" s="157"/>
      <c r="L97" s="157"/>
    </row>
    <row r="98" spans="1:12" x14ac:dyDescent="0.3">
      <c r="A98" s="157"/>
      <c r="B98" s="157"/>
      <c r="C98" s="157"/>
      <c r="D98" s="157"/>
      <c r="E98" s="157"/>
      <c r="F98" s="157"/>
      <c r="G98" s="157"/>
      <c r="H98" s="157"/>
      <c r="I98" s="157"/>
      <c r="J98" s="157"/>
      <c r="K98" s="157"/>
      <c r="L98" s="157"/>
    </row>
    <row r="99" spans="1:12" x14ac:dyDescent="0.3">
      <c r="A99" s="157"/>
      <c r="B99" s="157"/>
      <c r="C99" s="157"/>
      <c r="D99" s="157"/>
      <c r="E99" s="157"/>
      <c r="F99" s="157"/>
      <c r="G99" s="157"/>
      <c r="H99" s="157"/>
      <c r="I99" s="157"/>
      <c r="J99" s="157"/>
      <c r="K99" s="157"/>
      <c r="L99" s="157"/>
    </row>
    <row r="100" spans="1:12" x14ac:dyDescent="0.3">
      <c r="A100" s="157"/>
      <c r="B100" s="157"/>
      <c r="C100" s="157"/>
      <c r="D100" s="157"/>
      <c r="E100" s="157"/>
      <c r="F100" s="157"/>
      <c r="G100" s="157"/>
      <c r="H100" s="157"/>
      <c r="I100" s="157"/>
      <c r="J100" s="157"/>
      <c r="K100" s="157"/>
      <c r="L100" s="157"/>
    </row>
    <row r="101" spans="1:12" x14ac:dyDescent="0.3">
      <c r="A101" s="157"/>
      <c r="B101" s="157"/>
      <c r="C101" s="157"/>
      <c r="D101" s="157"/>
      <c r="E101" s="157"/>
      <c r="F101" s="157"/>
      <c r="G101" s="157"/>
      <c r="H101" s="157"/>
      <c r="I101" s="157"/>
      <c r="J101" s="157"/>
      <c r="K101" s="157"/>
      <c r="L101" s="157"/>
    </row>
    <row r="102" spans="1:12" x14ac:dyDescent="0.3">
      <c r="A102" s="157"/>
      <c r="B102" s="157"/>
      <c r="C102" s="157"/>
      <c r="D102" s="157"/>
      <c r="E102" s="157"/>
      <c r="F102" s="157"/>
      <c r="G102" s="157"/>
      <c r="H102" s="157"/>
      <c r="I102" s="157"/>
      <c r="J102" s="157"/>
      <c r="K102" s="157"/>
      <c r="L102" s="157"/>
    </row>
    <row r="103" spans="1:12" x14ac:dyDescent="0.3">
      <c r="A103" s="157"/>
      <c r="B103" s="157"/>
      <c r="C103" s="157"/>
      <c r="D103" s="157"/>
      <c r="E103" s="157"/>
      <c r="F103" s="157"/>
      <c r="G103" s="157"/>
      <c r="H103" s="157"/>
      <c r="I103" s="157"/>
      <c r="J103" s="157"/>
      <c r="K103" s="157"/>
      <c r="L103" s="157"/>
    </row>
    <row r="104" spans="1:12" x14ac:dyDescent="0.3">
      <c r="A104" s="157"/>
      <c r="B104" s="157"/>
      <c r="C104" s="157"/>
      <c r="D104" s="157"/>
      <c r="E104" s="157"/>
      <c r="F104" s="157"/>
      <c r="G104" s="157"/>
      <c r="H104" s="157"/>
      <c r="I104" s="157"/>
      <c r="J104" s="157"/>
      <c r="K104" s="157"/>
      <c r="L104" s="157"/>
    </row>
  </sheetData>
  <mergeCells count="98">
    <mergeCell ref="A1:L1"/>
    <mergeCell ref="A53:L53"/>
    <mergeCell ref="A78:L78"/>
    <mergeCell ref="A77:L77"/>
    <mergeCell ref="A52:L52"/>
    <mergeCell ref="A54:L54"/>
    <mergeCell ref="A55:C55"/>
    <mergeCell ref="D55:G55"/>
    <mergeCell ref="H55:I55"/>
    <mergeCell ref="J55:L55"/>
    <mergeCell ref="B50:E50"/>
    <mergeCell ref="F50:G50"/>
    <mergeCell ref="H50:L50"/>
    <mergeCell ref="B51:E51"/>
    <mergeCell ref="F51:G51"/>
    <mergeCell ref="H51:L51"/>
    <mergeCell ref="A48:E48"/>
    <mergeCell ref="F48:L48"/>
    <mergeCell ref="B49:E49"/>
    <mergeCell ref="F49:G49"/>
    <mergeCell ref="H49:L49"/>
    <mergeCell ref="B46:E46"/>
    <mergeCell ref="F46:G46"/>
    <mergeCell ref="H46:L46"/>
    <mergeCell ref="B47:E47"/>
    <mergeCell ref="F47:G47"/>
    <mergeCell ref="H47:L47"/>
    <mergeCell ref="A42:L42"/>
    <mergeCell ref="A43:L43"/>
    <mergeCell ref="A44:E44"/>
    <mergeCell ref="F44:L44"/>
    <mergeCell ref="B45:E45"/>
    <mergeCell ref="F45:G45"/>
    <mergeCell ref="H45:L45"/>
    <mergeCell ref="A41:C41"/>
    <mergeCell ref="D41:L41"/>
    <mergeCell ref="E38:F38"/>
    <mergeCell ref="E39:F39"/>
    <mergeCell ref="K38:L38"/>
    <mergeCell ref="K39:L39"/>
    <mergeCell ref="E40:F40"/>
    <mergeCell ref="K40:L40"/>
    <mergeCell ref="J34:K34"/>
    <mergeCell ref="J35:K35"/>
    <mergeCell ref="A36:L36"/>
    <mergeCell ref="A40:B40"/>
    <mergeCell ref="G40:H40"/>
    <mergeCell ref="A37:F37"/>
    <mergeCell ref="G37:L37"/>
    <mergeCell ref="A31:B31"/>
    <mergeCell ref="F31:H31"/>
    <mergeCell ref="J31:K31"/>
    <mergeCell ref="J32:K32"/>
    <mergeCell ref="J33:K33"/>
    <mergeCell ref="F26:G26"/>
    <mergeCell ref="F27:G27"/>
    <mergeCell ref="F28:G28"/>
    <mergeCell ref="F29:G29"/>
    <mergeCell ref="F30:G30"/>
    <mergeCell ref="F21:G21"/>
    <mergeCell ref="F22:G22"/>
    <mergeCell ref="F23:G23"/>
    <mergeCell ref="F24:G24"/>
    <mergeCell ref="F25:G25"/>
    <mergeCell ref="F16:G16"/>
    <mergeCell ref="F17:G17"/>
    <mergeCell ref="F18:G18"/>
    <mergeCell ref="F19:G19"/>
    <mergeCell ref="F20:G20"/>
    <mergeCell ref="F11:G11"/>
    <mergeCell ref="F12:G12"/>
    <mergeCell ref="F13:G13"/>
    <mergeCell ref="F14:G14"/>
    <mergeCell ref="F15:G15"/>
    <mergeCell ref="B9:E9"/>
    <mergeCell ref="F9:G9"/>
    <mergeCell ref="H9:L9"/>
    <mergeCell ref="C10:E10"/>
    <mergeCell ref="F10:G10"/>
    <mergeCell ref="I10:L10"/>
    <mergeCell ref="A7:E7"/>
    <mergeCell ref="F7:L7"/>
    <mergeCell ref="B8:E8"/>
    <mergeCell ref="F8:G8"/>
    <mergeCell ref="H8:L8"/>
    <mergeCell ref="B5:E5"/>
    <mergeCell ref="F5:G5"/>
    <mergeCell ref="H5:I5"/>
    <mergeCell ref="K5:L5"/>
    <mergeCell ref="A6:L6"/>
    <mergeCell ref="A2:L2"/>
    <mergeCell ref="A3:A4"/>
    <mergeCell ref="B3:G3"/>
    <mergeCell ref="H3:I3"/>
    <mergeCell ref="K3:L3"/>
    <mergeCell ref="B4:G4"/>
    <mergeCell ref="H4:I4"/>
    <mergeCell ref="K4:L4"/>
  </mergeCells>
  <phoneticPr fontId="8" type="noConversion"/>
  <printOptions horizontalCentered="1"/>
  <pageMargins left="0.711666666666667" right="0.67666666666666697" top="0.75" bottom="0.5" header="0.25" footer="0.4"/>
  <pageSetup scale="85" firstPageNumber="0" orientation="portrait" horizontalDpi="144" verticalDpi="144"/>
  <headerFooter alignWithMargins="0">
    <oddHeader>&amp;L&amp;G</oddHeader>
    <oddFooter>&amp;R&amp;"Calibri,Regular"&amp;K000000Form Printed: &amp;D</oddFooter>
  </headerFooter>
  <rowBreaks count="1" manualBreakCount="1">
    <brk id="53" max="16383" man="1"/>
  </rowBreaks>
  <legacyDrawing r:id="rId1"/>
  <legacyDrawingHF r:id="rId2"/>
  <extLst>
    <ext xmlns:mx="http://schemas.microsoft.com/office/mac/excel/2008/main" uri="{64002731-A6B0-56B0-2670-7721B7C09600}">
      <mx:PLV Mode="0" OnePage="0" WScale="84"/>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tabColor theme="5"/>
  </sheetPr>
  <dimension ref="A1:AM94"/>
  <sheetViews>
    <sheetView zoomScaleSheetLayoutView="75" workbookViewId="0">
      <selection activeCell="V6" sqref="V6"/>
    </sheetView>
  </sheetViews>
  <sheetFormatPr defaultColWidth="8.6640625" defaultRowHeight="12" customHeight="1" x14ac:dyDescent="0.3"/>
  <cols>
    <col min="1" max="1" width="7.6640625" style="3" customWidth="1"/>
    <col min="2" max="2" width="13.6640625" style="3" customWidth="1"/>
    <col min="3" max="7" width="3.44140625" style="3" customWidth="1"/>
    <col min="8" max="18" width="11" style="3" customWidth="1"/>
    <col min="19" max="19" width="9.33203125" style="3" hidden="1" customWidth="1"/>
    <col min="20" max="20" width="7.6640625" style="3" customWidth="1"/>
    <col min="21" max="21" width="13.6640625" style="3" customWidth="1"/>
    <col min="22" max="26" width="3.44140625" style="3" customWidth="1"/>
    <col min="27" max="37" width="11" style="3" customWidth="1"/>
    <col min="38" max="38" width="9.33203125" style="3" hidden="1" customWidth="1"/>
    <col min="39" max="208" width="11.44140625" style="3" customWidth="1"/>
    <col min="209" max="16384" width="8.6640625" style="3"/>
  </cols>
  <sheetData>
    <row r="1" spans="1:38" s="2" customFormat="1" ht="30" customHeight="1" x14ac:dyDescent="0.45">
      <c r="A1" s="985" t="str">
        <f>IF(IGRF!B9="","Home Team",IF(IGRF!B8=IGRF!H8,IGRF!B9,IF(IGRF!B8=IGRF!B9,IGRF!B8,IF(OR(IGRF!K3="A",IGRF!K3="B"),IGRF!B8&amp;" "&amp;IGRF!K3,IGRF!B8&amp;" / "&amp;IGRF!B9))))</f>
        <v>Rat City Rollergirls / All-Stars</v>
      </c>
      <c r="B1" s="985"/>
      <c r="C1" s="985"/>
      <c r="D1" s="985"/>
      <c r="E1" s="985"/>
      <c r="F1" s="985"/>
      <c r="G1" s="985"/>
      <c r="H1" s="985"/>
      <c r="I1" s="989" t="s">
        <v>756</v>
      </c>
      <c r="J1" s="989"/>
      <c r="K1" s="366">
        <f>IF(ISBLANK(IGRF!$B$5), "", IGRF!$B$5)</f>
        <v>41832</v>
      </c>
      <c r="L1" s="983" t="s">
        <v>737</v>
      </c>
      <c r="M1" s="983"/>
      <c r="N1" s="983"/>
      <c r="O1" s="984" t="s">
        <v>751</v>
      </c>
      <c r="P1" s="984"/>
      <c r="Q1" s="984"/>
      <c r="R1" s="1">
        <v>1</v>
      </c>
      <c r="T1" s="985" t="str">
        <f>IF(IGRF!$H$9="","Away Team",IF(IGRF!$B$8=IGRF!$H$8,IGRF!$H$9,IF(IGRF!$H$8=IGRF!$H$9,IGRF!$H$9,IF(OR(IGRF!$K$3="A",IGRF!$K$3="B"),IGRF!$H$8&amp;" "&amp;IGRF!$K$3,IGRF!$H$8&amp;" / "&amp;IGRF!$H$9))))</f>
        <v>Houston Roller Derby / All-Stars</v>
      </c>
      <c r="U1" s="985"/>
      <c r="V1" s="985"/>
      <c r="W1" s="985"/>
      <c r="X1" s="985"/>
      <c r="Y1" s="985"/>
      <c r="Z1" s="985"/>
      <c r="AA1" s="985"/>
      <c r="AB1" s="989" t="s">
        <v>757</v>
      </c>
      <c r="AC1" s="989"/>
      <c r="AD1" s="366">
        <f>IF(ISBLANK(IGRF!$B$5), "", IGRF!$B$5)</f>
        <v>41832</v>
      </c>
      <c r="AE1" s="983" t="s">
        <v>738</v>
      </c>
      <c r="AF1" s="983"/>
      <c r="AG1" s="983"/>
      <c r="AH1" s="984" t="s">
        <v>752</v>
      </c>
      <c r="AI1" s="984"/>
      <c r="AJ1" s="984"/>
      <c r="AK1" s="1">
        <v>1</v>
      </c>
    </row>
    <row r="2" spans="1:38" s="2" customFormat="1" ht="15" customHeight="1" thickBot="1" x14ac:dyDescent="0.35">
      <c r="A2" s="986"/>
      <c r="B2" s="986"/>
      <c r="C2" s="986"/>
      <c r="D2" s="986"/>
      <c r="E2" s="986"/>
      <c r="F2" s="986"/>
      <c r="G2" s="986"/>
      <c r="H2" s="986"/>
      <c r="I2" s="990" t="s">
        <v>351</v>
      </c>
      <c r="J2" s="990"/>
      <c r="K2" s="15" t="s">
        <v>355</v>
      </c>
      <c r="L2" s="987" t="s">
        <v>340</v>
      </c>
      <c r="M2" s="987"/>
      <c r="N2" s="987"/>
      <c r="O2" s="988" t="s">
        <v>354</v>
      </c>
      <c r="P2" s="988"/>
      <c r="Q2" s="988"/>
      <c r="R2" s="4" t="str">
        <f>IF(ISBLANK(IGRF!$K$3), "", "GAME " &amp; IGRF!$K$3)</f>
        <v>GAME 2</v>
      </c>
      <c r="T2" s="986"/>
      <c r="U2" s="986"/>
      <c r="V2" s="986"/>
      <c r="W2" s="986"/>
      <c r="X2" s="986"/>
      <c r="Y2" s="986"/>
      <c r="Z2" s="986"/>
      <c r="AA2" s="986"/>
      <c r="AB2" s="990" t="s">
        <v>351</v>
      </c>
      <c r="AC2" s="990"/>
      <c r="AD2" s="15" t="s">
        <v>355</v>
      </c>
      <c r="AE2" s="987" t="s">
        <v>340</v>
      </c>
      <c r="AF2" s="987"/>
      <c r="AG2" s="987"/>
      <c r="AH2" s="988" t="s">
        <v>354</v>
      </c>
      <c r="AI2" s="988"/>
      <c r="AJ2" s="988"/>
      <c r="AK2" s="4" t="str">
        <f>IF(ISBLANK(IGRF!$K$3), "", "GAME " &amp; IGRF!$K$3)</f>
        <v>GAME 2</v>
      </c>
    </row>
    <row r="3" spans="1:38" ht="35.25" customHeight="1" thickBot="1" x14ac:dyDescent="0.35">
      <c r="A3" s="434" t="s">
        <v>257</v>
      </c>
      <c r="B3" s="435" t="s">
        <v>258</v>
      </c>
      <c r="C3" s="436" t="s">
        <v>259</v>
      </c>
      <c r="D3" s="437" t="s">
        <v>260</v>
      </c>
      <c r="E3" s="437" t="s">
        <v>261</v>
      </c>
      <c r="F3" s="437" t="s">
        <v>262</v>
      </c>
      <c r="G3" s="438" t="s">
        <v>263</v>
      </c>
      <c r="H3" s="439" t="s">
        <v>264</v>
      </c>
      <c r="I3" s="440" t="s">
        <v>265</v>
      </c>
      <c r="J3" s="440" t="s">
        <v>266</v>
      </c>
      <c r="K3" s="440" t="s">
        <v>179</v>
      </c>
      <c r="L3" s="440" t="s">
        <v>180</v>
      </c>
      <c r="M3" s="440" t="s">
        <v>181</v>
      </c>
      <c r="N3" s="440" t="s">
        <v>182</v>
      </c>
      <c r="O3" s="440" t="s">
        <v>0</v>
      </c>
      <c r="P3" s="440" t="s">
        <v>1</v>
      </c>
      <c r="Q3" s="441" t="s">
        <v>183</v>
      </c>
      <c r="R3" s="442" t="s">
        <v>184</v>
      </c>
      <c r="S3" s="5" t="s">
        <v>185</v>
      </c>
      <c r="T3" s="434" t="s">
        <v>257</v>
      </c>
      <c r="U3" s="435" t="s">
        <v>258</v>
      </c>
      <c r="V3" s="436" t="s">
        <v>259</v>
      </c>
      <c r="W3" s="437" t="s">
        <v>260</v>
      </c>
      <c r="X3" s="437" t="s">
        <v>261</v>
      </c>
      <c r="Y3" s="437" t="s">
        <v>262</v>
      </c>
      <c r="Z3" s="438" t="s">
        <v>263</v>
      </c>
      <c r="AA3" s="439" t="s">
        <v>264</v>
      </c>
      <c r="AB3" s="440" t="s">
        <v>265</v>
      </c>
      <c r="AC3" s="440" t="s">
        <v>266</v>
      </c>
      <c r="AD3" s="440" t="s">
        <v>179</v>
      </c>
      <c r="AE3" s="440" t="s">
        <v>180</v>
      </c>
      <c r="AF3" s="440" t="s">
        <v>181</v>
      </c>
      <c r="AG3" s="440" t="s">
        <v>182</v>
      </c>
      <c r="AH3" s="440" t="s">
        <v>0</v>
      </c>
      <c r="AI3" s="440" t="s">
        <v>1</v>
      </c>
      <c r="AJ3" s="441" t="s">
        <v>183</v>
      </c>
      <c r="AK3" s="442" t="s">
        <v>184</v>
      </c>
      <c r="AL3" s="5" t="s">
        <v>185</v>
      </c>
    </row>
    <row r="4" spans="1:38" ht="33" customHeight="1" x14ac:dyDescent="0.45">
      <c r="A4" s="585">
        <v>1</v>
      </c>
      <c r="B4" s="586" t="s">
        <v>709</v>
      </c>
      <c r="C4" s="585" t="s">
        <v>193</v>
      </c>
      <c r="D4" s="587" t="s">
        <v>193</v>
      </c>
      <c r="E4" s="587"/>
      <c r="F4" s="587"/>
      <c r="G4" s="588"/>
      <c r="H4" s="589">
        <v>5</v>
      </c>
      <c r="I4" s="590">
        <v>5</v>
      </c>
      <c r="J4" s="590">
        <v>5</v>
      </c>
      <c r="K4" s="590">
        <v>5</v>
      </c>
      <c r="L4" s="590">
        <v>0</v>
      </c>
      <c r="M4" s="590"/>
      <c r="N4" s="590"/>
      <c r="O4" s="590"/>
      <c r="P4" s="591"/>
      <c r="Q4" s="592">
        <f t="shared" ref="Q4:Q41" si="0">IF(ISBLANK(A4),"",IF(ISBLANK(G4),SUM(H4:P4),0))</f>
        <v>20</v>
      </c>
      <c r="R4" s="593">
        <f>IF(Q4="","",Q4)</f>
        <v>20</v>
      </c>
      <c r="S4" s="594">
        <f t="shared" ref="S4:S41" si="1">IF(G4="X",0,COUNT(H4:P4))</f>
        <v>5</v>
      </c>
      <c r="T4" s="585">
        <v>1</v>
      </c>
      <c r="U4" s="595"/>
      <c r="V4" s="585"/>
      <c r="W4" s="587"/>
      <c r="X4" s="587"/>
      <c r="Y4" s="587"/>
      <c r="Z4" s="588" t="s">
        <v>193</v>
      </c>
      <c r="AA4" s="589"/>
      <c r="AB4" s="590"/>
      <c r="AC4" s="590"/>
      <c r="AD4" s="590"/>
      <c r="AE4" s="590"/>
      <c r="AF4" s="590"/>
      <c r="AG4" s="590"/>
      <c r="AH4" s="590"/>
      <c r="AI4" s="591"/>
      <c r="AJ4" s="592">
        <f t="shared" ref="AJ4:AJ41" si="2">IF(ISBLANK(T4),"",IF(ISBLANK(Z4),SUM(AA4:AI4),0))</f>
        <v>0</v>
      </c>
      <c r="AK4" s="593">
        <f>IF(AJ4="","",AJ4)</f>
        <v>0</v>
      </c>
      <c r="AL4" s="594">
        <f t="shared" ref="AL4:AL41" si="3">IF(Z4="X",0,COUNT(AA4:AI4))</f>
        <v>0</v>
      </c>
    </row>
    <row r="5" spans="1:38" ht="33" customHeight="1" x14ac:dyDescent="0.45">
      <c r="A5" s="528">
        <v>2</v>
      </c>
      <c r="B5" s="529" t="s">
        <v>709</v>
      </c>
      <c r="C5" s="528"/>
      <c r="D5" s="530"/>
      <c r="E5" s="530"/>
      <c r="F5" s="530"/>
      <c r="G5" s="519"/>
      <c r="H5" s="520">
        <v>0</v>
      </c>
      <c r="I5" s="521"/>
      <c r="J5" s="521"/>
      <c r="K5" s="521"/>
      <c r="L5" s="521"/>
      <c r="M5" s="521"/>
      <c r="N5" s="521"/>
      <c r="O5" s="521"/>
      <c r="P5" s="491"/>
      <c r="Q5" s="492">
        <f t="shared" si="0"/>
        <v>0</v>
      </c>
      <c r="R5" s="533">
        <f t="shared" ref="R5:R41" si="4">IF(Q5="","",Q5+R4)</f>
        <v>20</v>
      </c>
      <c r="S5" s="494">
        <f t="shared" si="1"/>
        <v>1</v>
      </c>
      <c r="T5" s="497">
        <v>2</v>
      </c>
      <c r="U5" s="496" t="s">
        <v>707</v>
      </c>
      <c r="V5" s="497"/>
      <c r="W5" s="498" t="s">
        <v>193</v>
      </c>
      <c r="X5" s="498" t="s">
        <v>193</v>
      </c>
      <c r="Y5" s="498"/>
      <c r="Z5" s="499"/>
      <c r="AA5" s="500">
        <v>5</v>
      </c>
      <c r="AB5" s="490">
        <v>2</v>
      </c>
      <c r="AC5" s="490"/>
      <c r="AD5" s="490"/>
      <c r="AE5" s="490"/>
      <c r="AF5" s="490"/>
      <c r="AG5" s="490"/>
      <c r="AH5" s="490"/>
      <c r="AI5" s="491"/>
      <c r="AJ5" s="492">
        <f t="shared" si="2"/>
        <v>7</v>
      </c>
      <c r="AK5" s="493">
        <f t="shared" ref="AK5:AK41" si="5">IF(AJ5="","",AJ5+AK4)</f>
        <v>7</v>
      </c>
      <c r="AL5" s="494">
        <f t="shared" si="3"/>
        <v>2</v>
      </c>
    </row>
    <row r="6" spans="1:38" ht="33" customHeight="1" x14ac:dyDescent="0.45">
      <c r="A6" s="520">
        <v>3</v>
      </c>
      <c r="B6" s="535" t="s">
        <v>701</v>
      </c>
      <c r="C6" s="520"/>
      <c r="D6" s="521" t="s">
        <v>193</v>
      </c>
      <c r="E6" s="521" t="s">
        <v>193</v>
      </c>
      <c r="F6" s="521"/>
      <c r="G6" s="534"/>
      <c r="H6" s="522">
        <v>0</v>
      </c>
      <c r="I6" s="523"/>
      <c r="J6" s="523"/>
      <c r="K6" s="523"/>
      <c r="L6" s="523"/>
      <c r="M6" s="523"/>
      <c r="N6" s="523"/>
      <c r="O6" s="523"/>
      <c r="P6" s="502"/>
      <c r="Q6" s="524">
        <f t="shared" si="0"/>
        <v>0</v>
      </c>
      <c r="R6" s="533">
        <f t="shared" si="4"/>
        <v>20</v>
      </c>
      <c r="S6" s="494">
        <f t="shared" si="1"/>
        <v>1</v>
      </c>
      <c r="T6" s="520">
        <v>3</v>
      </c>
      <c r="U6" s="525" t="s">
        <v>730</v>
      </c>
      <c r="V6" s="516"/>
      <c r="W6" s="514"/>
      <c r="X6" s="514"/>
      <c r="Y6" s="514"/>
      <c r="Z6" s="526"/>
      <c r="AA6" s="518">
        <v>0</v>
      </c>
      <c r="AB6" s="513"/>
      <c r="AC6" s="513"/>
      <c r="AD6" s="513"/>
      <c r="AE6" s="513"/>
      <c r="AF6" s="513"/>
      <c r="AG6" s="513"/>
      <c r="AH6" s="513"/>
      <c r="AI6" s="517"/>
      <c r="AJ6" s="510">
        <f t="shared" si="2"/>
        <v>0</v>
      </c>
      <c r="AK6" s="493">
        <f t="shared" si="5"/>
        <v>7</v>
      </c>
      <c r="AL6" s="494">
        <f t="shared" si="3"/>
        <v>1</v>
      </c>
    </row>
    <row r="7" spans="1:38" ht="33" customHeight="1" x14ac:dyDescent="0.45">
      <c r="A7" s="528">
        <v>4</v>
      </c>
      <c r="B7" s="529" t="s">
        <v>687</v>
      </c>
      <c r="C7" s="528"/>
      <c r="D7" s="530"/>
      <c r="E7" s="530"/>
      <c r="F7" s="530"/>
      <c r="G7" s="519"/>
      <c r="H7" s="520">
        <v>0</v>
      </c>
      <c r="I7" s="521"/>
      <c r="J7" s="521"/>
      <c r="K7" s="521"/>
      <c r="L7" s="521"/>
      <c r="M7" s="521"/>
      <c r="N7" s="521"/>
      <c r="O7" s="521"/>
      <c r="P7" s="491"/>
      <c r="Q7" s="492">
        <f t="shared" si="0"/>
        <v>0</v>
      </c>
      <c r="R7" s="533">
        <f t="shared" si="4"/>
        <v>20</v>
      </c>
      <c r="S7" s="494">
        <f t="shared" si="1"/>
        <v>1</v>
      </c>
      <c r="T7" s="527">
        <v>4</v>
      </c>
      <c r="U7" s="531" t="s">
        <v>689</v>
      </c>
      <c r="V7" s="527"/>
      <c r="W7" s="532" t="s">
        <v>193</v>
      </c>
      <c r="X7" s="532" t="s">
        <v>193</v>
      </c>
      <c r="Y7" s="532"/>
      <c r="Z7" s="542"/>
      <c r="AA7" s="516">
        <v>4</v>
      </c>
      <c r="AB7" s="514"/>
      <c r="AC7" s="514"/>
      <c r="AD7" s="514"/>
      <c r="AE7" s="514"/>
      <c r="AF7" s="514"/>
      <c r="AG7" s="514"/>
      <c r="AH7" s="514"/>
      <c r="AI7" s="515"/>
      <c r="AJ7" s="509">
        <f t="shared" si="2"/>
        <v>4</v>
      </c>
      <c r="AK7" s="493">
        <f t="shared" si="5"/>
        <v>11</v>
      </c>
      <c r="AL7" s="494">
        <f t="shared" si="3"/>
        <v>1</v>
      </c>
    </row>
    <row r="8" spans="1:38" ht="33" customHeight="1" x14ac:dyDescent="0.45">
      <c r="A8" s="520">
        <v>5</v>
      </c>
      <c r="B8" s="535" t="s">
        <v>691</v>
      </c>
      <c r="C8" s="520"/>
      <c r="D8" s="521" t="s">
        <v>193</v>
      </c>
      <c r="E8" s="521" t="s">
        <v>193</v>
      </c>
      <c r="F8" s="521"/>
      <c r="G8" s="534"/>
      <c r="H8" s="522">
        <v>3</v>
      </c>
      <c r="I8" s="523"/>
      <c r="J8" s="523"/>
      <c r="K8" s="523"/>
      <c r="L8" s="523"/>
      <c r="M8" s="523"/>
      <c r="N8" s="523"/>
      <c r="O8" s="523"/>
      <c r="P8" s="502"/>
      <c r="Q8" s="524">
        <f t="shared" si="0"/>
        <v>3</v>
      </c>
      <c r="R8" s="533">
        <f t="shared" si="4"/>
        <v>23</v>
      </c>
      <c r="S8" s="494">
        <f t="shared" si="1"/>
        <v>1</v>
      </c>
      <c r="T8" s="520">
        <v>5</v>
      </c>
      <c r="U8" s="525" t="s">
        <v>707</v>
      </c>
      <c r="V8" s="516"/>
      <c r="W8" s="514"/>
      <c r="X8" s="514"/>
      <c r="Y8" s="514"/>
      <c r="Z8" s="526"/>
      <c r="AA8" s="518">
        <v>2</v>
      </c>
      <c r="AB8" s="513"/>
      <c r="AC8" s="513"/>
      <c r="AD8" s="513"/>
      <c r="AE8" s="513"/>
      <c r="AF8" s="513"/>
      <c r="AG8" s="513"/>
      <c r="AH8" s="513"/>
      <c r="AI8" s="517"/>
      <c r="AJ8" s="510">
        <f t="shared" si="2"/>
        <v>2</v>
      </c>
      <c r="AK8" s="493">
        <f t="shared" si="5"/>
        <v>13</v>
      </c>
      <c r="AL8" s="494">
        <f t="shared" si="3"/>
        <v>1</v>
      </c>
    </row>
    <row r="9" spans="1:38" ht="33" customHeight="1" x14ac:dyDescent="0.45">
      <c r="A9" s="528">
        <v>6</v>
      </c>
      <c r="B9" s="529" t="s">
        <v>709</v>
      </c>
      <c r="C9" s="528" t="s">
        <v>193</v>
      </c>
      <c r="D9" s="530"/>
      <c r="E9" s="530"/>
      <c r="F9" s="530"/>
      <c r="G9" s="519" t="s">
        <v>193</v>
      </c>
      <c r="H9" s="520"/>
      <c r="I9" s="521"/>
      <c r="J9" s="521"/>
      <c r="K9" s="521"/>
      <c r="L9" s="521"/>
      <c r="M9" s="521"/>
      <c r="N9" s="521"/>
      <c r="O9" s="521"/>
      <c r="P9" s="491"/>
      <c r="Q9" s="492">
        <f t="shared" si="0"/>
        <v>0</v>
      </c>
      <c r="R9" s="533">
        <f t="shared" si="4"/>
        <v>23</v>
      </c>
      <c r="S9" s="494">
        <f t="shared" si="1"/>
        <v>0</v>
      </c>
      <c r="T9" s="527">
        <v>6</v>
      </c>
      <c r="U9" s="531" t="s">
        <v>730</v>
      </c>
      <c r="V9" s="527"/>
      <c r="W9" s="532" t="s">
        <v>193</v>
      </c>
      <c r="X9" s="532" t="s">
        <v>193</v>
      </c>
      <c r="Y9" s="532"/>
      <c r="Z9" s="542"/>
      <c r="AA9" s="516">
        <v>0</v>
      </c>
      <c r="AB9" s="514"/>
      <c r="AC9" s="514"/>
      <c r="AD9" s="514"/>
      <c r="AE9" s="514"/>
      <c r="AF9" s="514"/>
      <c r="AG9" s="514"/>
      <c r="AH9" s="514"/>
      <c r="AI9" s="515"/>
      <c r="AJ9" s="509">
        <f t="shared" si="2"/>
        <v>0</v>
      </c>
      <c r="AK9" s="493">
        <f t="shared" si="5"/>
        <v>13</v>
      </c>
      <c r="AL9" s="494">
        <f t="shared" si="3"/>
        <v>1</v>
      </c>
    </row>
    <row r="10" spans="1:38" ht="33" customHeight="1" x14ac:dyDescent="0.45">
      <c r="A10" s="520">
        <v>7</v>
      </c>
      <c r="B10" s="535" t="s">
        <v>709</v>
      </c>
      <c r="C10" s="520"/>
      <c r="D10" s="521"/>
      <c r="E10" s="521"/>
      <c r="F10" s="521"/>
      <c r="G10" s="534" t="s">
        <v>193</v>
      </c>
      <c r="H10" s="522"/>
      <c r="I10" s="523"/>
      <c r="J10" s="523"/>
      <c r="K10" s="523"/>
      <c r="L10" s="523"/>
      <c r="M10" s="523"/>
      <c r="N10" s="523"/>
      <c r="O10" s="523"/>
      <c r="P10" s="502"/>
      <c r="Q10" s="524">
        <f t="shared" si="0"/>
        <v>0</v>
      </c>
      <c r="R10" s="533">
        <f t="shared" si="4"/>
        <v>23</v>
      </c>
      <c r="S10" s="494">
        <f t="shared" si="1"/>
        <v>0</v>
      </c>
      <c r="T10" s="520">
        <v>7</v>
      </c>
      <c r="U10" s="525" t="s">
        <v>689</v>
      </c>
      <c r="V10" s="516"/>
      <c r="W10" s="514" t="s">
        <v>193</v>
      </c>
      <c r="X10" s="514" t="s">
        <v>193</v>
      </c>
      <c r="Y10" s="514"/>
      <c r="Z10" s="526"/>
      <c r="AA10" s="518">
        <v>5</v>
      </c>
      <c r="AB10" s="513"/>
      <c r="AC10" s="513"/>
      <c r="AD10" s="513"/>
      <c r="AE10" s="513"/>
      <c r="AF10" s="513"/>
      <c r="AG10" s="513"/>
      <c r="AH10" s="513"/>
      <c r="AI10" s="517"/>
      <c r="AJ10" s="510">
        <f t="shared" si="2"/>
        <v>5</v>
      </c>
      <c r="AK10" s="493">
        <f t="shared" si="5"/>
        <v>18</v>
      </c>
      <c r="AL10" s="494">
        <f t="shared" si="3"/>
        <v>1</v>
      </c>
    </row>
    <row r="11" spans="1:38" ht="33" customHeight="1" x14ac:dyDescent="0.45">
      <c r="A11" s="528">
        <v>8</v>
      </c>
      <c r="B11" s="529" t="s">
        <v>701</v>
      </c>
      <c r="C11" s="528" t="s">
        <v>193</v>
      </c>
      <c r="D11" s="530" t="s">
        <v>193</v>
      </c>
      <c r="E11" s="530"/>
      <c r="F11" s="530"/>
      <c r="G11" s="519"/>
      <c r="H11" s="520">
        <v>4</v>
      </c>
      <c r="I11" s="521">
        <v>4</v>
      </c>
      <c r="J11" s="521"/>
      <c r="K11" s="521"/>
      <c r="L11" s="521"/>
      <c r="M11" s="521"/>
      <c r="N11" s="521"/>
      <c r="O11" s="521"/>
      <c r="P11" s="491"/>
      <c r="Q11" s="492">
        <f t="shared" si="0"/>
        <v>8</v>
      </c>
      <c r="R11" s="533">
        <f t="shared" si="4"/>
        <v>31</v>
      </c>
      <c r="S11" s="494">
        <f t="shared" si="1"/>
        <v>2</v>
      </c>
      <c r="T11" s="527">
        <v>8</v>
      </c>
      <c r="U11" s="531" t="s">
        <v>707</v>
      </c>
      <c r="V11" s="527"/>
      <c r="W11" s="532"/>
      <c r="X11" s="532"/>
      <c r="Y11" s="532"/>
      <c r="Z11" s="542"/>
      <c r="AA11" s="516">
        <v>5</v>
      </c>
      <c r="AB11" s="514">
        <v>5</v>
      </c>
      <c r="AC11" s="514">
        <v>1</v>
      </c>
      <c r="AD11" s="514"/>
      <c r="AE11" s="514"/>
      <c r="AF11" s="514"/>
      <c r="AG11" s="514"/>
      <c r="AH11" s="514"/>
      <c r="AI11" s="515"/>
      <c r="AJ11" s="509">
        <f t="shared" si="2"/>
        <v>11</v>
      </c>
      <c r="AK11" s="493">
        <f t="shared" si="5"/>
        <v>29</v>
      </c>
      <c r="AL11" s="494">
        <f t="shared" si="3"/>
        <v>3</v>
      </c>
    </row>
    <row r="12" spans="1:38" ht="33" customHeight="1" x14ac:dyDescent="0.45">
      <c r="A12" s="520">
        <v>9</v>
      </c>
      <c r="B12" s="535" t="s">
        <v>687</v>
      </c>
      <c r="C12" s="520"/>
      <c r="D12" s="521" t="s">
        <v>193</v>
      </c>
      <c r="E12" s="521" t="s">
        <v>193</v>
      </c>
      <c r="F12" s="521"/>
      <c r="G12" s="534"/>
      <c r="H12" s="522">
        <v>5</v>
      </c>
      <c r="I12" s="523">
        <v>5</v>
      </c>
      <c r="J12" s="523">
        <v>5</v>
      </c>
      <c r="K12" s="523">
        <v>5</v>
      </c>
      <c r="L12" s="523"/>
      <c r="M12" s="523"/>
      <c r="N12" s="523"/>
      <c r="O12" s="523"/>
      <c r="P12" s="502"/>
      <c r="Q12" s="524">
        <f t="shared" si="0"/>
        <v>20</v>
      </c>
      <c r="R12" s="533">
        <f t="shared" si="4"/>
        <v>51</v>
      </c>
      <c r="S12" s="494">
        <f t="shared" si="1"/>
        <v>4</v>
      </c>
      <c r="T12" s="520">
        <v>9</v>
      </c>
      <c r="U12" s="525" t="s">
        <v>730</v>
      </c>
      <c r="V12" s="516" t="s">
        <v>193</v>
      </c>
      <c r="W12" s="514"/>
      <c r="X12" s="514"/>
      <c r="Y12" s="514"/>
      <c r="Z12" s="526"/>
      <c r="AA12" s="518">
        <v>0</v>
      </c>
      <c r="AB12" s="513"/>
      <c r="AC12" s="513"/>
      <c r="AD12" s="513"/>
      <c r="AE12" s="513"/>
      <c r="AF12" s="513"/>
      <c r="AG12" s="513"/>
      <c r="AH12" s="513"/>
      <c r="AI12" s="517"/>
      <c r="AJ12" s="510">
        <f t="shared" si="2"/>
        <v>0</v>
      </c>
      <c r="AK12" s="493">
        <f t="shared" si="5"/>
        <v>29</v>
      </c>
      <c r="AL12" s="494">
        <f t="shared" si="3"/>
        <v>1</v>
      </c>
    </row>
    <row r="13" spans="1:38" ht="33" customHeight="1" x14ac:dyDescent="0.45">
      <c r="A13" s="528">
        <v>10</v>
      </c>
      <c r="B13" s="529" t="s">
        <v>691</v>
      </c>
      <c r="C13" s="528"/>
      <c r="D13" s="530"/>
      <c r="E13" s="530"/>
      <c r="F13" s="530"/>
      <c r="G13" s="519"/>
      <c r="H13" s="520">
        <v>4</v>
      </c>
      <c r="I13" s="521">
        <v>0</v>
      </c>
      <c r="J13" s="521"/>
      <c r="K13" s="521"/>
      <c r="L13" s="521"/>
      <c r="M13" s="521"/>
      <c r="N13" s="521"/>
      <c r="O13" s="521"/>
      <c r="P13" s="491"/>
      <c r="Q13" s="492">
        <f t="shared" si="0"/>
        <v>4</v>
      </c>
      <c r="R13" s="533">
        <f t="shared" si="4"/>
        <v>55</v>
      </c>
      <c r="S13" s="494">
        <f t="shared" si="1"/>
        <v>2</v>
      </c>
      <c r="T13" s="527">
        <v>10</v>
      </c>
      <c r="U13" s="531" t="s">
        <v>689</v>
      </c>
      <c r="V13" s="527"/>
      <c r="W13" s="532" t="s">
        <v>193</v>
      </c>
      <c r="X13" s="532" t="s">
        <v>193</v>
      </c>
      <c r="Y13" s="532"/>
      <c r="Z13" s="542"/>
      <c r="AA13" s="516">
        <v>3</v>
      </c>
      <c r="AB13" s="514"/>
      <c r="AC13" s="514"/>
      <c r="AD13" s="514"/>
      <c r="AE13" s="514"/>
      <c r="AF13" s="514"/>
      <c r="AG13" s="514"/>
      <c r="AH13" s="514"/>
      <c r="AI13" s="515"/>
      <c r="AJ13" s="509">
        <f t="shared" si="2"/>
        <v>3</v>
      </c>
      <c r="AK13" s="493">
        <f t="shared" si="5"/>
        <v>32</v>
      </c>
      <c r="AL13" s="494">
        <f t="shared" si="3"/>
        <v>1</v>
      </c>
    </row>
    <row r="14" spans="1:38" ht="33" customHeight="1" x14ac:dyDescent="0.45">
      <c r="A14" s="520">
        <v>11</v>
      </c>
      <c r="B14" s="535" t="s">
        <v>709</v>
      </c>
      <c r="C14" s="520"/>
      <c r="D14" s="521"/>
      <c r="E14" s="521"/>
      <c r="F14" s="521"/>
      <c r="G14" s="534"/>
      <c r="H14" s="522">
        <v>1</v>
      </c>
      <c r="I14" s="523"/>
      <c r="J14" s="523"/>
      <c r="K14" s="523"/>
      <c r="L14" s="523"/>
      <c r="M14" s="523"/>
      <c r="N14" s="523"/>
      <c r="O14" s="523"/>
      <c r="P14" s="502"/>
      <c r="Q14" s="524">
        <f t="shared" si="0"/>
        <v>1</v>
      </c>
      <c r="R14" s="533">
        <f t="shared" si="4"/>
        <v>56</v>
      </c>
      <c r="S14" s="494">
        <f t="shared" si="1"/>
        <v>1</v>
      </c>
      <c r="T14" s="520">
        <v>11</v>
      </c>
      <c r="U14" s="525" t="s">
        <v>707</v>
      </c>
      <c r="V14" s="516"/>
      <c r="W14" s="514" t="s">
        <v>193</v>
      </c>
      <c r="X14" s="514" t="s">
        <v>193</v>
      </c>
      <c r="Y14" s="514"/>
      <c r="Z14" s="526"/>
      <c r="AA14" s="518">
        <v>3</v>
      </c>
      <c r="AB14" s="513"/>
      <c r="AC14" s="513"/>
      <c r="AD14" s="513"/>
      <c r="AE14" s="513"/>
      <c r="AF14" s="513"/>
      <c r="AG14" s="513"/>
      <c r="AH14" s="513"/>
      <c r="AI14" s="517"/>
      <c r="AJ14" s="510">
        <f t="shared" si="2"/>
        <v>3</v>
      </c>
      <c r="AK14" s="493">
        <f t="shared" si="5"/>
        <v>35</v>
      </c>
      <c r="AL14" s="494">
        <f t="shared" si="3"/>
        <v>1</v>
      </c>
    </row>
    <row r="15" spans="1:38" ht="33" customHeight="1" x14ac:dyDescent="0.45">
      <c r="A15" s="528">
        <v>12</v>
      </c>
      <c r="B15" s="529" t="s">
        <v>701</v>
      </c>
      <c r="C15" s="528"/>
      <c r="D15" s="530"/>
      <c r="E15" s="530"/>
      <c r="F15" s="530"/>
      <c r="G15" s="519"/>
      <c r="H15" s="520">
        <v>0</v>
      </c>
      <c r="I15" s="521"/>
      <c r="J15" s="521"/>
      <c r="K15" s="521"/>
      <c r="L15" s="521"/>
      <c r="M15" s="521"/>
      <c r="N15" s="521"/>
      <c r="O15" s="521"/>
      <c r="P15" s="491"/>
      <c r="Q15" s="492">
        <f t="shared" si="0"/>
        <v>0</v>
      </c>
      <c r="R15" s="533">
        <f t="shared" si="4"/>
        <v>56</v>
      </c>
      <c r="S15" s="494">
        <f t="shared" si="1"/>
        <v>1</v>
      </c>
      <c r="T15" s="527">
        <v>12</v>
      </c>
      <c r="U15" s="531" t="s">
        <v>730</v>
      </c>
      <c r="V15" s="527"/>
      <c r="W15" s="532" t="s">
        <v>193</v>
      </c>
      <c r="X15" s="532" t="s">
        <v>193</v>
      </c>
      <c r="Y15" s="532"/>
      <c r="Z15" s="542"/>
      <c r="AA15" s="516">
        <v>0</v>
      </c>
      <c r="AB15" s="514"/>
      <c r="AC15" s="514"/>
      <c r="AD15" s="514"/>
      <c r="AE15" s="514"/>
      <c r="AF15" s="514"/>
      <c r="AG15" s="514"/>
      <c r="AH15" s="514"/>
      <c r="AI15" s="515"/>
      <c r="AJ15" s="509">
        <f t="shared" si="2"/>
        <v>0</v>
      </c>
      <c r="AK15" s="493">
        <f t="shared" si="5"/>
        <v>35</v>
      </c>
      <c r="AL15" s="494">
        <f t="shared" si="3"/>
        <v>1</v>
      </c>
    </row>
    <row r="16" spans="1:38" ht="33" customHeight="1" x14ac:dyDescent="0.45">
      <c r="A16" s="520">
        <v>13</v>
      </c>
      <c r="B16" s="535" t="s">
        <v>687</v>
      </c>
      <c r="C16" s="520"/>
      <c r="D16" s="521" t="s">
        <v>193</v>
      </c>
      <c r="E16" s="521" t="s">
        <v>193</v>
      </c>
      <c r="F16" s="521"/>
      <c r="G16" s="534"/>
      <c r="H16" s="522">
        <v>4</v>
      </c>
      <c r="I16" s="523"/>
      <c r="J16" s="523"/>
      <c r="K16" s="523"/>
      <c r="L16" s="523"/>
      <c r="M16" s="523"/>
      <c r="N16" s="523"/>
      <c r="O16" s="523"/>
      <c r="P16" s="502"/>
      <c r="Q16" s="524">
        <f t="shared" si="0"/>
        <v>4</v>
      </c>
      <c r="R16" s="533">
        <f t="shared" si="4"/>
        <v>60</v>
      </c>
      <c r="S16" s="494">
        <f t="shared" si="1"/>
        <v>1</v>
      </c>
      <c r="T16" s="520">
        <v>13</v>
      </c>
      <c r="U16" s="525" t="s">
        <v>689</v>
      </c>
      <c r="V16" s="516"/>
      <c r="W16" s="514"/>
      <c r="X16" s="514"/>
      <c r="Y16" s="514"/>
      <c r="Z16" s="526"/>
      <c r="AA16" s="518">
        <v>0</v>
      </c>
      <c r="AB16" s="513"/>
      <c r="AC16" s="513"/>
      <c r="AD16" s="513"/>
      <c r="AE16" s="513"/>
      <c r="AF16" s="513"/>
      <c r="AG16" s="513"/>
      <c r="AH16" s="513"/>
      <c r="AI16" s="517"/>
      <c r="AJ16" s="510">
        <f t="shared" si="2"/>
        <v>0</v>
      </c>
      <c r="AK16" s="493">
        <f t="shared" si="5"/>
        <v>35</v>
      </c>
      <c r="AL16" s="494">
        <f t="shared" si="3"/>
        <v>1</v>
      </c>
    </row>
    <row r="17" spans="1:38" ht="33" customHeight="1" x14ac:dyDescent="0.45">
      <c r="A17" s="528">
        <v>14</v>
      </c>
      <c r="B17" s="529" t="s">
        <v>691</v>
      </c>
      <c r="C17" s="528" t="s">
        <v>193</v>
      </c>
      <c r="D17" s="530"/>
      <c r="E17" s="530"/>
      <c r="F17" s="530"/>
      <c r="G17" s="519" t="s">
        <v>193</v>
      </c>
      <c r="H17" s="520"/>
      <c r="I17" s="521"/>
      <c r="J17" s="521"/>
      <c r="K17" s="521"/>
      <c r="L17" s="521"/>
      <c r="M17" s="521"/>
      <c r="N17" s="521"/>
      <c r="O17" s="521"/>
      <c r="P17" s="491"/>
      <c r="Q17" s="492">
        <f t="shared" si="0"/>
        <v>0</v>
      </c>
      <c r="R17" s="533">
        <f t="shared" si="4"/>
        <v>60</v>
      </c>
      <c r="S17" s="494">
        <f t="shared" si="1"/>
        <v>0</v>
      </c>
      <c r="T17" s="527">
        <v>14</v>
      </c>
      <c r="U17" s="531" t="s">
        <v>707</v>
      </c>
      <c r="V17" s="527"/>
      <c r="W17" s="532" t="s">
        <v>193</v>
      </c>
      <c r="X17" s="532" t="s">
        <v>193</v>
      </c>
      <c r="Y17" s="532"/>
      <c r="Z17" s="542"/>
      <c r="AA17" s="516">
        <v>3</v>
      </c>
      <c r="AB17" s="514"/>
      <c r="AC17" s="514"/>
      <c r="AD17" s="514"/>
      <c r="AE17" s="514"/>
      <c r="AF17" s="514"/>
      <c r="AG17" s="514"/>
      <c r="AH17" s="514"/>
      <c r="AI17" s="515"/>
      <c r="AJ17" s="509">
        <f t="shared" si="2"/>
        <v>3</v>
      </c>
      <c r="AK17" s="493">
        <f t="shared" si="5"/>
        <v>38</v>
      </c>
      <c r="AL17" s="494">
        <f t="shared" si="3"/>
        <v>1</v>
      </c>
    </row>
    <row r="18" spans="1:38" ht="33" customHeight="1" x14ac:dyDescent="0.45">
      <c r="A18" s="520">
        <v>15</v>
      </c>
      <c r="B18" s="535" t="s">
        <v>709</v>
      </c>
      <c r="C18" s="520" t="s">
        <v>193</v>
      </c>
      <c r="D18" s="521"/>
      <c r="E18" s="521"/>
      <c r="F18" s="521"/>
      <c r="G18" s="534" t="s">
        <v>193</v>
      </c>
      <c r="H18" s="522"/>
      <c r="I18" s="523"/>
      <c r="J18" s="523"/>
      <c r="K18" s="523"/>
      <c r="L18" s="523"/>
      <c r="M18" s="523"/>
      <c r="N18" s="523"/>
      <c r="O18" s="523"/>
      <c r="P18" s="502"/>
      <c r="Q18" s="524">
        <f t="shared" si="0"/>
        <v>0</v>
      </c>
      <c r="R18" s="533">
        <f t="shared" si="4"/>
        <v>60</v>
      </c>
      <c r="S18" s="494">
        <f t="shared" si="1"/>
        <v>0</v>
      </c>
      <c r="T18" s="520">
        <v>15</v>
      </c>
      <c r="U18" s="525" t="s">
        <v>730</v>
      </c>
      <c r="V18" s="516"/>
      <c r="W18" s="514" t="s">
        <v>193</v>
      </c>
      <c r="X18" s="514" t="s">
        <v>193</v>
      </c>
      <c r="Y18" s="514"/>
      <c r="Z18" s="526"/>
      <c r="AA18" s="518">
        <v>5</v>
      </c>
      <c r="AB18" s="513">
        <v>1</v>
      </c>
      <c r="AC18" s="513"/>
      <c r="AD18" s="513"/>
      <c r="AE18" s="513"/>
      <c r="AF18" s="513"/>
      <c r="AG18" s="513"/>
      <c r="AH18" s="513"/>
      <c r="AI18" s="517"/>
      <c r="AJ18" s="510">
        <f t="shared" si="2"/>
        <v>6</v>
      </c>
      <c r="AK18" s="493">
        <f t="shared" si="5"/>
        <v>44</v>
      </c>
      <c r="AL18" s="494">
        <f t="shared" si="3"/>
        <v>2</v>
      </c>
    </row>
    <row r="19" spans="1:38" ht="33" customHeight="1" x14ac:dyDescent="0.45">
      <c r="A19" s="528">
        <v>16</v>
      </c>
      <c r="B19" s="529" t="s">
        <v>701</v>
      </c>
      <c r="C19" s="528"/>
      <c r="D19" s="530" t="s">
        <v>193</v>
      </c>
      <c r="E19" s="530" t="s">
        <v>193</v>
      </c>
      <c r="F19" s="530"/>
      <c r="G19" s="519"/>
      <c r="H19" s="520">
        <v>5</v>
      </c>
      <c r="I19" s="521">
        <v>5</v>
      </c>
      <c r="J19" s="521">
        <v>5</v>
      </c>
      <c r="K19" s="521">
        <v>5</v>
      </c>
      <c r="L19" s="521">
        <v>1</v>
      </c>
      <c r="M19" s="521"/>
      <c r="N19" s="521"/>
      <c r="O19" s="521"/>
      <c r="P19" s="491"/>
      <c r="Q19" s="492">
        <f t="shared" si="0"/>
        <v>21</v>
      </c>
      <c r="R19" s="533">
        <f t="shared" si="4"/>
        <v>81</v>
      </c>
      <c r="S19" s="494">
        <f t="shared" si="1"/>
        <v>5</v>
      </c>
      <c r="T19" s="527">
        <v>16</v>
      </c>
      <c r="U19" s="531" t="s">
        <v>689</v>
      </c>
      <c r="V19" s="527"/>
      <c r="W19" s="532"/>
      <c r="X19" s="532"/>
      <c r="Y19" s="532"/>
      <c r="Z19" s="542"/>
      <c r="AA19" s="516">
        <v>0</v>
      </c>
      <c r="AB19" s="514"/>
      <c r="AC19" s="514"/>
      <c r="AD19" s="514"/>
      <c r="AE19" s="514"/>
      <c r="AF19" s="514"/>
      <c r="AG19" s="514"/>
      <c r="AH19" s="514"/>
      <c r="AI19" s="515"/>
      <c r="AJ19" s="509">
        <f t="shared" si="2"/>
        <v>0</v>
      </c>
      <c r="AK19" s="493">
        <f t="shared" si="5"/>
        <v>44</v>
      </c>
      <c r="AL19" s="494">
        <f t="shared" si="3"/>
        <v>1</v>
      </c>
    </row>
    <row r="20" spans="1:38" ht="33" customHeight="1" x14ac:dyDescent="0.45">
      <c r="A20" s="520">
        <v>17</v>
      </c>
      <c r="B20" s="535" t="s">
        <v>687</v>
      </c>
      <c r="C20" s="520"/>
      <c r="D20" s="521" t="s">
        <v>193</v>
      </c>
      <c r="E20" s="521"/>
      <c r="F20" s="521"/>
      <c r="G20" s="534"/>
      <c r="H20" s="522">
        <v>4</v>
      </c>
      <c r="I20" s="523"/>
      <c r="J20" s="523"/>
      <c r="K20" s="523"/>
      <c r="L20" s="523"/>
      <c r="M20" s="523"/>
      <c r="N20" s="523"/>
      <c r="O20" s="523"/>
      <c r="P20" s="502"/>
      <c r="Q20" s="524">
        <f t="shared" si="0"/>
        <v>4</v>
      </c>
      <c r="R20" s="533">
        <f t="shared" si="4"/>
        <v>85</v>
      </c>
      <c r="S20" s="494">
        <f t="shared" si="1"/>
        <v>1</v>
      </c>
      <c r="T20" s="520">
        <v>17</v>
      </c>
      <c r="U20" s="525" t="s">
        <v>707</v>
      </c>
      <c r="V20" s="516"/>
      <c r="W20" s="514"/>
      <c r="X20" s="514"/>
      <c r="Y20" s="514"/>
      <c r="Z20" s="526"/>
      <c r="AA20" s="518">
        <v>0</v>
      </c>
      <c r="AB20" s="513"/>
      <c r="AC20" s="513"/>
      <c r="AD20" s="513"/>
      <c r="AE20" s="513"/>
      <c r="AF20" s="513"/>
      <c r="AG20" s="513"/>
      <c r="AH20" s="513"/>
      <c r="AI20" s="517"/>
      <c r="AJ20" s="510">
        <f t="shared" si="2"/>
        <v>0</v>
      </c>
      <c r="AK20" s="493">
        <f t="shared" si="5"/>
        <v>44</v>
      </c>
      <c r="AL20" s="494">
        <f t="shared" si="3"/>
        <v>1</v>
      </c>
    </row>
    <row r="21" spans="1:38" ht="33" customHeight="1" x14ac:dyDescent="0.45">
      <c r="A21" s="528">
        <v>18</v>
      </c>
      <c r="B21" s="529" t="s">
        <v>691</v>
      </c>
      <c r="C21" s="528"/>
      <c r="D21" s="530"/>
      <c r="E21" s="530"/>
      <c r="F21" s="530"/>
      <c r="G21" s="519" t="s">
        <v>193</v>
      </c>
      <c r="H21" s="520"/>
      <c r="I21" s="521"/>
      <c r="J21" s="521"/>
      <c r="K21" s="521"/>
      <c r="L21" s="521"/>
      <c r="M21" s="521"/>
      <c r="N21" s="521"/>
      <c r="O21" s="521"/>
      <c r="P21" s="491"/>
      <c r="Q21" s="492">
        <f t="shared" si="0"/>
        <v>0</v>
      </c>
      <c r="R21" s="533">
        <f t="shared" si="4"/>
        <v>85</v>
      </c>
      <c r="S21" s="494">
        <f t="shared" si="1"/>
        <v>0</v>
      </c>
      <c r="T21" s="527">
        <v>18</v>
      </c>
      <c r="U21" s="531" t="s">
        <v>730</v>
      </c>
      <c r="V21" s="527"/>
      <c r="W21" s="532" t="s">
        <v>193</v>
      </c>
      <c r="X21" s="532" t="s">
        <v>193</v>
      </c>
      <c r="Y21" s="532"/>
      <c r="Z21" s="542"/>
      <c r="AA21" s="516">
        <v>5</v>
      </c>
      <c r="AB21" s="514"/>
      <c r="AC21" s="514"/>
      <c r="AD21" s="514"/>
      <c r="AE21" s="514"/>
      <c r="AF21" s="514"/>
      <c r="AG21" s="514"/>
      <c r="AH21" s="514"/>
      <c r="AI21" s="515"/>
      <c r="AJ21" s="509">
        <f t="shared" si="2"/>
        <v>5</v>
      </c>
      <c r="AK21" s="493">
        <f t="shared" si="5"/>
        <v>49</v>
      </c>
      <c r="AL21" s="494">
        <f t="shared" si="3"/>
        <v>1</v>
      </c>
    </row>
    <row r="22" spans="1:38" ht="33" customHeight="1" x14ac:dyDescent="0.45">
      <c r="A22" s="520">
        <v>19</v>
      </c>
      <c r="B22" s="535" t="s">
        <v>691</v>
      </c>
      <c r="C22" s="520"/>
      <c r="D22" s="521"/>
      <c r="E22" s="521"/>
      <c r="F22" s="521"/>
      <c r="G22" s="534"/>
      <c r="H22" s="522">
        <v>0</v>
      </c>
      <c r="I22" s="523"/>
      <c r="J22" s="523"/>
      <c r="K22" s="523"/>
      <c r="L22" s="523"/>
      <c r="M22" s="523"/>
      <c r="N22" s="523"/>
      <c r="O22" s="523"/>
      <c r="P22" s="502"/>
      <c r="Q22" s="524">
        <f t="shared" si="0"/>
        <v>0</v>
      </c>
      <c r="R22" s="533">
        <f t="shared" si="4"/>
        <v>85</v>
      </c>
      <c r="S22" s="494">
        <f t="shared" si="1"/>
        <v>1</v>
      </c>
      <c r="T22" s="520">
        <v>19</v>
      </c>
      <c r="U22" s="525" t="s">
        <v>689</v>
      </c>
      <c r="V22" s="516"/>
      <c r="W22" s="514" t="s">
        <v>193</v>
      </c>
      <c r="X22" s="514" t="s">
        <v>193</v>
      </c>
      <c r="Y22" s="514"/>
      <c r="Z22" s="526"/>
      <c r="AA22" s="518">
        <v>0</v>
      </c>
      <c r="AB22" s="513"/>
      <c r="AC22" s="513"/>
      <c r="AD22" s="513"/>
      <c r="AE22" s="513"/>
      <c r="AF22" s="513"/>
      <c r="AG22" s="513"/>
      <c r="AH22" s="513"/>
      <c r="AI22" s="517"/>
      <c r="AJ22" s="510">
        <f t="shared" si="2"/>
        <v>0</v>
      </c>
      <c r="AK22" s="493">
        <f t="shared" si="5"/>
        <v>49</v>
      </c>
      <c r="AL22" s="494">
        <f t="shared" si="3"/>
        <v>1</v>
      </c>
    </row>
    <row r="23" spans="1:38" ht="33" customHeight="1" x14ac:dyDescent="0.45">
      <c r="A23" s="528">
        <v>20</v>
      </c>
      <c r="B23" s="529" t="s">
        <v>701</v>
      </c>
      <c r="C23" s="528"/>
      <c r="D23" s="530"/>
      <c r="E23" s="530"/>
      <c r="F23" s="530"/>
      <c r="G23" s="519" t="s">
        <v>193</v>
      </c>
      <c r="H23" s="520"/>
      <c r="I23" s="521"/>
      <c r="J23" s="521"/>
      <c r="K23" s="521"/>
      <c r="L23" s="521"/>
      <c r="M23" s="521"/>
      <c r="N23" s="521"/>
      <c r="O23" s="521"/>
      <c r="P23" s="491"/>
      <c r="Q23" s="492">
        <f t="shared" si="0"/>
        <v>0</v>
      </c>
      <c r="R23" s="533">
        <f t="shared" si="4"/>
        <v>85</v>
      </c>
      <c r="S23" s="494">
        <f t="shared" si="1"/>
        <v>0</v>
      </c>
      <c r="T23" s="527">
        <v>20</v>
      </c>
      <c r="U23" s="531" t="s">
        <v>707</v>
      </c>
      <c r="V23" s="527"/>
      <c r="W23" s="532" t="s">
        <v>193</v>
      </c>
      <c r="X23" s="532" t="s">
        <v>193</v>
      </c>
      <c r="Y23" s="532"/>
      <c r="Z23" s="542"/>
      <c r="AA23" s="516">
        <v>0</v>
      </c>
      <c r="AB23" s="514"/>
      <c r="AC23" s="514"/>
      <c r="AD23" s="514"/>
      <c r="AE23" s="514"/>
      <c r="AF23" s="514"/>
      <c r="AG23" s="514"/>
      <c r="AH23" s="514"/>
      <c r="AI23" s="515"/>
      <c r="AJ23" s="509">
        <f t="shared" si="2"/>
        <v>0</v>
      </c>
      <c r="AK23" s="493">
        <f t="shared" si="5"/>
        <v>49</v>
      </c>
      <c r="AL23" s="494">
        <f t="shared" si="3"/>
        <v>1</v>
      </c>
    </row>
    <row r="24" spans="1:38" ht="33" customHeight="1" x14ac:dyDescent="0.45">
      <c r="A24" s="520">
        <v>21</v>
      </c>
      <c r="B24" s="535" t="s">
        <v>709</v>
      </c>
      <c r="C24" s="520"/>
      <c r="D24" s="521"/>
      <c r="E24" s="521"/>
      <c r="F24" s="521"/>
      <c r="G24" s="534"/>
      <c r="H24" s="522">
        <v>0</v>
      </c>
      <c r="I24" s="523"/>
      <c r="J24" s="523"/>
      <c r="K24" s="523"/>
      <c r="L24" s="523"/>
      <c r="M24" s="523"/>
      <c r="N24" s="523"/>
      <c r="O24" s="523"/>
      <c r="P24" s="502"/>
      <c r="Q24" s="524">
        <f t="shared" si="0"/>
        <v>0</v>
      </c>
      <c r="R24" s="533">
        <f t="shared" si="4"/>
        <v>85</v>
      </c>
      <c r="S24" s="494">
        <f t="shared" si="1"/>
        <v>1</v>
      </c>
      <c r="T24" s="520">
        <v>21</v>
      </c>
      <c r="U24" s="525" t="s">
        <v>730</v>
      </c>
      <c r="V24" s="516"/>
      <c r="W24" s="514" t="s">
        <v>193</v>
      </c>
      <c r="X24" s="514" t="s">
        <v>193</v>
      </c>
      <c r="Y24" s="514"/>
      <c r="Z24" s="526"/>
      <c r="AA24" s="518">
        <v>0</v>
      </c>
      <c r="AB24" s="513"/>
      <c r="AC24" s="513"/>
      <c r="AD24" s="513"/>
      <c r="AE24" s="513"/>
      <c r="AF24" s="513"/>
      <c r="AG24" s="513"/>
      <c r="AH24" s="513"/>
      <c r="AI24" s="517"/>
      <c r="AJ24" s="510">
        <f t="shared" si="2"/>
        <v>0</v>
      </c>
      <c r="AK24" s="493">
        <f t="shared" si="5"/>
        <v>49</v>
      </c>
      <c r="AL24" s="494">
        <f t="shared" si="3"/>
        <v>1</v>
      </c>
    </row>
    <row r="25" spans="1:38" ht="33" customHeight="1" x14ac:dyDescent="0.45">
      <c r="A25" s="528">
        <v>22</v>
      </c>
      <c r="B25" s="529" t="s">
        <v>687</v>
      </c>
      <c r="C25" s="528"/>
      <c r="D25" s="530"/>
      <c r="E25" s="530"/>
      <c r="F25" s="530"/>
      <c r="G25" s="519"/>
      <c r="H25" s="520">
        <v>0</v>
      </c>
      <c r="I25" s="521"/>
      <c r="J25" s="521"/>
      <c r="K25" s="521"/>
      <c r="L25" s="521"/>
      <c r="M25" s="521"/>
      <c r="N25" s="521"/>
      <c r="O25" s="521"/>
      <c r="P25" s="491"/>
      <c r="Q25" s="492">
        <f t="shared" si="0"/>
        <v>0</v>
      </c>
      <c r="R25" s="533">
        <f t="shared" si="4"/>
        <v>85</v>
      </c>
      <c r="S25" s="494">
        <f t="shared" si="1"/>
        <v>1</v>
      </c>
      <c r="T25" s="527">
        <v>22</v>
      </c>
      <c r="U25" s="531" t="s">
        <v>689</v>
      </c>
      <c r="V25" s="527"/>
      <c r="W25" s="532" t="s">
        <v>193</v>
      </c>
      <c r="X25" s="532" t="s">
        <v>193</v>
      </c>
      <c r="Y25" s="532"/>
      <c r="Z25" s="542"/>
      <c r="AA25" s="516">
        <v>2</v>
      </c>
      <c r="AB25" s="514"/>
      <c r="AC25" s="514"/>
      <c r="AD25" s="514"/>
      <c r="AE25" s="514"/>
      <c r="AF25" s="514"/>
      <c r="AG25" s="514"/>
      <c r="AH25" s="514"/>
      <c r="AI25" s="515"/>
      <c r="AJ25" s="509">
        <f t="shared" si="2"/>
        <v>2</v>
      </c>
      <c r="AK25" s="493">
        <f t="shared" si="5"/>
        <v>51</v>
      </c>
      <c r="AL25" s="494">
        <f t="shared" si="3"/>
        <v>1</v>
      </c>
    </row>
    <row r="26" spans="1:38" ht="33" customHeight="1" x14ac:dyDescent="0.45">
      <c r="A26" s="520">
        <v>23</v>
      </c>
      <c r="B26" s="535" t="s">
        <v>691</v>
      </c>
      <c r="C26" s="520"/>
      <c r="D26" s="521" t="s">
        <v>193</v>
      </c>
      <c r="E26" s="521"/>
      <c r="F26" s="521"/>
      <c r="G26" s="534"/>
      <c r="H26" s="522">
        <v>5</v>
      </c>
      <c r="I26" s="523">
        <v>5</v>
      </c>
      <c r="J26" s="523">
        <v>5</v>
      </c>
      <c r="K26" s="523">
        <v>4</v>
      </c>
      <c r="L26" s="523"/>
      <c r="M26" s="523"/>
      <c r="N26" s="523"/>
      <c r="O26" s="523"/>
      <c r="P26" s="502"/>
      <c r="Q26" s="524">
        <f t="shared" si="0"/>
        <v>19</v>
      </c>
      <c r="R26" s="533">
        <f t="shared" si="4"/>
        <v>104</v>
      </c>
      <c r="S26" s="494">
        <f t="shared" si="1"/>
        <v>4</v>
      </c>
      <c r="T26" s="520">
        <v>23</v>
      </c>
      <c r="U26" s="525" t="s">
        <v>707</v>
      </c>
      <c r="V26" s="516"/>
      <c r="W26" s="514"/>
      <c r="X26" s="514"/>
      <c r="Y26" s="514"/>
      <c r="Z26" s="526" t="s">
        <v>193</v>
      </c>
      <c r="AA26" s="518"/>
      <c r="AB26" s="513"/>
      <c r="AC26" s="513"/>
      <c r="AD26" s="513"/>
      <c r="AE26" s="513"/>
      <c r="AF26" s="513"/>
      <c r="AG26" s="513"/>
      <c r="AH26" s="513"/>
      <c r="AI26" s="517"/>
      <c r="AJ26" s="510">
        <f t="shared" si="2"/>
        <v>0</v>
      </c>
      <c r="AK26" s="493">
        <f t="shared" si="5"/>
        <v>51</v>
      </c>
      <c r="AL26" s="494">
        <f t="shared" si="3"/>
        <v>0</v>
      </c>
    </row>
    <row r="27" spans="1:38" ht="33" customHeight="1" x14ac:dyDescent="0.45">
      <c r="A27" s="528"/>
      <c r="B27" s="529"/>
      <c r="C27" s="528"/>
      <c r="D27" s="530"/>
      <c r="E27" s="530"/>
      <c r="F27" s="530"/>
      <c r="G27" s="519"/>
      <c r="H27" s="520"/>
      <c r="I27" s="521"/>
      <c r="J27" s="521"/>
      <c r="K27" s="521"/>
      <c r="L27" s="521"/>
      <c r="M27" s="521"/>
      <c r="N27" s="521"/>
      <c r="O27" s="521"/>
      <c r="P27" s="491"/>
      <c r="Q27" s="492" t="str">
        <f t="shared" si="0"/>
        <v/>
      </c>
      <c r="R27" s="533" t="str">
        <f t="shared" si="4"/>
        <v/>
      </c>
      <c r="S27" s="494">
        <f t="shared" si="1"/>
        <v>0</v>
      </c>
      <c r="T27" s="527"/>
      <c r="U27" s="531"/>
      <c r="V27" s="527"/>
      <c r="W27" s="532"/>
      <c r="X27" s="532"/>
      <c r="Y27" s="532"/>
      <c r="Z27" s="542"/>
      <c r="AA27" s="516"/>
      <c r="AB27" s="514"/>
      <c r="AC27" s="514"/>
      <c r="AD27" s="514"/>
      <c r="AE27" s="514"/>
      <c r="AF27" s="514"/>
      <c r="AG27" s="514"/>
      <c r="AH27" s="514"/>
      <c r="AI27" s="515"/>
      <c r="AJ27" s="509" t="str">
        <f t="shared" si="2"/>
        <v/>
      </c>
      <c r="AK27" s="493" t="str">
        <f t="shared" si="5"/>
        <v/>
      </c>
      <c r="AL27" s="494">
        <f t="shared" si="3"/>
        <v>0</v>
      </c>
    </row>
    <row r="28" spans="1:38" ht="33" customHeight="1" x14ac:dyDescent="0.45">
      <c r="A28" s="520"/>
      <c r="B28" s="535"/>
      <c r="C28" s="520"/>
      <c r="D28" s="521"/>
      <c r="E28" s="521"/>
      <c r="F28" s="521"/>
      <c r="G28" s="534"/>
      <c r="H28" s="522"/>
      <c r="I28" s="523"/>
      <c r="J28" s="523"/>
      <c r="K28" s="523"/>
      <c r="L28" s="523"/>
      <c r="M28" s="523"/>
      <c r="N28" s="523"/>
      <c r="O28" s="523"/>
      <c r="P28" s="502"/>
      <c r="Q28" s="524" t="str">
        <f t="shared" si="0"/>
        <v/>
      </c>
      <c r="R28" s="533" t="str">
        <f t="shared" si="4"/>
        <v/>
      </c>
      <c r="S28" s="494">
        <f t="shared" si="1"/>
        <v>0</v>
      </c>
      <c r="T28" s="520"/>
      <c r="U28" s="525"/>
      <c r="V28" s="516"/>
      <c r="W28" s="514"/>
      <c r="X28" s="514"/>
      <c r="Y28" s="514"/>
      <c r="Z28" s="526"/>
      <c r="AA28" s="518"/>
      <c r="AB28" s="513"/>
      <c r="AC28" s="513"/>
      <c r="AD28" s="513"/>
      <c r="AE28" s="513"/>
      <c r="AF28" s="513"/>
      <c r="AG28" s="513"/>
      <c r="AH28" s="513"/>
      <c r="AI28" s="517"/>
      <c r="AJ28" s="510" t="str">
        <f t="shared" si="2"/>
        <v/>
      </c>
      <c r="AK28" s="493" t="str">
        <f t="shared" si="5"/>
        <v/>
      </c>
      <c r="AL28" s="494">
        <f t="shared" si="3"/>
        <v>0</v>
      </c>
    </row>
    <row r="29" spans="1:38" ht="33" customHeight="1" x14ac:dyDescent="0.45">
      <c r="A29" s="528"/>
      <c r="B29" s="529"/>
      <c r="C29" s="528"/>
      <c r="D29" s="530"/>
      <c r="E29" s="530"/>
      <c r="F29" s="530"/>
      <c r="G29" s="519"/>
      <c r="H29" s="520"/>
      <c r="I29" s="521"/>
      <c r="J29" s="521"/>
      <c r="K29" s="521"/>
      <c r="L29" s="521"/>
      <c r="M29" s="521"/>
      <c r="N29" s="521"/>
      <c r="O29" s="521"/>
      <c r="P29" s="491"/>
      <c r="Q29" s="492" t="str">
        <f t="shared" si="0"/>
        <v/>
      </c>
      <c r="R29" s="533" t="str">
        <f t="shared" si="4"/>
        <v/>
      </c>
      <c r="S29" s="494">
        <f t="shared" si="1"/>
        <v>0</v>
      </c>
      <c r="T29" s="527"/>
      <c r="U29" s="531"/>
      <c r="V29" s="527"/>
      <c r="W29" s="532"/>
      <c r="X29" s="532"/>
      <c r="Y29" s="532"/>
      <c r="Z29" s="542"/>
      <c r="AA29" s="516"/>
      <c r="AB29" s="514"/>
      <c r="AC29" s="514"/>
      <c r="AD29" s="514"/>
      <c r="AE29" s="514"/>
      <c r="AF29" s="514"/>
      <c r="AG29" s="514"/>
      <c r="AH29" s="514"/>
      <c r="AI29" s="515"/>
      <c r="AJ29" s="509" t="str">
        <f t="shared" si="2"/>
        <v/>
      </c>
      <c r="AK29" s="493" t="str">
        <f t="shared" si="5"/>
        <v/>
      </c>
      <c r="AL29" s="494">
        <f t="shared" si="3"/>
        <v>0</v>
      </c>
    </row>
    <row r="30" spans="1:38" ht="33" customHeight="1" x14ac:dyDescent="0.45">
      <c r="A30" s="520"/>
      <c r="B30" s="535"/>
      <c r="C30" s="520"/>
      <c r="D30" s="521"/>
      <c r="E30" s="521"/>
      <c r="F30" s="521"/>
      <c r="G30" s="534"/>
      <c r="H30" s="522"/>
      <c r="I30" s="523"/>
      <c r="J30" s="523"/>
      <c r="K30" s="523"/>
      <c r="L30" s="523"/>
      <c r="M30" s="523"/>
      <c r="N30" s="523"/>
      <c r="O30" s="523"/>
      <c r="P30" s="502"/>
      <c r="Q30" s="524" t="str">
        <f t="shared" si="0"/>
        <v/>
      </c>
      <c r="R30" s="533" t="str">
        <f t="shared" si="4"/>
        <v/>
      </c>
      <c r="S30" s="494">
        <f t="shared" si="1"/>
        <v>0</v>
      </c>
      <c r="T30" s="520"/>
      <c r="U30" s="525"/>
      <c r="V30" s="516"/>
      <c r="W30" s="514"/>
      <c r="X30" s="514"/>
      <c r="Y30" s="514"/>
      <c r="Z30" s="526"/>
      <c r="AA30" s="518"/>
      <c r="AB30" s="513"/>
      <c r="AC30" s="513"/>
      <c r="AD30" s="513"/>
      <c r="AE30" s="513"/>
      <c r="AF30" s="513"/>
      <c r="AG30" s="513"/>
      <c r="AH30" s="513"/>
      <c r="AI30" s="517"/>
      <c r="AJ30" s="510" t="str">
        <f t="shared" si="2"/>
        <v/>
      </c>
      <c r="AK30" s="493" t="str">
        <f t="shared" si="5"/>
        <v/>
      </c>
      <c r="AL30" s="494">
        <f t="shared" si="3"/>
        <v>0</v>
      </c>
    </row>
    <row r="31" spans="1:38" ht="33" customHeight="1" x14ac:dyDescent="0.45">
      <c r="A31" s="528"/>
      <c r="B31" s="529"/>
      <c r="C31" s="528"/>
      <c r="D31" s="530"/>
      <c r="E31" s="530"/>
      <c r="F31" s="530"/>
      <c r="G31" s="519"/>
      <c r="H31" s="520"/>
      <c r="I31" s="521"/>
      <c r="J31" s="521"/>
      <c r="K31" s="521"/>
      <c r="L31" s="521"/>
      <c r="M31" s="521"/>
      <c r="N31" s="521"/>
      <c r="O31" s="521"/>
      <c r="P31" s="491"/>
      <c r="Q31" s="492" t="str">
        <f t="shared" si="0"/>
        <v/>
      </c>
      <c r="R31" s="533" t="str">
        <f t="shared" si="4"/>
        <v/>
      </c>
      <c r="S31" s="494">
        <f t="shared" si="1"/>
        <v>0</v>
      </c>
      <c r="T31" s="527"/>
      <c r="U31" s="531"/>
      <c r="V31" s="527"/>
      <c r="W31" s="532"/>
      <c r="X31" s="532"/>
      <c r="Y31" s="532"/>
      <c r="Z31" s="542"/>
      <c r="AA31" s="516"/>
      <c r="AB31" s="514"/>
      <c r="AC31" s="514"/>
      <c r="AD31" s="514"/>
      <c r="AE31" s="514"/>
      <c r="AF31" s="514"/>
      <c r="AG31" s="514"/>
      <c r="AH31" s="514"/>
      <c r="AI31" s="515"/>
      <c r="AJ31" s="509" t="str">
        <f t="shared" si="2"/>
        <v/>
      </c>
      <c r="AK31" s="493" t="str">
        <f t="shared" si="5"/>
        <v/>
      </c>
      <c r="AL31" s="494">
        <f t="shared" si="3"/>
        <v>0</v>
      </c>
    </row>
    <row r="32" spans="1:38" ht="33" customHeight="1" x14ac:dyDescent="0.45">
      <c r="A32" s="520"/>
      <c r="B32" s="535"/>
      <c r="C32" s="520"/>
      <c r="D32" s="521"/>
      <c r="E32" s="521"/>
      <c r="F32" s="521"/>
      <c r="G32" s="534"/>
      <c r="H32" s="522"/>
      <c r="I32" s="523"/>
      <c r="J32" s="523"/>
      <c r="K32" s="523"/>
      <c r="L32" s="523"/>
      <c r="M32" s="523"/>
      <c r="N32" s="523"/>
      <c r="O32" s="523"/>
      <c r="P32" s="502"/>
      <c r="Q32" s="524" t="str">
        <f t="shared" si="0"/>
        <v/>
      </c>
      <c r="R32" s="533" t="str">
        <f t="shared" si="4"/>
        <v/>
      </c>
      <c r="S32" s="494">
        <f t="shared" si="1"/>
        <v>0</v>
      </c>
      <c r="T32" s="520"/>
      <c r="U32" s="525"/>
      <c r="V32" s="516"/>
      <c r="W32" s="514"/>
      <c r="X32" s="514"/>
      <c r="Y32" s="514"/>
      <c r="Z32" s="526"/>
      <c r="AA32" s="518"/>
      <c r="AB32" s="513"/>
      <c r="AC32" s="513"/>
      <c r="AD32" s="513"/>
      <c r="AE32" s="513"/>
      <c r="AF32" s="513"/>
      <c r="AG32" s="513"/>
      <c r="AH32" s="513"/>
      <c r="AI32" s="517"/>
      <c r="AJ32" s="510" t="str">
        <f t="shared" si="2"/>
        <v/>
      </c>
      <c r="AK32" s="493" t="str">
        <f t="shared" si="5"/>
        <v/>
      </c>
      <c r="AL32" s="494">
        <f t="shared" si="3"/>
        <v>0</v>
      </c>
    </row>
    <row r="33" spans="1:39" ht="33" customHeight="1" x14ac:dyDescent="0.45">
      <c r="A33" s="528"/>
      <c r="B33" s="529"/>
      <c r="C33" s="528"/>
      <c r="D33" s="530"/>
      <c r="E33" s="530"/>
      <c r="F33" s="530"/>
      <c r="G33" s="519"/>
      <c r="H33" s="520"/>
      <c r="I33" s="521"/>
      <c r="J33" s="521"/>
      <c r="K33" s="521"/>
      <c r="L33" s="521"/>
      <c r="M33" s="521"/>
      <c r="N33" s="521"/>
      <c r="O33" s="521"/>
      <c r="P33" s="491"/>
      <c r="Q33" s="492" t="str">
        <f t="shared" si="0"/>
        <v/>
      </c>
      <c r="R33" s="533" t="str">
        <f t="shared" si="4"/>
        <v/>
      </c>
      <c r="S33" s="494">
        <f t="shared" si="1"/>
        <v>0</v>
      </c>
      <c r="T33" s="527"/>
      <c r="U33" s="531"/>
      <c r="V33" s="527"/>
      <c r="W33" s="532"/>
      <c r="X33" s="532"/>
      <c r="Y33" s="532"/>
      <c r="Z33" s="542"/>
      <c r="AA33" s="516"/>
      <c r="AB33" s="514"/>
      <c r="AC33" s="514"/>
      <c r="AD33" s="514"/>
      <c r="AE33" s="514"/>
      <c r="AF33" s="514"/>
      <c r="AG33" s="514"/>
      <c r="AH33" s="514"/>
      <c r="AI33" s="515"/>
      <c r="AJ33" s="509" t="str">
        <f t="shared" si="2"/>
        <v/>
      </c>
      <c r="AK33" s="493" t="str">
        <f t="shared" si="5"/>
        <v/>
      </c>
      <c r="AL33" s="494">
        <f t="shared" si="3"/>
        <v>0</v>
      </c>
    </row>
    <row r="34" spans="1:39" ht="33" customHeight="1" x14ac:dyDescent="0.45">
      <c r="A34" s="520"/>
      <c r="B34" s="535"/>
      <c r="C34" s="520"/>
      <c r="D34" s="521"/>
      <c r="E34" s="521"/>
      <c r="F34" s="521"/>
      <c r="G34" s="534"/>
      <c r="H34" s="522"/>
      <c r="I34" s="523"/>
      <c r="J34" s="523"/>
      <c r="K34" s="523"/>
      <c r="L34" s="523"/>
      <c r="M34" s="523"/>
      <c r="N34" s="523"/>
      <c r="O34" s="523"/>
      <c r="P34" s="502"/>
      <c r="Q34" s="524" t="str">
        <f t="shared" si="0"/>
        <v/>
      </c>
      <c r="R34" s="533" t="str">
        <f t="shared" si="4"/>
        <v/>
      </c>
      <c r="S34" s="494">
        <f t="shared" si="1"/>
        <v>0</v>
      </c>
      <c r="T34" s="520"/>
      <c r="U34" s="525"/>
      <c r="V34" s="516"/>
      <c r="W34" s="514"/>
      <c r="X34" s="514"/>
      <c r="Y34" s="514"/>
      <c r="Z34" s="526"/>
      <c r="AA34" s="518"/>
      <c r="AB34" s="513"/>
      <c r="AC34" s="513"/>
      <c r="AD34" s="513"/>
      <c r="AE34" s="513"/>
      <c r="AF34" s="513"/>
      <c r="AG34" s="513"/>
      <c r="AH34" s="513"/>
      <c r="AI34" s="517"/>
      <c r="AJ34" s="510" t="str">
        <f t="shared" si="2"/>
        <v/>
      </c>
      <c r="AK34" s="493" t="str">
        <f t="shared" si="5"/>
        <v/>
      </c>
      <c r="AL34" s="494">
        <f t="shared" si="3"/>
        <v>0</v>
      </c>
    </row>
    <row r="35" spans="1:39" ht="33" customHeight="1" x14ac:dyDescent="0.45">
      <c r="A35" s="528"/>
      <c r="B35" s="529"/>
      <c r="C35" s="528"/>
      <c r="D35" s="530"/>
      <c r="E35" s="530"/>
      <c r="F35" s="530"/>
      <c r="G35" s="519"/>
      <c r="H35" s="520"/>
      <c r="I35" s="521"/>
      <c r="J35" s="521"/>
      <c r="K35" s="521"/>
      <c r="L35" s="521"/>
      <c r="M35" s="521"/>
      <c r="N35" s="521"/>
      <c r="O35" s="521"/>
      <c r="P35" s="491"/>
      <c r="Q35" s="492" t="str">
        <f t="shared" si="0"/>
        <v/>
      </c>
      <c r="R35" s="533" t="str">
        <f t="shared" si="4"/>
        <v/>
      </c>
      <c r="S35" s="494">
        <f t="shared" si="1"/>
        <v>0</v>
      </c>
      <c r="T35" s="527"/>
      <c r="U35" s="531"/>
      <c r="V35" s="527"/>
      <c r="W35" s="532"/>
      <c r="X35" s="532"/>
      <c r="Y35" s="532"/>
      <c r="Z35" s="542"/>
      <c r="AA35" s="516"/>
      <c r="AB35" s="514"/>
      <c r="AC35" s="514"/>
      <c r="AD35" s="514"/>
      <c r="AE35" s="514"/>
      <c r="AF35" s="514"/>
      <c r="AG35" s="514"/>
      <c r="AH35" s="514"/>
      <c r="AI35" s="515"/>
      <c r="AJ35" s="509" t="str">
        <f t="shared" si="2"/>
        <v/>
      </c>
      <c r="AK35" s="493" t="str">
        <f t="shared" si="5"/>
        <v/>
      </c>
      <c r="AL35" s="494">
        <f t="shared" si="3"/>
        <v>0</v>
      </c>
    </row>
    <row r="36" spans="1:39" ht="33" customHeight="1" x14ac:dyDescent="0.45">
      <c r="A36" s="520"/>
      <c r="B36" s="535"/>
      <c r="C36" s="520"/>
      <c r="D36" s="521"/>
      <c r="E36" s="521"/>
      <c r="F36" s="521"/>
      <c r="G36" s="534"/>
      <c r="H36" s="522"/>
      <c r="I36" s="523"/>
      <c r="J36" s="523"/>
      <c r="K36" s="523"/>
      <c r="L36" s="523"/>
      <c r="M36" s="523"/>
      <c r="N36" s="523"/>
      <c r="O36" s="523"/>
      <c r="P36" s="502"/>
      <c r="Q36" s="524" t="str">
        <f t="shared" si="0"/>
        <v/>
      </c>
      <c r="R36" s="533" t="str">
        <f t="shared" si="4"/>
        <v/>
      </c>
      <c r="S36" s="494">
        <f t="shared" si="1"/>
        <v>0</v>
      </c>
      <c r="T36" s="520"/>
      <c r="U36" s="525"/>
      <c r="V36" s="516"/>
      <c r="W36" s="514"/>
      <c r="X36" s="514"/>
      <c r="Y36" s="514"/>
      <c r="Z36" s="526"/>
      <c r="AA36" s="518"/>
      <c r="AB36" s="513"/>
      <c r="AC36" s="513"/>
      <c r="AD36" s="513"/>
      <c r="AE36" s="513"/>
      <c r="AF36" s="513"/>
      <c r="AG36" s="513"/>
      <c r="AH36" s="513"/>
      <c r="AI36" s="517"/>
      <c r="AJ36" s="510" t="str">
        <f t="shared" si="2"/>
        <v/>
      </c>
      <c r="AK36" s="493" t="str">
        <f t="shared" si="5"/>
        <v/>
      </c>
      <c r="AL36" s="494">
        <f t="shared" si="3"/>
        <v>0</v>
      </c>
    </row>
    <row r="37" spans="1:39" ht="33" customHeight="1" x14ac:dyDescent="0.45">
      <c r="A37" s="528"/>
      <c r="B37" s="529"/>
      <c r="C37" s="528"/>
      <c r="D37" s="530"/>
      <c r="E37" s="530"/>
      <c r="F37" s="530"/>
      <c r="G37" s="519"/>
      <c r="H37" s="520"/>
      <c r="I37" s="521"/>
      <c r="J37" s="521"/>
      <c r="K37" s="521"/>
      <c r="L37" s="521"/>
      <c r="M37" s="521"/>
      <c r="N37" s="521"/>
      <c r="O37" s="521"/>
      <c r="P37" s="491"/>
      <c r="Q37" s="492" t="str">
        <f t="shared" si="0"/>
        <v/>
      </c>
      <c r="R37" s="533" t="str">
        <f t="shared" si="4"/>
        <v/>
      </c>
      <c r="S37" s="494">
        <f t="shared" si="1"/>
        <v>0</v>
      </c>
      <c r="T37" s="527"/>
      <c r="U37" s="531"/>
      <c r="V37" s="527"/>
      <c r="W37" s="532"/>
      <c r="X37" s="532"/>
      <c r="Y37" s="532"/>
      <c r="Z37" s="542"/>
      <c r="AA37" s="516"/>
      <c r="AB37" s="514"/>
      <c r="AC37" s="514"/>
      <c r="AD37" s="514"/>
      <c r="AE37" s="514"/>
      <c r="AF37" s="514"/>
      <c r="AG37" s="514"/>
      <c r="AH37" s="514"/>
      <c r="AI37" s="515"/>
      <c r="AJ37" s="509" t="str">
        <f t="shared" si="2"/>
        <v/>
      </c>
      <c r="AK37" s="493" t="str">
        <f t="shared" si="5"/>
        <v/>
      </c>
      <c r="AL37" s="494">
        <f t="shared" si="3"/>
        <v>0</v>
      </c>
    </row>
    <row r="38" spans="1:39" ht="33" customHeight="1" x14ac:dyDescent="0.45">
      <c r="A38" s="520"/>
      <c r="B38" s="535"/>
      <c r="C38" s="520"/>
      <c r="D38" s="521"/>
      <c r="E38" s="521"/>
      <c r="F38" s="521"/>
      <c r="G38" s="534"/>
      <c r="H38" s="522"/>
      <c r="I38" s="523"/>
      <c r="J38" s="523"/>
      <c r="K38" s="523"/>
      <c r="L38" s="523"/>
      <c r="M38" s="523"/>
      <c r="N38" s="523"/>
      <c r="O38" s="523"/>
      <c r="P38" s="502"/>
      <c r="Q38" s="524" t="str">
        <f t="shared" si="0"/>
        <v/>
      </c>
      <c r="R38" s="533" t="str">
        <f t="shared" si="4"/>
        <v/>
      </c>
      <c r="S38" s="494">
        <f t="shared" si="1"/>
        <v>0</v>
      </c>
      <c r="T38" s="520"/>
      <c r="U38" s="525"/>
      <c r="V38" s="516"/>
      <c r="W38" s="514"/>
      <c r="X38" s="514"/>
      <c r="Y38" s="514"/>
      <c r="Z38" s="526"/>
      <c r="AA38" s="518"/>
      <c r="AB38" s="513"/>
      <c r="AC38" s="513"/>
      <c r="AD38" s="513"/>
      <c r="AE38" s="513"/>
      <c r="AF38" s="513"/>
      <c r="AG38" s="513"/>
      <c r="AH38" s="513"/>
      <c r="AI38" s="517"/>
      <c r="AJ38" s="510" t="str">
        <f t="shared" si="2"/>
        <v/>
      </c>
      <c r="AK38" s="493" t="str">
        <f t="shared" si="5"/>
        <v/>
      </c>
      <c r="AL38" s="494">
        <f t="shared" si="3"/>
        <v>0</v>
      </c>
    </row>
    <row r="39" spans="1:39" ht="33" customHeight="1" x14ac:dyDescent="0.45">
      <c r="A39" s="528"/>
      <c r="B39" s="529"/>
      <c r="C39" s="528"/>
      <c r="D39" s="530"/>
      <c r="E39" s="530"/>
      <c r="F39" s="530"/>
      <c r="G39" s="519"/>
      <c r="H39" s="520"/>
      <c r="I39" s="521"/>
      <c r="J39" s="521"/>
      <c r="K39" s="521"/>
      <c r="L39" s="521"/>
      <c r="M39" s="521"/>
      <c r="N39" s="521"/>
      <c r="O39" s="521"/>
      <c r="P39" s="491"/>
      <c r="Q39" s="492" t="str">
        <f t="shared" si="0"/>
        <v/>
      </c>
      <c r="R39" s="533" t="str">
        <f t="shared" si="4"/>
        <v/>
      </c>
      <c r="S39" s="494">
        <f t="shared" si="1"/>
        <v>0</v>
      </c>
      <c r="T39" s="527"/>
      <c r="U39" s="531"/>
      <c r="V39" s="527"/>
      <c r="W39" s="532"/>
      <c r="X39" s="532"/>
      <c r="Y39" s="532"/>
      <c r="Z39" s="542"/>
      <c r="AA39" s="516"/>
      <c r="AB39" s="514"/>
      <c r="AC39" s="514"/>
      <c r="AD39" s="514"/>
      <c r="AE39" s="514"/>
      <c r="AF39" s="514"/>
      <c r="AG39" s="514"/>
      <c r="AH39" s="514"/>
      <c r="AI39" s="515"/>
      <c r="AJ39" s="509" t="str">
        <f t="shared" si="2"/>
        <v/>
      </c>
      <c r="AK39" s="493" t="str">
        <f t="shared" si="5"/>
        <v/>
      </c>
      <c r="AL39" s="494">
        <f t="shared" si="3"/>
        <v>0</v>
      </c>
    </row>
    <row r="40" spans="1:39" ht="33" customHeight="1" x14ac:dyDescent="0.45">
      <c r="A40" s="520"/>
      <c r="B40" s="535"/>
      <c r="C40" s="520"/>
      <c r="D40" s="521"/>
      <c r="E40" s="521"/>
      <c r="F40" s="521"/>
      <c r="G40" s="534"/>
      <c r="H40" s="522"/>
      <c r="I40" s="523"/>
      <c r="J40" s="523"/>
      <c r="K40" s="523"/>
      <c r="L40" s="523"/>
      <c r="M40" s="523"/>
      <c r="N40" s="523"/>
      <c r="O40" s="523"/>
      <c r="P40" s="502"/>
      <c r="Q40" s="524" t="str">
        <f t="shared" si="0"/>
        <v/>
      </c>
      <c r="R40" s="533" t="str">
        <f t="shared" si="4"/>
        <v/>
      </c>
      <c r="S40" s="494">
        <f t="shared" si="1"/>
        <v>0</v>
      </c>
      <c r="T40" s="520"/>
      <c r="U40" s="525"/>
      <c r="V40" s="516"/>
      <c r="W40" s="514"/>
      <c r="X40" s="514"/>
      <c r="Y40" s="514"/>
      <c r="Z40" s="526"/>
      <c r="AA40" s="518"/>
      <c r="AB40" s="513"/>
      <c r="AC40" s="513"/>
      <c r="AD40" s="513"/>
      <c r="AE40" s="513"/>
      <c r="AF40" s="513"/>
      <c r="AG40" s="513"/>
      <c r="AH40" s="513"/>
      <c r="AI40" s="517"/>
      <c r="AJ40" s="510" t="str">
        <f t="shared" si="2"/>
        <v/>
      </c>
      <c r="AK40" s="493" t="str">
        <f t="shared" si="5"/>
        <v/>
      </c>
      <c r="AL40" s="494">
        <f t="shared" si="3"/>
        <v>0</v>
      </c>
    </row>
    <row r="41" spans="1:39" ht="33" customHeight="1" thickBot="1" x14ac:dyDescent="0.5">
      <c r="A41" s="555"/>
      <c r="B41" s="641"/>
      <c r="C41" s="555"/>
      <c r="D41" s="559"/>
      <c r="E41" s="559"/>
      <c r="F41" s="559"/>
      <c r="G41" s="560"/>
      <c r="H41" s="556"/>
      <c r="I41" s="554"/>
      <c r="J41" s="554"/>
      <c r="K41" s="554"/>
      <c r="L41" s="554"/>
      <c r="M41" s="554"/>
      <c r="N41" s="554"/>
      <c r="O41" s="554"/>
      <c r="P41" s="563"/>
      <c r="Q41" s="509" t="str">
        <f t="shared" si="0"/>
        <v/>
      </c>
      <c r="R41" s="561" t="str">
        <f t="shared" si="4"/>
        <v/>
      </c>
      <c r="S41" s="494">
        <f t="shared" si="1"/>
        <v>0</v>
      </c>
      <c r="T41" s="527"/>
      <c r="U41" s="531"/>
      <c r="V41" s="527"/>
      <c r="W41" s="532"/>
      <c r="X41" s="532"/>
      <c r="Y41" s="532"/>
      <c r="Z41" s="542"/>
      <c r="AA41" s="516"/>
      <c r="AB41" s="514"/>
      <c r="AC41" s="514"/>
      <c r="AD41" s="514"/>
      <c r="AE41" s="514"/>
      <c r="AF41" s="514"/>
      <c r="AG41" s="514"/>
      <c r="AH41" s="514"/>
      <c r="AI41" s="515"/>
      <c r="AJ41" s="509" t="str">
        <f t="shared" si="2"/>
        <v/>
      </c>
      <c r="AK41" s="561" t="str">
        <f t="shared" si="5"/>
        <v/>
      </c>
      <c r="AL41" s="494">
        <f t="shared" si="3"/>
        <v>0</v>
      </c>
    </row>
    <row r="42" spans="1:39" s="6" customFormat="1" ht="28.5" customHeight="1" thickBot="1" x14ac:dyDescent="0.3">
      <c r="A42" s="642">
        <f>IF(COUNT(A4:A41),COUNT(A4:A41),"")</f>
        <v>23</v>
      </c>
      <c r="B42" s="643" t="s">
        <v>186</v>
      </c>
      <c r="C42" s="644">
        <f t="shared" ref="C42:F42" si="6">IF($A$42="","",COUNTIF(C$4:C$41, "X"))</f>
        <v>5</v>
      </c>
      <c r="D42" s="638">
        <f t="shared" si="6"/>
        <v>9</v>
      </c>
      <c r="E42" s="638">
        <f t="shared" si="6"/>
        <v>5</v>
      </c>
      <c r="F42" s="638">
        <f t="shared" si="6"/>
        <v>0</v>
      </c>
      <c r="G42" s="638">
        <f>IF($A$42="","",COUNTIF(G$4:G$41, "X"))</f>
        <v>6</v>
      </c>
      <c r="H42" s="645">
        <f t="shared" ref="H42:Q42" si="7">IF(COUNT(H4:H41),SUM(H4:H41),"")</f>
        <v>40</v>
      </c>
      <c r="I42" s="646">
        <f t="shared" si="7"/>
        <v>24</v>
      </c>
      <c r="J42" s="646">
        <f t="shared" si="7"/>
        <v>20</v>
      </c>
      <c r="K42" s="646">
        <f t="shared" si="7"/>
        <v>19</v>
      </c>
      <c r="L42" s="646">
        <f t="shared" si="7"/>
        <v>1</v>
      </c>
      <c r="M42" s="646" t="str">
        <f t="shared" si="7"/>
        <v/>
      </c>
      <c r="N42" s="646" t="str">
        <f t="shared" si="7"/>
        <v/>
      </c>
      <c r="O42" s="646" t="str">
        <f t="shared" si="7"/>
        <v/>
      </c>
      <c r="P42" s="647" t="str">
        <f t="shared" si="7"/>
        <v/>
      </c>
      <c r="Q42" s="648">
        <f t="shared" si="7"/>
        <v>104</v>
      </c>
      <c r="R42" s="649">
        <f>IF(A42="","",MAX(R4:R41))</f>
        <v>104</v>
      </c>
      <c r="S42" s="640"/>
      <c r="T42" s="650">
        <f>IF(COUNT(T4:T41),COUNT(T4:T41),"")</f>
        <v>23</v>
      </c>
      <c r="U42" s="643" t="s">
        <v>186</v>
      </c>
      <c r="V42" s="651">
        <f t="shared" ref="V42:Y42" si="8">IF($T$42="","",COUNTIF(V$4:V$41, "X"))</f>
        <v>1</v>
      </c>
      <c r="W42" s="638">
        <f t="shared" si="8"/>
        <v>14</v>
      </c>
      <c r="X42" s="638">
        <f t="shared" si="8"/>
        <v>14</v>
      </c>
      <c r="Y42" s="638">
        <f t="shared" si="8"/>
        <v>0</v>
      </c>
      <c r="Z42" s="638">
        <f>IF($T$42="","",COUNTIF(Z$4:Z$41, "X"))</f>
        <v>2</v>
      </c>
      <c r="AA42" s="652">
        <f t="shared" ref="AA42:AJ42" si="9">IF(COUNT(AA4:AA41),SUM(AA4:AA41),"")</f>
        <v>42</v>
      </c>
      <c r="AB42" s="646">
        <f t="shared" si="9"/>
        <v>8</v>
      </c>
      <c r="AC42" s="646">
        <f t="shared" si="9"/>
        <v>1</v>
      </c>
      <c r="AD42" s="646" t="str">
        <f t="shared" si="9"/>
        <v/>
      </c>
      <c r="AE42" s="646" t="str">
        <f t="shared" si="9"/>
        <v/>
      </c>
      <c r="AF42" s="646" t="str">
        <f t="shared" si="9"/>
        <v/>
      </c>
      <c r="AG42" s="646" t="str">
        <f t="shared" si="9"/>
        <v/>
      </c>
      <c r="AH42" s="646" t="str">
        <f t="shared" si="9"/>
        <v/>
      </c>
      <c r="AI42" s="653" t="str">
        <f t="shared" si="9"/>
        <v/>
      </c>
      <c r="AJ42" s="654">
        <f t="shared" si="9"/>
        <v>51</v>
      </c>
      <c r="AK42" s="655">
        <f>IF(T42="","",MAX(AK4:AK41))</f>
        <v>51</v>
      </c>
      <c r="AL42" s="551"/>
    </row>
    <row r="43" spans="1:39" ht="12" customHeight="1" x14ac:dyDescent="0.3">
      <c r="A43" s="992" t="s">
        <v>634</v>
      </c>
      <c r="B43" s="993"/>
      <c r="C43" s="993"/>
      <c r="D43" s="993"/>
      <c r="E43" s="993"/>
      <c r="F43" s="993"/>
      <c r="G43" s="993"/>
      <c r="H43" s="993"/>
      <c r="I43" s="993"/>
      <c r="J43" s="993"/>
      <c r="K43" s="993"/>
      <c r="L43" s="993"/>
      <c r="M43" s="993"/>
      <c r="N43" s="993"/>
      <c r="O43" s="993"/>
      <c r="P43" s="993"/>
      <c r="Q43" s="993"/>
      <c r="R43" s="994"/>
      <c r="S43" s="7"/>
      <c r="T43" s="992" t="s">
        <v>634</v>
      </c>
      <c r="U43" s="993"/>
      <c r="V43" s="993"/>
      <c r="W43" s="993"/>
      <c r="X43" s="993"/>
      <c r="Y43" s="993"/>
      <c r="Z43" s="993"/>
      <c r="AA43" s="993"/>
      <c r="AB43" s="993"/>
      <c r="AC43" s="993"/>
      <c r="AD43" s="993"/>
      <c r="AE43" s="993"/>
      <c r="AF43" s="993"/>
      <c r="AG43" s="993"/>
      <c r="AH43" s="993"/>
      <c r="AI43" s="993"/>
      <c r="AJ43" s="993"/>
      <c r="AK43" s="994"/>
      <c r="AL43" s="8"/>
      <c r="AM43" s="8"/>
    </row>
    <row r="44" spans="1:39" ht="12" customHeight="1" x14ac:dyDescent="0.3">
      <c r="A44" s="995" t="s">
        <v>626</v>
      </c>
      <c r="B44" s="996"/>
      <c r="C44" s="996"/>
      <c r="D44" s="996"/>
      <c r="E44" s="996"/>
      <c r="F44" s="996"/>
      <c r="G44" s="996"/>
      <c r="H44" s="996"/>
      <c r="I44" s="996"/>
      <c r="J44" s="996"/>
      <c r="K44" s="996"/>
      <c r="L44" s="996"/>
      <c r="M44" s="996"/>
      <c r="N44" s="996"/>
      <c r="O44" s="996"/>
      <c r="P44" s="996"/>
      <c r="Q44" s="996"/>
      <c r="R44" s="997"/>
      <c r="S44" s="7"/>
      <c r="T44" s="995" t="s">
        <v>626</v>
      </c>
      <c r="U44" s="996"/>
      <c r="V44" s="996"/>
      <c r="W44" s="996"/>
      <c r="X44" s="996"/>
      <c r="Y44" s="996"/>
      <c r="Z44" s="996"/>
      <c r="AA44" s="996"/>
      <c r="AB44" s="996"/>
      <c r="AC44" s="996"/>
      <c r="AD44" s="996"/>
      <c r="AE44" s="996"/>
      <c r="AF44" s="996"/>
      <c r="AG44" s="996"/>
      <c r="AH44" s="996"/>
      <c r="AI44" s="996"/>
      <c r="AJ44" s="996"/>
      <c r="AK44" s="997"/>
      <c r="AL44" s="8"/>
      <c r="AM44" s="8"/>
    </row>
    <row r="45" spans="1:39" ht="12" customHeight="1" x14ac:dyDescent="0.3">
      <c r="A45" s="1001" t="s">
        <v>625</v>
      </c>
      <c r="B45" s="1002"/>
      <c r="C45" s="1002"/>
      <c r="D45" s="1002"/>
      <c r="E45" s="1002"/>
      <c r="F45" s="1002"/>
      <c r="G45" s="1002"/>
      <c r="H45" s="1002"/>
      <c r="I45" s="1002"/>
      <c r="J45" s="1002"/>
      <c r="K45" s="1002"/>
      <c r="L45" s="1002"/>
      <c r="M45" s="1002"/>
      <c r="N45" s="1002"/>
      <c r="O45" s="1002"/>
      <c r="P45" s="1002"/>
      <c r="Q45" s="1002"/>
      <c r="R45" s="1003"/>
      <c r="S45" s="7"/>
      <c r="T45" s="1001" t="s">
        <v>625</v>
      </c>
      <c r="U45" s="1002"/>
      <c r="V45" s="1002"/>
      <c r="W45" s="1002"/>
      <c r="X45" s="1002"/>
      <c r="Y45" s="1002"/>
      <c r="Z45" s="1002"/>
      <c r="AA45" s="1002"/>
      <c r="AB45" s="1002"/>
      <c r="AC45" s="1002"/>
      <c r="AD45" s="1002"/>
      <c r="AE45" s="1002"/>
      <c r="AF45" s="1002"/>
      <c r="AG45" s="1002"/>
      <c r="AH45" s="1002"/>
      <c r="AI45" s="1002"/>
      <c r="AJ45" s="1002"/>
      <c r="AK45" s="1003"/>
      <c r="AL45" s="8"/>
      <c r="AM45" s="8"/>
    </row>
    <row r="46" spans="1:39" ht="12" customHeight="1" x14ac:dyDescent="0.3">
      <c r="A46" s="1001" t="s">
        <v>618</v>
      </c>
      <c r="B46" s="1002"/>
      <c r="C46" s="1002"/>
      <c r="D46" s="1002"/>
      <c r="E46" s="1002"/>
      <c r="F46" s="1002"/>
      <c r="G46" s="1002"/>
      <c r="H46" s="1002"/>
      <c r="I46" s="1002"/>
      <c r="J46" s="1002"/>
      <c r="K46" s="1002"/>
      <c r="L46" s="1002"/>
      <c r="M46" s="1002"/>
      <c r="N46" s="1002"/>
      <c r="O46" s="1002"/>
      <c r="P46" s="1002"/>
      <c r="Q46" s="1002"/>
      <c r="R46" s="1003"/>
      <c r="S46" s="9"/>
      <c r="T46" s="1001" t="s">
        <v>618</v>
      </c>
      <c r="U46" s="1002"/>
      <c r="V46" s="1002"/>
      <c r="W46" s="1002"/>
      <c r="X46" s="1002"/>
      <c r="Y46" s="1002"/>
      <c r="Z46" s="1002"/>
      <c r="AA46" s="1002"/>
      <c r="AB46" s="1002"/>
      <c r="AC46" s="1002"/>
      <c r="AD46" s="1002"/>
      <c r="AE46" s="1002"/>
      <c r="AF46" s="1002"/>
      <c r="AG46" s="1002"/>
      <c r="AH46" s="1002"/>
      <c r="AI46" s="1002"/>
      <c r="AJ46" s="1002"/>
      <c r="AK46" s="1003"/>
      <c r="AL46" s="8"/>
      <c r="AM46" s="8"/>
    </row>
    <row r="47" spans="1:39" ht="12" customHeight="1" thickBot="1" x14ac:dyDescent="0.35">
      <c r="A47" s="998" t="s">
        <v>353</v>
      </c>
      <c r="B47" s="999"/>
      <c r="C47" s="999"/>
      <c r="D47" s="999"/>
      <c r="E47" s="999"/>
      <c r="F47" s="999"/>
      <c r="G47" s="999"/>
      <c r="H47" s="999"/>
      <c r="I47" s="999"/>
      <c r="J47" s="999"/>
      <c r="K47" s="999"/>
      <c r="L47" s="999"/>
      <c r="M47" s="999"/>
      <c r="N47" s="999"/>
      <c r="O47" s="999"/>
      <c r="P47" s="999"/>
      <c r="Q47" s="999"/>
      <c r="R47" s="1000"/>
      <c r="S47" s="10"/>
      <c r="T47" s="998" t="s">
        <v>353</v>
      </c>
      <c r="U47" s="999"/>
      <c r="V47" s="999"/>
      <c r="W47" s="999"/>
      <c r="X47" s="999"/>
      <c r="Y47" s="999"/>
      <c r="Z47" s="999"/>
      <c r="AA47" s="999"/>
      <c r="AB47" s="999"/>
      <c r="AC47" s="999"/>
      <c r="AD47" s="999"/>
      <c r="AE47" s="999"/>
      <c r="AF47" s="999"/>
      <c r="AG47" s="999"/>
      <c r="AH47" s="999"/>
      <c r="AI47" s="999"/>
      <c r="AJ47" s="999"/>
      <c r="AK47" s="1000"/>
      <c r="AL47" s="8"/>
      <c r="AM47" s="8"/>
    </row>
    <row r="48" spans="1:39" ht="30" customHeight="1" x14ac:dyDescent="0.45">
      <c r="A48" s="985" t="str">
        <f>A1</f>
        <v>Rat City Rollergirls / All-Stars</v>
      </c>
      <c r="B48" s="985"/>
      <c r="C48" s="985"/>
      <c r="D48" s="985"/>
      <c r="E48" s="985"/>
      <c r="F48" s="985"/>
      <c r="G48" s="985"/>
      <c r="H48" s="985"/>
      <c r="I48" s="1004" t="str">
        <f>IF(ISBLANK(I1), "", I1)</f>
        <v>Green</v>
      </c>
      <c r="J48" s="1004"/>
      <c r="K48" s="366">
        <f>IF(ISBLANK(IGRF!$B$5), "", IGRF!$B$5)</f>
        <v>41832</v>
      </c>
      <c r="L48" s="983" t="s">
        <v>738</v>
      </c>
      <c r="M48" s="983"/>
      <c r="N48" s="983"/>
      <c r="O48" s="984" t="s">
        <v>752</v>
      </c>
      <c r="P48" s="984"/>
      <c r="Q48" s="984"/>
      <c r="R48" s="1">
        <v>2</v>
      </c>
      <c r="S48" s="2"/>
      <c r="T48" s="985" t="str">
        <f>T1</f>
        <v>Houston Roller Derby / All-Stars</v>
      </c>
      <c r="U48" s="985"/>
      <c r="V48" s="985"/>
      <c r="W48" s="985"/>
      <c r="X48" s="985"/>
      <c r="Y48" s="985"/>
      <c r="Z48" s="985"/>
      <c r="AA48" s="985"/>
      <c r="AB48" s="1004" t="str">
        <f>IF(ISBLANK(AB1), "", AB1)</f>
        <v>White</v>
      </c>
      <c r="AC48" s="1004"/>
      <c r="AD48" s="366">
        <f>IF(ISBLANK(IGRF!$B$5), "", IGRF!$B$5)</f>
        <v>41832</v>
      </c>
      <c r="AE48" s="983" t="s">
        <v>737</v>
      </c>
      <c r="AF48" s="983"/>
      <c r="AG48" s="983"/>
      <c r="AH48" s="984" t="s">
        <v>751</v>
      </c>
      <c r="AI48" s="984"/>
      <c r="AJ48" s="984"/>
      <c r="AK48" s="1">
        <v>2</v>
      </c>
    </row>
    <row r="49" spans="1:38" ht="15" customHeight="1" thickBot="1" x14ac:dyDescent="0.35">
      <c r="A49" s="986"/>
      <c r="B49" s="986"/>
      <c r="C49" s="986"/>
      <c r="D49" s="986"/>
      <c r="E49" s="986"/>
      <c r="F49" s="986"/>
      <c r="G49" s="986"/>
      <c r="H49" s="986"/>
      <c r="I49" s="991" t="s">
        <v>351</v>
      </c>
      <c r="J49" s="991"/>
      <c r="K49" s="15" t="s">
        <v>355</v>
      </c>
      <c r="L49" s="987" t="s">
        <v>340</v>
      </c>
      <c r="M49" s="987"/>
      <c r="N49" s="987"/>
      <c r="O49" s="988" t="s">
        <v>354</v>
      </c>
      <c r="P49" s="988"/>
      <c r="Q49" s="988"/>
      <c r="R49" s="4" t="str">
        <f>R2</f>
        <v>GAME 2</v>
      </c>
      <c r="S49" s="2"/>
      <c r="T49" s="986"/>
      <c r="U49" s="986"/>
      <c r="V49" s="986"/>
      <c r="W49" s="986"/>
      <c r="X49" s="986"/>
      <c r="Y49" s="986"/>
      <c r="Z49" s="986"/>
      <c r="AA49" s="986"/>
      <c r="AB49" s="991" t="s">
        <v>351</v>
      </c>
      <c r="AC49" s="991"/>
      <c r="AD49" s="15" t="s">
        <v>355</v>
      </c>
      <c r="AE49" s="987" t="s">
        <v>340</v>
      </c>
      <c r="AF49" s="987"/>
      <c r="AG49" s="987"/>
      <c r="AH49" s="988" t="s">
        <v>354</v>
      </c>
      <c r="AI49" s="988"/>
      <c r="AJ49" s="988"/>
      <c r="AK49" s="4" t="str">
        <f>AK2</f>
        <v>GAME 2</v>
      </c>
    </row>
    <row r="50" spans="1:38" ht="34.5" customHeight="1" thickBot="1" x14ac:dyDescent="0.5">
      <c r="A50" s="434" t="s">
        <v>257</v>
      </c>
      <c r="B50" s="435" t="s">
        <v>258</v>
      </c>
      <c r="C50" s="436" t="s">
        <v>259</v>
      </c>
      <c r="D50" s="437" t="s">
        <v>260</v>
      </c>
      <c r="E50" s="437" t="s">
        <v>261</v>
      </c>
      <c r="F50" s="437" t="s">
        <v>262</v>
      </c>
      <c r="G50" s="438" t="s">
        <v>263</v>
      </c>
      <c r="H50" s="439" t="s">
        <v>264</v>
      </c>
      <c r="I50" s="440" t="s">
        <v>265</v>
      </c>
      <c r="J50" s="440" t="s">
        <v>266</v>
      </c>
      <c r="K50" s="440" t="s">
        <v>179</v>
      </c>
      <c r="L50" s="440" t="s">
        <v>180</v>
      </c>
      <c r="M50" s="440" t="s">
        <v>181</v>
      </c>
      <c r="N50" s="440" t="s">
        <v>182</v>
      </c>
      <c r="O50" s="440" t="s">
        <v>0</v>
      </c>
      <c r="P50" s="440" t="s">
        <v>1</v>
      </c>
      <c r="Q50" s="441" t="s">
        <v>183</v>
      </c>
      <c r="R50" s="11">
        <f>R42</f>
        <v>104</v>
      </c>
      <c r="S50" s="5" t="s">
        <v>185</v>
      </c>
      <c r="T50" s="434" t="s">
        <v>257</v>
      </c>
      <c r="U50" s="435" t="s">
        <v>258</v>
      </c>
      <c r="V50" s="436" t="s">
        <v>259</v>
      </c>
      <c r="W50" s="437" t="s">
        <v>260</v>
      </c>
      <c r="X50" s="437" t="s">
        <v>261</v>
      </c>
      <c r="Y50" s="437" t="s">
        <v>262</v>
      </c>
      <c r="Z50" s="438" t="s">
        <v>263</v>
      </c>
      <c r="AA50" s="439" t="s">
        <v>264</v>
      </c>
      <c r="AB50" s="440" t="s">
        <v>265</v>
      </c>
      <c r="AC50" s="440" t="s">
        <v>266</v>
      </c>
      <c r="AD50" s="440" t="s">
        <v>179</v>
      </c>
      <c r="AE50" s="440" t="s">
        <v>180</v>
      </c>
      <c r="AF50" s="440" t="s">
        <v>181</v>
      </c>
      <c r="AG50" s="440" t="s">
        <v>182</v>
      </c>
      <c r="AH50" s="440" t="s">
        <v>0</v>
      </c>
      <c r="AI50" s="440" t="s">
        <v>1</v>
      </c>
      <c r="AJ50" s="441" t="s">
        <v>183</v>
      </c>
      <c r="AK50" s="12">
        <f>AK42</f>
        <v>51</v>
      </c>
      <c r="AL50" s="13" t="s">
        <v>185</v>
      </c>
    </row>
    <row r="51" spans="1:38" ht="33" customHeight="1" x14ac:dyDescent="0.45">
      <c r="A51" s="512">
        <v>1</v>
      </c>
      <c r="B51" s="545" t="s">
        <v>709</v>
      </c>
      <c r="C51" s="512"/>
      <c r="D51" s="546" t="s">
        <v>193</v>
      </c>
      <c r="E51" s="546" t="s">
        <v>193</v>
      </c>
      <c r="F51" s="546"/>
      <c r="G51" s="549"/>
      <c r="H51" s="550">
        <v>3</v>
      </c>
      <c r="I51" s="547"/>
      <c r="J51" s="547"/>
      <c r="K51" s="547"/>
      <c r="L51" s="547"/>
      <c r="M51" s="547"/>
      <c r="N51" s="547"/>
      <c r="O51" s="547"/>
      <c r="P51" s="548"/>
      <c r="Q51" s="504">
        <f t="shared" ref="Q51:Q88" si="10">IF(ISBLANK(A51),"",IF(ISBLANK(G51),SUM(H51:P51),0))</f>
        <v>3</v>
      </c>
      <c r="R51" s="493">
        <f t="shared" ref="R51:R88" si="11">IF(Q51="","",Q51+R50)</f>
        <v>107</v>
      </c>
      <c r="S51" s="494">
        <f t="shared" ref="S51:S88" si="12">IF(G51="X",0,COUNT(H51:P51))</f>
        <v>1</v>
      </c>
      <c r="T51" s="553">
        <v>1</v>
      </c>
      <c r="U51" s="545" t="s">
        <v>689</v>
      </c>
      <c r="V51" s="512"/>
      <c r="W51" s="546"/>
      <c r="X51" s="546"/>
      <c r="Y51" s="546"/>
      <c r="Z51" s="549"/>
      <c r="AA51" s="550">
        <v>0</v>
      </c>
      <c r="AB51" s="547"/>
      <c r="AC51" s="547"/>
      <c r="AD51" s="547"/>
      <c r="AE51" s="547"/>
      <c r="AF51" s="547"/>
      <c r="AG51" s="547"/>
      <c r="AH51" s="547"/>
      <c r="AI51" s="548"/>
      <c r="AJ51" s="504">
        <f t="shared" ref="AJ51:AJ88" si="13">IF(ISBLANK(T51),"",IF(ISBLANK(Z51),SUM(AA51:AI51),0))</f>
        <v>0</v>
      </c>
      <c r="AK51" s="552">
        <f t="shared" ref="AK51:AK88" si="14">IF(AJ51="","",AJ51+AK50)</f>
        <v>51</v>
      </c>
      <c r="AL51" s="494">
        <f t="shared" ref="AL51:AL88" si="15">IF(Z51="X",0,COUNT(AA51:AI51))</f>
        <v>1</v>
      </c>
    </row>
    <row r="52" spans="1:38" ht="33" customHeight="1" x14ac:dyDescent="0.45">
      <c r="A52" s="497">
        <v>2</v>
      </c>
      <c r="B52" s="496" t="s">
        <v>701</v>
      </c>
      <c r="C52" s="497"/>
      <c r="D52" s="498" t="s">
        <v>193</v>
      </c>
      <c r="E52" s="498" t="s">
        <v>193</v>
      </c>
      <c r="F52" s="498"/>
      <c r="G52" s="499"/>
      <c r="H52" s="500">
        <v>5</v>
      </c>
      <c r="I52" s="490">
        <v>3</v>
      </c>
      <c r="J52" s="490"/>
      <c r="K52" s="490"/>
      <c r="L52" s="490"/>
      <c r="M52" s="490"/>
      <c r="N52" s="490"/>
      <c r="O52" s="490"/>
      <c r="P52" s="491"/>
      <c r="Q52" s="492">
        <f t="shared" si="10"/>
        <v>8</v>
      </c>
      <c r="R52" s="493">
        <f t="shared" si="11"/>
        <v>115</v>
      </c>
      <c r="S52" s="494">
        <f t="shared" si="12"/>
        <v>2</v>
      </c>
      <c r="T52" s="495">
        <v>2</v>
      </c>
      <c r="U52" s="496" t="s">
        <v>730</v>
      </c>
      <c r="V52" s="497"/>
      <c r="W52" s="498"/>
      <c r="X52" s="498"/>
      <c r="Y52" s="498"/>
      <c r="Z52" s="499"/>
      <c r="AA52" s="500">
        <v>0</v>
      </c>
      <c r="AB52" s="490"/>
      <c r="AC52" s="490"/>
      <c r="AD52" s="490"/>
      <c r="AE52" s="490"/>
      <c r="AF52" s="490"/>
      <c r="AG52" s="490"/>
      <c r="AH52" s="490"/>
      <c r="AI52" s="491"/>
      <c r="AJ52" s="492">
        <f t="shared" si="13"/>
        <v>0</v>
      </c>
      <c r="AK52" s="493">
        <f t="shared" si="14"/>
        <v>51</v>
      </c>
      <c r="AL52" s="494">
        <f t="shared" si="15"/>
        <v>1</v>
      </c>
    </row>
    <row r="53" spans="1:38" ht="33" customHeight="1" x14ac:dyDescent="0.45">
      <c r="A53" s="511">
        <v>3</v>
      </c>
      <c r="B53" s="508" t="s">
        <v>687</v>
      </c>
      <c r="C53" s="500"/>
      <c r="D53" s="490"/>
      <c r="E53" s="490"/>
      <c r="F53" s="490"/>
      <c r="G53" s="505"/>
      <c r="H53" s="506">
        <v>0</v>
      </c>
      <c r="I53" s="501"/>
      <c r="J53" s="501"/>
      <c r="K53" s="501"/>
      <c r="L53" s="501"/>
      <c r="M53" s="501"/>
      <c r="N53" s="501"/>
      <c r="O53" s="501"/>
      <c r="P53" s="502"/>
      <c r="Q53" s="510">
        <f t="shared" si="10"/>
        <v>0</v>
      </c>
      <c r="R53" s="493">
        <f t="shared" si="11"/>
        <v>115</v>
      </c>
      <c r="S53" s="494">
        <f t="shared" si="12"/>
        <v>1</v>
      </c>
      <c r="T53" s="507">
        <v>3</v>
      </c>
      <c r="U53" s="508" t="s">
        <v>689</v>
      </c>
      <c r="V53" s="500"/>
      <c r="W53" s="490" t="s">
        <v>193</v>
      </c>
      <c r="X53" s="490" t="s">
        <v>193</v>
      </c>
      <c r="Y53" s="490"/>
      <c r="Z53" s="505"/>
      <c r="AA53" s="506">
        <v>2</v>
      </c>
      <c r="AB53" s="501"/>
      <c r="AC53" s="501"/>
      <c r="AD53" s="501"/>
      <c r="AE53" s="501"/>
      <c r="AF53" s="501"/>
      <c r="AG53" s="501"/>
      <c r="AH53" s="501"/>
      <c r="AI53" s="502"/>
      <c r="AJ53" s="503">
        <f t="shared" si="13"/>
        <v>2</v>
      </c>
      <c r="AK53" s="493">
        <f t="shared" si="14"/>
        <v>53</v>
      </c>
      <c r="AL53" s="494">
        <f t="shared" si="15"/>
        <v>1</v>
      </c>
    </row>
    <row r="54" spans="1:38" ht="33" customHeight="1" x14ac:dyDescent="0.45">
      <c r="A54" s="497">
        <v>4</v>
      </c>
      <c r="B54" s="496" t="s">
        <v>691</v>
      </c>
      <c r="C54" s="497"/>
      <c r="D54" s="498" t="s">
        <v>193</v>
      </c>
      <c r="E54" s="498" t="s">
        <v>193</v>
      </c>
      <c r="F54" s="498"/>
      <c r="G54" s="499"/>
      <c r="H54" s="500">
        <v>0</v>
      </c>
      <c r="I54" s="490"/>
      <c r="J54" s="490"/>
      <c r="K54" s="490"/>
      <c r="L54" s="490"/>
      <c r="M54" s="490"/>
      <c r="N54" s="490"/>
      <c r="O54" s="490"/>
      <c r="P54" s="491"/>
      <c r="Q54" s="509">
        <f t="shared" si="10"/>
        <v>0</v>
      </c>
      <c r="R54" s="493">
        <f t="shared" si="11"/>
        <v>115</v>
      </c>
      <c r="S54" s="494">
        <f t="shared" si="12"/>
        <v>1</v>
      </c>
      <c r="T54" s="495">
        <v>4</v>
      </c>
      <c r="U54" s="496" t="s">
        <v>730</v>
      </c>
      <c r="V54" s="497"/>
      <c r="W54" s="498"/>
      <c r="X54" s="498"/>
      <c r="Y54" s="498"/>
      <c r="Z54" s="499"/>
      <c r="AA54" s="500">
        <v>0</v>
      </c>
      <c r="AB54" s="490"/>
      <c r="AC54" s="490"/>
      <c r="AD54" s="490"/>
      <c r="AE54" s="490"/>
      <c r="AF54" s="490"/>
      <c r="AG54" s="490"/>
      <c r="AH54" s="490"/>
      <c r="AI54" s="491"/>
      <c r="AJ54" s="492">
        <f t="shared" si="13"/>
        <v>0</v>
      </c>
      <c r="AK54" s="493">
        <f t="shared" si="14"/>
        <v>53</v>
      </c>
      <c r="AL54" s="494">
        <f t="shared" si="15"/>
        <v>1</v>
      </c>
    </row>
    <row r="55" spans="1:38" ht="33" customHeight="1" x14ac:dyDescent="0.45">
      <c r="A55" s="511">
        <v>5</v>
      </c>
      <c r="B55" s="508" t="s">
        <v>709</v>
      </c>
      <c r="C55" s="500"/>
      <c r="D55" s="490" t="s">
        <v>193</v>
      </c>
      <c r="E55" s="490" t="s">
        <v>193</v>
      </c>
      <c r="F55" s="490"/>
      <c r="G55" s="505"/>
      <c r="H55" s="506">
        <v>4</v>
      </c>
      <c r="I55" s="501"/>
      <c r="J55" s="501"/>
      <c r="K55" s="501"/>
      <c r="L55" s="501"/>
      <c r="M55" s="501"/>
      <c r="N55" s="501"/>
      <c r="O55" s="501"/>
      <c r="P55" s="502"/>
      <c r="Q55" s="510">
        <f t="shared" si="10"/>
        <v>4</v>
      </c>
      <c r="R55" s="493">
        <f t="shared" si="11"/>
        <v>119</v>
      </c>
      <c r="S55" s="494">
        <f t="shared" si="12"/>
        <v>1</v>
      </c>
      <c r="T55" s="507">
        <v>5</v>
      </c>
      <c r="U55" s="508" t="s">
        <v>689</v>
      </c>
      <c r="V55" s="500"/>
      <c r="W55" s="490"/>
      <c r="X55" s="490"/>
      <c r="Y55" s="490"/>
      <c r="Z55" s="505"/>
      <c r="AA55" s="506">
        <v>0</v>
      </c>
      <c r="AB55" s="501"/>
      <c r="AC55" s="501"/>
      <c r="AD55" s="501"/>
      <c r="AE55" s="501"/>
      <c r="AF55" s="501"/>
      <c r="AG55" s="501"/>
      <c r="AH55" s="501"/>
      <c r="AI55" s="502"/>
      <c r="AJ55" s="503">
        <f t="shared" si="13"/>
        <v>0</v>
      </c>
      <c r="AK55" s="493">
        <f t="shared" si="14"/>
        <v>53</v>
      </c>
      <c r="AL55" s="494">
        <f t="shared" si="15"/>
        <v>1</v>
      </c>
    </row>
    <row r="56" spans="1:38" ht="33" customHeight="1" x14ac:dyDescent="0.45">
      <c r="A56" s="497">
        <v>6</v>
      </c>
      <c r="B56" s="496" t="s">
        <v>701</v>
      </c>
      <c r="C56" s="497"/>
      <c r="D56" s="498" t="s">
        <v>193</v>
      </c>
      <c r="E56" s="498" t="s">
        <v>193</v>
      </c>
      <c r="F56" s="498"/>
      <c r="G56" s="499"/>
      <c r="H56" s="500">
        <v>1</v>
      </c>
      <c r="I56" s="490"/>
      <c r="J56" s="490"/>
      <c r="K56" s="490"/>
      <c r="L56" s="490"/>
      <c r="M56" s="490"/>
      <c r="N56" s="490"/>
      <c r="O56" s="490"/>
      <c r="P56" s="491"/>
      <c r="Q56" s="509">
        <f t="shared" si="10"/>
        <v>1</v>
      </c>
      <c r="R56" s="493">
        <f t="shared" si="11"/>
        <v>120</v>
      </c>
      <c r="S56" s="494">
        <f t="shared" si="12"/>
        <v>1</v>
      </c>
      <c r="T56" s="495">
        <v>6</v>
      </c>
      <c r="U56" s="496" t="s">
        <v>730</v>
      </c>
      <c r="V56" s="497"/>
      <c r="W56" s="498"/>
      <c r="X56" s="498"/>
      <c r="Y56" s="498"/>
      <c r="Z56" s="499"/>
      <c r="AA56" s="500">
        <v>0</v>
      </c>
      <c r="AB56" s="490"/>
      <c r="AC56" s="490"/>
      <c r="AD56" s="490"/>
      <c r="AE56" s="490"/>
      <c r="AF56" s="490"/>
      <c r="AG56" s="490"/>
      <c r="AH56" s="490"/>
      <c r="AI56" s="491"/>
      <c r="AJ56" s="492">
        <f t="shared" si="13"/>
        <v>0</v>
      </c>
      <c r="AK56" s="493">
        <f t="shared" si="14"/>
        <v>53</v>
      </c>
      <c r="AL56" s="494">
        <f t="shared" si="15"/>
        <v>1</v>
      </c>
    </row>
    <row r="57" spans="1:38" ht="33" customHeight="1" x14ac:dyDescent="0.45">
      <c r="A57" s="511">
        <v>7</v>
      </c>
      <c r="B57" s="508" t="s">
        <v>691</v>
      </c>
      <c r="C57" s="500"/>
      <c r="D57" s="490"/>
      <c r="E57" s="490"/>
      <c r="F57" s="490"/>
      <c r="G57" s="505"/>
      <c r="H57" s="506">
        <v>0</v>
      </c>
      <c r="I57" s="501"/>
      <c r="J57" s="501"/>
      <c r="K57" s="501"/>
      <c r="L57" s="501"/>
      <c r="M57" s="501"/>
      <c r="N57" s="501"/>
      <c r="O57" s="501"/>
      <c r="P57" s="502"/>
      <c r="Q57" s="510">
        <f t="shared" si="10"/>
        <v>0</v>
      </c>
      <c r="R57" s="493">
        <f t="shared" si="11"/>
        <v>120</v>
      </c>
      <c r="S57" s="494">
        <f t="shared" si="12"/>
        <v>1</v>
      </c>
      <c r="T57" s="507">
        <v>7</v>
      </c>
      <c r="U57" s="508" t="s">
        <v>689</v>
      </c>
      <c r="V57" s="500"/>
      <c r="W57" s="490" t="s">
        <v>193</v>
      </c>
      <c r="X57" s="490"/>
      <c r="Y57" s="490"/>
      <c r="Z57" s="505"/>
      <c r="AA57" s="506">
        <v>2</v>
      </c>
      <c r="AB57" s="501"/>
      <c r="AC57" s="501"/>
      <c r="AD57" s="501"/>
      <c r="AE57" s="501"/>
      <c r="AF57" s="501"/>
      <c r="AG57" s="501"/>
      <c r="AH57" s="501"/>
      <c r="AI57" s="502"/>
      <c r="AJ57" s="503">
        <f t="shared" si="13"/>
        <v>2</v>
      </c>
      <c r="AK57" s="493">
        <f t="shared" si="14"/>
        <v>55</v>
      </c>
      <c r="AL57" s="494">
        <f t="shared" si="15"/>
        <v>1</v>
      </c>
    </row>
    <row r="58" spans="1:38" ht="33" customHeight="1" x14ac:dyDescent="0.45">
      <c r="A58" s="497">
        <v>8</v>
      </c>
      <c r="B58" s="496" t="s">
        <v>687</v>
      </c>
      <c r="C58" s="497"/>
      <c r="D58" s="498" t="s">
        <v>193</v>
      </c>
      <c r="E58" s="498" t="s">
        <v>193</v>
      </c>
      <c r="F58" s="498"/>
      <c r="G58" s="499"/>
      <c r="H58" s="500">
        <v>5</v>
      </c>
      <c r="I58" s="490">
        <v>5</v>
      </c>
      <c r="J58" s="490">
        <v>5</v>
      </c>
      <c r="K58" s="490">
        <v>5</v>
      </c>
      <c r="L58" s="490">
        <v>5</v>
      </c>
      <c r="M58" s="490"/>
      <c r="N58" s="490"/>
      <c r="O58" s="490"/>
      <c r="P58" s="491"/>
      <c r="Q58" s="509">
        <f t="shared" si="10"/>
        <v>25</v>
      </c>
      <c r="R58" s="493">
        <f t="shared" si="11"/>
        <v>145</v>
      </c>
      <c r="S58" s="494">
        <f t="shared" si="12"/>
        <v>5</v>
      </c>
      <c r="T58" s="495">
        <v>8</v>
      </c>
      <c r="U58" s="496" t="s">
        <v>730</v>
      </c>
      <c r="V58" s="497"/>
      <c r="W58" s="498"/>
      <c r="X58" s="498"/>
      <c r="Y58" s="498"/>
      <c r="Z58" s="499" t="s">
        <v>193</v>
      </c>
      <c r="AA58" s="500"/>
      <c r="AB58" s="490"/>
      <c r="AC58" s="490"/>
      <c r="AD58" s="490"/>
      <c r="AE58" s="490"/>
      <c r="AF58" s="490"/>
      <c r="AG58" s="490"/>
      <c r="AH58" s="490"/>
      <c r="AI58" s="491"/>
      <c r="AJ58" s="492">
        <f t="shared" si="13"/>
        <v>0</v>
      </c>
      <c r="AK58" s="493">
        <f t="shared" si="14"/>
        <v>55</v>
      </c>
      <c r="AL58" s="494">
        <f t="shared" si="15"/>
        <v>0</v>
      </c>
    </row>
    <row r="59" spans="1:38" ht="33" customHeight="1" x14ac:dyDescent="0.45">
      <c r="A59" s="511">
        <v>9</v>
      </c>
      <c r="B59" s="508" t="s">
        <v>709</v>
      </c>
      <c r="C59" s="500"/>
      <c r="D59" s="490" t="s">
        <v>193</v>
      </c>
      <c r="E59" s="490" t="s">
        <v>193</v>
      </c>
      <c r="F59" s="490"/>
      <c r="G59" s="505"/>
      <c r="H59" s="506">
        <v>5</v>
      </c>
      <c r="I59" s="501">
        <v>5</v>
      </c>
      <c r="J59" s="501">
        <v>5</v>
      </c>
      <c r="K59" s="501">
        <v>5</v>
      </c>
      <c r="L59" s="501">
        <v>5</v>
      </c>
      <c r="M59" s="501">
        <v>3</v>
      </c>
      <c r="N59" s="501"/>
      <c r="O59" s="501"/>
      <c r="P59" s="502"/>
      <c r="Q59" s="510">
        <f t="shared" si="10"/>
        <v>28</v>
      </c>
      <c r="R59" s="493">
        <f t="shared" si="11"/>
        <v>173</v>
      </c>
      <c r="S59" s="494">
        <f t="shared" si="12"/>
        <v>6</v>
      </c>
      <c r="T59" s="507">
        <v>9</v>
      </c>
      <c r="U59" s="508" t="s">
        <v>730</v>
      </c>
      <c r="V59" s="500"/>
      <c r="W59" s="490"/>
      <c r="X59" s="490"/>
      <c r="Y59" s="490"/>
      <c r="Z59" s="505" t="s">
        <v>193</v>
      </c>
      <c r="AA59" s="506"/>
      <c r="AB59" s="501"/>
      <c r="AC59" s="501"/>
      <c r="AD59" s="501"/>
      <c r="AE59" s="501"/>
      <c r="AF59" s="501"/>
      <c r="AG59" s="501"/>
      <c r="AH59" s="501"/>
      <c r="AI59" s="502"/>
      <c r="AJ59" s="503">
        <f t="shared" si="13"/>
        <v>0</v>
      </c>
      <c r="AK59" s="493">
        <f t="shared" si="14"/>
        <v>55</v>
      </c>
      <c r="AL59" s="494">
        <f t="shared" si="15"/>
        <v>0</v>
      </c>
    </row>
    <row r="60" spans="1:38" ht="33" customHeight="1" x14ac:dyDescent="0.45">
      <c r="A60" s="497">
        <v>10</v>
      </c>
      <c r="B60" s="496" t="s">
        <v>691</v>
      </c>
      <c r="C60" s="497"/>
      <c r="D60" s="498" t="s">
        <v>193</v>
      </c>
      <c r="E60" s="498" t="s">
        <v>193</v>
      </c>
      <c r="F60" s="498"/>
      <c r="G60" s="499"/>
      <c r="H60" s="500">
        <v>0</v>
      </c>
      <c r="I60" s="490"/>
      <c r="J60" s="490"/>
      <c r="K60" s="490"/>
      <c r="L60" s="490"/>
      <c r="M60" s="490"/>
      <c r="N60" s="490"/>
      <c r="O60" s="490"/>
      <c r="P60" s="491"/>
      <c r="Q60" s="509">
        <f t="shared" si="10"/>
        <v>0</v>
      </c>
      <c r="R60" s="493">
        <f t="shared" si="11"/>
        <v>173</v>
      </c>
      <c r="S60" s="494">
        <f t="shared" si="12"/>
        <v>1</v>
      </c>
      <c r="T60" s="495">
        <v>10</v>
      </c>
      <c r="U60" s="496" t="s">
        <v>689</v>
      </c>
      <c r="V60" s="497"/>
      <c r="W60" s="498"/>
      <c r="X60" s="498"/>
      <c r="Y60" s="498"/>
      <c r="Z60" s="499"/>
      <c r="AA60" s="500">
        <v>0</v>
      </c>
      <c r="AB60" s="490"/>
      <c r="AC60" s="490"/>
      <c r="AD60" s="490"/>
      <c r="AE60" s="490"/>
      <c r="AF60" s="490"/>
      <c r="AG60" s="490"/>
      <c r="AH60" s="490"/>
      <c r="AI60" s="491"/>
      <c r="AJ60" s="492">
        <f t="shared" si="13"/>
        <v>0</v>
      </c>
      <c r="AK60" s="493">
        <f t="shared" si="14"/>
        <v>55</v>
      </c>
      <c r="AL60" s="494">
        <f t="shared" si="15"/>
        <v>1</v>
      </c>
    </row>
    <row r="61" spans="1:38" ht="33" customHeight="1" x14ac:dyDescent="0.45">
      <c r="A61" s="511">
        <v>11</v>
      </c>
      <c r="B61" s="508" t="s">
        <v>701</v>
      </c>
      <c r="C61" s="500"/>
      <c r="D61" s="490"/>
      <c r="E61" s="490"/>
      <c r="F61" s="490"/>
      <c r="G61" s="505"/>
      <c r="H61" s="506">
        <v>5</v>
      </c>
      <c r="I61" s="501">
        <v>5</v>
      </c>
      <c r="J61" s="501">
        <v>5</v>
      </c>
      <c r="K61" s="501">
        <v>5</v>
      </c>
      <c r="L61" s="501">
        <v>5</v>
      </c>
      <c r="M61" s="501">
        <v>0</v>
      </c>
      <c r="N61" s="501"/>
      <c r="O61" s="501"/>
      <c r="P61" s="502"/>
      <c r="Q61" s="510">
        <f t="shared" si="10"/>
        <v>25</v>
      </c>
      <c r="R61" s="493">
        <f t="shared" si="11"/>
        <v>198</v>
      </c>
      <c r="S61" s="494">
        <f t="shared" si="12"/>
        <v>6</v>
      </c>
      <c r="T61" s="507">
        <v>11</v>
      </c>
      <c r="U61" s="508" t="s">
        <v>678</v>
      </c>
      <c r="V61" s="500" t="s">
        <v>193</v>
      </c>
      <c r="W61" s="490" t="s">
        <v>193</v>
      </c>
      <c r="X61" s="490"/>
      <c r="Y61" s="490"/>
      <c r="Z61" s="505" t="s">
        <v>193</v>
      </c>
      <c r="AA61" s="506"/>
      <c r="AB61" s="501"/>
      <c r="AC61" s="501"/>
      <c r="AD61" s="501"/>
      <c r="AE61" s="501"/>
      <c r="AF61" s="501"/>
      <c r="AG61" s="501"/>
      <c r="AH61" s="501"/>
      <c r="AI61" s="502"/>
      <c r="AJ61" s="503">
        <f t="shared" si="13"/>
        <v>0</v>
      </c>
      <c r="AK61" s="493">
        <f t="shared" si="14"/>
        <v>55</v>
      </c>
      <c r="AL61" s="494">
        <f t="shared" si="15"/>
        <v>0</v>
      </c>
    </row>
    <row r="62" spans="1:38" ht="33" customHeight="1" x14ac:dyDescent="0.45">
      <c r="A62" s="497">
        <v>12</v>
      </c>
      <c r="B62" s="496" t="s">
        <v>709</v>
      </c>
      <c r="C62" s="497"/>
      <c r="D62" s="498" t="s">
        <v>193</v>
      </c>
      <c r="E62" s="498" t="s">
        <v>193</v>
      </c>
      <c r="F62" s="498"/>
      <c r="G62" s="499"/>
      <c r="H62" s="500">
        <v>2</v>
      </c>
      <c r="I62" s="490"/>
      <c r="J62" s="490"/>
      <c r="K62" s="490"/>
      <c r="L62" s="490"/>
      <c r="M62" s="490"/>
      <c r="N62" s="490"/>
      <c r="O62" s="490"/>
      <c r="P62" s="491"/>
      <c r="Q62" s="509">
        <f t="shared" si="10"/>
        <v>2</v>
      </c>
      <c r="R62" s="493">
        <f t="shared" si="11"/>
        <v>200</v>
      </c>
      <c r="S62" s="494">
        <f t="shared" si="12"/>
        <v>1</v>
      </c>
      <c r="T62" s="495">
        <v>12</v>
      </c>
      <c r="U62" s="496" t="s">
        <v>689</v>
      </c>
      <c r="V62" s="497"/>
      <c r="W62" s="498"/>
      <c r="X62" s="498"/>
      <c r="Y62" s="498"/>
      <c r="Z62" s="499"/>
      <c r="AA62" s="500">
        <v>0</v>
      </c>
      <c r="AB62" s="490"/>
      <c r="AC62" s="490"/>
      <c r="AD62" s="490"/>
      <c r="AE62" s="490"/>
      <c r="AF62" s="490"/>
      <c r="AG62" s="490"/>
      <c r="AH62" s="490"/>
      <c r="AI62" s="491"/>
      <c r="AJ62" s="492">
        <f t="shared" si="13"/>
        <v>0</v>
      </c>
      <c r="AK62" s="493">
        <f t="shared" si="14"/>
        <v>55</v>
      </c>
      <c r="AL62" s="494">
        <f t="shared" si="15"/>
        <v>1</v>
      </c>
    </row>
    <row r="63" spans="1:38" ht="33" customHeight="1" x14ac:dyDescent="0.45">
      <c r="A63" s="511">
        <v>13</v>
      </c>
      <c r="B63" s="508" t="s">
        <v>687</v>
      </c>
      <c r="C63" s="500" t="s">
        <v>193</v>
      </c>
      <c r="D63" s="490"/>
      <c r="E63" s="490"/>
      <c r="F63" s="490"/>
      <c r="G63" s="505"/>
      <c r="H63" s="506">
        <v>0</v>
      </c>
      <c r="I63" s="501"/>
      <c r="J63" s="501"/>
      <c r="K63" s="501"/>
      <c r="L63" s="501"/>
      <c r="M63" s="501"/>
      <c r="N63" s="501"/>
      <c r="O63" s="501"/>
      <c r="P63" s="502"/>
      <c r="Q63" s="510">
        <f t="shared" si="10"/>
        <v>0</v>
      </c>
      <c r="R63" s="493">
        <f t="shared" si="11"/>
        <v>200</v>
      </c>
      <c r="S63" s="494">
        <f t="shared" si="12"/>
        <v>1</v>
      </c>
      <c r="T63" s="507">
        <v>13</v>
      </c>
      <c r="U63" s="508" t="s">
        <v>730</v>
      </c>
      <c r="V63" s="500"/>
      <c r="W63" s="490" t="s">
        <v>193</v>
      </c>
      <c r="X63" s="490" t="s">
        <v>193</v>
      </c>
      <c r="Y63" s="490"/>
      <c r="Z63" s="505" t="s">
        <v>193</v>
      </c>
      <c r="AA63" s="506"/>
      <c r="AB63" s="501"/>
      <c r="AC63" s="501"/>
      <c r="AD63" s="501"/>
      <c r="AE63" s="501"/>
      <c r="AF63" s="501"/>
      <c r="AG63" s="501"/>
      <c r="AH63" s="501"/>
      <c r="AI63" s="502"/>
      <c r="AJ63" s="503">
        <f t="shared" si="13"/>
        <v>0</v>
      </c>
      <c r="AK63" s="493">
        <f t="shared" si="14"/>
        <v>55</v>
      </c>
      <c r="AL63" s="494">
        <f t="shared" si="15"/>
        <v>0</v>
      </c>
    </row>
    <row r="64" spans="1:38" ht="33" customHeight="1" x14ac:dyDescent="0.45">
      <c r="A64" s="497">
        <v>14</v>
      </c>
      <c r="B64" s="496" t="s">
        <v>691</v>
      </c>
      <c r="C64" s="497"/>
      <c r="D64" s="498"/>
      <c r="E64" s="498"/>
      <c r="F64" s="498"/>
      <c r="G64" s="499"/>
      <c r="H64" s="500">
        <v>0</v>
      </c>
      <c r="I64" s="490"/>
      <c r="J64" s="490"/>
      <c r="K64" s="490"/>
      <c r="L64" s="490"/>
      <c r="M64" s="490"/>
      <c r="N64" s="490"/>
      <c r="O64" s="490"/>
      <c r="P64" s="491"/>
      <c r="Q64" s="509">
        <f t="shared" si="10"/>
        <v>0</v>
      </c>
      <c r="R64" s="493">
        <f t="shared" si="11"/>
        <v>200</v>
      </c>
      <c r="S64" s="494">
        <f t="shared" si="12"/>
        <v>1</v>
      </c>
      <c r="T64" s="495">
        <v>14</v>
      </c>
      <c r="U64" s="496" t="s">
        <v>689</v>
      </c>
      <c r="V64" s="497"/>
      <c r="W64" s="498" t="s">
        <v>193</v>
      </c>
      <c r="X64" s="498" t="s">
        <v>193</v>
      </c>
      <c r="Y64" s="498"/>
      <c r="Z64" s="499"/>
      <c r="AA64" s="500">
        <v>5</v>
      </c>
      <c r="AB64" s="490">
        <v>0</v>
      </c>
      <c r="AC64" s="490"/>
      <c r="AD64" s="490"/>
      <c r="AE64" s="490"/>
      <c r="AF64" s="490"/>
      <c r="AG64" s="490"/>
      <c r="AH64" s="490"/>
      <c r="AI64" s="491"/>
      <c r="AJ64" s="492">
        <f t="shared" si="13"/>
        <v>5</v>
      </c>
      <c r="AK64" s="493">
        <f t="shared" si="14"/>
        <v>60</v>
      </c>
      <c r="AL64" s="494">
        <f t="shared" si="15"/>
        <v>2</v>
      </c>
    </row>
    <row r="65" spans="1:38" ht="33" customHeight="1" x14ac:dyDescent="0.45">
      <c r="A65" s="511">
        <v>15</v>
      </c>
      <c r="B65" s="508" t="s">
        <v>709</v>
      </c>
      <c r="C65" s="500"/>
      <c r="D65" s="490" t="s">
        <v>193</v>
      </c>
      <c r="E65" s="490" t="s">
        <v>193</v>
      </c>
      <c r="F65" s="490"/>
      <c r="G65" s="505"/>
      <c r="H65" s="506">
        <v>5</v>
      </c>
      <c r="I65" s="501">
        <v>4</v>
      </c>
      <c r="J65" s="501"/>
      <c r="K65" s="501"/>
      <c r="L65" s="501"/>
      <c r="M65" s="501"/>
      <c r="N65" s="501"/>
      <c r="O65" s="501"/>
      <c r="P65" s="502"/>
      <c r="Q65" s="510">
        <f t="shared" si="10"/>
        <v>9</v>
      </c>
      <c r="R65" s="493">
        <f t="shared" si="11"/>
        <v>209</v>
      </c>
      <c r="S65" s="494">
        <f t="shared" si="12"/>
        <v>2</v>
      </c>
      <c r="T65" s="507">
        <v>15</v>
      </c>
      <c r="U65" s="508" t="s">
        <v>730</v>
      </c>
      <c r="V65" s="500"/>
      <c r="W65" s="490"/>
      <c r="X65" s="490"/>
      <c r="Y65" s="490"/>
      <c r="Z65" s="505"/>
      <c r="AA65" s="506">
        <v>0</v>
      </c>
      <c r="AB65" s="501"/>
      <c r="AC65" s="501"/>
      <c r="AD65" s="501"/>
      <c r="AE65" s="501"/>
      <c r="AF65" s="501"/>
      <c r="AG65" s="501"/>
      <c r="AH65" s="501"/>
      <c r="AI65" s="502"/>
      <c r="AJ65" s="503">
        <f t="shared" si="13"/>
        <v>0</v>
      </c>
      <c r="AK65" s="493">
        <f t="shared" si="14"/>
        <v>60</v>
      </c>
      <c r="AL65" s="494">
        <f t="shared" si="15"/>
        <v>1</v>
      </c>
    </row>
    <row r="66" spans="1:38" ht="33" customHeight="1" x14ac:dyDescent="0.45">
      <c r="A66" s="497">
        <v>16</v>
      </c>
      <c r="B66" s="496" t="s">
        <v>701</v>
      </c>
      <c r="C66" s="497"/>
      <c r="D66" s="498" t="s">
        <v>193</v>
      </c>
      <c r="E66" s="498" t="s">
        <v>193</v>
      </c>
      <c r="F66" s="498"/>
      <c r="G66" s="499"/>
      <c r="H66" s="500">
        <v>4</v>
      </c>
      <c r="I66" s="490"/>
      <c r="J66" s="490"/>
      <c r="K66" s="490"/>
      <c r="L66" s="490"/>
      <c r="M66" s="490"/>
      <c r="N66" s="490"/>
      <c r="O66" s="490"/>
      <c r="P66" s="491"/>
      <c r="Q66" s="509">
        <f t="shared" si="10"/>
        <v>4</v>
      </c>
      <c r="R66" s="493">
        <f t="shared" si="11"/>
        <v>213</v>
      </c>
      <c r="S66" s="494">
        <f t="shared" si="12"/>
        <v>1</v>
      </c>
      <c r="T66" s="495">
        <v>16</v>
      </c>
      <c r="U66" s="496" t="s">
        <v>689</v>
      </c>
      <c r="V66" s="497"/>
      <c r="W66" s="498"/>
      <c r="X66" s="498"/>
      <c r="Y66" s="498"/>
      <c r="Z66" s="499"/>
      <c r="AA66" s="500">
        <v>0</v>
      </c>
      <c r="AB66" s="490"/>
      <c r="AC66" s="490"/>
      <c r="AD66" s="490"/>
      <c r="AE66" s="490"/>
      <c r="AF66" s="490"/>
      <c r="AG66" s="490"/>
      <c r="AH66" s="490"/>
      <c r="AI66" s="491"/>
      <c r="AJ66" s="492">
        <f t="shared" si="13"/>
        <v>0</v>
      </c>
      <c r="AK66" s="493">
        <f t="shared" si="14"/>
        <v>60</v>
      </c>
      <c r="AL66" s="494">
        <f t="shared" si="15"/>
        <v>1</v>
      </c>
    </row>
    <row r="67" spans="1:38" ht="33" customHeight="1" x14ac:dyDescent="0.45">
      <c r="A67" s="511">
        <v>17</v>
      </c>
      <c r="B67" s="508" t="s">
        <v>687</v>
      </c>
      <c r="C67" s="500"/>
      <c r="D67" s="490" t="s">
        <v>193</v>
      </c>
      <c r="E67" s="490" t="s">
        <v>193</v>
      </c>
      <c r="F67" s="490"/>
      <c r="G67" s="505"/>
      <c r="H67" s="506">
        <v>5</v>
      </c>
      <c r="I67" s="501">
        <v>1</v>
      </c>
      <c r="J67" s="501"/>
      <c r="K67" s="501"/>
      <c r="L67" s="501"/>
      <c r="M67" s="501"/>
      <c r="N67" s="501"/>
      <c r="O67" s="501"/>
      <c r="P67" s="502"/>
      <c r="Q67" s="510">
        <f t="shared" si="10"/>
        <v>6</v>
      </c>
      <c r="R67" s="493">
        <f t="shared" si="11"/>
        <v>219</v>
      </c>
      <c r="S67" s="494">
        <f t="shared" si="12"/>
        <v>2</v>
      </c>
      <c r="T67" s="507">
        <v>17</v>
      </c>
      <c r="U67" s="508" t="s">
        <v>678</v>
      </c>
      <c r="V67" s="500"/>
      <c r="W67" s="490"/>
      <c r="X67" s="490"/>
      <c r="Y67" s="490"/>
      <c r="Z67" s="505"/>
      <c r="AA67" s="506">
        <v>0</v>
      </c>
      <c r="AB67" s="501"/>
      <c r="AC67" s="501"/>
      <c r="AD67" s="501"/>
      <c r="AE67" s="501"/>
      <c r="AF67" s="501"/>
      <c r="AG67" s="501"/>
      <c r="AH67" s="501"/>
      <c r="AI67" s="502"/>
      <c r="AJ67" s="503">
        <f t="shared" si="13"/>
        <v>0</v>
      </c>
      <c r="AK67" s="493">
        <f t="shared" si="14"/>
        <v>60</v>
      </c>
      <c r="AL67" s="494">
        <f t="shared" si="15"/>
        <v>1</v>
      </c>
    </row>
    <row r="68" spans="1:38" ht="33" customHeight="1" x14ac:dyDescent="0.45">
      <c r="A68" s="497">
        <v>18</v>
      </c>
      <c r="B68" s="496" t="s">
        <v>691</v>
      </c>
      <c r="C68" s="497"/>
      <c r="D68" s="498" t="s">
        <v>193</v>
      </c>
      <c r="E68" s="498" t="s">
        <v>193</v>
      </c>
      <c r="F68" s="498"/>
      <c r="G68" s="499"/>
      <c r="H68" s="500">
        <v>4</v>
      </c>
      <c r="I68" s="490"/>
      <c r="J68" s="490"/>
      <c r="K68" s="490"/>
      <c r="L68" s="490"/>
      <c r="M68" s="490"/>
      <c r="N68" s="490"/>
      <c r="O68" s="490"/>
      <c r="P68" s="491"/>
      <c r="Q68" s="509">
        <f t="shared" si="10"/>
        <v>4</v>
      </c>
      <c r="R68" s="493">
        <f t="shared" si="11"/>
        <v>223</v>
      </c>
      <c r="S68" s="494">
        <f t="shared" si="12"/>
        <v>1</v>
      </c>
      <c r="T68" s="495">
        <v>18</v>
      </c>
      <c r="U68" s="496" t="s">
        <v>689</v>
      </c>
      <c r="V68" s="497"/>
      <c r="W68" s="498"/>
      <c r="X68" s="498"/>
      <c r="Y68" s="498"/>
      <c r="Z68" s="499"/>
      <c r="AA68" s="500">
        <v>0</v>
      </c>
      <c r="AB68" s="490"/>
      <c r="AC68" s="490"/>
      <c r="AD68" s="490"/>
      <c r="AE68" s="490"/>
      <c r="AF68" s="490"/>
      <c r="AG68" s="490"/>
      <c r="AH68" s="490"/>
      <c r="AI68" s="491"/>
      <c r="AJ68" s="492">
        <f t="shared" si="13"/>
        <v>0</v>
      </c>
      <c r="AK68" s="493">
        <f t="shared" si="14"/>
        <v>60</v>
      </c>
      <c r="AL68" s="494">
        <f t="shared" si="15"/>
        <v>1</v>
      </c>
    </row>
    <row r="69" spans="1:38" ht="33" customHeight="1" x14ac:dyDescent="0.45">
      <c r="A69" s="511">
        <v>19</v>
      </c>
      <c r="B69" s="508" t="s">
        <v>709</v>
      </c>
      <c r="C69" s="500"/>
      <c r="D69" s="490" t="s">
        <v>193</v>
      </c>
      <c r="E69" s="490" t="s">
        <v>193</v>
      </c>
      <c r="F69" s="490"/>
      <c r="G69" s="505"/>
      <c r="H69" s="506">
        <v>4</v>
      </c>
      <c r="I69" s="501"/>
      <c r="J69" s="501"/>
      <c r="K69" s="501"/>
      <c r="L69" s="501"/>
      <c r="M69" s="501"/>
      <c r="N69" s="501"/>
      <c r="O69" s="501"/>
      <c r="P69" s="502"/>
      <c r="Q69" s="510">
        <f t="shared" si="10"/>
        <v>4</v>
      </c>
      <c r="R69" s="493">
        <f t="shared" si="11"/>
        <v>227</v>
      </c>
      <c r="S69" s="494">
        <f t="shared" si="12"/>
        <v>1</v>
      </c>
      <c r="T69" s="507">
        <v>19</v>
      </c>
      <c r="U69" s="508" t="s">
        <v>707</v>
      </c>
      <c r="V69" s="500"/>
      <c r="W69" s="490"/>
      <c r="X69" s="490"/>
      <c r="Y69" s="490"/>
      <c r="Z69" s="505"/>
      <c r="AA69" s="506">
        <v>0</v>
      </c>
      <c r="AB69" s="501"/>
      <c r="AC69" s="501"/>
      <c r="AD69" s="501"/>
      <c r="AE69" s="501"/>
      <c r="AF69" s="501"/>
      <c r="AG69" s="501"/>
      <c r="AH69" s="501"/>
      <c r="AI69" s="502"/>
      <c r="AJ69" s="503">
        <f t="shared" si="13"/>
        <v>0</v>
      </c>
      <c r="AK69" s="493">
        <f t="shared" si="14"/>
        <v>60</v>
      </c>
      <c r="AL69" s="494">
        <f t="shared" si="15"/>
        <v>1</v>
      </c>
    </row>
    <row r="70" spans="1:38" ht="33" customHeight="1" x14ac:dyDescent="0.45">
      <c r="A70" s="497">
        <v>20</v>
      </c>
      <c r="B70" s="496" t="s">
        <v>701</v>
      </c>
      <c r="C70" s="497" t="s">
        <v>193</v>
      </c>
      <c r="D70" s="498"/>
      <c r="E70" s="498"/>
      <c r="F70" s="498"/>
      <c r="G70" s="499" t="s">
        <v>193</v>
      </c>
      <c r="H70" s="500"/>
      <c r="I70" s="490"/>
      <c r="J70" s="490"/>
      <c r="K70" s="490"/>
      <c r="L70" s="490"/>
      <c r="M70" s="490"/>
      <c r="N70" s="490"/>
      <c r="O70" s="490"/>
      <c r="P70" s="491"/>
      <c r="Q70" s="509">
        <f t="shared" si="10"/>
        <v>0</v>
      </c>
      <c r="R70" s="493">
        <f t="shared" si="11"/>
        <v>227</v>
      </c>
      <c r="S70" s="494">
        <f t="shared" si="12"/>
        <v>0</v>
      </c>
      <c r="T70" s="495">
        <v>20</v>
      </c>
      <c r="U70" s="496" t="s">
        <v>689</v>
      </c>
      <c r="V70" s="497"/>
      <c r="W70" s="498" t="s">
        <v>193</v>
      </c>
      <c r="X70" s="498" t="s">
        <v>193</v>
      </c>
      <c r="Y70" s="498"/>
      <c r="Z70" s="499"/>
      <c r="AA70" s="500">
        <v>5</v>
      </c>
      <c r="AB70" s="490">
        <v>5</v>
      </c>
      <c r="AC70" s="490"/>
      <c r="AD70" s="490"/>
      <c r="AE70" s="490"/>
      <c r="AF70" s="490"/>
      <c r="AG70" s="490"/>
      <c r="AH70" s="490"/>
      <c r="AI70" s="491"/>
      <c r="AJ70" s="492">
        <f t="shared" si="13"/>
        <v>10</v>
      </c>
      <c r="AK70" s="493">
        <f t="shared" si="14"/>
        <v>70</v>
      </c>
      <c r="AL70" s="494">
        <f t="shared" si="15"/>
        <v>2</v>
      </c>
    </row>
    <row r="71" spans="1:38" ht="33" customHeight="1" x14ac:dyDescent="0.45">
      <c r="A71" s="511">
        <v>21</v>
      </c>
      <c r="B71" s="508" t="s">
        <v>691</v>
      </c>
      <c r="C71" s="500"/>
      <c r="D71" s="490"/>
      <c r="E71" s="490"/>
      <c r="F71" s="490"/>
      <c r="G71" s="505"/>
      <c r="H71" s="506">
        <v>0</v>
      </c>
      <c r="I71" s="501"/>
      <c r="J71" s="501"/>
      <c r="K71" s="501"/>
      <c r="L71" s="501"/>
      <c r="M71" s="501"/>
      <c r="N71" s="501"/>
      <c r="O71" s="501"/>
      <c r="P71" s="502"/>
      <c r="Q71" s="510">
        <f t="shared" si="10"/>
        <v>0</v>
      </c>
      <c r="R71" s="493">
        <f t="shared" si="11"/>
        <v>227</v>
      </c>
      <c r="S71" s="494">
        <f t="shared" si="12"/>
        <v>1</v>
      </c>
      <c r="T71" s="507">
        <v>21</v>
      </c>
      <c r="U71" s="508" t="s">
        <v>730</v>
      </c>
      <c r="V71" s="500"/>
      <c r="W71" s="490" t="s">
        <v>193</v>
      </c>
      <c r="X71" s="490" t="s">
        <v>193</v>
      </c>
      <c r="Y71" s="490"/>
      <c r="Z71" s="505" t="s">
        <v>193</v>
      </c>
      <c r="AA71" s="506"/>
      <c r="AB71" s="501"/>
      <c r="AC71" s="501"/>
      <c r="AD71" s="501"/>
      <c r="AE71" s="501"/>
      <c r="AF71" s="501"/>
      <c r="AG71" s="501"/>
      <c r="AH71" s="501"/>
      <c r="AI71" s="502"/>
      <c r="AJ71" s="503">
        <f t="shared" si="13"/>
        <v>0</v>
      </c>
      <c r="AK71" s="493">
        <f t="shared" si="14"/>
        <v>70</v>
      </c>
      <c r="AL71" s="494">
        <f t="shared" si="15"/>
        <v>0</v>
      </c>
    </row>
    <row r="72" spans="1:38" ht="33" customHeight="1" x14ac:dyDescent="0.45">
      <c r="A72" s="497">
        <v>22</v>
      </c>
      <c r="B72" s="496" t="s">
        <v>709</v>
      </c>
      <c r="C72" s="497"/>
      <c r="D72" s="498"/>
      <c r="E72" s="498"/>
      <c r="F72" s="498"/>
      <c r="G72" s="499"/>
      <c r="H72" s="500">
        <v>4</v>
      </c>
      <c r="I72" s="490"/>
      <c r="J72" s="490"/>
      <c r="K72" s="490"/>
      <c r="L72" s="490"/>
      <c r="M72" s="490"/>
      <c r="N72" s="490"/>
      <c r="O72" s="490"/>
      <c r="P72" s="491"/>
      <c r="Q72" s="509">
        <f t="shared" si="10"/>
        <v>4</v>
      </c>
      <c r="R72" s="493">
        <f t="shared" si="11"/>
        <v>231</v>
      </c>
      <c r="S72" s="494">
        <f t="shared" si="12"/>
        <v>1</v>
      </c>
      <c r="T72" s="495">
        <v>22</v>
      </c>
      <c r="U72" s="496" t="s">
        <v>689</v>
      </c>
      <c r="V72" s="497"/>
      <c r="W72" s="498" t="s">
        <v>193</v>
      </c>
      <c r="X72" s="498" t="s">
        <v>193</v>
      </c>
      <c r="Y72" s="498"/>
      <c r="Z72" s="499"/>
      <c r="AA72" s="500">
        <v>3</v>
      </c>
      <c r="AB72" s="490"/>
      <c r="AC72" s="490"/>
      <c r="AD72" s="490"/>
      <c r="AE72" s="490"/>
      <c r="AF72" s="490"/>
      <c r="AG72" s="490"/>
      <c r="AH72" s="490"/>
      <c r="AI72" s="491"/>
      <c r="AJ72" s="492">
        <f t="shared" si="13"/>
        <v>3</v>
      </c>
      <c r="AK72" s="493">
        <f t="shared" si="14"/>
        <v>73</v>
      </c>
      <c r="AL72" s="494">
        <f t="shared" si="15"/>
        <v>1</v>
      </c>
    </row>
    <row r="73" spans="1:38" ht="33" customHeight="1" x14ac:dyDescent="0.45">
      <c r="A73" s="511">
        <v>23</v>
      </c>
      <c r="B73" s="508" t="s">
        <v>687</v>
      </c>
      <c r="C73" s="500"/>
      <c r="D73" s="490"/>
      <c r="E73" s="490"/>
      <c r="F73" s="490"/>
      <c r="G73" s="505"/>
      <c r="H73" s="506">
        <v>4</v>
      </c>
      <c r="I73" s="501">
        <v>4</v>
      </c>
      <c r="J73" s="501"/>
      <c r="K73" s="501"/>
      <c r="L73" s="501"/>
      <c r="M73" s="501"/>
      <c r="N73" s="501"/>
      <c r="O73" s="501"/>
      <c r="P73" s="502"/>
      <c r="Q73" s="510">
        <f t="shared" si="10"/>
        <v>8</v>
      </c>
      <c r="R73" s="493">
        <f t="shared" si="11"/>
        <v>239</v>
      </c>
      <c r="S73" s="494">
        <f t="shared" si="12"/>
        <v>2</v>
      </c>
      <c r="T73" s="507">
        <v>23</v>
      </c>
      <c r="U73" s="508" t="s">
        <v>730</v>
      </c>
      <c r="V73" s="500"/>
      <c r="W73" s="490" t="s">
        <v>193</v>
      </c>
      <c r="X73" s="490" t="s">
        <v>193</v>
      </c>
      <c r="Y73" s="490"/>
      <c r="Z73" s="505"/>
      <c r="AA73" s="506">
        <v>4</v>
      </c>
      <c r="AB73" s="501"/>
      <c r="AC73" s="501"/>
      <c r="AD73" s="501"/>
      <c r="AE73" s="501"/>
      <c r="AF73" s="501"/>
      <c r="AG73" s="501"/>
      <c r="AH73" s="501"/>
      <c r="AI73" s="502"/>
      <c r="AJ73" s="503">
        <f t="shared" si="13"/>
        <v>4</v>
      </c>
      <c r="AK73" s="493">
        <f t="shared" si="14"/>
        <v>77</v>
      </c>
      <c r="AL73" s="494">
        <f t="shared" si="15"/>
        <v>1</v>
      </c>
    </row>
    <row r="74" spans="1:38" ht="33" customHeight="1" x14ac:dyDescent="0.45">
      <c r="A74" s="497">
        <v>24</v>
      </c>
      <c r="B74" s="496" t="s">
        <v>701</v>
      </c>
      <c r="C74" s="497" t="s">
        <v>193</v>
      </c>
      <c r="D74" s="498" t="s">
        <v>193</v>
      </c>
      <c r="E74" s="498"/>
      <c r="F74" s="498"/>
      <c r="G74" s="499"/>
      <c r="H74" s="500">
        <v>5</v>
      </c>
      <c r="I74" s="490">
        <v>5</v>
      </c>
      <c r="J74" s="490"/>
      <c r="K74" s="490"/>
      <c r="L74" s="490"/>
      <c r="M74" s="490"/>
      <c r="N74" s="490"/>
      <c r="O74" s="490"/>
      <c r="P74" s="491"/>
      <c r="Q74" s="509">
        <f t="shared" si="10"/>
        <v>10</v>
      </c>
      <c r="R74" s="493">
        <f t="shared" si="11"/>
        <v>249</v>
      </c>
      <c r="S74" s="494">
        <f t="shared" si="12"/>
        <v>2</v>
      </c>
      <c r="T74" s="495">
        <v>24</v>
      </c>
      <c r="U74" s="496" t="s">
        <v>689</v>
      </c>
      <c r="V74" s="497"/>
      <c r="W74" s="498"/>
      <c r="X74" s="498"/>
      <c r="Y74" s="498"/>
      <c r="Z74" s="499"/>
      <c r="AA74" s="500">
        <v>0</v>
      </c>
      <c r="AB74" s="490"/>
      <c r="AC74" s="490"/>
      <c r="AD74" s="490"/>
      <c r="AE74" s="490"/>
      <c r="AF74" s="490"/>
      <c r="AG74" s="490"/>
      <c r="AH74" s="490"/>
      <c r="AI74" s="491"/>
      <c r="AJ74" s="492">
        <f t="shared" si="13"/>
        <v>0</v>
      </c>
      <c r="AK74" s="493">
        <f t="shared" si="14"/>
        <v>77</v>
      </c>
      <c r="AL74" s="494">
        <f t="shared" si="15"/>
        <v>1</v>
      </c>
    </row>
    <row r="75" spans="1:38" ht="33" customHeight="1" x14ac:dyDescent="0.45">
      <c r="A75" s="511" t="s">
        <v>761</v>
      </c>
      <c r="B75" s="508" t="s">
        <v>676</v>
      </c>
      <c r="C75" s="500"/>
      <c r="D75" s="490"/>
      <c r="E75" s="490"/>
      <c r="F75" s="490"/>
      <c r="G75" s="505"/>
      <c r="H75" s="506"/>
      <c r="I75" s="501"/>
      <c r="J75" s="501">
        <v>5</v>
      </c>
      <c r="K75" s="501">
        <v>5</v>
      </c>
      <c r="L75" s="501">
        <v>1</v>
      </c>
      <c r="M75" s="501"/>
      <c r="N75" s="501"/>
      <c r="O75" s="501"/>
      <c r="P75" s="502"/>
      <c r="Q75" s="510">
        <f t="shared" si="10"/>
        <v>11</v>
      </c>
      <c r="R75" s="493">
        <f t="shared" si="11"/>
        <v>260</v>
      </c>
      <c r="S75" s="494">
        <f t="shared" si="12"/>
        <v>3</v>
      </c>
      <c r="T75" s="507" t="s">
        <v>762</v>
      </c>
      <c r="U75" s="508"/>
      <c r="V75" s="500"/>
      <c r="W75" s="490"/>
      <c r="X75" s="490"/>
      <c r="Y75" s="490"/>
      <c r="Z75" s="505"/>
      <c r="AA75" s="506"/>
      <c r="AB75" s="501"/>
      <c r="AC75" s="501"/>
      <c r="AD75" s="501"/>
      <c r="AE75" s="501"/>
      <c r="AF75" s="501"/>
      <c r="AG75" s="501"/>
      <c r="AH75" s="501"/>
      <c r="AI75" s="502"/>
      <c r="AJ75" s="503">
        <f t="shared" si="13"/>
        <v>0</v>
      </c>
      <c r="AK75" s="493">
        <f t="shared" si="14"/>
        <v>77</v>
      </c>
      <c r="AL75" s="494">
        <f t="shared" si="15"/>
        <v>0</v>
      </c>
    </row>
    <row r="76" spans="1:38" ht="33" customHeight="1" x14ac:dyDescent="0.45">
      <c r="A76" s="497"/>
      <c r="B76" s="496"/>
      <c r="C76" s="497"/>
      <c r="D76" s="498"/>
      <c r="E76" s="498"/>
      <c r="F76" s="498"/>
      <c r="G76" s="499"/>
      <c r="H76" s="500"/>
      <c r="I76" s="490"/>
      <c r="J76" s="490"/>
      <c r="K76" s="490"/>
      <c r="L76" s="490"/>
      <c r="M76" s="490"/>
      <c r="N76" s="490"/>
      <c r="O76" s="490"/>
      <c r="P76" s="491"/>
      <c r="Q76" s="509" t="str">
        <f t="shared" si="10"/>
        <v/>
      </c>
      <c r="R76" s="493" t="str">
        <f t="shared" si="11"/>
        <v/>
      </c>
      <c r="S76" s="494">
        <f t="shared" si="12"/>
        <v>0</v>
      </c>
      <c r="T76" s="495"/>
      <c r="U76" s="496"/>
      <c r="V76" s="497"/>
      <c r="W76" s="498"/>
      <c r="X76" s="498"/>
      <c r="Y76" s="498"/>
      <c r="Z76" s="499"/>
      <c r="AA76" s="500"/>
      <c r="AB76" s="490"/>
      <c r="AC76" s="490"/>
      <c r="AD76" s="490"/>
      <c r="AE76" s="490"/>
      <c r="AF76" s="490"/>
      <c r="AG76" s="490"/>
      <c r="AH76" s="490"/>
      <c r="AI76" s="491"/>
      <c r="AJ76" s="492" t="str">
        <f t="shared" si="13"/>
        <v/>
      </c>
      <c r="AK76" s="493" t="str">
        <f t="shared" si="14"/>
        <v/>
      </c>
      <c r="AL76" s="494">
        <f t="shared" si="15"/>
        <v>0</v>
      </c>
    </row>
    <row r="77" spans="1:38" ht="33" customHeight="1" x14ac:dyDescent="0.45">
      <c r="A77" s="511"/>
      <c r="B77" s="508"/>
      <c r="C77" s="500"/>
      <c r="D77" s="490"/>
      <c r="E77" s="490"/>
      <c r="F77" s="490"/>
      <c r="G77" s="505"/>
      <c r="H77" s="506"/>
      <c r="I77" s="501"/>
      <c r="J77" s="501"/>
      <c r="K77" s="501"/>
      <c r="L77" s="501"/>
      <c r="M77" s="501"/>
      <c r="N77" s="501"/>
      <c r="O77" s="501"/>
      <c r="P77" s="502"/>
      <c r="Q77" s="510" t="str">
        <f t="shared" si="10"/>
        <v/>
      </c>
      <c r="R77" s="493" t="str">
        <f t="shared" si="11"/>
        <v/>
      </c>
      <c r="S77" s="494">
        <f t="shared" si="12"/>
        <v>0</v>
      </c>
      <c r="T77" s="507"/>
      <c r="U77" s="508"/>
      <c r="V77" s="500"/>
      <c r="W77" s="490"/>
      <c r="X77" s="490"/>
      <c r="Y77" s="490"/>
      <c r="Z77" s="505"/>
      <c r="AA77" s="506"/>
      <c r="AB77" s="501"/>
      <c r="AC77" s="501"/>
      <c r="AD77" s="501"/>
      <c r="AE77" s="501"/>
      <c r="AF77" s="501"/>
      <c r="AG77" s="501"/>
      <c r="AH77" s="501"/>
      <c r="AI77" s="502"/>
      <c r="AJ77" s="503" t="str">
        <f t="shared" si="13"/>
        <v/>
      </c>
      <c r="AK77" s="493" t="str">
        <f t="shared" si="14"/>
        <v/>
      </c>
      <c r="AL77" s="494">
        <f t="shared" si="15"/>
        <v>0</v>
      </c>
    </row>
    <row r="78" spans="1:38" ht="33" customHeight="1" x14ac:dyDescent="0.45">
      <c r="A78" s="497"/>
      <c r="B78" s="496"/>
      <c r="C78" s="497"/>
      <c r="D78" s="498"/>
      <c r="E78" s="498"/>
      <c r="F78" s="498"/>
      <c r="G78" s="499"/>
      <c r="H78" s="500"/>
      <c r="I78" s="490"/>
      <c r="J78" s="490"/>
      <c r="K78" s="490"/>
      <c r="L78" s="490"/>
      <c r="M78" s="490"/>
      <c r="N78" s="490"/>
      <c r="O78" s="490"/>
      <c r="P78" s="491"/>
      <c r="Q78" s="509" t="str">
        <f t="shared" si="10"/>
        <v/>
      </c>
      <c r="R78" s="493" t="str">
        <f t="shared" si="11"/>
        <v/>
      </c>
      <c r="S78" s="494">
        <f t="shared" si="12"/>
        <v>0</v>
      </c>
      <c r="T78" s="495"/>
      <c r="U78" s="496"/>
      <c r="V78" s="497"/>
      <c r="W78" s="498"/>
      <c r="X78" s="498"/>
      <c r="Y78" s="498"/>
      <c r="Z78" s="499"/>
      <c r="AA78" s="500"/>
      <c r="AB78" s="490"/>
      <c r="AC78" s="490"/>
      <c r="AD78" s="490"/>
      <c r="AE78" s="490"/>
      <c r="AF78" s="490"/>
      <c r="AG78" s="490"/>
      <c r="AH78" s="490"/>
      <c r="AI78" s="491"/>
      <c r="AJ78" s="492" t="str">
        <f t="shared" si="13"/>
        <v/>
      </c>
      <c r="AK78" s="493" t="str">
        <f t="shared" si="14"/>
        <v/>
      </c>
      <c r="AL78" s="494">
        <f t="shared" si="15"/>
        <v>0</v>
      </c>
    </row>
    <row r="79" spans="1:38" ht="33" customHeight="1" x14ac:dyDescent="0.45">
      <c r="A79" s="511"/>
      <c r="B79" s="508"/>
      <c r="C79" s="500"/>
      <c r="D79" s="490"/>
      <c r="E79" s="490"/>
      <c r="F79" s="490"/>
      <c r="G79" s="505"/>
      <c r="H79" s="506"/>
      <c r="I79" s="501"/>
      <c r="J79" s="501"/>
      <c r="K79" s="501"/>
      <c r="L79" s="501"/>
      <c r="M79" s="501"/>
      <c r="N79" s="501"/>
      <c r="O79" s="501"/>
      <c r="P79" s="502"/>
      <c r="Q79" s="510" t="str">
        <f t="shared" si="10"/>
        <v/>
      </c>
      <c r="R79" s="493" t="str">
        <f t="shared" si="11"/>
        <v/>
      </c>
      <c r="S79" s="494">
        <f t="shared" si="12"/>
        <v>0</v>
      </c>
      <c r="T79" s="507"/>
      <c r="U79" s="508"/>
      <c r="V79" s="500"/>
      <c r="W79" s="490"/>
      <c r="X79" s="490"/>
      <c r="Y79" s="490"/>
      <c r="Z79" s="505"/>
      <c r="AA79" s="506"/>
      <c r="AB79" s="501"/>
      <c r="AC79" s="501"/>
      <c r="AD79" s="501"/>
      <c r="AE79" s="501"/>
      <c r="AF79" s="501"/>
      <c r="AG79" s="501"/>
      <c r="AH79" s="501"/>
      <c r="AI79" s="502"/>
      <c r="AJ79" s="503" t="str">
        <f t="shared" si="13"/>
        <v/>
      </c>
      <c r="AK79" s="493" t="str">
        <f t="shared" si="14"/>
        <v/>
      </c>
      <c r="AL79" s="494">
        <f t="shared" si="15"/>
        <v>0</v>
      </c>
    </row>
    <row r="80" spans="1:38" ht="33" customHeight="1" x14ac:dyDescent="0.45">
      <c r="A80" s="497"/>
      <c r="B80" s="496"/>
      <c r="C80" s="497"/>
      <c r="D80" s="498"/>
      <c r="E80" s="498"/>
      <c r="F80" s="498"/>
      <c r="G80" s="499"/>
      <c r="H80" s="500"/>
      <c r="I80" s="490"/>
      <c r="J80" s="490"/>
      <c r="K80" s="490"/>
      <c r="L80" s="490"/>
      <c r="M80" s="490"/>
      <c r="N80" s="490"/>
      <c r="O80" s="490"/>
      <c r="P80" s="491"/>
      <c r="Q80" s="509" t="str">
        <f t="shared" si="10"/>
        <v/>
      </c>
      <c r="R80" s="493" t="str">
        <f t="shared" si="11"/>
        <v/>
      </c>
      <c r="S80" s="494">
        <f t="shared" si="12"/>
        <v>0</v>
      </c>
      <c r="T80" s="495"/>
      <c r="U80" s="496"/>
      <c r="V80" s="497"/>
      <c r="W80" s="498"/>
      <c r="X80" s="498"/>
      <c r="Y80" s="498"/>
      <c r="Z80" s="499"/>
      <c r="AA80" s="500"/>
      <c r="AB80" s="490"/>
      <c r="AC80" s="490"/>
      <c r="AD80" s="490"/>
      <c r="AE80" s="490"/>
      <c r="AF80" s="490"/>
      <c r="AG80" s="490"/>
      <c r="AH80" s="490"/>
      <c r="AI80" s="491"/>
      <c r="AJ80" s="492" t="str">
        <f t="shared" si="13"/>
        <v/>
      </c>
      <c r="AK80" s="493" t="str">
        <f t="shared" si="14"/>
        <v/>
      </c>
      <c r="AL80" s="494">
        <f t="shared" si="15"/>
        <v>0</v>
      </c>
    </row>
    <row r="81" spans="1:39" ht="33" customHeight="1" x14ac:dyDescent="0.45">
      <c r="A81" s="511"/>
      <c r="B81" s="508"/>
      <c r="C81" s="500"/>
      <c r="D81" s="490"/>
      <c r="E81" s="490"/>
      <c r="F81" s="490"/>
      <c r="G81" s="505"/>
      <c r="H81" s="506"/>
      <c r="I81" s="501"/>
      <c r="J81" s="501"/>
      <c r="K81" s="501"/>
      <c r="L81" s="501"/>
      <c r="M81" s="501"/>
      <c r="N81" s="501"/>
      <c r="O81" s="501"/>
      <c r="P81" s="502"/>
      <c r="Q81" s="510" t="str">
        <f t="shared" si="10"/>
        <v/>
      </c>
      <c r="R81" s="493" t="str">
        <f t="shared" si="11"/>
        <v/>
      </c>
      <c r="S81" s="494">
        <f t="shared" si="12"/>
        <v>0</v>
      </c>
      <c r="T81" s="507"/>
      <c r="U81" s="508"/>
      <c r="V81" s="500"/>
      <c r="W81" s="490"/>
      <c r="X81" s="490"/>
      <c r="Y81" s="490"/>
      <c r="Z81" s="505"/>
      <c r="AA81" s="506"/>
      <c r="AB81" s="501"/>
      <c r="AC81" s="501"/>
      <c r="AD81" s="501"/>
      <c r="AE81" s="501"/>
      <c r="AF81" s="501"/>
      <c r="AG81" s="501"/>
      <c r="AH81" s="501"/>
      <c r="AI81" s="502"/>
      <c r="AJ81" s="503" t="str">
        <f t="shared" si="13"/>
        <v/>
      </c>
      <c r="AK81" s="493" t="str">
        <f t="shared" si="14"/>
        <v/>
      </c>
      <c r="AL81" s="494">
        <f t="shared" si="15"/>
        <v>0</v>
      </c>
    </row>
    <row r="82" spans="1:39" ht="33" customHeight="1" x14ac:dyDescent="0.45">
      <c r="A82" s="497"/>
      <c r="B82" s="496"/>
      <c r="C82" s="497"/>
      <c r="D82" s="498"/>
      <c r="E82" s="498"/>
      <c r="F82" s="498"/>
      <c r="G82" s="499"/>
      <c r="H82" s="500"/>
      <c r="I82" s="490"/>
      <c r="J82" s="490"/>
      <c r="K82" s="490"/>
      <c r="L82" s="490"/>
      <c r="M82" s="490"/>
      <c r="N82" s="490"/>
      <c r="O82" s="490"/>
      <c r="P82" s="491"/>
      <c r="Q82" s="509" t="str">
        <f t="shared" si="10"/>
        <v/>
      </c>
      <c r="R82" s="493" t="str">
        <f t="shared" si="11"/>
        <v/>
      </c>
      <c r="S82" s="494">
        <f t="shared" si="12"/>
        <v>0</v>
      </c>
      <c r="T82" s="495"/>
      <c r="U82" s="496"/>
      <c r="V82" s="497"/>
      <c r="W82" s="498"/>
      <c r="X82" s="498"/>
      <c r="Y82" s="498"/>
      <c r="Z82" s="499"/>
      <c r="AA82" s="500"/>
      <c r="AB82" s="490"/>
      <c r="AC82" s="490"/>
      <c r="AD82" s="490"/>
      <c r="AE82" s="490"/>
      <c r="AF82" s="490"/>
      <c r="AG82" s="490"/>
      <c r="AH82" s="490"/>
      <c r="AI82" s="491"/>
      <c r="AJ82" s="492" t="str">
        <f t="shared" si="13"/>
        <v/>
      </c>
      <c r="AK82" s="493" t="str">
        <f t="shared" si="14"/>
        <v/>
      </c>
      <c r="AL82" s="494">
        <f t="shared" si="15"/>
        <v>0</v>
      </c>
    </row>
    <row r="83" spans="1:39" ht="33" customHeight="1" x14ac:dyDescent="0.45">
      <c r="A83" s="511"/>
      <c r="B83" s="508"/>
      <c r="C83" s="500"/>
      <c r="D83" s="490"/>
      <c r="E83" s="490"/>
      <c r="F83" s="490"/>
      <c r="G83" s="505"/>
      <c r="H83" s="506"/>
      <c r="I83" s="501"/>
      <c r="J83" s="501"/>
      <c r="K83" s="501"/>
      <c r="L83" s="501"/>
      <c r="M83" s="501"/>
      <c r="N83" s="501"/>
      <c r="O83" s="501"/>
      <c r="P83" s="502"/>
      <c r="Q83" s="510" t="str">
        <f t="shared" si="10"/>
        <v/>
      </c>
      <c r="R83" s="493" t="str">
        <f t="shared" si="11"/>
        <v/>
      </c>
      <c r="S83" s="494">
        <f t="shared" si="12"/>
        <v>0</v>
      </c>
      <c r="T83" s="507"/>
      <c r="U83" s="508"/>
      <c r="V83" s="500"/>
      <c r="W83" s="490"/>
      <c r="X83" s="490"/>
      <c r="Y83" s="490"/>
      <c r="Z83" s="505"/>
      <c r="AA83" s="506"/>
      <c r="AB83" s="501"/>
      <c r="AC83" s="501"/>
      <c r="AD83" s="501"/>
      <c r="AE83" s="501"/>
      <c r="AF83" s="501"/>
      <c r="AG83" s="501"/>
      <c r="AH83" s="501"/>
      <c r="AI83" s="502"/>
      <c r="AJ83" s="503" t="str">
        <f t="shared" si="13"/>
        <v/>
      </c>
      <c r="AK83" s="493" t="str">
        <f t="shared" si="14"/>
        <v/>
      </c>
      <c r="AL83" s="494">
        <f t="shared" si="15"/>
        <v>0</v>
      </c>
    </row>
    <row r="84" spans="1:39" ht="33" customHeight="1" x14ac:dyDescent="0.45">
      <c r="A84" s="497"/>
      <c r="B84" s="496"/>
      <c r="C84" s="497"/>
      <c r="D84" s="498"/>
      <c r="E84" s="498"/>
      <c r="F84" s="498"/>
      <c r="G84" s="499"/>
      <c r="H84" s="500"/>
      <c r="I84" s="490"/>
      <c r="J84" s="490"/>
      <c r="K84" s="490"/>
      <c r="L84" s="490"/>
      <c r="M84" s="490"/>
      <c r="N84" s="490"/>
      <c r="O84" s="490"/>
      <c r="P84" s="491"/>
      <c r="Q84" s="509" t="str">
        <f t="shared" si="10"/>
        <v/>
      </c>
      <c r="R84" s="493" t="str">
        <f t="shared" si="11"/>
        <v/>
      </c>
      <c r="S84" s="494">
        <f t="shared" si="12"/>
        <v>0</v>
      </c>
      <c r="T84" s="495"/>
      <c r="U84" s="496"/>
      <c r="V84" s="497"/>
      <c r="W84" s="498"/>
      <c r="X84" s="498"/>
      <c r="Y84" s="498"/>
      <c r="Z84" s="499"/>
      <c r="AA84" s="500"/>
      <c r="AB84" s="490"/>
      <c r="AC84" s="490"/>
      <c r="AD84" s="490"/>
      <c r="AE84" s="490"/>
      <c r="AF84" s="490"/>
      <c r="AG84" s="490"/>
      <c r="AH84" s="490"/>
      <c r="AI84" s="491"/>
      <c r="AJ84" s="492" t="str">
        <f t="shared" si="13"/>
        <v/>
      </c>
      <c r="AK84" s="493" t="str">
        <f t="shared" si="14"/>
        <v/>
      </c>
      <c r="AL84" s="494">
        <f t="shared" si="15"/>
        <v>0</v>
      </c>
    </row>
    <row r="85" spans="1:39" ht="33" customHeight="1" x14ac:dyDescent="0.45">
      <c r="A85" s="511"/>
      <c r="B85" s="508"/>
      <c r="C85" s="500"/>
      <c r="D85" s="490"/>
      <c r="E85" s="490"/>
      <c r="F85" s="490"/>
      <c r="G85" s="505"/>
      <c r="H85" s="506"/>
      <c r="I85" s="501"/>
      <c r="J85" s="501"/>
      <c r="K85" s="501"/>
      <c r="L85" s="501"/>
      <c r="M85" s="501"/>
      <c r="N85" s="501"/>
      <c r="O85" s="501"/>
      <c r="P85" s="502"/>
      <c r="Q85" s="510" t="str">
        <f t="shared" si="10"/>
        <v/>
      </c>
      <c r="R85" s="493" t="str">
        <f t="shared" si="11"/>
        <v/>
      </c>
      <c r="S85" s="494">
        <f t="shared" si="12"/>
        <v>0</v>
      </c>
      <c r="T85" s="507"/>
      <c r="U85" s="508"/>
      <c r="V85" s="500"/>
      <c r="W85" s="490"/>
      <c r="X85" s="490"/>
      <c r="Y85" s="490"/>
      <c r="Z85" s="505"/>
      <c r="AA85" s="506"/>
      <c r="AB85" s="501"/>
      <c r="AC85" s="501"/>
      <c r="AD85" s="501"/>
      <c r="AE85" s="501"/>
      <c r="AF85" s="501"/>
      <c r="AG85" s="501"/>
      <c r="AH85" s="501"/>
      <c r="AI85" s="502"/>
      <c r="AJ85" s="503" t="str">
        <f t="shared" si="13"/>
        <v/>
      </c>
      <c r="AK85" s="493" t="str">
        <f t="shared" si="14"/>
        <v/>
      </c>
      <c r="AL85" s="494">
        <f t="shared" si="15"/>
        <v>0</v>
      </c>
    </row>
    <row r="86" spans="1:39" ht="33" customHeight="1" x14ac:dyDescent="0.45">
      <c r="A86" s="497"/>
      <c r="B86" s="496"/>
      <c r="C86" s="497"/>
      <c r="D86" s="498"/>
      <c r="E86" s="498"/>
      <c r="F86" s="498"/>
      <c r="G86" s="499"/>
      <c r="H86" s="500"/>
      <c r="I86" s="490"/>
      <c r="J86" s="490"/>
      <c r="K86" s="490"/>
      <c r="L86" s="490"/>
      <c r="M86" s="490"/>
      <c r="N86" s="490"/>
      <c r="O86" s="490"/>
      <c r="P86" s="491"/>
      <c r="Q86" s="509" t="str">
        <f t="shared" si="10"/>
        <v/>
      </c>
      <c r="R86" s="493" t="str">
        <f t="shared" si="11"/>
        <v/>
      </c>
      <c r="S86" s="494">
        <f t="shared" si="12"/>
        <v>0</v>
      </c>
      <c r="T86" s="495"/>
      <c r="U86" s="496"/>
      <c r="V86" s="497"/>
      <c r="W86" s="498"/>
      <c r="X86" s="498"/>
      <c r="Y86" s="498"/>
      <c r="Z86" s="499"/>
      <c r="AA86" s="500"/>
      <c r="AB86" s="490"/>
      <c r="AC86" s="490"/>
      <c r="AD86" s="490"/>
      <c r="AE86" s="490"/>
      <c r="AF86" s="490"/>
      <c r="AG86" s="490"/>
      <c r="AH86" s="490"/>
      <c r="AI86" s="491"/>
      <c r="AJ86" s="492" t="str">
        <f t="shared" si="13"/>
        <v/>
      </c>
      <c r="AK86" s="493" t="str">
        <f t="shared" si="14"/>
        <v/>
      </c>
      <c r="AL86" s="494">
        <f t="shared" si="15"/>
        <v>0</v>
      </c>
    </row>
    <row r="87" spans="1:39" ht="33" customHeight="1" x14ac:dyDescent="0.45">
      <c r="A87" s="511"/>
      <c r="B87" s="508"/>
      <c r="C87" s="500"/>
      <c r="D87" s="490"/>
      <c r="E87" s="490"/>
      <c r="F87" s="490"/>
      <c r="G87" s="505"/>
      <c r="H87" s="506"/>
      <c r="I87" s="501"/>
      <c r="J87" s="501"/>
      <c r="K87" s="501"/>
      <c r="L87" s="501"/>
      <c r="M87" s="501"/>
      <c r="N87" s="501"/>
      <c r="O87" s="501"/>
      <c r="P87" s="502"/>
      <c r="Q87" s="510" t="str">
        <f t="shared" si="10"/>
        <v/>
      </c>
      <c r="R87" s="493" t="str">
        <f t="shared" si="11"/>
        <v/>
      </c>
      <c r="S87" s="494">
        <f t="shared" si="12"/>
        <v>0</v>
      </c>
      <c r="T87" s="507"/>
      <c r="U87" s="508"/>
      <c r="V87" s="500"/>
      <c r="W87" s="490"/>
      <c r="X87" s="490"/>
      <c r="Y87" s="490"/>
      <c r="Z87" s="505"/>
      <c r="AA87" s="506"/>
      <c r="AB87" s="501"/>
      <c r="AC87" s="501"/>
      <c r="AD87" s="501"/>
      <c r="AE87" s="501"/>
      <c r="AF87" s="501"/>
      <c r="AG87" s="501"/>
      <c r="AH87" s="501"/>
      <c r="AI87" s="502"/>
      <c r="AJ87" s="503" t="str">
        <f t="shared" si="13"/>
        <v/>
      </c>
      <c r="AK87" s="493" t="str">
        <f t="shared" si="14"/>
        <v/>
      </c>
      <c r="AL87" s="494">
        <f t="shared" si="15"/>
        <v>0</v>
      </c>
    </row>
    <row r="88" spans="1:39" ht="33" customHeight="1" thickBot="1" x14ac:dyDescent="0.5">
      <c r="A88" s="497"/>
      <c r="B88" s="496"/>
      <c r="C88" s="555"/>
      <c r="D88" s="559"/>
      <c r="E88" s="559"/>
      <c r="F88" s="559"/>
      <c r="G88" s="560"/>
      <c r="H88" s="500"/>
      <c r="I88" s="490"/>
      <c r="J88" s="490"/>
      <c r="K88" s="490"/>
      <c r="L88" s="490"/>
      <c r="M88" s="490"/>
      <c r="N88" s="490"/>
      <c r="O88" s="490"/>
      <c r="P88" s="491"/>
      <c r="Q88" s="509" t="str">
        <f t="shared" si="10"/>
        <v/>
      </c>
      <c r="R88" s="493" t="str">
        <f t="shared" si="11"/>
        <v/>
      </c>
      <c r="S88" s="494">
        <f t="shared" si="12"/>
        <v>0</v>
      </c>
      <c r="T88" s="562"/>
      <c r="U88" s="558"/>
      <c r="V88" s="555"/>
      <c r="W88" s="559"/>
      <c r="X88" s="559"/>
      <c r="Y88" s="559"/>
      <c r="Z88" s="560"/>
      <c r="AA88" s="556"/>
      <c r="AB88" s="554"/>
      <c r="AC88" s="554"/>
      <c r="AD88" s="554"/>
      <c r="AE88" s="554"/>
      <c r="AF88" s="554"/>
      <c r="AG88" s="554"/>
      <c r="AH88" s="554"/>
      <c r="AI88" s="563"/>
      <c r="AJ88" s="557" t="str">
        <f t="shared" si="13"/>
        <v/>
      </c>
      <c r="AK88" s="561" t="str">
        <f t="shared" si="14"/>
        <v/>
      </c>
      <c r="AL88" s="494">
        <f t="shared" si="15"/>
        <v>0</v>
      </c>
    </row>
    <row r="89" spans="1:39" ht="28.5" customHeight="1" thickBot="1" x14ac:dyDescent="0.5">
      <c r="A89" s="642">
        <f>IF(COUNT(A51:A88),COUNT(A51:A88),"")</f>
        <v>24</v>
      </c>
      <c r="B89" s="540" t="s">
        <v>186</v>
      </c>
      <c r="C89" s="637">
        <f t="shared" ref="C89:F89" si="16">IF($A$89="","",COUNTIF(C$51:C$88, "X"))</f>
        <v>3</v>
      </c>
      <c r="D89" s="638">
        <f t="shared" si="16"/>
        <v>15</v>
      </c>
      <c r="E89" s="638">
        <f t="shared" si="16"/>
        <v>14</v>
      </c>
      <c r="F89" s="638">
        <f t="shared" si="16"/>
        <v>0</v>
      </c>
      <c r="G89" s="639">
        <f>IF($A$89="","",COUNTIF(G$51:G$88, "X"))</f>
        <v>1</v>
      </c>
      <c r="H89" s="539">
        <f t="shared" ref="H89:Q89" si="17">IF(COUNT(H51:H88),SUM(H51:H88),"")</f>
        <v>65</v>
      </c>
      <c r="I89" s="536">
        <f t="shared" si="17"/>
        <v>32</v>
      </c>
      <c r="J89" s="536">
        <f t="shared" si="17"/>
        <v>20</v>
      </c>
      <c r="K89" s="536">
        <f t="shared" si="17"/>
        <v>20</v>
      </c>
      <c r="L89" s="536">
        <f t="shared" si="17"/>
        <v>16</v>
      </c>
      <c r="M89" s="536">
        <f t="shared" si="17"/>
        <v>3</v>
      </c>
      <c r="N89" s="536" t="str">
        <f t="shared" si="17"/>
        <v/>
      </c>
      <c r="O89" s="536" t="str">
        <f t="shared" si="17"/>
        <v/>
      </c>
      <c r="P89" s="537" t="str">
        <f t="shared" si="17"/>
        <v/>
      </c>
      <c r="Q89" s="543">
        <f t="shared" si="17"/>
        <v>156</v>
      </c>
      <c r="R89" s="544">
        <f>IF(A89="","",MAX(R51:R88))</f>
        <v>260</v>
      </c>
      <c r="S89" s="541"/>
      <c r="T89" s="656">
        <f>IF(COUNT(T51:T88),COUNT(T51:T88),"")</f>
        <v>24</v>
      </c>
      <c r="U89" s="657" t="s">
        <v>186</v>
      </c>
      <c r="V89" s="644">
        <f t="shared" ref="V89:Y89" si="18">IF($T$89="","",COUNTIF(V$51:V$88, "X"))</f>
        <v>1</v>
      </c>
      <c r="W89" s="638">
        <f t="shared" si="18"/>
        <v>9</v>
      </c>
      <c r="X89" s="638">
        <f t="shared" si="18"/>
        <v>7</v>
      </c>
      <c r="Y89" s="638">
        <f t="shared" si="18"/>
        <v>0</v>
      </c>
      <c r="Z89" s="638">
        <f>IF($T$89="","",COUNTIF(Z$51:Z$88, "X"))</f>
        <v>5</v>
      </c>
      <c r="AA89" s="652">
        <f>IF(COUNT(AA51:AA88),SUM(AA51:AA88),"")</f>
        <v>21</v>
      </c>
      <c r="AB89" s="646">
        <f>IF(COUNT(AB51:AB88),SUM(AB51:AB88),"")</f>
        <v>5</v>
      </c>
      <c r="AC89" s="646" t="str">
        <f>IF(COUNT(AC51:AC88),SUM(AC51:AC88),"")</f>
        <v/>
      </c>
      <c r="AD89" s="646" t="str">
        <f>IF(COUNT(AD51:AD88),SUM(AD51:AD88),"")</f>
        <v/>
      </c>
      <c r="AE89" s="646" t="str">
        <f>IF(COUNT(AE51:AE88),SUM(AE51:AE88),"")</f>
        <v/>
      </c>
      <c r="AF89" s="646" t="str">
        <f t="shared" ref="AF89:AG89" si="19">IF(COUNT(AF51:AF88),SUM(AF51:AF88),"")</f>
        <v/>
      </c>
      <c r="AG89" s="646" t="str">
        <f t="shared" si="19"/>
        <v/>
      </c>
      <c r="AH89" s="646" t="str">
        <f>IF(COUNT(AH51:AH88),SUM(AH51:AH88),"")</f>
        <v/>
      </c>
      <c r="AI89" s="658" t="str">
        <f>IF(COUNT(AI51:AI88),SUM(AI51:AI88),"")</f>
        <v/>
      </c>
      <c r="AJ89" s="659">
        <f>IF(COUNT(AJ51:AJ88),SUM(AJ51:AJ88),"")</f>
        <v>26</v>
      </c>
      <c r="AK89" s="650">
        <f>IF(T89="","",MAX(AK51:AK88))</f>
        <v>77</v>
      </c>
      <c r="AL89" s="538"/>
    </row>
    <row r="90" spans="1:39" ht="12" customHeight="1" x14ac:dyDescent="0.3">
      <c r="A90" s="992" t="s">
        <v>634</v>
      </c>
      <c r="B90" s="993"/>
      <c r="C90" s="993"/>
      <c r="D90" s="993"/>
      <c r="E90" s="993"/>
      <c r="F90" s="993"/>
      <c r="G90" s="993"/>
      <c r="H90" s="993"/>
      <c r="I90" s="993"/>
      <c r="J90" s="993"/>
      <c r="K90" s="993"/>
      <c r="L90" s="993"/>
      <c r="M90" s="993"/>
      <c r="N90" s="993"/>
      <c r="O90" s="993"/>
      <c r="P90" s="993"/>
      <c r="Q90" s="993"/>
      <c r="R90" s="994"/>
      <c r="S90" s="14"/>
      <c r="T90" s="992" t="s">
        <v>634</v>
      </c>
      <c r="U90" s="993"/>
      <c r="V90" s="993"/>
      <c r="W90" s="993"/>
      <c r="X90" s="993"/>
      <c r="Y90" s="993"/>
      <c r="Z90" s="993"/>
      <c r="AA90" s="993"/>
      <c r="AB90" s="993"/>
      <c r="AC90" s="993"/>
      <c r="AD90" s="993"/>
      <c r="AE90" s="993"/>
      <c r="AF90" s="993"/>
      <c r="AG90" s="993"/>
      <c r="AH90" s="993"/>
      <c r="AI90" s="993"/>
      <c r="AJ90" s="993"/>
      <c r="AK90" s="994"/>
      <c r="AL90" s="8"/>
      <c r="AM90" s="8"/>
    </row>
    <row r="91" spans="1:39" ht="12" customHeight="1" x14ac:dyDescent="0.3">
      <c r="A91" s="995" t="s">
        <v>626</v>
      </c>
      <c r="B91" s="996"/>
      <c r="C91" s="996"/>
      <c r="D91" s="996"/>
      <c r="E91" s="996"/>
      <c r="F91" s="996"/>
      <c r="G91" s="996"/>
      <c r="H91" s="996"/>
      <c r="I91" s="996"/>
      <c r="J91" s="996"/>
      <c r="K91" s="996"/>
      <c r="L91" s="996"/>
      <c r="M91" s="996"/>
      <c r="N91" s="996"/>
      <c r="O91" s="996"/>
      <c r="P91" s="996"/>
      <c r="Q91" s="996"/>
      <c r="R91" s="997"/>
      <c r="S91" s="7"/>
      <c r="T91" s="995" t="s">
        <v>626</v>
      </c>
      <c r="U91" s="996"/>
      <c r="V91" s="996"/>
      <c r="W91" s="996"/>
      <c r="X91" s="996"/>
      <c r="Y91" s="996"/>
      <c r="Z91" s="996"/>
      <c r="AA91" s="996"/>
      <c r="AB91" s="996"/>
      <c r="AC91" s="996"/>
      <c r="AD91" s="996"/>
      <c r="AE91" s="996"/>
      <c r="AF91" s="996"/>
      <c r="AG91" s="996"/>
      <c r="AH91" s="996"/>
      <c r="AI91" s="996"/>
      <c r="AJ91" s="996"/>
      <c r="AK91" s="997"/>
      <c r="AL91" s="8"/>
      <c r="AM91" s="8"/>
    </row>
    <row r="92" spans="1:39" ht="12" customHeight="1" x14ac:dyDescent="0.3">
      <c r="A92" s="1001" t="s">
        <v>625</v>
      </c>
      <c r="B92" s="1002"/>
      <c r="C92" s="1002"/>
      <c r="D92" s="1002"/>
      <c r="E92" s="1002"/>
      <c r="F92" s="1002"/>
      <c r="G92" s="1002"/>
      <c r="H92" s="1002"/>
      <c r="I92" s="1002"/>
      <c r="J92" s="1002"/>
      <c r="K92" s="1002"/>
      <c r="L92" s="1002"/>
      <c r="M92" s="1002"/>
      <c r="N92" s="1002"/>
      <c r="O92" s="1002"/>
      <c r="P92" s="1002"/>
      <c r="Q92" s="1002"/>
      <c r="R92" s="1003"/>
      <c r="S92" s="7"/>
      <c r="T92" s="1001" t="s">
        <v>625</v>
      </c>
      <c r="U92" s="1002"/>
      <c r="V92" s="1002"/>
      <c r="W92" s="1002"/>
      <c r="X92" s="1002"/>
      <c r="Y92" s="1002"/>
      <c r="Z92" s="1002"/>
      <c r="AA92" s="1002"/>
      <c r="AB92" s="1002"/>
      <c r="AC92" s="1002"/>
      <c r="AD92" s="1002"/>
      <c r="AE92" s="1002"/>
      <c r="AF92" s="1002"/>
      <c r="AG92" s="1002"/>
      <c r="AH92" s="1002"/>
      <c r="AI92" s="1002"/>
      <c r="AJ92" s="1002"/>
      <c r="AK92" s="1003"/>
      <c r="AL92" s="8"/>
      <c r="AM92" s="8"/>
    </row>
    <row r="93" spans="1:39" ht="12" customHeight="1" x14ac:dyDescent="0.3">
      <c r="A93" s="1001" t="s">
        <v>618</v>
      </c>
      <c r="B93" s="1002"/>
      <c r="C93" s="1002"/>
      <c r="D93" s="1002"/>
      <c r="E93" s="1002"/>
      <c r="F93" s="1002"/>
      <c r="G93" s="1002"/>
      <c r="H93" s="1002"/>
      <c r="I93" s="1002"/>
      <c r="J93" s="1002"/>
      <c r="K93" s="1002"/>
      <c r="L93" s="1002"/>
      <c r="M93" s="1002"/>
      <c r="N93" s="1002"/>
      <c r="O93" s="1002"/>
      <c r="P93" s="1002"/>
      <c r="Q93" s="1002"/>
      <c r="R93" s="1003"/>
      <c r="S93" s="9"/>
      <c r="T93" s="1001" t="s">
        <v>618</v>
      </c>
      <c r="U93" s="1002"/>
      <c r="V93" s="1002"/>
      <c r="W93" s="1002"/>
      <c r="X93" s="1002"/>
      <c r="Y93" s="1002"/>
      <c r="Z93" s="1002"/>
      <c r="AA93" s="1002"/>
      <c r="AB93" s="1002"/>
      <c r="AC93" s="1002"/>
      <c r="AD93" s="1002"/>
      <c r="AE93" s="1002"/>
      <c r="AF93" s="1002"/>
      <c r="AG93" s="1002"/>
      <c r="AH93" s="1002"/>
      <c r="AI93" s="1002"/>
      <c r="AJ93" s="1002"/>
      <c r="AK93" s="1003"/>
      <c r="AL93" s="8"/>
      <c r="AM93" s="8"/>
    </row>
    <row r="94" spans="1:39" ht="12" customHeight="1" thickBot="1" x14ac:dyDescent="0.35">
      <c r="A94" s="998" t="s">
        <v>353</v>
      </c>
      <c r="B94" s="999"/>
      <c r="C94" s="999"/>
      <c r="D94" s="999"/>
      <c r="E94" s="999"/>
      <c r="F94" s="999"/>
      <c r="G94" s="999"/>
      <c r="H94" s="999"/>
      <c r="I94" s="999"/>
      <c r="J94" s="999"/>
      <c r="K94" s="999"/>
      <c r="L94" s="999"/>
      <c r="M94" s="999"/>
      <c r="N94" s="999"/>
      <c r="O94" s="999"/>
      <c r="P94" s="999"/>
      <c r="Q94" s="999"/>
      <c r="R94" s="1000"/>
      <c r="S94" s="10"/>
      <c r="T94" s="998" t="s">
        <v>353</v>
      </c>
      <c r="U94" s="999"/>
      <c r="V94" s="999"/>
      <c r="W94" s="999"/>
      <c r="X94" s="999"/>
      <c r="Y94" s="999"/>
      <c r="Z94" s="999"/>
      <c r="AA94" s="999"/>
      <c r="AB94" s="999"/>
      <c r="AC94" s="999"/>
      <c r="AD94" s="999"/>
      <c r="AE94" s="999"/>
      <c r="AF94" s="999"/>
      <c r="AG94" s="999"/>
      <c r="AH94" s="999"/>
      <c r="AI94" s="999"/>
      <c r="AJ94" s="999"/>
      <c r="AK94" s="1000"/>
      <c r="AL94" s="8"/>
      <c r="AM94" s="8"/>
    </row>
  </sheetData>
  <mergeCells count="48">
    <mergeCell ref="A94:R94"/>
    <mergeCell ref="T94:AK94"/>
    <mergeCell ref="A91:R91"/>
    <mergeCell ref="T91:AK91"/>
    <mergeCell ref="A92:R92"/>
    <mergeCell ref="T92:AK92"/>
    <mergeCell ref="A93:R93"/>
    <mergeCell ref="T93:AK93"/>
    <mergeCell ref="A90:R90"/>
    <mergeCell ref="T90:AK90"/>
    <mergeCell ref="A45:R45"/>
    <mergeCell ref="L49:N49"/>
    <mergeCell ref="O49:Q49"/>
    <mergeCell ref="I48:J48"/>
    <mergeCell ref="T47:AK47"/>
    <mergeCell ref="AE49:AG49"/>
    <mergeCell ref="AH49:AJ49"/>
    <mergeCell ref="L48:N48"/>
    <mergeCell ref="O48:Q48"/>
    <mergeCell ref="AE48:AG48"/>
    <mergeCell ref="AH48:AJ48"/>
    <mergeCell ref="A48:H49"/>
    <mergeCell ref="T48:AA49"/>
    <mergeCell ref="AB48:AC48"/>
    <mergeCell ref="I49:J49"/>
    <mergeCell ref="AB49:AC49"/>
    <mergeCell ref="A43:R43"/>
    <mergeCell ref="T43:AK43"/>
    <mergeCell ref="A44:R44"/>
    <mergeCell ref="T44:AK44"/>
    <mergeCell ref="A47:R47"/>
    <mergeCell ref="A46:R46"/>
    <mergeCell ref="T46:AK46"/>
    <mergeCell ref="T45:AK45"/>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6" type="noConversion"/>
  <printOptions horizontalCentered="1"/>
  <pageMargins left="0.5" right="0.5" top="0.4" bottom="0.2" header="0.1" footer="0.1"/>
  <pageSetup scale="53" firstPageNumber="0" fitToWidth="0" fitToHeight="0" orientation="portrait" horizontalDpi="4294967294" verticalDpi="4294967294"/>
  <headerFooter alignWithMargins="0">
    <oddHeader>&amp;L&amp;K000000&amp;G&amp;"Calibri,Regular"&amp;36&amp;A&amp;R&amp;"Calibri,Regular"&amp;K000000‘&amp;A’ revision 140421
StatsBook © 2008–2014 WFTDA</oddHeader>
  </headerFooter>
  <rowBreaks count="1" manualBreakCount="1">
    <brk id="47" max="16383" man="1"/>
  </rowBreaks>
  <colBreaks count="1" manualBreakCount="1">
    <brk id="19" max="1048575" man="1"/>
  </colBreaks>
  <ignoredErrors>
    <ignoredError sqref="A1" emptyCellReference="1"/>
  </ignoredErrors>
  <legacyDrawing r:id="rId1"/>
  <legacyDrawingHF r:id="rId2"/>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AND(COUNTIF(IGRF!$B$11:$B$30, B4)=0, NOT(ISBLANK(B4)))</xm:f>
            <x14:dxf>
              <fill>
                <patternFill>
                  <bgColor rgb="FFFF0000"/>
                </patternFill>
              </fill>
            </x14:dxf>
          </x14:cfRule>
          <xm:sqref>B4:B41 B51:B88</xm:sqref>
        </x14:conditionalFormatting>
        <x14:conditionalFormatting xmlns:xm="http://schemas.microsoft.com/office/excel/2006/main">
          <x14:cfRule type="expression" priority="1" id="{5E00802B-8210-46B5-9F83-30949539092A}">
            <xm:f>AND(COUNTIF(IGRF!$H$11:$H$30, U4)=0, NOT(ISBLANK(U4)))</xm:f>
            <x14:dxf>
              <fill>
                <patternFill>
                  <bgColor rgb="FFFF0000"/>
                </patternFill>
              </fill>
            </x14:dxf>
          </x14:cfRule>
          <xm:sqref>U4:U41 U51:U88</xm:sqref>
        </x14:conditionalFormatting>
      </x14:conditionalFormattings>
    </ext>
    <ext xmlns:mx="http://schemas.microsoft.com/office/mac/excel/2008/main" uri="{64002731-A6B0-56B0-2670-7721B7C09600}">
      <mx:PLV Mode="0" OnePage="0" WScale="54"/>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5"/>
  </sheetPr>
  <dimension ref="A1:BD51"/>
  <sheetViews>
    <sheetView zoomScaleSheetLayoutView="75" workbookViewId="0">
      <selection sqref="A1:H2"/>
    </sheetView>
  </sheetViews>
  <sheetFormatPr defaultColWidth="8.6640625" defaultRowHeight="13.8" x14ac:dyDescent="0.3"/>
  <cols>
    <col min="1" max="1" width="9.6640625" style="16" customWidth="1"/>
    <col min="2" max="10" width="5.6640625" style="16" customWidth="1"/>
    <col min="11" max="11" width="7.6640625" style="16" customWidth="1"/>
    <col min="12" max="12" width="8.44140625" style="16" customWidth="1"/>
    <col min="13" max="14" width="7.33203125" style="16" customWidth="1"/>
    <col min="15" max="15" width="7.33203125" style="31" customWidth="1"/>
    <col min="16" max="16" width="9.6640625" style="16" customWidth="1"/>
    <col min="17" max="25" width="5.6640625" style="16" customWidth="1"/>
    <col min="26" max="26" width="7.6640625" style="16" customWidth="1"/>
    <col min="27" max="27" width="8.33203125" style="16" customWidth="1"/>
    <col min="28" max="28" width="10.33203125" style="30" customWidth="1"/>
    <col min="29" max="29" width="9.6640625" style="16" customWidth="1"/>
    <col min="30" max="38" width="5.6640625" style="16" customWidth="1"/>
    <col min="39" max="39" width="7.6640625" style="16" customWidth="1"/>
    <col min="40" max="40" width="8.44140625" style="16" customWidth="1"/>
    <col min="41" max="43" width="7.33203125" style="16" customWidth="1"/>
    <col min="44" max="44" width="9.6640625" style="16" customWidth="1"/>
    <col min="45" max="53" width="5.6640625" style="16" customWidth="1"/>
    <col min="54" max="54" width="7.6640625" style="16" customWidth="1"/>
    <col min="55" max="55" width="8.33203125" style="16" customWidth="1"/>
    <col min="56" max="56" width="10.33203125" style="30" customWidth="1"/>
    <col min="57" max="57" width="3.33203125" style="16" customWidth="1"/>
    <col min="58" max="16384" width="8.6640625" style="16"/>
  </cols>
  <sheetData>
    <row r="1" spans="1:56" ht="30" customHeight="1" x14ac:dyDescent="0.45">
      <c r="A1" s="1056" t="str">
        <f>Score!$A$1</f>
        <v>Rat City Rollergirls / All-Stars</v>
      </c>
      <c r="B1" s="1056"/>
      <c r="C1" s="1056"/>
      <c r="D1" s="1056"/>
      <c r="E1" s="1056"/>
      <c r="F1" s="1056"/>
      <c r="G1" s="1056"/>
      <c r="H1" s="1056"/>
      <c r="I1" s="1046" t="str">
        <f>IF(ISBLANK(Score!$I$1), "", Score!$I$1)</f>
        <v>Green</v>
      </c>
      <c r="J1" s="1046"/>
      <c r="K1" s="1046"/>
      <c r="L1" s="1059">
        <f>IF(ISBLANK(IGRF!$B$5), "", IGRF!$B$5)</f>
        <v>41832</v>
      </c>
      <c r="M1" s="1059"/>
      <c r="N1" s="1055" t="s">
        <v>742</v>
      </c>
      <c r="O1" s="1055"/>
      <c r="P1" s="1055"/>
      <c r="Q1" s="1056" t="str">
        <f>Score!$T$1</f>
        <v>Houston Roller Derby / All-Stars</v>
      </c>
      <c r="R1" s="1056"/>
      <c r="S1" s="1056"/>
      <c r="T1" s="1056"/>
      <c r="U1" s="1056"/>
      <c r="V1" s="1056"/>
      <c r="W1" s="1056"/>
      <c r="X1" s="1056"/>
      <c r="Y1" s="1056"/>
      <c r="Z1" s="1046" t="str">
        <f>IF(ISBLANK(Score!$AB$1), "", Score!$AB$1)</f>
        <v>White</v>
      </c>
      <c r="AA1" s="1046"/>
      <c r="AB1" s="666">
        <v>1</v>
      </c>
      <c r="AC1" s="1056" t="str">
        <f>A1</f>
        <v>Rat City Rollergirls / All-Stars</v>
      </c>
      <c r="AD1" s="1056"/>
      <c r="AE1" s="1056"/>
      <c r="AF1" s="1056"/>
      <c r="AG1" s="1056"/>
      <c r="AH1" s="1056"/>
      <c r="AI1" s="1056"/>
      <c r="AJ1" s="1056"/>
      <c r="AK1" s="1046" t="str">
        <f>I1</f>
        <v>Green</v>
      </c>
      <c r="AL1" s="1046"/>
      <c r="AM1" s="1046"/>
      <c r="AN1" s="1059">
        <f>L1</f>
        <v>41832</v>
      </c>
      <c r="AO1" s="1059"/>
      <c r="AP1" s="1055" t="s">
        <v>742</v>
      </c>
      <c r="AQ1" s="1055"/>
      <c r="AR1" s="1055"/>
      <c r="AS1" s="1056" t="str">
        <f>Q1</f>
        <v>Houston Roller Derby / All-Stars</v>
      </c>
      <c r="AT1" s="1056"/>
      <c r="AU1" s="1056"/>
      <c r="AV1" s="1056"/>
      <c r="AW1" s="1056"/>
      <c r="AX1" s="1056"/>
      <c r="AY1" s="1056"/>
      <c r="AZ1" s="1056"/>
      <c r="BA1" s="1056"/>
      <c r="BB1" s="1046" t="str">
        <f>Z1</f>
        <v>White</v>
      </c>
      <c r="BC1" s="1046"/>
      <c r="BD1" s="666">
        <v>2</v>
      </c>
    </row>
    <row r="2" spans="1:56" ht="15" customHeight="1" x14ac:dyDescent="0.3">
      <c r="A2" s="1056"/>
      <c r="B2" s="1056"/>
      <c r="C2" s="1056"/>
      <c r="D2" s="1056"/>
      <c r="E2" s="1056"/>
      <c r="F2" s="1056"/>
      <c r="G2" s="1056"/>
      <c r="H2" s="1056"/>
      <c r="I2" s="1047" t="s">
        <v>351</v>
      </c>
      <c r="J2" s="1047"/>
      <c r="K2" s="1047"/>
      <c r="L2" s="1048" t="s">
        <v>355</v>
      </c>
      <c r="M2" s="1048"/>
      <c r="N2" s="1049" t="s">
        <v>341</v>
      </c>
      <c r="O2" s="1049"/>
      <c r="P2" s="1049"/>
      <c r="Q2" s="1056"/>
      <c r="R2" s="1056"/>
      <c r="S2" s="1056"/>
      <c r="T2" s="1056"/>
      <c r="U2" s="1056"/>
      <c r="V2" s="1056"/>
      <c r="W2" s="1056"/>
      <c r="X2" s="1056"/>
      <c r="Y2" s="1056"/>
      <c r="Z2" s="1050" t="s">
        <v>351</v>
      </c>
      <c r="AA2" s="1050"/>
      <c r="AB2" s="667" t="str">
        <f>IF(ISBLANK(IGRF!$K$3), "", "GAME " &amp; IGRF!$K$3)</f>
        <v>GAME 2</v>
      </c>
      <c r="AC2" s="1056"/>
      <c r="AD2" s="1056"/>
      <c r="AE2" s="1056"/>
      <c r="AF2" s="1056"/>
      <c r="AG2" s="1056"/>
      <c r="AH2" s="1056"/>
      <c r="AI2" s="1056"/>
      <c r="AJ2" s="1056"/>
      <c r="AK2" s="1047" t="s">
        <v>351</v>
      </c>
      <c r="AL2" s="1047"/>
      <c r="AM2" s="1047"/>
      <c r="AN2" s="1048" t="s">
        <v>355</v>
      </c>
      <c r="AO2" s="1048"/>
      <c r="AP2" s="1049" t="s">
        <v>341</v>
      </c>
      <c r="AQ2" s="1049"/>
      <c r="AR2" s="1049"/>
      <c r="AS2" s="1056"/>
      <c r="AT2" s="1056"/>
      <c r="AU2" s="1056"/>
      <c r="AV2" s="1056"/>
      <c r="AW2" s="1056"/>
      <c r="AX2" s="1056"/>
      <c r="AY2" s="1056"/>
      <c r="AZ2" s="1056"/>
      <c r="BA2" s="1056"/>
      <c r="BB2" s="1050" t="s">
        <v>351</v>
      </c>
      <c r="BC2" s="1050"/>
      <c r="BD2" s="667" t="str">
        <f>AB2</f>
        <v>GAME 2</v>
      </c>
    </row>
    <row r="3" spans="1:56" s="19" customFormat="1" ht="15" customHeight="1" thickBot="1" x14ac:dyDescent="0.3">
      <c r="A3" s="664" t="s">
        <v>187</v>
      </c>
      <c r="B3" s="1058" t="s">
        <v>533</v>
      </c>
      <c r="C3" s="1058"/>
      <c r="D3" s="1058"/>
      <c r="E3" s="1058"/>
      <c r="F3" s="1058"/>
      <c r="G3" s="1058"/>
      <c r="H3" s="1058"/>
      <c r="I3" s="1058"/>
      <c r="J3" s="1058"/>
      <c r="K3" s="443" t="s">
        <v>188</v>
      </c>
      <c r="L3" s="664" t="s">
        <v>107</v>
      </c>
      <c r="M3" s="1058" t="s">
        <v>333</v>
      </c>
      <c r="N3" s="1058"/>
      <c r="O3" s="1058"/>
      <c r="P3" s="664" t="s">
        <v>187</v>
      </c>
      <c r="Q3" s="1058" t="s">
        <v>533</v>
      </c>
      <c r="R3" s="1058"/>
      <c r="S3" s="1058"/>
      <c r="T3" s="1058"/>
      <c r="U3" s="1058"/>
      <c r="V3" s="1058"/>
      <c r="W3" s="1058"/>
      <c r="X3" s="1058"/>
      <c r="Y3" s="1058"/>
      <c r="Z3" s="443" t="s">
        <v>188</v>
      </c>
      <c r="AA3" s="664" t="s">
        <v>107</v>
      </c>
      <c r="AB3" s="18" t="s">
        <v>308</v>
      </c>
      <c r="AC3" s="665" t="s">
        <v>187</v>
      </c>
      <c r="AD3" s="1058" t="s">
        <v>533</v>
      </c>
      <c r="AE3" s="1058"/>
      <c r="AF3" s="1058"/>
      <c r="AG3" s="1058"/>
      <c r="AH3" s="1058"/>
      <c r="AI3" s="1058"/>
      <c r="AJ3" s="1058"/>
      <c r="AK3" s="1058"/>
      <c r="AL3" s="1058"/>
      <c r="AM3" s="443" t="s">
        <v>188</v>
      </c>
      <c r="AN3" s="664" t="s">
        <v>107</v>
      </c>
      <c r="AO3" s="1058" t="s">
        <v>333</v>
      </c>
      <c r="AP3" s="1058"/>
      <c r="AQ3" s="1058"/>
      <c r="AR3" s="664" t="s">
        <v>187</v>
      </c>
      <c r="AS3" s="1058" t="s">
        <v>533</v>
      </c>
      <c r="AT3" s="1058"/>
      <c r="AU3" s="1058"/>
      <c r="AV3" s="1058"/>
      <c r="AW3" s="1058"/>
      <c r="AX3" s="1058"/>
      <c r="AY3" s="1058"/>
      <c r="AZ3" s="1058"/>
      <c r="BA3" s="1058"/>
      <c r="BB3" s="443" t="s">
        <v>188</v>
      </c>
      <c r="BC3" s="664" t="s">
        <v>107</v>
      </c>
      <c r="BD3" s="18" t="s">
        <v>308</v>
      </c>
    </row>
    <row r="4" spans="1:56" ht="16.5" customHeight="1" thickBot="1" x14ac:dyDescent="0.35">
      <c r="A4" s="1057" t="str">
        <f>IF(IGRF!B11="","",IGRF!B11)</f>
        <v>12</v>
      </c>
      <c r="B4" s="415" t="s">
        <v>210</v>
      </c>
      <c r="C4" s="416"/>
      <c r="D4" s="416"/>
      <c r="E4" s="416"/>
      <c r="F4" s="416"/>
      <c r="G4" s="668"/>
      <c r="H4" s="669"/>
      <c r="I4" s="670"/>
      <c r="J4" s="417"/>
      <c r="K4" s="418"/>
      <c r="L4" s="1040">
        <f>IF(COUNTA(B4:J4)=0,"",COUNTA(B4:J4))</f>
        <v>1</v>
      </c>
      <c r="M4" s="1051">
        <v>1</v>
      </c>
      <c r="N4" s="1052"/>
      <c r="O4" s="1053"/>
      <c r="P4" s="1057" t="str">
        <f>IF(IGRF!H11="","",IGRF!H11)</f>
        <v>112</v>
      </c>
      <c r="Q4" s="415"/>
      <c r="R4" s="416"/>
      <c r="S4" s="416"/>
      <c r="T4" s="416"/>
      <c r="U4" s="416"/>
      <c r="V4" s="668"/>
      <c r="W4" s="669"/>
      <c r="X4" s="670"/>
      <c r="Y4" s="417"/>
      <c r="Z4" s="418"/>
      <c r="AA4" s="1040" t="str">
        <f>IF(COUNTA(Q4:Y4)=0,"",COUNTA(Q4:Y4))</f>
        <v/>
      </c>
      <c r="AB4" s="22" t="s">
        <v>189</v>
      </c>
      <c r="AC4" s="1054" t="str">
        <f>IF(IGRF!B11="","",IGRF!B11)</f>
        <v>12</v>
      </c>
      <c r="AD4" s="415"/>
      <c r="AE4" s="416" t="s">
        <v>189</v>
      </c>
      <c r="AF4" s="416" t="s">
        <v>197</v>
      </c>
      <c r="AG4" s="416" t="s">
        <v>199</v>
      </c>
      <c r="AH4" s="416" t="s">
        <v>193</v>
      </c>
      <c r="AI4" s="668"/>
      <c r="AJ4" s="669"/>
      <c r="AK4" s="670"/>
      <c r="AL4" s="417"/>
      <c r="AM4" s="418"/>
      <c r="AN4" s="1040">
        <f>IF(COUNTA(AD4:AL4)=0,"",COUNTA(AD4:AL4))</f>
        <v>4</v>
      </c>
      <c r="AO4" s="1051">
        <v>1</v>
      </c>
      <c r="AP4" s="1052"/>
      <c r="AQ4" s="1053"/>
      <c r="AR4" s="1054" t="str">
        <f>IF(IGRF!H11="","",IGRF!H11)</f>
        <v>112</v>
      </c>
      <c r="AS4" s="415" t="s">
        <v>193</v>
      </c>
      <c r="AT4" s="416" t="s">
        <v>210</v>
      </c>
      <c r="AU4" s="416" t="s">
        <v>193</v>
      </c>
      <c r="AV4" s="416"/>
      <c r="AW4" s="416"/>
      <c r="AX4" s="668"/>
      <c r="AY4" s="669"/>
      <c r="AZ4" s="670"/>
      <c r="BA4" s="417"/>
      <c r="BB4" s="418"/>
      <c r="BC4" s="1040">
        <f>IF(COUNTA(AS4:BA4)=0,"",COUNTA(AS4:BA4))</f>
        <v>3</v>
      </c>
      <c r="BD4" s="22" t="s">
        <v>189</v>
      </c>
    </row>
    <row r="5" spans="1:56" ht="16.5" customHeight="1" thickBot="1" x14ac:dyDescent="0.35">
      <c r="A5" s="1044"/>
      <c r="B5" s="419">
        <v>9</v>
      </c>
      <c r="C5" s="420"/>
      <c r="D5" s="420"/>
      <c r="E5" s="420"/>
      <c r="F5" s="420"/>
      <c r="G5" s="671"/>
      <c r="H5" s="672"/>
      <c r="I5" s="673"/>
      <c r="J5" s="421"/>
      <c r="K5" s="422"/>
      <c r="L5" s="1041"/>
      <c r="M5" s="1017">
        <v>2</v>
      </c>
      <c r="N5" s="1018"/>
      <c r="O5" s="1019"/>
      <c r="P5" s="1044"/>
      <c r="Q5" s="419"/>
      <c r="R5" s="420"/>
      <c r="S5" s="420"/>
      <c r="T5" s="420"/>
      <c r="U5" s="420"/>
      <c r="V5" s="671"/>
      <c r="W5" s="672"/>
      <c r="X5" s="673"/>
      <c r="Y5" s="421"/>
      <c r="Z5" s="422"/>
      <c r="AA5" s="1041"/>
      <c r="AB5" s="20" t="s">
        <v>190</v>
      </c>
      <c r="AC5" s="1042"/>
      <c r="AD5" s="419"/>
      <c r="AE5" s="420">
        <v>5</v>
      </c>
      <c r="AF5" s="420">
        <v>9</v>
      </c>
      <c r="AG5" s="420">
        <v>13</v>
      </c>
      <c r="AH5" s="420">
        <v>24</v>
      </c>
      <c r="AI5" s="671"/>
      <c r="AJ5" s="672"/>
      <c r="AK5" s="673"/>
      <c r="AL5" s="421"/>
      <c r="AM5" s="422"/>
      <c r="AN5" s="1041"/>
      <c r="AO5" s="1017">
        <v>2</v>
      </c>
      <c r="AP5" s="1018"/>
      <c r="AQ5" s="1019"/>
      <c r="AR5" s="1042"/>
      <c r="AS5" s="419">
        <v>4</v>
      </c>
      <c r="AT5" s="420">
        <v>14</v>
      </c>
      <c r="AU5" s="420">
        <v>20</v>
      </c>
      <c r="AV5" s="420"/>
      <c r="AW5" s="420"/>
      <c r="AX5" s="671"/>
      <c r="AY5" s="672"/>
      <c r="AZ5" s="673"/>
      <c r="BA5" s="421"/>
      <c r="BB5" s="422"/>
      <c r="BC5" s="1041"/>
      <c r="BD5" s="20" t="s">
        <v>190</v>
      </c>
    </row>
    <row r="6" spans="1:56" ht="16.5" customHeight="1" x14ac:dyDescent="0.3">
      <c r="A6" s="1038" t="str">
        <f>IF(IGRF!B12="","",IGRF!B12)</f>
        <v>123</v>
      </c>
      <c r="B6" s="423" t="s">
        <v>206</v>
      </c>
      <c r="C6" s="424"/>
      <c r="D6" s="424"/>
      <c r="E6" s="424"/>
      <c r="F6" s="424"/>
      <c r="G6" s="425"/>
      <c r="H6" s="674"/>
      <c r="I6" s="675"/>
      <c r="J6" s="426"/>
      <c r="K6" s="418"/>
      <c r="L6" s="1034">
        <f>IF(COUNTA(B6:J6)=0,"",COUNTA(B6:J6))</f>
        <v>1</v>
      </c>
      <c r="M6" s="1025">
        <v>3</v>
      </c>
      <c r="N6" s="1026"/>
      <c r="O6" s="1027">
        <v>3</v>
      </c>
      <c r="P6" s="1038" t="str">
        <f>IF(IGRF!H12="","",IGRF!H12)</f>
        <v>1542</v>
      </c>
      <c r="Q6" s="423" t="s">
        <v>206</v>
      </c>
      <c r="R6" s="424"/>
      <c r="S6" s="424"/>
      <c r="T6" s="424"/>
      <c r="U6" s="424"/>
      <c r="V6" s="425"/>
      <c r="W6" s="674"/>
      <c r="X6" s="675"/>
      <c r="Y6" s="426"/>
      <c r="Z6" s="418"/>
      <c r="AA6" s="1034">
        <f>IF(COUNTA(Q6:Y6)=0,"",COUNTA(Q6:Y6))</f>
        <v>1</v>
      </c>
      <c r="AB6" s="676" t="s">
        <v>201</v>
      </c>
      <c r="AC6" s="1036" t="str">
        <f>IF(IGRF!B12="","",IGRF!B12)</f>
        <v>123</v>
      </c>
      <c r="AD6" s="423"/>
      <c r="AE6" s="424"/>
      <c r="AF6" s="424"/>
      <c r="AG6" s="424"/>
      <c r="AH6" s="424"/>
      <c r="AI6" s="425"/>
      <c r="AJ6" s="674"/>
      <c r="AK6" s="675"/>
      <c r="AL6" s="426"/>
      <c r="AM6" s="418"/>
      <c r="AN6" s="1034" t="str">
        <f>IF(COUNTA(AD6:AL6)=0,"",COUNTA(AD6:AL6))</f>
        <v/>
      </c>
      <c r="AO6" s="1025">
        <v>3</v>
      </c>
      <c r="AP6" s="1026"/>
      <c r="AQ6" s="1027"/>
      <c r="AR6" s="1036" t="str">
        <f>IF(IGRF!H12="","",IGRF!H12)</f>
        <v>1542</v>
      </c>
      <c r="AS6" s="423"/>
      <c r="AT6" s="424"/>
      <c r="AU6" s="424"/>
      <c r="AV6" s="424"/>
      <c r="AW6" s="424"/>
      <c r="AX6" s="425"/>
      <c r="AY6" s="674"/>
      <c r="AZ6" s="675"/>
      <c r="BA6" s="426"/>
      <c r="BB6" s="418"/>
      <c r="BC6" s="1034" t="str">
        <f>IF(COUNTA(AS6:BA6)=0,"",COUNTA(AS6:BA6))</f>
        <v/>
      </c>
      <c r="BD6" s="676" t="s">
        <v>201</v>
      </c>
    </row>
    <row r="7" spans="1:56" ht="16.5" customHeight="1" thickBot="1" x14ac:dyDescent="0.35">
      <c r="A7" s="1045"/>
      <c r="B7" s="487">
        <v>11</v>
      </c>
      <c r="C7" s="427"/>
      <c r="D7" s="427"/>
      <c r="E7" s="427"/>
      <c r="F7" s="427"/>
      <c r="G7" s="428"/>
      <c r="H7" s="677"/>
      <c r="I7" s="678"/>
      <c r="J7" s="489"/>
      <c r="K7" s="422"/>
      <c r="L7" s="1035"/>
      <c r="M7" s="1017">
        <v>4</v>
      </c>
      <c r="N7" s="1018"/>
      <c r="O7" s="1019">
        <v>4</v>
      </c>
      <c r="P7" s="1045"/>
      <c r="Q7" s="487">
        <v>23</v>
      </c>
      <c r="R7" s="427"/>
      <c r="S7" s="427"/>
      <c r="T7" s="427"/>
      <c r="U7" s="427"/>
      <c r="V7" s="428"/>
      <c r="W7" s="677"/>
      <c r="X7" s="678"/>
      <c r="Y7" s="489"/>
      <c r="Z7" s="422"/>
      <c r="AA7" s="1035"/>
      <c r="AB7" s="20" t="s">
        <v>202</v>
      </c>
      <c r="AC7" s="1037"/>
      <c r="AD7" s="487"/>
      <c r="AE7" s="427"/>
      <c r="AF7" s="427"/>
      <c r="AG7" s="427"/>
      <c r="AH7" s="427"/>
      <c r="AI7" s="428"/>
      <c r="AJ7" s="677"/>
      <c r="AK7" s="678"/>
      <c r="AL7" s="489"/>
      <c r="AM7" s="422"/>
      <c r="AN7" s="1035"/>
      <c r="AO7" s="1017">
        <v>4</v>
      </c>
      <c r="AP7" s="1018"/>
      <c r="AQ7" s="1019"/>
      <c r="AR7" s="1037"/>
      <c r="AS7" s="487"/>
      <c r="AT7" s="427"/>
      <c r="AU7" s="427"/>
      <c r="AV7" s="427"/>
      <c r="AW7" s="427"/>
      <c r="AX7" s="428"/>
      <c r="AY7" s="677"/>
      <c r="AZ7" s="678"/>
      <c r="BA7" s="489"/>
      <c r="BB7" s="422"/>
      <c r="BC7" s="1035"/>
      <c r="BD7" s="20" t="s">
        <v>202</v>
      </c>
    </row>
    <row r="8" spans="1:56" ht="16.5" customHeight="1" thickBot="1" x14ac:dyDescent="0.35">
      <c r="A8" s="1043" t="str">
        <f>IF(IGRF!B13="","",IGRF!B13)</f>
        <v>14</v>
      </c>
      <c r="B8" s="415"/>
      <c r="C8" s="416"/>
      <c r="D8" s="416"/>
      <c r="E8" s="416"/>
      <c r="F8" s="416"/>
      <c r="G8" s="668"/>
      <c r="H8" s="669"/>
      <c r="I8" s="670"/>
      <c r="J8" s="417"/>
      <c r="K8" s="418"/>
      <c r="L8" s="1040" t="str">
        <f>IF(COUNTA(B8:J8)=0,"",COUNTA(B8:J8))</f>
        <v/>
      </c>
      <c r="M8" s="1025">
        <v>5</v>
      </c>
      <c r="N8" s="1026"/>
      <c r="O8" s="1027">
        <v>5</v>
      </c>
      <c r="P8" s="1043" t="str">
        <f>IF(IGRF!H13="","",IGRF!H13)</f>
        <v>16</v>
      </c>
      <c r="Q8" s="415" t="s">
        <v>193</v>
      </c>
      <c r="R8" s="416"/>
      <c r="S8" s="416"/>
      <c r="T8" s="416"/>
      <c r="U8" s="416"/>
      <c r="V8" s="668"/>
      <c r="W8" s="669"/>
      <c r="X8" s="670"/>
      <c r="Y8" s="417"/>
      <c r="Z8" s="418"/>
      <c r="AA8" s="1040">
        <f>IF(COUNTA(Q8:Y8)=0,"",COUNTA(Q8:Y8))</f>
        <v>1</v>
      </c>
      <c r="AB8" s="22" t="s">
        <v>204</v>
      </c>
      <c r="AC8" s="1042" t="str">
        <f>IF(IGRF!B13="","",IGRF!B13)</f>
        <v>14</v>
      </c>
      <c r="AD8" s="415" t="s">
        <v>199</v>
      </c>
      <c r="AE8" s="416" t="s">
        <v>204</v>
      </c>
      <c r="AF8" s="416"/>
      <c r="AG8" s="416"/>
      <c r="AH8" s="416"/>
      <c r="AI8" s="668"/>
      <c r="AJ8" s="669"/>
      <c r="AK8" s="670"/>
      <c r="AL8" s="417"/>
      <c r="AM8" s="418"/>
      <c r="AN8" s="1040">
        <f>IF(COUNTA(AD8:AL8)=0,"",COUNTA(AD8:AL8))</f>
        <v>2</v>
      </c>
      <c r="AO8" s="1025">
        <v>5</v>
      </c>
      <c r="AP8" s="1026"/>
      <c r="AQ8" s="1027"/>
      <c r="AR8" s="1042" t="str">
        <f>IF(IGRF!H13="","",IGRF!H13)</f>
        <v>16</v>
      </c>
      <c r="AS8" s="415"/>
      <c r="AT8" s="416" t="s">
        <v>210</v>
      </c>
      <c r="AU8" s="416" t="s">
        <v>193</v>
      </c>
      <c r="AV8" s="416"/>
      <c r="AW8" s="416"/>
      <c r="AX8" s="668"/>
      <c r="AY8" s="669"/>
      <c r="AZ8" s="670"/>
      <c r="BA8" s="417"/>
      <c r="BB8" s="418"/>
      <c r="BC8" s="1040">
        <f>IF(COUNTA(AS8:BA8)=0,"",COUNTA(AS8:BA8))</f>
        <v>2</v>
      </c>
      <c r="BD8" s="22" t="s">
        <v>204</v>
      </c>
    </row>
    <row r="9" spans="1:56" ht="16.5" customHeight="1" thickBot="1" x14ac:dyDescent="0.35">
      <c r="A9" s="1044"/>
      <c r="B9" s="419"/>
      <c r="C9" s="420"/>
      <c r="D9" s="420"/>
      <c r="E9" s="420"/>
      <c r="F9" s="420"/>
      <c r="G9" s="671"/>
      <c r="H9" s="672"/>
      <c r="I9" s="673"/>
      <c r="J9" s="421"/>
      <c r="K9" s="422"/>
      <c r="L9" s="1041"/>
      <c r="M9" s="1017">
        <v>6</v>
      </c>
      <c r="N9" s="1018"/>
      <c r="O9" s="1019">
        <v>6</v>
      </c>
      <c r="P9" s="1044"/>
      <c r="Q9" s="419">
        <v>9</v>
      </c>
      <c r="R9" s="420"/>
      <c r="S9" s="420"/>
      <c r="T9" s="420"/>
      <c r="U9" s="420"/>
      <c r="V9" s="671"/>
      <c r="W9" s="672"/>
      <c r="X9" s="673"/>
      <c r="Y9" s="421"/>
      <c r="Z9" s="422"/>
      <c r="AA9" s="1041"/>
      <c r="AB9" s="20" t="s">
        <v>205</v>
      </c>
      <c r="AC9" s="1042"/>
      <c r="AD9" s="419">
        <v>13</v>
      </c>
      <c r="AE9" s="420">
        <v>20</v>
      </c>
      <c r="AF9" s="420"/>
      <c r="AG9" s="420"/>
      <c r="AH9" s="420"/>
      <c r="AI9" s="671"/>
      <c r="AJ9" s="672"/>
      <c r="AK9" s="673"/>
      <c r="AL9" s="421"/>
      <c r="AM9" s="422"/>
      <c r="AN9" s="1041"/>
      <c r="AO9" s="1017">
        <v>6</v>
      </c>
      <c r="AP9" s="1018"/>
      <c r="AQ9" s="1019"/>
      <c r="AR9" s="1042"/>
      <c r="AS9" s="419"/>
      <c r="AT9" s="420">
        <v>11</v>
      </c>
      <c r="AU9" s="420">
        <v>13</v>
      </c>
      <c r="AV9" s="420"/>
      <c r="AW9" s="420"/>
      <c r="AX9" s="671"/>
      <c r="AY9" s="672"/>
      <c r="AZ9" s="673"/>
      <c r="BA9" s="421"/>
      <c r="BB9" s="422"/>
      <c r="BC9" s="1041"/>
      <c r="BD9" s="20" t="s">
        <v>205</v>
      </c>
    </row>
    <row r="10" spans="1:56" ht="16.5" customHeight="1" x14ac:dyDescent="0.3">
      <c r="A10" s="1038" t="str">
        <f>IF(IGRF!B14="","",IGRF!B14)</f>
        <v>1618</v>
      </c>
      <c r="B10" s="423"/>
      <c r="C10" s="424"/>
      <c r="D10" s="424"/>
      <c r="E10" s="424"/>
      <c r="F10" s="424"/>
      <c r="G10" s="425"/>
      <c r="H10" s="674"/>
      <c r="I10" s="675"/>
      <c r="J10" s="426"/>
      <c r="K10" s="418"/>
      <c r="L10" s="1034" t="str">
        <f>IF(COUNTA(B10:J10)=0,"",COUNTA(B10:J10))</f>
        <v/>
      </c>
      <c r="M10" s="1025">
        <v>7</v>
      </c>
      <c r="N10" s="1026"/>
      <c r="O10" s="1027">
        <v>7</v>
      </c>
      <c r="P10" s="1038" t="str">
        <f>IF(IGRF!H14="","",IGRF!H14)</f>
        <v>19</v>
      </c>
      <c r="Q10" s="423" t="s">
        <v>189</v>
      </c>
      <c r="R10" s="424" t="s">
        <v>206</v>
      </c>
      <c r="S10" s="424" t="s">
        <v>193</v>
      </c>
      <c r="T10" s="424"/>
      <c r="U10" s="424"/>
      <c r="V10" s="425"/>
      <c r="W10" s="674"/>
      <c r="X10" s="675"/>
      <c r="Y10" s="426"/>
      <c r="Z10" s="418"/>
      <c r="AA10" s="1034">
        <f>IF(COUNTA(Q10:Y10)=0,"",COUNTA(Q10:Y10))</f>
        <v>3</v>
      </c>
      <c r="AB10" s="22" t="s">
        <v>197</v>
      </c>
      <c r="AC10" s="1036" t="str">
        <f>IF(IGRF!B14="","",IGRF!B14)</f>
        <v>1618</v>
      </c>
      <c r="AD10" s="423"/>
      <c r="AE10" s="424"/>
      <c r="AF10" s="424"/>
      <c r="AG10" s="424"/>
      <c r="AH10" s="424"/>
      <c r="AI10" s="425"/>
      <c r="AJ10" s="674"/>
      <c r="AK10" s="675"/>
      <c r="AL10" s="426"/>
      <c r="AM10" s="418"/>
      <c r="AN10" s="1034" t="str">
        <f>IF(COUNTA(AD10:AL10)=0,"",COUNTA(AD10:AL10))</f>
        <v/>
      </c>
      <c r="AO10" s="1025">
        <v>7</v>
      </c>
      <c r="AP10" s="1026"/>
      <c r="AQ10" s="1027"/>
      <c r="AR10" s="1036" t="str">
        <f>IF(IGRF!H14="","",IGRF!H14)</f>
        <v>19</v>
      </c>
      <c r="AS10" s="423"/>
      <c r="AT10" s="424"/>
      <c r="AU10" s="424"/>
      <c r="AV10" s="424" t="s">
        <v>210</v>
      </c>
      <c r="AW10" s="424" t="s">
        <v>193</v>
      </c>
      <c r="AX10" s="425"/>
      <c r="AY10" s="674"/>
      <c r="AZ10" s="675"/>
      <c r="BA10" s="426"/>
      <c r="BB10" s="418"/>
      <c r="BC10" s="1034">
        <f>IF(COUNTA(AS10:BA10)=0,"",COUNTA(AS10:BA10))</f>
        <v>2</v>
      </c>
      <c r="BD10" s="22" t="s">
        <v>197</v>
      </c>
    </row>
    <row r="11" spans="1:56" ht="16.5" customHeight="1" thickBot="1" x14ac:dyDescent="0.35">
      <c r="A11" s="1045"/>
      <c r="B11" s="487"/>
      <c r="C11" s="427"/>
      <c r="D11" s="427"/>
      <c r="E11" s="427"/>
      <c r="F11" s="427"/>
      <c r="G11" s="428"/>
      <c r="H11" s="677"/>
      <c r="I11" s="678"/>
      <c r="J11" s="489"/>
      <c r="K11" s="422"/>
      <c r="L11" s="1035"/>
      <c r="M11" s="1017">
        <v>8</v>
      </c>
      <c r="N11" s="1018"/>
      <c r="O11" s="1019">
        <v>8</v>
      </c>
      <c r="P11" s="1045"/>
      <c r="Q11" s="487">
        <v>8</v>
      </c>
      <c r="R11" s="427">
        <v>9</v>
      </c>
      <c r="S11" s="427">
        <v>16</v>
      </c>
      <c r="T11" s="427"/>
      <c r="U11" s="427"/>
      <c r="V11" s="428"/>
      <c r="W11" s="677"/>
      <c r="X11" s="678"/>
      <c r="Y11" s="489"/>
      <c r="Z11" s="422"/>
      <c r="AA11" s="1035"/>
      <c r="AB11" s="20" t="s">
        <v>198</v>
      </c>
      <c r="AC11" s="1037"/>
      <c r="AD11" s="487"/>
      <c r="AE11" s="427"/>
      <c r="AF11" s="427"/>
      <c r="AG11" s="427"/>
      <c r="AH11" s="427"/>
      <c r="AI11" s="428"/>
      <c r="AJ11" s="677"/>
      <c r="AK11" s="678"/>
      <c r="AL11" s="489"/>
      <c r="AM11" s="422"/>
      <c r="AN11" s="1035"/>
      <c r="AO11" s="1017">
        <v>8</v>
      </c>
      <c r="AP11" s="1018"/>
      <c r="AQ11" s="1019"/>
      <c r="AR11" s="1037"/>
      <c r="AS11" s="487"/>
      <c r="AT11" s="427"/>
      <c r="AU11" s="427"/>
      <c r="AV11" s="427">
        <v>8</v>
      </c>
      <c r="AW11" s="427">
        <v>24</v>
      </c>
      <c r="AX11" s="428"/>
      <c r="AY11" s="677"/>
      <c r="AZ11" s="678"/>
      <c r="BA11" s="489"/>
      <c r="BB11" s="422"/>
      <c r="BC11" s="1035"/>
      <c r="BD11" s="20" t="s">
        <v>198</v>
      </c>
    </row>
    <row r="12" spans="1:56" ht="16.5" customHeight="1" thickBot="1" x14ac:dyDescent="0.35">
      <c r="A12" s="1043" t="str">
        <f>IF(IGRF!B15="","",IGRF!B15)</f>
        <v>22</v>
      </c>
      <c r="B12" s="415" t="s">
        <v>197</v>
      </c>
      <c r="C12" s="416"/>
      <c r="D12" s="416"/>
      <c r="E12" s="416"/>
      <c r="F12" s="416"/>
      <c r="G12" s="668"/>
      <c r="H12" s="669"/>
      <c r="I12" s="670"/>
      <c r="J12" s="417"/>
      <c r="K12" s="418"/>
      <c r="L12" s="1040">
        <f>IF(COUNTA(B12:J12)=0,"",COUNTA(B12:J12))</f>
        <v>1</v>
      </c>
      <c r="M12" s="1025">
        <v>9</v>
      </c>
      <c r="N12" s="1026"/>
      <c r="O12" s="1027">
        <v>9</v>
      </c>
      <c r="P12" s="1043" t="str">
        <f>IF(IGRF!H15="","",IGRF!H15)</f>
        <v>2000</v>
      </c>
      <c r="Q12" s="415"/>
      <c r="R12" s="416"/>
      <c r="S12" s="416"/>
      <c r="T12" s="416"/>
      <c r="U12" s="416"/>
      <c r="V12" s="668"/>
      <c r="W12" s="669"/>
      <c r="X12" s="670"/>
      <c r="Y12" s="417"/>
      <c r="Z12" s="418"/>
      <c r="AA12" s="1040" t="str">
        <f>IF(COUNTA(Q12:Y12)=0,"",COUNTA(Q12:Y12))</f>
        <v/>
      </c>
      <c r="AB12" s="22" t="s">
        <v>199</v>
      </c>
      <c r="AC12" s="1042" t="str">
        <f>IF(IGRF!B15="","",IGRF!B15)</f>
        <v>22</v>
      </c>
      <c r="AD12" s="415"/>
      <c r="AE12" s="416" t="s">
        <v>206</v>
      </c>
      <c r="AF12" s="416"/>
      <c r="AG12" s="416"/>
      <c r="AH12" s="416"/>
      <c r="AI12" s="668"/>
      <c r="AJ12" s="669"/>
      <c r="AK12" s="670"/>
      <c r="AL12" s="417"/>
      <c r="AM12" s="418"/>
      <c r="AN12" s="1040">
        <f>IF(COUNTA(AD12:AL12)=0,"",COUNTA(AD12:AL12))</f>
        <v>1</v>
      </c>
      <c r="AO12" s="1025">
        <v>9</v>
      </c>
      <c r="AP12" s="1026"/>
      <c r="AQ12" s="1027"/>
      <c r="AR12" s="1042" t="str">
        <f>IF(IGRF!H15="","",IGRF!H15)</f>
        <v>2000</v>
      </c>
      <c r="AS12" s="415"/>
      <c r="AT12" s="416"/>
      <c r="AU12" s="416"/>
      <c r="AV12" s="416"/>
      <c r="AW12" s="416"/>
      <c r="AX12" s="668"/>
      <c r="AY12" s="669"/>
      <c r="AZ12" s="670"/>
      <c r="BA12" s="417"/>
      <c r="BB12" s="418"/>
      <c r="BC12" s="1040" t="str">
        <f>IF(COUNTA(AS12:BA12)=0,"",COUNTA(AS12:BA12))</f>
        <v/>
      </c>
      <c r="BD12" s="22" t="s">
        <v>199</v>
      </c>
    </row>
    <row r="13" spans="1:56" ht="16.5" customHeight="1" thickBot="1" x14ac:dyDescent="0.35">
      <c r="A13" s="1044"/>
      <c r="B13" s="419">
        <v>12</v>
      </c>
      <c r="C13" s="420"/>
      <c r="D13" s="420"/>
      <c r="E13" s="420"/>
      <c r="F13" s="420"/>
      <c r="G13" s="671"/>
      <c r="H13" s="672"/>
      <c r="I13" s="673"/>
      <c r="J13" s="421"/>
      <c r="K13" s="422"/>
      <c r="L13" s="1041"/>
      <c r="M13" s="1017">
        <v>10</v>
      </c>
      <c r="N13" s="1018"/>
      <c r="O13" s="1019">
        <v>10</v>
      </c>
      <c r="P13" s="1044"/>
      <c r="Q13" s="419"/>
      <c r="R13" s="420"/>
      <c r="S13" s="420"/>
      <c r="T13" s="420"/>
      <c r="U13" s="420"/>
      <c r="V13" s="671"/>
      <c r="W13" s="672"/>
      <c r="X13" s="673"/>
      <c r="Y13" s="421"/>
      <c r="Z13" s="422"/>
      <c r="AA13" s="1041"/>
      <c r="AB13" s="20" t="s">
        <v>200</v>
      </c>
      <c r="AC13" s="1042"/>
      <c r="AD13" s="419"/>
      <c r="AE13" s="420">
        <v>12</v>
      </c>
      <c r="AF13" s="420"/>
      <c r="AG13" s="420"/>
      <c r="AH13" s="420"/>
      <c r="AI13" s="671"/>
      <c r="AJ13" s="672"/>
      <c r="AK13" s="673"/>
      <c r="AL13" s="421"/>
      <c r="AM13" s="422"/>
      <c r="AN13" s="1041"/>
      <c r="AO13" s="1017">
        <v>10</v>
      </c>
      <c r="AP13" s="1018"/>
      <c r="AQ13" s="1019"/>
      <c r="AR13" s="1042"/>
      <c r="AS13" s="419"/>
      <c r="AT13" s="420"/>
      <c r="AU13" s="420"/>
      <c r="AV13" s="420"/>
      <c r="AW13" s="420"/>
      <c r="AX13" s="671"/>
      <c r="AY13" s="672"/>
      <c r="AZ13" s="673"/>
      <c r="BA13" s="421"/>
      <c r="BB13" s="422"/>
      <c r="BC13" s="1041"/>
      <c r="BD13" s="20" t="s">
        <v>200</v>
      </c>
    </row>
    <row r="14" spans="1:56" ht="16.5" customHeight="1" x14ac:dyDescent="0.3">
      <c r="A14" s="1038" t="str">
        <f>IF(IGRF!B16="","",IGRF!B16)</f>
        <v>23</v>
      </c>
      <c r="B14" s="423" t="s">
        <v>193</v>
      </c>
      <c r="C14" s="424" t="s">
        <v>206</v>
      </c>
      <c r="D14" s="424"/>
      <c r="E14" s="424"/>
      <c r="F14" s="424"/>
      <c r="G14" s="425"/>
      <c r="H14" s="674"/>
      <c r="I14" s="675"/>
      <c r="J14" s="426"/>
      <c r="K14" s="418"/>
      <c r="L14" s="1034">
        <f>IF(COUNTA(B14:J14)=0,"",COUNTA(B14:J14))</f>
        <v>2</v>
      </c>
      <c r="M14" s="1025">
        <v>11</v>
      </c>
      <c r="N14" s="1026"/>
      <c r="O14" s="1027">
        <v>11</v>
      </c>
      <c r="P14" s="1038" t="str">
        <f>IF(IGRF!H16="","",IGRF!H16)</f>
        <v>201</v>
      </c>
      <c r="Q14" s="423" t="s">
        <v>204</v>
      </c>
      <c r="R14" s="424"/>
      <c r="S14" s="424"/>
      <c r="T14" s="424"/>
      <c r="U14" s="424"/>
      <c r="V14" s="425"/>
      <c r="W14" s="674"/>
      <c r="X14" s="675"/>
      <c r="Y14" s="426"/>
      <c r="Z14" s="418"/>
      <c r="AA14" s="1034">
        <f>IF(COUNTA(Q14:Y14)=0,"",COUNTA(Q14:Y14))</f>
        <v>1</v>
      </c>
      <c r="AB14" s="22" t="s">
        <v>191</v>
      </c>
      <c r="AC14" s="1036" t="str">
        <f>IF(IGRF!B16="","",IGRF!B16)</f>
        <v>23</v>
      </c>
      <c r="AD14" s="423"/>
      <c r="AE14" s="424"/>
      <c r="AF14" s="424"/>
      <c r="AG14" s="424"/>
      <c r="AH14" s="424"/>
      <c r="AI14" s="425"/>
      <c r="AJ14" s="674"/>
      <c r="AK14" s="675"/>
      <c r="AL14" s="426"/>
      <c r="AM14" s="418"/>
      <c r="AN14" s="1034" t="str">
        <f>IF(COUNTA(AD14:AL14)=0,"",COUNTA(AD14:AL14))</f>
        <v/>
      </c>
      <c r="AO14" s="1025">
        <v>11</v>
      </c>
      <c r="AP14" s="1026"/>
      <c r="AQ14" s="1027"/>
      <c r="AR14" s="1036" t="str">
        <f>IF(IGRF!H16="","",IGRF!H16)</f>
        <v>201</v>
      </c>
      <c r="AS14" s="423"/>
      <c r="AT14" s="424"/>
      <c r="AU14" s="424"/>
      <c r="AV14" s="424"/>
      <c r="AW14" s="424"/>
      <c r="AX14" s="425"/>
      <c r="AY14" s="674"/>
      <c r="AZ14" s="675"/>
      <c r="BA14" s="426"/>
      <c r="BB14" s="418"/>
      <c r="BC14" s="1034" t="str">
        <f>IF(COUNTA(AS14:BA14)=0,"",COUNTA(AS14:BA14))</f>
        <v/>
      </c>
      <c r="BD14" s="22" t="s">
        <v>191</v>
      </c>
    </row>
    <row r="15" spans="1:56" ht="16.5" customHeight="1" thickBot="1" x14ac:dyDescent="0.35">
      <c r="A15" s="1045"/>
      <c r="B15" s="487">
        <v>14</v>
      </c>
      <c r="C15" s="427">
        <v>18</v>
      </c>
      <c r="D15" s="427"/>
      <c r="E15" s="427"/>
      <c r="F15" s="427"/>
      <c r="G15" s="428"/>
      <c r="H15" s="677"/>
      <c r="I15" s="678"/>
      <c r="J15" s="489"/>
      <c r="K15" s="422"/>
      <c r="L15" s="1035"/>
      <c r="M15" s="1017">
        <v>12</v>
      </c>
      <c r="N15" s="1018"/>
      <c r="O15" s="1019">
        <v>12</v>
      </c>
      <c r="P15" s="1045"/>
      <c r="Q15" s="487">
        <v>11</v>
      </c>
      <c r="R15" s="427"/>
      <c r="S15" s="427"/>
      <c r="T15" s="427"/>
      <c r="U15" s="427"/>
      <c r="V15" s="428"/>
      <c r="W15" s="677"/>
      <c r="X15" s="678"/>
      <c r="Y15" s="489"/>
      <c r="Z15" s="422"/>
      <c r="AA15" s="1035"/>
      <c r="AB15" s="20" t="s">
        <v>192</v>
      </c>
      <c r="AC15" s="1037"/>
      <c r="AD15" s="487"/>
      <c r="AE15" s="427"/>
      <c r="AF15" s="427"/>
      <c r="AG15" s="427"/>
      <c r="AH15" s="427"/>
      <c r="AI15" s="428"/>
      <c r="AJ15" s="677"/>
      <c r="AK15" s="678"/>
      <c r="AL15" s="489"/>
      <c r="AM15" s="422"/>
      <c r="AN15" s="1035"/>
      <c r="AO15" s="1017">
        <v>12</v>
      </c>
      <c r="AP15" s="1018"/>
      <c r="AQ15" s="1019"/>
      <c r="AR15" s="1037"/>
      <c r="AS15" s="487"/>
      <c r="AT15" s="427"/>
      <c r="AU15" s="427"/>
      <c r="AV15" s="427"/>
      <c r="AW15" s="427"/>
      <c r="AX15" s="428"/>
      <c r="AY15" s="677"/>
      <c r="AZ15" s="678"/>
      <c r="BA15" s="489"/>
      <c r="BB15" s="422"/>
      <c r="BC15" s="1035"/>
      <c r="BD15" s="20" t="s">
        <v>192</v>
      </c>
    </row>
    <row r="16" spans="1:56" ht="16.5" customHeight="1" thickBot="1" x14ac:dyDescent="0.35">
      <c r="A16" s="1043" t="str">
        <f>IF(IGRF!B17="","",IGRF!B17)</f>
        <v>321</v>
      </c>
      <c r="B16" s="415" t="s">
        <v>210</v>
      </c>
      <c r="C16" s="416" t="s">
        <v>199</v>
      </c>
      <c r="D16" s="416" t="s">
        <v>201</v>
      </c>
      <c r="E16" s="416"/>
      <c r="F16" s="416"/>
      <c r="G16" s="668"/>
      <c r="H16" s="669"/>
      <c r="I16" s="670"/>
      <c r="J16" s="417"/>
      <c r="K16" s="418"/>
      <c r="L16" s="1040">
        <f>IF(COUNTA(B16:J16)=0,"",COUNTA(B16:J16))</f>
        <v>3</v>
      </c>
      <c r="M16" s="1025">
        <v>13</v>
      </c>
      <c r="N16" s="1026"/>
      <c r="O16" s="1027">
        <v>13</v>
      </c>
      <c r="P16" s="1043" t="str">
        <f>IF(IGRF!H17="","",IGRF!H17)</f>
        <v>21</v>
      </c>
      <c r="Q16" s="415" t="s">
        <v>195</v>
      </c>
      <c r="R16" s="416" t="s">
        <v>193</v>
      </c>
      <c r="S16" s="416" t="s">
        <v>208</v>
      </c>
      <c r="T16" s="416" t="s">
        <v>199</v>
      </c>
      <c r="U16" s="416"/>
      <c r="V16" s="668"/>
      <c r="W16" s="669"/>
      <c r="X16" s="670"/>
      <c r="Y16" s="417"/>
      <c r="Z16" s="418"/>
      <c r="AA16" s="1040">
        <f>IF(COUNTA(Q16:Y16)=0,"",COUNTA(Q16:Y16))</f>
        <v>4</v>
      </c>
      <c r="AB16" s="22" t="s">
        <v>206</v>
      </c>
      <c r="AC16" s="1042" t="str">
        <f>IF(IGRF!B17="","",IGRF!B17)</f>
        <v>321</v>
      </c>
      <c r="AD16" s="415"/>
      <c r="AE16" s="416"/>
      <c r="AF16" s="416"/>
      <c r="AG16" s="416" t="s">
        <v>195</v>
      </c>
      <c r="AH16" s="416" t="s">
        <v>206</v>
      </c>
      <c r="AI16" s="668"/>
      <c r="AJ16" s="669"/>
      <c r="AK16" s="670"/>
      <c r="AL16" s="417"/>
      <c r="AM16" s="418"/>
      <c r="AN16" s="1040">
        <f>IF(COUNTA(AD16:AL16)=0,"",COUNTA(AD16:AL16))</f>
        <v>2</v>
      </c>
      <c r="AO16" s="1025">
        <v>13</v>
      </c>
      <c r="AP16" s="1026"/>
      <c r="AQ16" s="1027"/>
      <c r="AR16" s="1042" t="str">
        <f>IF(IGRF!H17="","",IGRF!H17)</f>
        <v>21</v>
      </c>
      <c r="AS16" s="415"/>
      <c r="AT16" s="416"/>
      <c r="AU16" s="416"/>
      <c r="AV16" s="416"/>
      <c r="AW16" s="416" t="s">
        <v>189</v>
      </c>
      <c r="AX16" s="668"/>
      <c r="AY16" s="669"/>
      <c r="AZ16" s="670"/>
      <c r="BA16" s="417"/>
      <c r="BB16" s="418"/>
      <c r="BC16" s="1040">
        <f>IF(COUNTA(AS16:BA16)=0,"",COUNTA(AS16:BA16))</f>
        <v>1</v>
      </c>
      <c r="BD16" s="22" t="s">
        <v>206</v>
      </c>
    </row>
    <row r="17" spans="1:56" ht="16.5" customHeight="1" thickBot="1" x14ac:dyDescent="0.35">
      <c r="A17" s="1044"/>
      <c r="B17" s="419">
        <v>5</v>
      </c>
      <c r="C17" s="420">
        <v>14</v>
      </c>
      <c r="D17" s="420">
        <v>23</v>
      </c>
      <c r="E17" s="420"/>
      <c r="F17" s="420"/>
      <c r="G17" s="671"/>
      <c r="H17" s="672"/>
      <c r="I17" s="673"/>
      <c r="J17" s="421"/>
      <c r="K17" s="422"/>
      <c r="L17" s="1041"/>
      <c r="M17" s="1017">
        <v>14</v>
      </c>
      <c r="N17" s="1018"/>
      <c r="O17" s="1019">
        <v>14</v>
      </c>
      <c r="P17" s="1044"/>
      <c r="Q17" s="419">
        <v>9</v>
      </c>
      <c r="R17" s="420">
        <v>17</v>
      </c>
      <c r="S17" s="420">
        <v>18</v>
      </c>
      <c r="T17" s="420">
        <v>23</v>
      </c>
      <c r="U17" s="420"/>
      <c r="V17" s="671"/>
      <c r="W17" s="672"/>
      <c r="X17" s="673"/>
      <c r="Y17" s="421"/>
      <c r="Z17" s="422"/>
      <c r="AA17" s="1041"/>
      <c r="AB17" s="20" t="s">
        <v>207</v>
      </c>
      <c r="AC17" s="1042"/>
      <c r="AD17" s="419"/>
      <c r="AE17" s="420"/>
      <c r="AF17" s="420"/>
      <c r="AG17" s="420">
        <v>18</v>
      </c>
      <c r="AH17" s="420">
        <v>24</v>
      </c>
      <c r="AI17" s="671"/>
      <c r="AJ17" s="672"/>
      <c r="AK17" s="673"/>
      <c r="AL17" s="421"/>
      <c r="AM17" s="422"/>
      <c r="AN17" s="1041"/>
      <c r="AO17" s="1017">
        <v>14</v>
      </c>
      <c r="AP17" s="1018"/>
      <c r="AQ17" s="1019"/>
      <c r="AR17" s="1042"/>
      <c r="AS17" s="419"/>
      <c r="AT17" s="420"/>
      <c r="AU17" s="420"/>
      <c r="AV17" s="420"/>
      <c r="AW17" s="420">
        <v>19</v>
      </c>
      <c r="AX17" s="671"/>
      <c r="AY17" s="672"/>
      <c r="AZ17" s="673"/>
      <c r="BA17" s="421"/>
      <c r="BB17" s="422"/>
      <c r="BC17" s="1041"/>
      <c r="BD17" s="20" t="s">
        <v>207</v>
      </c>
    </row>
    <row r="18" spans="1:56" ht="16.5" customHeight="1" x14ac:dyDescent="0.3">
      <c r="A18" s="1038" t="str">
        <f>IF(IGRF!B18="","",IGRF!B18)</f>
        <v>4</v>
      </c>
      <c r="B18" s="423" t="s">
        <v>201</v>
      </c>
      <c r="C18" s="424"/>
      <c r="D18" s="424"/>
      <c r="E18" s="424"/>
      <c r="F18" s="424"/>
      <c r="G18" s="425"/>
      <c r="H18" s="674"/>
      <c r="I18" s="675"/>
      <c r="J18" s="426"/>
      <c r="K18" s="418"/>
      <c r="L18" s="1034">
        <f>IF(COUNTA(B18:J18)=0,"",COUNTA(B18:J18))</f>
        <v>1</v>
      </c>
      <c r="M18" s="1025">
        <v>15</v>
      </c>
      <c r="N18" s="1026"/>
      <c r="O18" s="1027">
        <v>15</v>
      </c>
      <c r="P18" s="1038" t="str">
        <f>IF(IGRF!H18="","",IGRF!H18)</f>
        <v>22</v>
      </c>
      <c r="Q18" s="423" t="s">
        <v>193</v>
      </c>
      <c r="R18" s="424"/>
      <c r="S18" s="424"/>
      <c r="T18" s="424"/>
      <c r="U18" s="424"/>
      <c r="V18" s="425"/>
      <c r="W18" s="674"/>
      <c r="X18" s="675"/>
      <c r="Y18" s="426"/>
      <c r="Z18" s="418"/>
      <c r="AA18" s="1034">
        <f>IF(COUNTA(Q18:Y18)=0,"",COUNTA(Q18:Y18))</f>
        <v>1</v>
      </c>
      <c r="AB18" s="22" t="s">
        <v>208</v>
      </c>
      <c r="AC18" s="1036" t="str">
        <f>IF(IGRF!B18="","",IGRF!B18)</f>
        <v>4</v>
      </c>
      <c r="AD18" s="423"/>
      <c r="AE18" s="424" t="s">
        <v>217</v>
      </c>
      <c r="AF18" s="424"/>
      <c r="AG18" s="424"/>
      <c r="AH18" s="424"/>
      <c r="AI18" s="425"/>
      <c r="AJ18" s="674"/>
      <c r="AK18" s="675"/>
      <c r="AL18" s="426"/>
      <c r="AM18" s="418"/>
      <c r="AN18" s="1034">
        <f>IF(COUNTA(AD18:AL18)=0,"",COUNTA(AD18:AL18))</f>
        <v>1</v>
      </c>
      <c r="AO18" s="1025">
        <v>15</v>
      </c>
      <c r="AP18" s="1026"/>
      <c r="AQ18" s="1027"/>
      <c r="AR18" s="1036" t="str">
        <f>IF(IGRF!H18="","",IGRF!H18)</f>
        <v>22</v>
      </c>
      <c r="AS18" s="423"/>
      <c r="AT18" s="424" t="s">
        <v>189</v>
      </c>
      <c r="AU18" s="424"/>
      <c r="AV18" s="424"/>
      <c r="AW18" s="424"/>
      <c r="AX18" s="425"/>
      <c r="AY18" s="674"/>
      <c r="AZ18" s="675"/>
      <c r="BA18" s="426"/>
      <c r="BB18" s="418"/>
      <c r="BC18" s="1034">
        <f>IF(COUNTA(AS18:BA18)=0,"",COUNTA(AS18:BA18))</f>
        <v>1</v>
      </c>
      <c r="BD18" s="22" t="s">
        <v>208</v>
      </c>
    </row>
    <row r="19" spans="1:56" ht="16.5" customHeight="1" thickBot="1" x14ac:dyDescent="0.35">
      <c r="A19" s="1045"/>
      <c r="B19" s="487">
        <v>14</v>
      </c>
      <c r="C19" s="427"/>
      <c r="D19" s="427"/>
      <c r="E19" s="427"/>
      <c r="F19" s="427"/>
      <c r="G19" s="428"/>
      <c r="H19" s="677"/>
      <c r="I19" s="678"/>
      <c r="J19" s="489"/>
      <c r="K19" s="422"/>
      <c r="L19" s="1035"/>
      <c r="M19" s="1017">
        <v>16</v>
      </c>
      <c r="N19" s="1018"/>
      <c r="O19" s="1019">
        <v>16</v>
      </c>
      <c r="P19" s="1045"/>
      <c r="Q19" s="487">
        <v>16</v>
      </c>
      <c r="R19" s="427"/>
      <c r="S19" s="427"/>
      <c r="T19" s="427"/>
      <c r="U19" s="427"/>
      <c r="V19" s="428"/>
      <c r="W19" s="677"/>
      <c r="X19" s="678"/>
      <c r="Y19" s="489"/>
      <c r="Z19" s="422"/>
      <c r="AA19" s="1035"/>
      <c r="AB19" s="237" t="s">
        <v>209</v>
      </c>
      <c r="AC19" s="1037"/>
      <c r="AD19" s="487"/>
      <c r="AE19" s="427">
        <v>9</v>
      </c>
      <c r="AF19" s="427"/>
      <c r="AG19" s="427"/>
      <c r="AH19" s="427"/>
      <c r="AI19" s="428"/>
      <c r="AJ19" s="677"/>
      <c r="AK19" s="678"/>
      <c r="AL19" s="489"/>
      <c r="AM19" s="422"/>
      <c r="AN19" s="1035"/>
      <c r="AO19" s="1017">
        <v>16</v>
      </c>
      <c r="AP19" s="1018"/>
      <c r="AQ19" s="1019"/>
      <c r="AR19" s="1037"/>
      <c r="AS19" s="487"/>
      <c r="AT19" s="427">
        <v>24</v>
      </c>
      <c r="AU19" s="427"/>
      <c r="AV19" s="427"/>
      <c r="AW19" s="427"/>
      <c r="AX19" s="428"/>
      <c r="AY19" s="677"/>
      <c r="AZ19" s="678"/>
      <c r="BA19" s="489"/>
      <c r="BB19" s="422"/>
      <c r="BC19" s="1035"/>
      <c r="BD19" s="237" t="s">
        <v>209</v>
      </c>
    </row>
    <row r="20" spans="1:56" ht="16.5" customHeight="1" thickBot="1" x14ac:dyDescent="0.35">
      <c r="A20" s="1043" t="str">
        <f>IF(IGRF!B19="","",IGRF!B19)</f>
        <v>505</v>
      </c>
      <c r="B20" s="415" t="s">
        <v>204</v>
      </c>
      <c r="C20" s="416"/>
      <c r="D20" s="416"/>
      <c r="E20" s="416"/>
      <c r="F20" s="416"/>
      <c r="G20" s="668"/>
      <c r="H20" s="669"/>
      <c r="I20" s="670"/>
      <c r="J20" s="417"/>
      <c r="K20" s="418"/>
      <c r="L20" s="1040">
        <f>IF(COUNTA(B20:J20)=0,"",COUNTA(B20:J20))</f>
        <v>1</v>
      </c>
      <c r="M20" s="1025">
        <v>17</v>
      </c>
      <c r="N20" s="1026"/>
      <c r="O20" s="1027">
        <v>17</v>
      </c>
      <c r="P20" s="1043" t="str">
        <f>IF(IGRF!H19="","",IGRF!H19)</f>
        <v>312</v>
      </c>
      <c r="Q20" s="415" t="s">
        <v>199</v>
      </c>
      <c r="R20" s="416"/>
      <c r="S20" s="416"/>
      <c r="T20" s="416"/>
      <c r="U20" s="416"/>
      <c r="V20" s="668"/>
      <c r="W20" s="669"/>
      <c r="X20" s="670"/>
      <c r="Y20" s="417"/>
      <c r="Z20" s="418"/>
      <c r="AA20" s="1040">
        <f>IF(COUNTA(Q20:Y20)=0,"",COUNTA(Q20:Y20))</f>
        <v>1</v>
      </c>
      <c r="AB20" s="20" t="s">
        <v>369</v>
      </c>
      <c r="AC20" s="1042" t="str">
        <f>IF(IGRF!B19="","",IGRF!B19)</f>
        <v>505</v>
      </c>
      <c r="AD20" s="415"/>
      <c r="AE20" s="416" t="s">
        <v>206</v>
      </c>
      <c r="AF20" s="416"/>
      <c r="AG20" s="416"/>
      <c r="AH20" s="416"/>
      <c r="AI20" s="668"/>
      <c r="AJ20" s="669"/>
      <c r="AK20" s="670"/>
      <c r="AL20" s="417"/>
      <c r="AM20" s="418"/>
      <c r="AN20" s="1040">
        <f>IF(COUNTA(AD20:AL20)=0,"",COUNTA(AD20:AL20))</f>
        <v>1</v>
      </c>
      <c r="AO20" s="1025">
        <v>17</v>
      </c>
      <c r="AP20" s="1026"/>
      <c r="AQ20" s="1027"/>
      <c r="AR20" s="1042" t="str">
        <f>IF(IGRF!H19="","",IGRF!H19)</f>
        <v>312</v>
      </c>
      <c r="AS20" s="415"/>
      <c r="AT20" s="416" t="s">
        <v>199</v>
      </c>
      <c r="AU20" s="416"/>
      <c r="AV20" s="416"/>
      <c r="AW20" s="416"/>
      <c r="AX20" s="668"/>
      <c r="AY20" s="669"/>
      <c r="AZ20" s="670"/>
      <c r="BA20" s="417"/>
      <c r="BB20" s="418"/>
      <c r="BC20" s="1040">
        <f>IF(COUNTA(AS20:BA20)=0,"",COUNTA(AS20:BA20))</f>
        <v>1</v>
      </c>
      <c r="BD20" s="20" t="s">
        <v>369</v>
      </c>
    </row>
    <row r="21" spans="1:56" ht="16.5" customHeight="1" thickBot="1" x14ac:dyDescent="0.35">
      <c r="A21" s="1044"/>
      <c r="B21" s="419">
        <v>17</v>
      </c>
      <c r="C21" s="420"/>
      <c r="D21" s="420"/>
      <c r="E21" s="420"/>
      <c r="F21" s="420"/>
      <c r="G21" s="671"/>
      <c r="H21" s="672"/>
      <c r="I21" s="673"/>
      <c r="J21" s="421"/>
      <c r="K21" s="422"/>
      <c r="L21" s="1041"/>
      <c r="M21" s="1017">
        <v>18</v>
      </c>
      <c r="N21" s="1018"/>
      <c r="O21" s="1019">
        <v>18</v>
      </c>
      <c r="P21" s="1044"/>
      <c r="Q21" s="419">
        <v>12</v>
      </c>
      <c r="R21" s="420"/>
      <c r="S21" s="420"/>
      <c r="T21" s="420"/>
      <c r="U21" s="420"/>
      <c r="V21" s="671"/>
      <c r="W21" s="672"/>
      <c r="X21" s="673"/>
      <c r="Y21" s="421"/>
      <c r="Z21" s="422"/>
      <c r="AA21" s="1041"/>
      <c r="AB21" s="22" t="s">
        <v>195</v>
      </c>
      <c r="AC21" s="1042"/>
      <c r="AD21" s="419"/>
      <c r="AE21" s="420">
        <v>10</v>
      </c>
      <c r="AF21" s="420"/>
      <c r="AG21" s="420"/>
      <c r="AH21" s="420"/>
      <c r="AI21" s="671"/>
      <c r="AJ21" s="672"/>
      <c r="AK21" s="673"/>
      <c r="AL21" s="421"/>
      <c r="AM21" s="422"/>
      <c r="AN21" s="1041"/>
      <c r="AO21" s="1017">
        <v>18</v>
      </c>
      <c r="AP21" s="1018"/>
      <c r="AQ21" s="1019"/>
      <c r="AR21" s="1042"/>
      <c r="AS21" s="419"/>
      <c r="AT21" s="420">
        <v>2</v>
      </c>
      <c r="AU21" s="420"/>
      <c r="AV21" s="420"/>
      <c r="AW21" s="420"/>
      <c r="AX21" s="671"/>
      <c r="AY21" s="672"/>
      <c r="AZ21" s="673"/>
      <c r="BA21" s="421"/>
      <c r="BB21" s="422"/>
      <c r="BC21" s="1041"/>
      <c r="BD21" s="22" t="s">
        <v>195</v>
      </c>
    </row>
    <row r="22" spans="1:56" ht="16.5" customHeight="1" x14ac:dyDescent="0.3">
      <c r="A22" s="1038" t="str">
        <f>IF(IGRF!B20="","",IGRF!B20)</f>
        <v>53</v>
      </c>
      <c r="B22" s="423"/>
      <c r="C22" s="424"/>
      <c r="D22" s="424"/>
      <c r="E22" s="424"/>
      <c r="F22" s="424"/>
      <c r="G22" s="425"/>
      <c r="H22" s="674"/>
      <c r="I22" s="675"/>
      <c r="J22" s="426"/>
      <c r="K22" s="418"/>
      <c r="L22" s="1034" t="str">
        <f>IF(COUNTA(B22:J22)=0,"",COUNTA(B22:J22))</f>
        <v/>
      </c>
      <c r="M22" s="1025">
        <v>19</v>
      </c>
      <c r="N22" s="1026"/>
      <c r="O22" s="1027">
        <v>19</v>
      </c>
      <c r="P22" s="1038" t="str">
        <f>IF(IGRF!H20="","",IGRF!H20)</f>
        <v>51</v>
      </c>
      <c r="Q22" s="423"/>
      <c r="R22" s="424"/>
      <c r="S22" s="424"/>
      <c r="T22" s="424"/>
      <c r="U22" s="424"/>
      <c r="V22" s="425"/>
      <c r="W22" s="674"/>
      <c r="X22" s="675"/>
      <c r="Y22" s="426"/>
      <c r="Z22" s="418"/>
      <c r="AA22" s="1034" t="str">
        <f>IF(COUNTA(Q22:Y22)=0,"",COUNTA(Q22:Y22))</f>
        <v/>
      </c>
      <c r="AB22" s="240" t="s">
        <v>196</v>
      </c>
      <c r="AC22" s="1036" t="str">
        <f>IF(IGRF!B20="","",IGRF!B20)</f>
        <v>53</v>
      </c>
      <c r="AD22" s="423"/>
      <c r="AE22" s="424"/>
      <c r="AF22" s="424"/>
      <c r="AG22" s="424"/>
      <c r="AH22" s="424"/>
      <c r="AI22" s="425"/>
      <c r="AJ22" s="674"/>
      <c r="AK22" s="675"/>
      <c r="AL22" s="426"/>
      <c r="AM22" s="418"/>
      <c r="AN22" s="1034" t="str">
        <f>IF(COUNTA(AD22:AL22)=0,"",COUNTA(AD22:AL22))</f>
        <v/>
      </c>
      <c r="AO22" s="1025">
        <v>19</v>
      </c>
      <c r="AP22" s="1026"/>
      <c r="AQ22" s="1027"/>
      <c r="AR22" s="1036" t="str">
        <f>IF(IGRF!H20="","",IGRF!H20)</f>
        <v>51</v>
      </c>
      <c r="AS22" s="423" t="s">
        <v>193</v>
      </c>
      <c r="AT22" s="424" t="s">
        <v>193</v>
      </c>
      <c r="AU22" s="424"/>
      <c r="AV22" s="424"/>
      <c r="AW22" s="424"/>
      <c r="AX22" s="425"/>
      <c r="AY22" s="674"/>
      <c r="AZ22" s="675"/>
      <c r="BA22" s="426"/>
      <c r="BB22" s="418"/>
      <c r="BC22" s="1034">
        <f>IF(COUNTA(AS22:BA22)=0,"",COUNTA(AS22:BA22))</f>
        <v>2</v>
      </c>
      <c r="BD22" s="240" t="s">
        <v>196</v>
      </c>
    </row>
    <row r="23" spans="1:56" ht="16.5" customHeight="1" thickBot="1" x14ac:dyDescent="0.35">
      <c r="A23" s="1045"/>
      <c r="B23" s="487"/>
      <c r="C23" s="427"/>
      <c r="D23" s="427"/>
      <c r="E23" s="427"/>
      <c r="F23" s="427"/>
      <c r="G23" s="428"/>
      <c r="H23" s="677"/>
      <c r="I23" s="678"/>
      <c r="J23" s="489"/>
      <c r="K23" s="422"/>
      <c r="L23" s="1035"/>
      <c r="M23" s="1017">
        <v>20</v>
      </c>
      <c r="N23" s="1018"/>
      <c r="O23" s="1019">
        <v>20</v>
      </c>
      <c r="P23" s="1045"/>
      <c r="Q23" s="487"/>
      <c r="R23" s="427"/>
      <c r="S23" s="427"/>
      <c r="T23" s="427"/>
      <c r="U23" s="427"/>
      <c r="V23" s="428"/>
      <c r="W23" s="677"/>
      <c r="X23" s="678"/>
      <c r="Y23" s="489"/>
      <c r="Z23" s="422"/>
      <c r="AA23" s="1035"/>
      <c r="AB23" s="238" t="s">
        <v>370</v>
      </c>
      <c r="AC23" s="1037"/>
      <c r="AD23" s="487"/>
      <c r="AE23" s="427"/>
      <c r="AF23" s="427"/>
      <c r="AG23" s="427"/>
      <c r="AH23" s="427"/>
      <c r="AI23" s="428"/>
      <c r="AJ23" s="677"/>
      <c r="AK23" s="678"/>
      <c r="AL23" s="489"/>
      <c r="AM23" s="422"/>
      <c r="AN23" s="1035"/>
      <c r="AO23" s="1017">
        <v>20</v>
      </c>
      <c r="AP23" s="1018"/>
      <c r="AQ23" s="1019"/>
      <c r="AR23" s="1037"/>
      <c r="AS23" s="487">
        <v>11</v>
      </c>
      <c r="AT23" s="427">
        <v>11</v>
      </c>
      <c r="AU23" s="427"/>
      <c r="AV23" s="427"/>
      <c r="AW23" s="427"/>
      <c r="AX23" s="428"/>
      <c r="AY23" s="677"/>
      <c r="AZ23" s="678"/>
      <c r="BA23" s="489"/>
      <c r="BB23" s="422"/>
      <c r="BC23" s="1035"/>
      <c r="BD23" s="238" t="s">
        <v>370</v>
      </c>
    </row>
    <row r="24" spans="1:56" ht="16.5" customHeight="1" thickBot="1" x14ac:dyDescent="0.35">
      <c r="A24" s="1043" t="str">
        <f>IF(IGRF!B21="","",IGRF!B21)</f>
        <v>761</v>
      </c>
      <c r="B24" s="415" t="s">
        <v>193</v>
      </c>
      <c r="C24" s="416"/>
      <c r="D24" s="416"/>
      <c r="E24" s="416"/>
      <c r="F24" s="416"/>
      <c r="G24" s="668"/>
      <c r="H24" s="669"/>
      <c r="I24" s="670"/>
      <c r="J24" s="417"/>
      <c r="K24" s="418"/>
      <c r="L24" s="1040">
        <f>IF(COUNTA(B24:J24)=0,"",COUNTA(B24:J24))</f>
        <v>1</v>
      </c>
      <c r="M24" s="1025">
        <v>21</v>
      </c>
      <c r="N24" s="1026"/>
      <c r="O24" s="1027">
        <v>21</v>
      </c>
      <c r="P24" s="1043" t="str">
        <f>IF(IGRF!H21="","",IGRF!H21)</f>
        <v>5309</v>
      </c>
      <c r="Q24" s="415"/>
      <c r="R24" s="416"/>
      <c r="S24" s="416"/>
      <c r="T24" s="416"/>
      <c r="U24" s="416"/>
      <c r="V24" s="668"/>
      <c r="W24" s="669"/>
      <c r="X24" s="670"/>
      <c r="Y24" s="417"/>
      <c r="Z24" s="418"/>
      <c r="AA24" s="1040" t="str">
        <f>IF(COUNTA(Q24:Y24)=0,"",COUNTA(Q24:Y24))</f>
        <v/>
      </c>
      <c r="AB24" s="239" t="s">
        <v>371</v>
      </c>
      <c r="AC24" s="1042" t="str">
        <f>IF(IGRF!B21="","",IGRF!B21)</f>
        <v>761</v>
      </c>
      <c r="AD24" s="415"/>
      <c r="AE24" s="416" t="s">
        <v>199</v>
      </c>
      <c r="AF24" s="416"/>
      <c r="AG24" s="416"/>
      <c r="AH24" s="416"/>
      <c r="AI24" s="668"/>
      <c r="AJ24" s="669"/>
      <c r="AK24" s="670"/>
      <c r="AL24" s="417"/>
      <c r="AM24" s="418"/>
      <c r="AN24" s="1040">
        <f>IF(COUNTA(AD24:AL24)=0,"",COUNTA(AD24:AL24))</f>
        <v>1</v>
      </c>
      <c r="AO24" s="1025">
        <v>21</v>
      </c>
      <c r="AP24" s="1026"/>
      <c r="AQ24" s="1027"/>
      <c r="AR24" s="1042" t="str">
        <f>IF(IGRF!H21="","",IGRF!H21)</f>
        <v>5309</v>
      </c>
      <c r="AS24" s="415"/>
      <c r="AT24" s="416"/>
      <c r="AU24" s="416"/>
      <c r="AV24" s="416"/>
      <c r="AW24" s="416"/>
      <c r="AX24" s="668"/>
      <c r="AY24" s="669"/>
      <c r="AZ24" s="670"/>
      <c r="BA24" s="417"/>
      <c r="BB24" s="418"/>
      <c r="BC24" s="1040" t="str">
        <f>IF(COUNTA(AS24:BA24)=0,"",COUNTA(AS24:BA24))</f>
        <v/>
      </c>
      <c r="BD24" s="239" t="s">
        <v>371</v>
      </c>
    </row>
    <row r="25" spans="1:56" ht="16.5" customHeight="1" thickBot="1" x14ac:dyDescent="0.35">
      <c r="A25" s="1044"/>
      <c r="B25" s="419">
        <v>8</v>
      </c>
      <c r="C25" s="420"/>
      <c r="D25" s="420"/>
      <c r="E25" s="420"/>
      <c r="F25" s="420"/>
      <c r="G25" s="671"/>
      <c r="H25" s="672"/>
      <c r="I25" s="673"/>
      <c r="J25" s="421"/>
      <c r="K25" s="422"/>
      <c r="L25" s="1041"/>
      <c r="M25" s="1017">
        <v>22</v>
      </c>
      <c r="N25" s="1018"/>
      <c r="O25" s="1019">
        <v>22</v>
      </c>
      <c r="P25" s="1044"/>
      <c r="Q25" s="419"/>
      <c r="R25" s="420"/>
      <c r="S25" s="420"/>
      <c r="T25" s="420"/>
      <c r="U25" s="420"/>
      <c r="V25" s="671"/>
      <c r="W25" s="672"/>
      <c r="X25" s="673"/>
      <c r="Y25" s="421"/>
      <c r="Z25" s="422"/>
      <c r="AA25" s="1041"/>
      <c r="AB25" s="22" t="s">
        <v>210</v>
      </c>
      <c r="AC25" s="1042"/>
      <c r="AD25" s="419"/>
      <c r="AE25" s="420">
        <v>20</v>
      </c>
      <c r="AF25" s="420"/>
      <c r="AG25" s="420"/>
      <c r="AH25" s="420"/>
      <c r="AI25" s="671"/>
      <c r="AJ25" s="672"/>
      <c r="AK25" s="673"/>
      <c r="AL25" s="421"/>
      <c r="AM25" s="422"/>
      <c r="AN25" s="1041"/>
      <c r="AO25" s="1017">
        <v>22</v>
      </c>
      <c r="AP25" s="1018"/>
      <c r="AQ25" s="1019"/>
      <c r="AR25" s="1042"/>
      <c r="AS25" s="419"/>
      <c r="AT25" s="420"/>
      <c r="AU25" s="420"/>
      <c r="AV25" s="420"/>
      <c r="AW25" s="420"/>
      <c r="AX25" s="671"/>
      <c r="AY25" s="672"/>
      <c r="AZ25" s="673"/>
      <c r="BA25" s="421"/>
      <c r="BB25" s="422"/>
      <c r="BC25" s="1041"/>
      <c r="BD25" s="22" t="s">
        <v>210</v>
      </c>
    </row>
    <row r="26" spans="1:56" ht="16.5" customHeight="1" x14ac:dyDescent="0.3">
      <c r="A26" s="1038" t="str">
        <f>IF(IGRF!B22="","",IGRF!B22)</f>
        <v>808</v>
      </c>
      <c r="B26" s="423" t="s">
        <v>204</v>
      </c>
      <c r="C26" s="424" t="s">
        <v>193</v>
      </c>
      <c r="D26" s="424"/>
      <c r="E26" s="424"/>
      <c r="F26" s="424"/>
      <c r="G26" s="425"/>
      <c r="H26" s="674"/>
      <c r="I26" s="675"/>
      <c r="J26" s="426"/>
      <c r="K26" s="418"/>
      <c r="L26" s="1034">
        <f>IF(COUNTA(B26:J26)=0,"",COUNTA(B26:J26))</f>
        <v>2</v>
      </c>
      <c r="M26" s="1025">
        <v>23</v>
      </c>
      <c r="N26" s="1026"/>
      <c r="O26" s="1027">
        <v>23</v>
      </c>
      <c r="P26" s="1038" t="str">
        <f>IF(IGRF!H22="","",IGRF!H22)</f>
        <v>69</v>
      </c>
      <c r="Q26" s="423" t="s">
        <v>199</v>
      </c>
      <c r="R26" s="424"/>
      <c r="S26" s="424"/>
      <c r="T26" s="424"/>
      <c r="U26" s="424"/>
      <c r="V26" s="425"/>
      <c r="W26" s="674"/>
      <c r="X26" s="675"/>
      <c r="Y26" s="426"/>
      <c r="Z26" s="418"/>
      <c r="AA26" s="1034">
        <f>IF(COUNTA(Q26:Y26)=0,"",COUNTA(Q26:Y26))</f>
        <v>1</v>
      </c>
      <c r="AB26" s="237" t="s">
        <v>211</v>
      </c>
      <c r="AC26" s="1036" t="str">
        <f>IF(IGRF!B22="","",IGRF!B22)</f>
        <v>808</v>
      </c>
      <c r="AD26" s="423"/>
      <c r="AE26" s="424"/>
      <c r="AF26" s="424"/>
      <c r="AG26" s="424"/>
      <c r="AH26" s="424"/>
      <c r="AI26" s="425"/>
      <c r="AJ26" s="674"/>
      <c r="AK26" s="675"/>
      <c r="AL26" s="426"/>
      <c r="AM26" s="418"/>
      <c r="AN26" s="1034" t="str">
        <f>IF(COUNTA(AD26:AL26)=0,"",COUNTA(AD26:AL26))</f>
        <v/>
      </c>
      <c r="AO26" s="1025">
        <v>23</v>
      </c>
      <c r="AP26" s="1026"/>
      <c r="AQ26" s="1027"/>
      <c r="AR26" s="1036" t="str">
        <f>IF(IGRF!H22="","",IGRF!H22)</f>
        <v>69</v>
      </c>
      <c r="AS26" s="423"/>
      <c r="AT26" s="424" t="s">
        <v>193</v>
      </c>
      <c r="AU26" s="424" t="s">
        <v>193</v>
      </c>
      <c r="AV26" s="424"/>
      <c r="AW26" s="424"/>
      <c r="AX26" s="425"/>
      <c r="AY26" s="674"/>
      <c r="AZ26" s="675"/>
      <c r="BA26" s="426"/>
      <c r="BB26" s="418"/>
      <c r="BC26" s="1034">
        <f>IF(COUNTA(AS26:BA26)=0,"",COUNTA(AS26:BA26))</f>
        <v>2</v>
      </c>
      <c r="BD26" s="237" t="s">
        <v>211</v>
      </c>
    </row>
    <row r="27" spans="1:56" ht="16.5" customHeight="1" thickBot="1" x14ac:dyDescent="0.35">
      <c r="A27" s="1045"/>
      <c r="B27" s="487">
        <v>2</v>
      </c>
      <c r="C27" s="427">
        <v>7</v>
      </c>
      <c r="D27" s="427"/>
      <c r="E27" s="427"/>
      <c r="F27" s="427"/>
      <c r="G27" s="428"/>
      <c r="H27" s="677"/>
      <c r="I27" s="678"/>
      <c r="J27" s="489"/>
      <c r="K27" s="422"/>
      <c r="L27" s="1035"/>
      <c r="M27" s="1017">
        <v>24</v>
      </c>
      <c r="N27" s="1018"/>
      <c r="O27" s="1019">
        <v>24</v>
      </c>
      <c r="P27" s="1045"/>
      <c r="Q27" s="487">
        <v>9</v>
      </c>
      <c r="R27" s="427"/>
      <c r="S27" s="427"/>
      <c r="T27" s="427"/>
      <c r="U27" s="427"/>
      <c r="V27" s="428"/>
      <c r="W27" s="677"/>
      <c r="X27" s="678"/>
      <c r="Y27" s="489"/>
      <c r="Z27" s="422"/>
      <c r="AA27" s="1035"/>
      <c r="AB27" s="238" t="s">
        <v>390</v>
      </c>
      <c r="AC27" s="1037"/>
      <c r="AD27" s="487"/>
      <c r="AE27" s="427"/>
      <c r="AF27" s="427"/>
      <c r="AG27" s="427"/>
      <c r="AH27" s="427"/>
      <c r="AI27" s="428"/>
      <c r="AJ27" s="677"/>
      <c r="AK27" s="678"/>
      <c r="AL27" s="489"/>
      <c r="AM27" s="422"/>
      <c r="AN27" s="1035"/>
      <c r="AO27" s="1017">
        <v>24</v>
      </c>
      <c r="AP27" s="1018"/>
      <c r="AQ27" s="1019"/>
      <c r="AR27" s="1037"/>
      <c r="AS27" s="487"/>
      <c r="AT27" s="427">
        <v>8</v>
      </c>
      <c r="AU27" s="427">
        <v>9</v>
      </c>
      <c r="AV27" s="427"/>
      <c r="AW27" s="427"/>
      <c r="AX27" s="428"/>
      <c r="AY27" s="677"/>
      <c r="AZ27" s="678"/>
      <c r="BA27" s="489"/>
      <c r="BB27" s="422"/>
      <c r="BC27" s="1035"/>
      <c r="BD27" s="238" t="s">
        <v>390</v>
      </c>
    </row>
    <row r="28" spans="1:56" ht="16.5" customHeight="1" thickBot="1" x14ac:dyDescent="0.35">
      <c r="A28" s="1043" t="str">
        <f>IF(IGRF!B23="","",IGRF!B23)</f>
        <v>9</v>
      </c>
      <c r="B28" s="415" t="s">
        <v>210</v>
      </c>
      <c r="C28" s="416" t="s">
        <v>201</v>
      </c>
      <c r="D28" s="416"/>
      <c r="E28" s="416"/>
      <c r="F28" s="416"/>
      <c r="G28" s="668"/>
      <c r="H28" s="669"/>
      <c r="I28" s="670"/>
      <c r="J28" s="417"/>
      <c r="K28" s="418"/>
      <c r="L28" s="1040">
        <f>IF(COUNTA(B28:J28)=0,"",COUNTA(B28:J28))</f>
        <v>2</v>
      </c>
      <c r="M28" s="1025">
        <v>25</v>
      </c>
      <c r="N28" s="1026"/>
      <c r="O28" s="1027">
        <v>25</v>
      </c>
      <c r="P28" s="1043" t="str">
        <f>IF(IGRF!H23="","",IGRF!H23)</f>
        <v>9</v>
      </c>
      <c r="Q28" s="415"/>
      <c r="R28" s="416"/>
      <c r="S28" s="416"/>
      <c r="T28" s="416"/>
      <c r="U28" s="416"/>
      <c r="V28" s="668"/>
      <c r="W28" s="669"/>
      <c r="X28" s="670"/>
      <c r="Y28" s="417"/>
      <c r="Z28" s="418"/>
      <c r="AA28" s="1040" t="str">
        <f>IF(COUNTA(Q28:Y28)=0,"",COUNTA(Q28:Y28))</f>
        <v/>
      </c>
      <c r="AB28" s="239" t="s">
        <v>372</v>
      </c>
      <c r="AC28" s="1042" t="str">
        <f>IF(IGRF!B23="","",IGRF!B23)</f>
        <v>9</v>
      </c>
      <c r="AD28" s="415"/>
      <c r="AE28" s="416"/>
      <c r="AF28" s="416" t="s">
        <v>208</v>
      </c>
      <c r="AG28" s="416"/>
      <c r="AH28" s="416"/>
      <c r="AI28" s="668"/>
      <c r="AJ28" s="669"/>
      <c r="AK28" s="670"/>
      <c r="AL28" s="417"/>
      <c r="AM28" s="418"/>
      <c r="AN28" s="1040">
        <f>IF(COUNTA(AD28:AL28)=0,"",COUNTA(AD28:AL28))</f>
        <v>1</v>
      </c>
      <c r="AO28" s="1025">
        <v>25</v>
      </c>
      <c r="AP28" s="1026"/>
      <c r="AQ28" s="1027"/>
      <c r="AR28" s="1042" t="str">
        <f>IF(IGRF!H23="","",IGRF!H23)</f>
        <v>9</v>
      </c>
      <c r="AS28" s="415"/>
      <c r="AT28" s="416"/>
      <c r="AU28" s="416"/>
      <c r="AV28" s="416"/>
      <c r="AW28" s="416"/>
      <c r="AX28" s="668"/>
      <c r="AY28" s="669"/>
      <c r="AZ28" s="670"/>
      <c r="BA28" s="417"/>
      <c r="BB28" s="418"/>
      <c r="BC28" s="1040" t="str">
        <f>IF(COUNTA(AS28:BA28)=0,"",COUNTA(AS28:BA28))</f>
        <v/>
      </c>
      <c r="BD28" s="239" t="s">
        <v>372</v>
      </c>
    </row>
    <row r="29" spans="1:56" ht="16.5" customHeight="1" thickBot="1" x14ac:dyDescent="0.35">
      <c r="A29" s="1044"/>
      <c r="B29" s="419">
        <v>2</v>
      </c>
      <c r="C29" s="420">
        <v>8</v>
      </c>
      <c r="D29" s="420"/>
      <c r="E29" s="420"/>
      <c r="F29" s="420"/>
      <c r="G29" s="671"/>
      <c r="H29" s="672"/>
      <c r="I29" s="673"/>
      <c r="J29" s="421"/>
      <c r="K29" s="422"/>
      <c r="L29" s="1041"/>
      <c r="M29" s="1017">
        <v>26</v>
      </c>
      <c r="N29" s="1018"/>
      <c r="O29" s="1019">
        <v>26</v>
      </c>
      <c r="P29" s="1044"/>
      <c r="Q29" s="419"/>
      <c r="R29" s="420"/>
      <c r="S29" s="420"/>
      <c r="T29" s="420"/>
      <c r="U29" s="420"/>
      <c r="V29" s="671"/>
      <c r="W29" s="672"/>
      <c r="X29" s="673"/>
      <c r="Y29" s="421"/>
      <c r="Z29" s="422"/>
      <c r="AA29" s="1041"/>
      <c r="AB29" s="679" t="s">
        <v>193</v>
      </c>
      <c r="AC29" s="1042"/>
      <c r="AD29" s="419"/>
      <c r="AE29" s="420"/>
      <c r="AF29" s="420">
        <v>10</v>
      </c>
      <c r="AG29" s="420"/>
      <c r="AH29" s="420"/>
      <c r="AI29" s="671"/>
      <c r="AJ29" s="672"/>
      <c r="AK29" s="673"/>
      <c r="AL29" s="421"/>
      <c r="AM29" s="422"/>
      <c r="AN29" s="1041"/>
      <c r="AO29" s="1017">
        <v>26</v>
      </c>
      <c r="AP29" s="1018"/>
      <c r="AQ29" s="1019"/>
      <c r="AR29" s="1042"/>
      <c r="AS29" s="419"/>
      <c r="AT29" s="420"/>
      <c r="AU29" s="420"/>
      <c r="AV29" s="420"/>
      <c r="AW29" s="420"/>
      <c r="AX29" s="671"/>
      <c r="AY29" s="672"/>
      <c r="AZ29" s="673"/>
      <c r="BA29" s="421"/>
      <c r="BB29" s="422"/>
      <c r="BC29" s="1041"/>
      <c r="BD29" s="679" t="s">
        <v>193</v>
      </c>
    </row>
    <row r="30" spans="1:56" ht="16.5" customHeight="1" thickBot="1" x14ac:dyDescent="0.35">
      <c r="A30" s="1038" t="str">
        <f>IF(IGRF!B24="","",IGRF!B24)</f>
        <v>911</v>
      </c>
      <c r="B30" s="423" t="s">
        <v>203</v>
      </c>
      <c r="C30" s="424" t="s">
        <v>189</v>
      </c>
      <c r="D30" s="424" t="s">
        <v>193</v>
      </c>
      <c r="E30" s="424"/>
      <c r="F30" s="424"/>
      <c r="G30" s="425"/>
      <c r="H30" s="674"/>
      <c r="I30" s="675"/>
      <c r="J30" s="426"/>
      <c r="K30" s="418"/>
      <c r="L30" s="1034">
        <f>IF(COUNTA(B30:J30)=0,"",COUNTA(B30:J30))</f>
        <v>3</v>
      </c>
      <c r="M30" s="1025">
        <v>27</v>
      </c>
      <c r="N30" s="1026"/>
      <c r="O30" s="1027">
        <v>27</v>
      </c>
      <c r="P30" s="1038" t="str">
        <f>IF(IGRF!H24="","",IGRF!H24)</f>
        <v>93</v>
      </c>
      <c r="Q30" s="423" t="s">
        <v>189</v>
      </c>
      <c r="R30" s="424"/>
      <c r="S30" s="424"/>
      <c r="T30" s="424"/>
      <c r="U30" s="424"/>
      <c r="V30" s="425"/>
      <c r="W30" s="674"/>
      <c r="X30" s="675"/>
      <c r="Y30" s="426"/>
      <c r="Z30" s="418"/>
      <c r="AA30" s="1034">
        <f>IF(COUNTA(Q30:Y30)=0,"",COUNTA(Q30:Y30))</f>
        <v>1</v>
      </c>
      <c r="AB30" s="20" t="s">
        <v>529</v>
      </c>
      <c r="AC30" s="1036" t="str">
        <f>IF(IGRF!B24="","",IGRF!B24)</f>
        <v>911</v>
      </c>
      <c r="AD30" s="423"/>
      <c r="AE30" s="424"/>
      <c r="AF30" s="424"/>
      <c r="AG30" s="424"/>
      <c r="AH30" s="424"/>
      <c r="AI30" s="425"/>
      <c r="AJ30" s="674"/>
      <c r="AK30" s="675"/>
      <c r="AL30" s="426"/>
      <c r="AM30" s="418"/>
      <c r="AN30" s="1034" t="str">
        <f>IF(COUNTA(AD30:AL30)=0,"",COUNTA(AD30:AL30))</f>
        <v/>
      </c>
      <c r="AO30" s="1025">
        <v>27</v>
      </c>
      <c r="AP30" s="1026"/>
      <c r="AQ30" s="1027"/>
      <c r="AR30" s="1036" t="str">
        <f>IF(IGRF!H24="","",IGRF!H24)</f>
        <v>93</v>
      </c>
      <c r="AS30" s="423"/>
      <c r="AT30" s="424" t="s">
        <v>195</v>
      </c>
      <c r="AU30" s="424" t="s">
        <v>193</v>
      </c>
      <c r="AV30" s="424"/>
      <c r="AW30" s="424"/>
      <c r="AX30" s="425"/>
      <c r="AY30" s="674"/>
      <c r="AZ30" s="675"/>
      <c r="BA30" s="426"/>
      <c r="BB30" s="418"/>
      <c r="BC30" s="1034">
        <f>IF(COUNTA(AS30:BA30)=0,"",COUNTA(AS30:BA30))</f>
        <v>2</v>
      </c>
      <c r="BD30" s="20" t="s">
        <v>529</v>
      </c>
    </row>
    <row r="31" spans="1:56" ht="16.5" customHeight="1" thickBot="1" x14ac:dyDescent="0.35">
      <c r="A31" s="1045"/>
      <c r="B31" s="487">
        <v>1</v>
      </c>
      <c r="C31" s="427">
        <v>6</v>
      </c>
      <c r="D31" s="427">
        <v>15</v>
      </c>
      <c r="E31" s="427"/>
      <c r="F31" s="427"/>
      <c r="G31" s="428"/>
      <c r="H31" s="677"/>
      <c r="I31" s="678"/>
      <c r="J31" s="489"/>
      <c r="K31" s="422"/>
      <c r="L31" s="1035"/>
      <c r="M31" s="1017">
        <v>28</v>
      </c>
      <c r="N31" s="1018"/>
      <c r="O31" s="1019">
        <v>28</v>
      </c>
      <c r="P31" s="1045"/>
      <c r="Q31" s="487">
        <v>8</v>
      </c>
      <c r="R31" s="427"/>
      <c r="S31" s="427"/>
      <c r="T31" s="427"/>
      <c r="U31" s="427"/>
      <c r="V31" s="428"/>
      <c r="W31" s="677"/>
      <c r="X31" s="678"/>
      <c r="Y31" s="489"/>
      <c r="Z31" s="422"/>
      <c r="AA31" s="1035"/>
      <c r="AB31" s="679" t="s">
        <v>212</v>
      </c>
      <c r="AC31" s="1037"/>
      <c r="AD31" s="487"/>
      <c r="AE31" s="427"/>
      <c r="AF31" s="427"/>
      <c r="AG31" s="427"/>
      <c r="AH31" s="427"/>
      <c r="AI31" s="428"/>
      <c r="AJ31" s="677"/>
      <c r="AK31" s="678"/>
      <c r="AL31" s="489"/>
      <c r="AM31" s="422"/>
      <c r="AN31" s="1035"/>
      <c r="AO31" s="1017">
        <v>28</v>
      </c>
      <c r="AP31" s="1018"/>
      <c r="AQ31" s="1019"/>
      <c r="AR31" s="1037"/>
      <c r="AS31" s="487"/>
      <c r="AT31" s="427">
        <v>2</v>
      </c>
      <c r="AU31" s="427">
        <v>14</v>
      </c>
      <c r="AV31" s="427"/>
      <c r="AW31" s="427"/>
      <c r="AX31" s="428"/>
      <c r="AY31" s="677"/>
      <c r="AZ31" s="678"/>
      <c r="BA31" s="489"/>
      <c r="BB31" s="422"/>
      <c r="BC31" s="1035"/>
      <c r="BD31" s="679" t="s">
        <v>212</v>
      </c>
    </row>
    <row r="32" spans="1:56" ht="16.5" customHeight="1" thickBot="1" x14ac:dyDescent="0.35">
      <c r="A32" s="1043" t="str">
        <f>IF(IGRF!B25="","",IGRF!B25)</f>
        <v>0</v>
      </c>
      <c r="B32" s="415"/>
      <c r="C32" s="416"/>
      <c r="D32" s="416"/>
      <c r="E32" s="416"/>
      <c r="F32" s="416"/>
      <c r="G32" s="668"/>
      <c r="H32" s="669"/>
      <c r="I32" s="670"/>
      <c r="J32" s="417"/>
      <c r="K32" s="418"/>
      <c r="L32" s="1040" t="str">
        <f>IF(COUNTA(B32:J32)=0,"",COUNTA(B32:J32))</f>
        <v/>
      </c>
      <c r="M32" s="1025">
        <v>29</v>
      </c>
      <c r="N32" s="1026"/>
      <c r="O32" s="1027">
        <v>29</v>
      </c>
      <c r="P32" s="1043" t="str">
        <f>IF(IGRF!H25="","",IGRF!H25)</f>
        <v/>
      </c>
      <c r="Q32" s="415"/>
      <c r="R32" s="416"/>
      <c r="S32" s="416"/>
      <c r="T32" s="416"/>
      <c r="U32" s="416"/>
      <c r="V32" s="668"/>
      <c r="W32" s="669"/>
      <c r="X32" s="670"/>
      <c r="Y32" s="417"/>
      <c r="Z32" s="418"/>
      <c r="AA32" s="1040" t="str">
        <f>IF(COUNTA(Q32:Y32)=0,"",COUNTA(Q32:Y32))</f>
        <v/>
      </c>
      <c r="AB32" s="20" t="s">
        <v>213</v>
      </c>
      <c r="AC32" s="1042" t="str">
        <f>IF(IGRF!B25="","",IGRF!B25)</f>
        <v>0</v>
      </c>
      <c r="AD32" s="415"/>
      <c r="AE32" s="416"/>
      <c r="AF32" s="416"/>
      <c r="AG32" s="416"/>
      <c r="AH32" s="416"/>
      <c r="AI32" s="668"/>
      <c r="AJ32" s="669"/>
      <c r="AK32" s="670"/>
      <c r="AL32" s="417"/>
      <c r="AM32" s="418"/>
      <c r="AN32" s="1040" t="str">
        <f>IF(COUNTA(AD32:AL32)=0,"",COUNTA(AD32:AL32))</f>
        <v/>
      </c>
      <c r="AO32" s="1025">
        <v>29</v>
      </c>
      <c r="AP32" s="1026"/>
      <c r="AQ32" s="1027"/>
      <c r="AR32" s="1042" t="str">
        <f>IF(IGRF!H25="","",IGRF!H25)</f>
        <v/>
      </c>
      <c r="AS32" s="415"/>
      <c r="AT32" s="416"/>
      <c r="AU32" s="416"/>
      <c r="AV32" s="416"/>
      <c r="AW32" s="416"/>
      <c r="AX32" s="668"/>
      <c r="AY32" s="669"/>
      <c r="AZ32" s="670"/>
      <c r="BA32" s="417"/>
      <c r="BB32" s="418"/>
      <c r="BC32" s="1040" t="str">
        <f>IF(COUNTA(AS32:BA32)=0,"",COUNTA(AS32:BA32))</f>
        <v/>
      </c>
      <c r="BD32" s="20" t="s">
        <v>213</v>
      </c>
    </row>
    <row r="33" spans="1:56" ht="16.5" customHeight="1" thickBot="1" x14ac:dyDescent="0.35">
      <c r="A33" s="1044"/>
      <c r="B33" s="419"/>
      <c r="C33" s="420"/>
      <c r="D33" s="420"/>
      <c r="E33" s="420"/>
      <c r="F33" s="420"/>
      <c r="G33" s="671"/>
      <c r="H33" s="672"/>
      <c r="I33" s="673"/>
      <c r="J33" s="421"/>
      <c r="K33" s="422"/>
      <c r="L33" s="1041"/>
      <c r="M33" s="1017">
        <v>30</v>
      </c>
      <c r="N33" s="1018"/>
      <c r="O33" s="1019">
        <v>30</v>
      </c>
      <c r="P33" s="1044"/>
      <c r="Q33" s="419"/>
      <c r="R33" s="420"/>
      <c r="S33" s="420"/>
      <c r="T33" s="420"/>
      <c r="U33" s="420"/>
      <c r="V33" s="671"/>
      <c r="W33" s="672"/>
      <c r="X33" s="673"/>
      <c r="Y33" s="421"/>
      <c r="Z33" s="422"/>
      <c r="AA33" s="1041"/>
      <c r="AB33" s="24" t="s">
        <v>203</v>
      </c>
      <c r="AC33" s="1042"/>
      <c r="AD33" s="419"/>
      <c r="AE33" s="420"/>
      <c r="AF33" s="420"/>
      <c r="AG33" s="420"/>
      <c r="AH33" s="420"/>
      <c r="AI33" s="671"/>
      <c r="AJ33" s="672"/>
      <c r="AK33" s="673"/>
      <c r="AL33" s="421"/>
      <c r="AM33" s="422"/>
      <c r="AN33" s="1041"/>
      <c r="AO33" s="1017">
        <v>30</v>
      </c>
      <c r="AP33" s="1018"/>
      <c r="AQ33" s="1019"/>
      <c r="AR33" s="1042"/>
      <c r="AS33" s="419"/>
      <c r="AT33" s="420"/>
      <c r="AU33" s="420"/>
      <c r="AV33" s="420"/>
      <c r="AW33" s="420"/>
      <c r="AX33" s="671"/>
      <c r="AY33" s="672"/>
      <c r="AZ33" s="673"/>
      <c r="BA33" s="421"/>
      <c r="BB33" s="422"/>
      <c r="BC33" s="1041"/>
      <c r="BD33" s="24" t="s">
        <v>203</v>
      </c>
    </row>
    <row r="34" spans="1:56" ht="16.5" customHeight="1" x14ac:dyDescent="0.3">
      <c r="A34" s="1038" t="str">
        <f>IF(IGRF!B26="","",IGRF!B26)</f>
        <v>88</v>
      </c>
      <c r="B34" s="423"/>
      <c r="C34" s="424"/>
      <c r="D34" s="424"/>
      <c r="E34" s="424"/>
      <c r="F34" s="424"/>
      <c r="G34" s="425"/>
      <c r="H34" s="674"/>
      <c r="I34" s="675"/>
      <c r="J34" s="426"/>
      <c r="K34" s="418"/>
      <c r="L34" s="1034" t="str">
        <f>IF(COUNTA(B34:J34)=0,"",COUNTA(B34:J34))</f>
        <v/>
      </c>
      <c r="M34" s="1025">
        <v>31</v>
      </c>
      <c r="N34" s="1026"/>
      <c r="O34" s="1027">
        <v>31</v>
      </c>
      <c r="P34" s="1038" t="str">
        <f>IF(IGRF!H26="","",IGRF!H26)</f>
        <v/>
      </c>
      <c r="Q34" s="423"/>
      <c r="R34" s="424"/>
      <c r="S34" s="424"/>
      <c r="T34" s="424"/>
      <c r="U34" s="424"/>
      <c r="V34" s="425"/>
      <c r="W34" s="674"/>
      <c r="X34" s="675"/>
      <c r="Y34" s="426"/>
      <c r="Z34" s="418"/>
      <c r="AA34" s="1034" t="str">
        <f>IF(COUNTA(Q34:Y34)=0,"",COUNTA(Q34:Y34))</f>
        <v/>
      </c>
      <c r="AB34" s="237" t="s">
        <v>375</v>
      </c>
      <c r="AC34" s="1036" t="str">
        <f>IF(IGRF!B26="","",IGRF!B26)</f>
        <v>88</v>
      </c>
      <c r="AD34" s="423"/>
      <c r="AE34" s="424"/>
      <c r="AF34" s="424"/>
      <c r="AG34" s="424"/>
      <c r="AH34" s="424"/>
      <c r="AI34" s="425"/>
      <c r="AJ34" s="674"/>
      <c r="AK34" s="675"/>
      <c r="AL34" s="426"/>
      <c r="AM34" s="418"/>
      <c r="AN34" s="1034" t="str">
        <f>IF(COUNTA(AD34:AL34)=0,"",COUNTA(AD34:AL34))</f>
        <v/>
      </c>
      <c r="AO34" s="1025">
        <v>31</v>
      </c>
      <c r="AP34" s="1026"/>
      <c r="AQ34" s="1027"/>
      <c r="AR34" s="1036" t="str">
        <f>IF(IGRF!H26="","",IGRF!H26)</f>
        <v/>
      </c>
      <c r="AS34" s="423"/>
      <c r="AT34" s="424"/>
      <c r="AU34" s="424"/>
      <c r="AV34" s="424"/>
      <c r="AW34" s="424"/>
      <c r="AX34" s="425"/>
      <c r="AY34" s="674"/>
      <c r="AZ34" s="675"/>
      <c r="BA34" s="426"/>
      <c r="BB34" s="418"/>
      <c r="BC34" s="1034" t="str">
        <f>IF(COUNTA(AS34:BA34)=0,"",COUNTA(AS34:BA34))</f>
        <v/>
      </c>
      <c r="BD34" s="237" t="s">
        <v>375</v>
      </c>
    </row>
    <row r="35" spans="1:56" ht="16.5" customHeight="1" thickBot="1" x14ac:dyDescent="0.35">
      <c r="A35" s="1045"/>
      <c r="B35" s="487"/>
      <c r="C35" s="427"/>
      <c r="D35" s="427"/>
      <c r="E35" s="427"/>
      <c r="F35" s="427"/>
      <c r="G35" s="428"/>
      <c r="H35" s="677"/>
      <c r="I35" s="678"/>
      <c r="J35" s="489"/>
      <c r="K35" s="422"/>
      <c r="L35" s="1035"/>
      <c r="M35" s="1017">
        <v>32</v>
      </c>
      <c r="N35" s="1018"/>
      <c r="O35" s="1019">
        <v>32</v>
      </c>
      <c r="P35" s="1045"/>
      <c r="Q35" s="487"/>
      <c r="R35" s="427"/>
      <c r="S35" s="427"/>
      <c r="T35" s="427"/>
      <c r="U35" s="427"/>
      <c r="V35" s="428"/>
      <c r="W35" s="677"/>
      <c r="X35" s="678"/>
      <c r="Y35" s="489"/>
      <c r="Z35" s="422"/>
      <c r="AA35" s="1035"/>
      <c r="AB35" s="238" t="s">
        <v>530</v>
      </c>
      <c r="AC35" s="1037"/>
      <c r="AD35" s="487"/>
      <c r="AE35" s="427"/>
      <c r="AF35" s="427"/>
      <c r="AG35" s="427"/>
      <c r="AH35" s="427"/>
      <c r="AI35" s="428"/>
      <c r="AJ35" s="677"/>
      <c r="AK35" s="678"/>
      <c r="AL35" s="489"/>
      <c r="AM35" s="422"/>
      <c r="AN35" s="1035"/>
      <c r="AO35" s="1017">
        <v>32</v>
      </c>
      <c r="AP35" s="1018"/>
      <c r="AQ35" s="1019"/>
      <c r="AR35" s="1037"/>
      <c r="AS35" s="487"/>
      <c r="AT35" s="427"/>
      <c r="AU35" s="427"/>
      <c r="AV35" s="427"/>
      <c r="AW35" s="427"/>
      <c r="AX35" s="428"/>
      <c r="AY35" s="677"/>
      <c r="AZ35" s="678"/>
      <c r="BA35" s="489"/>
      <c r="BB35" s="422"/>
      <c r="BC35" s="1035"/>
      <c r="BD35" s="238" t="s">
        <v>530</v>
      </c>
    </row>
    <row r="36" spans="1:56" ht="16.5" customHeight="1" thickBot="1" x14ac:dyDescent="0.35">
      <c r="A36" s="1043" t="str">
        <f>IF(IGRF!B27="","",IGRF!B27)</f>
        <v/>
      </c>
      <c r="B36" s="415"/>
      <c r="C36" s="416"/>
      <c r="D36" s="416"/>
      <c r="E36" s="416"/>
      <c r="F36" s="416"/>
      <c r="G36" s="668"/>
      <c r="H36" s="669"/>
      <c r="I36" s="670"/>
      <c r="J36" s="417"/>
      <c r="K36" s="418"/>
      <c r="L36" s="1040" t="str">
        <f>IF(COUNTA(B36:J36)=0,"",COUNTA(B36:J36))</f>
        <v/>
      </c>
      <c r="M36" s="1025">
        <v>33</v>
      </c>
      <c r="N36" s="1026"/>
      <c r="O36" s="1027">
        <v>33</v>
      </c>
      <c r="P36" s="1043" t="str">
        <f>IF(IGRF!H27="","",IGRF!H27)</f>
        <v/>
      </c>
      <c r="Q36" s="415"/>
      <c r="R36" s="416"/>
      <c r="S36" s="416"/>
      <c r="T36" s="416"/>
      <c r="U36" s="416"/>
      <c r="V36" s="668"/>
      <c r="W36" s="669"/>
      <c r="X36" s="670"/>
      <c r="Y36" s="417"/>
      <c r="Z36" s="418"/>
      <c r="AA36" s="1040" t="str">
        <f>IF(COUNTA(Q36:Y36)=0,"",COUNTA(Q36:Y36))</f>
        <v/>
      </c>
      <c r="AB36" s="239" t="s">
        <v>374</v>
      </c>
      <c r="AC36" s="1042" t="str">
        <f>IF(IGRF!B27="","",IGRF!B27)</f>
        <v/>
      </c>
      <c r="AD36" s="415"/>
      <c r="AE36" s="416"/>
      <c r="AF36" s="416"/>
      <c r="AG36" s="416"/>
      <c r="AH36" s="416"/>
      <c r="AI36" s="668"/>
      <c r="AJ36" s="669"/>
      <c r="AK36" s="670"/>
      <c r="AL36" s="417"/>
      <c r="AM36" s="418"/>
      <c r="AN36" s="1040" t="str">
        <f>IF(COUNTA(AD36:AL36)=0,"",COUNTA(AD36:AL36))</f>
        <v/>
      </c>
      <c r="AO36" s="1025">
        <v>33</v>
      </c>
      <c r="AP36" s="1026"/>
      <c r="AQ36" s="1027"/>
      <c r="AR36" s="1042" t="str">
        <f>IF(IGRF!H27="","",IGRF!H27)</f>
        <v/>
      </c>
      <c r="AS36" s="415"/>
      <c r="AT36" s="416"/>
      <c r="AU36" s="416"/>
      <c r="AV36" s="416"/>
      <c r="AW36" s="416"/>
      <c r="AX36" s="668"/>
      <c r="AY36" s="669"/>
      <c r="AZ36" s="670"/>
      <c r="BA36" s="417"/>
      <c r="BB36" s="418"/>
      <c r="BC36" s="1040" t="str">
        <f>IF(COUNTA(AS36:BA36)=0,"",COUNTA(AS36:BA36))</f>
        <v/>
      </c>
      <c r="BD36" s="239" t="s">
        <v>374</v>
      </c>
    </row>
    <row r="37" spans="1:56" ht="16.5" customHeight="1" thickBot="1" x14ac:dyDescent="0.35">
      <c r="A37" s="1044"/>
      <c r="B37" s="419"/>
      <c r="C37" s="420"/>
      <c r="D37" s="420"/>
      <c r="E37" s="420"/>
      <c r="F37" s="420"/>
      <c r="G37" s="671"/>
      <c r="H37" s="672"/>
      <c r="I37" s="673"/>
      <c r="J37" s="421"/>
      <c r="K37" s="422"/>
      <c r="L37" s="1041"/>
      <c r="M37" s="1017">
        <v>34</v>
      </c>
      <c r="N37" s="1018"/>
      <c r="O37" s="1019">
        <v>34</v>
      </c>
      <c r="P37" s="1044"/>
      <c r="Q37" s="419"/>
      <c r="R37" s="420"/>
      <c r="S37" s="420"/>
      <c r="T37" s="420"/>
      <c r="U37" s="420"/>
      <c r="V37" s="671"/>
      <c r="W37" s="672"/>
      <c r="X37" s="673"/>
      <c r="Y37" s="421"/>
      <c r="Z37" s="422"/>
      <c r="AA37" s="1041"/>
      <c r="AB37" s="22" t="s">
        <v>215</v>
      </c>
      <c r="AC37" s="1042"/>
      <c r="AD37" s="419"/>
      <c r="AE37" s="420"/>
      <c r="AF37" s="420"/>
      <c r="AG37" s="420"/>
      <c r="AH37" s="420"/>
      <c r="AI37" s="671"/>
      <c r="AJ37" s="672"/>
      <c r="AK37" s="673"/>
      <c r="AL37" s="421"/>
      <c r="AM37" s="422"/>
      <c r="AN37" s="1041"/>
      <c r="AO37" s="1017">
        <v>34</v>
      </c>
      <c r="AP37" s="1018"/>
      <c r="AQ37" s="1019"/>
      <c r="AR37" s="1042"/>
      <c r="AS37" s="419"/>
      <c r="AT37" s="420"/>
      <c r="AU37" s="420"/>
      <c r="AV37" s="420"/>
      <c r="AW37" s="420"/>
      <c r="AX37" s="671"/>
      <c r="AY37" s="672"/>
      <c r="AZ37" s="673"/>
      <c r="BA37" s="421"/>
      <c r="BB37" s="422"/>
      <c r="BC37" s="1041"/>
      <c r="BD37" s="22" t="s">
        <v>215</v>
      </c>
    </row>
    <row r="38" spans="1:56" ht="16.5" customHeight="1" thickBot="1" x14ac:dyDescent="0.35">
      <c r="A38" s="1038" t="str">
        <f>IF(IGRF!B28="","",IGRF!B28)</f>
        <v/>
      </c>
      <c r="B38" s="423"/>
      <c r="C38" s="424"/>
      <c r="D38" s="424"/>
      <c r="E38" s="424"/>
      <c r="F38" s="424"/>
      <c r="G38" s="425"/>
      <c r="H38" s="674"/>
      <c r="I38" s="675"/>
      <c r="J38" s="426"/>
      <c r="K38" s="418"/>
      <c r="L38" s="1034" t="str">
        <f>IF(COUNTA(B38:J38)=0,"",COUNTA(B38:J38))</f>
        <v/>
      </c>
      <c r="M38" s="1025">
        <v>35</v>
      </c>
      <c r="N38" s="1026"/>
      <c r="O38" s="1027">
        <v>35</v>
      </c>
      <c r="P38" s="1038" t="str">
        <f>IF(IGRF!H28="","",IGRF!H28)</f>
        <v/>
      </c>
      <c r="Q38" s="423"/>
      <c r="R38" s="424"/>
      <c r="S38" s="424"/>
      <c r="T38" s="424"/>
      <c r="U38" s="424"/>
      <c r="V38" s="425"/>
      <c r="W38" s="674"/>
      <c r="X38" s="675"/>
      <c r="Y38" s="426"/>
      <c r="Z38" s="418"/>
      <c r="AA38" s="1034" t="str">
        <f>IF(COUNTA(Q38:Y38)=0,"",COUNTA(Q38:Y38))</f>
        <v/>
      </c>
      <c r="AB38" s="20" t="s">
        <v>216</v>
      </c>
      <c r="AC38" s="1036" t="str">
        <f>IF(IGRF!B28="","",IGRF!B28)</f>
        <v/>
      </c>
      <c r="AD38" s="423"/>
      <c r="AE38" s="424"/>
      <c r="AF38" s="424"/>
      <c r="AG38" s="424"/>
      <c r="AH38" s="424"/>
      <c r="AI38" s="425"/>
      <c r="AJ38" s="674"/>
      <c r="AK38" s="675"/>
      <c r="AL38" s="426"/>
      <c r="AM38" s="418"/>
      <c r="AN38" s="1034" t="str">
        <f>IF(COUNTA(AD38:AL38)=0,"",COUNTA(AD38:AL38))</f>
        <v/>
      </c>
      <c r="AO38" s="1025">
        <v>35</v>
      </c>
      <c r="AP38" s="1026"/>
      <c r="AQ38" s="1027"/>
      <c r="AR38" s="1036" t="str">
        <f>IF(IGRF!H28="","",IGRF!H28)</f>
        <v/>
      </c>
      <c r="AS38" s="423"/>
      <c r="AT38" s="424"/>
      <c r="AU38" s="424"/>
      <c r="AV38" s="424"/>
      <c r="AW38" s="424"/>
      <c r="AX38" s="425"/>
      <c r="AY38" s="674"/>
      <c r="AZ38" s="675"/>
      <c r="BA38" s="426"/>
      <c r="BB38" s="418"/>
      <c r="BC38" s="1034" t="str">
        <f>IF(COUNTA(AS38:BA38)=0,"",COUNTA(AS38:BA38))</f>
        <v/>
      </c>
      <c r="BD38" s="20" t="s">
        <v>216</v>
      </c>
    </row>
    <row r="39" spans="1:56" ht="16.5" customHeight="1" thickBot="1" x14ac:dyDescent="0.35">
      <c r="A39" s="1045"/>
      <c r="B39" s="487"/>
      <c r="C39" s="427"/>
      <c r="D39" s="427"/>
      <c r="E39" s="427"/>
      <c r="F39" s="427"/>
      <c r="G39" s="428"/>
      <c r="H39" s="677"/>
      <c r="I39" s="678"/>
      <c r="J39" s="489"/>
      <c r="K39" s="422"/>
      <c r="L39" s="1035"/>
      <c r="M39" s="1017">
        <v>36</v>
      </c>
      <c r="N39" s="1018"/>
      <c r="O39" s="1019">
        <v>36</v>
      </c>
      <c r="P39" s="1045"/>
      <c r="Q39" s="487"/>
      <c r="R39" s="427"/>
      <c r="S39" s="427"/>
      <c r="T39" s="427"/>
      <c r="U39" s="427"/>
      <c r="V39" s="428"/>
      <c r="W39" s="677"/>
      <c r="X39" s="678"/>
      <c r="Y39" s="489"/>
      <c r="Z39" s="422"/>
      <c r="AA39" s="1035"/>
      <c r="AB39" s="22" t="s">
        <v>313</v>
      </c>
      <c r="AC39" s="1037"/>
      <c r="AD39" s="487"/>
      <c r="AE39" s="427"/>
      <c r="AF39" s="427"/>
      <c r="AG39" s="427"/>
      <c r="AH39" s="427"/>
      <c r="AI39" s="428"/>
      <c r="AJ39" s="677"/>
      <c r="AK39" s="678"/>
      <c r="AL39" s="489"/>
      <c r="AM39" s="422"/>
      <c r="AN39" s="1035"/>
      <c r="AO39" s="1017">
        <v>36</v>
      </c>
      <c r="AP39" s="1018"/>
      <c r="AQ39" s="1019"/>
      <c r="AR39" s="1037"/>
      <c r="AS39" s="487"/>
      <c r="AT39" s="427"/>
      <c r="AU39" s="427"/>
      <c r="AV39" s="427"/>
      <c r="AW39" s="427"/>
      <c r="AX39" s="428"/>
      <c r="AY39" s="677"/>
      <c r="AZ39" s="678"/>
      <c r="BA39" s="489"/>
      <c r="BB39" s="422"/>
      <c r="BC39" s="1035"/>
      <c r="BD39" s="22" t="s">
        <v>313</v>
      </c>
    </row>
    <row r="40" spans="1:56" ht="16.5" customHeight="1" thickBot="1" x14ac:dyDescent="0.35">
      <c r="A40" s="1043" t="str">
        <f>IF(IGRF!B29="","",IGRF!B29)</f>
        <v/>
      </c>
      <c r="B40" s="415"/>
      <c r="C40" s="416"/>
      <c r="D40" s="416"/>
      <c r="E40" s="416"/>
      <c r="F40" s="416"/>
      <c r="G40" s="668"/>
      <c r="H40" s="669"/>
      <c r="I40" s="670"/>
      <c r="J40" s="417"/>
      <c r="K40" s="418"/>
      <c r="L40" s="1040" t="str">
        <f>IF(COUNTA(B40:J40)=0,"",COUNTA(B40:J40))</f>
        <v/>
      </c>
      <c r="M40" s="1025">
        <v>37</v>
      </c>
      <c r="N40" s="1026"/>
      <c r="O40" s="1027">
        <v>37</v>
      </c>
      <c r="P40" s="1043" t="str">
        <f>IF(IGRF!H29="","",IGRF!H29)</f>
        <v/>
      </c>
      <c r="Q40" s="415"/>
      <c r="R40" s="416"/>
      <c r="S40" s="416"/>
      <c r="T40" s="416"/>
      <c r="U40" s="416"/>
      <c r="V40" s="668"/>
      <c r="W40" s="669"/>
      <c r="X40" s="670"/>
      <c r="Y40" s="417"/>
      <c r="Z40" s="418"/>
      <c r="AA40" s="1040" t="str">
        <f>IF(COUNTA(Q40:Y40)=0,"",COUNTA(Q40:Y40))</f>
        <v/>
      </c>
      <c r="AB40" s="237" t="s">
        <v>309</v>
      </c>
      <c r="AC40" s="1042" t="str">
        <f>IF(IGRF!B29="","",IGRF!B29)</f>
        <v/>
      </c>
      <c r="AD40" s="415"/>
      <c r="AE40" s="416"/>
      <c r="AF40" s="416"/>
      <c r="AG40" s="416"/>
      <c r="AH40" s="416"/>
      <c r="AI40" s="668"/>
      <c r="AJ40" s="669"/>
      <c r="AK40" s="670"/>
      <c r="AL40" s="417"/>
      <c r="AM40" s="418"/>
      <c r="AN40" s="1040" t="str">
        <f>IF(COUNTA(AD40:AL40)=0,"",COUNTA(AD40:AL40))</f>
        <v/>
      </c>
      <c r="AO40" s="1025">
        <v>37</v>
      </c>
      <c r="AP40" s="1026"/>
      <c r="AQ40" s="1027"/>
      <c r="AR40" s="1042" t="str">
        <f>IF(IGRF!H29="","",IGRF!H29)</f>
        <v/>
      </c>
      <c r="AS40" s="415"/>
      <c r="AT40" s="416"/>
      <c r="AU40" s="416"/>
      <c r="AV40" s="416"/>
      <c r="AW40" s="416"/>
      <c r="AX40" s="668"/>
      <c r="AY40" s="669"/>
      <c r="AZ40" s="670"/>
      <c r="BA40" s="417"/>
      <c r="BB40" s="418"/>
      <c r="BC40" s="1040" t="str">
        <f>IF(COUNTA(AS40:BA40)=0,"",COUNTA(AS40:BA40))</f>
        <v/>
      </c>
      <c r="BD40" s="237" t="s">
        <v>309</v>
      </c>
    </row>
    <row r="41" spans="1:56" ht="16.5" customHeight="1" thickBot="1" x14ac:dyDescent="0.35">
      <c r="A41" s="1044"/>
      <c r="B41" s="419"/>
      <c r="C41" s="420"/>
      <c r="D41" s="420"/>
      <c r="E41" s="420"/>
      <c r="F41" s="420"/>
      <c r="G41" s="671"/>
      <c r="H41" s="672"/>
      <c r="I41" s="673"/>
      <c r="J41" s="421"/>
      <c r="K41" s="422"/>
      <c r="L41" s="1041"/>
      <c r="M41" s="1017">
        <v>38</v>
      </c>
      <c r="N41" s="1018"/>
      <c r="O41" s="1019">
        <v>38</v>
      </c>
      <c r="P41" s="1044"/>
      <c r="Q41" s="419"/>
      <c r="R41" s="420"/>
      <c r="S41" s="420"/>
      <c r="T41" s="420"/>
      <c r="U41" s="420"/>
      <c r="V41" s="671"/>
      <c r="W41" s="672"/>
      <c r="X41" s="673"/>
      <c r="Y41" s="421"/>
      <c r="Z41" s="422"/>
      <c r="AA41" s="1041"/>
      <c r="AB41" s="20" t="s">
        <v>310</v>
      </c>
      <c r="AC41" s="1042"/>
      <c r="AD41" s="419"/>
      <c r="AE41" s="420"/>
      <c r="AF41" s="420"/>
      <c r="AG41" s="420"/>
      <c r="AH41" s="420"/>
      <c r="AI41" s="671"/>
      <c r="AJ41" s="672"/>
      <c r="AK41" s="673"/>
      <c r="AL41" s="421"/>
      <c r="AM41" s="422"/>
      <c r="AN41" s="1041"/>
      <c r="AO41" s="1017">
        <v>38</v>
      </c>
      <c r="AP41" s="1018"/>
      <c r="AQ41" s="1019"/>
      <c r="AR41" s="1042"/>
      <c r="AS41" s="419"/>
      <c r="AT41" s="420"/>
      <c r="AU41" s="420"/>
      <c r="AV41" s="420"/>
      <c r="AW41" s="420"/>
      <c r="AX41" s="671"/>
      <c r="AY41" s="672"/>
      <c r="AZ41" s="673"/>
      <c r="BA41" s="421"/>
      <c r="BB41" s="422"/>
      <c r="BC41" s="1041"/>
      <c r="BD41" s="20" t="s">
        <v>310</v>
      </c>
    </row>
    <row r="42" spans="1:56" ht="16.5" customHeight="1" x14ac:dyDescent="0.3">
      <c r="A42" s="1038" t="str">
        <f>IF(IGRF!B30="","",IGRF!B30)</f>
        <v/>
      </c>
      <c r="B42" s="423"/>
      <c r="C42" s="424"/>
      <c r="D42" s="424"/>
      <c r="E42" s="424"/>
      <c r="F42" s="424"/>
      <c r="G42" s="425"/>
      <c r="H42" s="674"/>
      <c r="I42" s="675"/>
      <c r="J42" s="426"/>
      <c r="K42" s="418"/>
      <c r="L42" s="1034" t="str">
        <f>IF(COUNTA(B42:J42)=0,"",COUNTA(B42:J42))</f>
        <v/>
      </c>
      <c r="M42" s="1025"/>
      <c r="N42" s="1026"/>
      <c r="O42" s="1027">
        <v>39</v>
      </c>
      <c r="P42" s="1038" t="str">
        <f>IF(IGRF!H30="","",IGRF!H30)</f>
        <v/>
      </c>
      <c r="Q42" s="423"/>
      <c r="R42" s="424"/>
      <c r="S42" s="424"/>
      <c r="T42" s="424"/>
      <c r="U42" s="424"/>
      <c r="V42" s="425"/>
      <c r="W42" s="674"/>
      <c r="X42" s="675"/>
      <c r="Y42" s="426"/>
      <c r="Z42" s="418"/>
      <c r="AA42" s="1034" t="str">
        <f>IF(COUNTA(Q42:Y42)=0,"",COUNTA(Q42:Y42))</f>
        <v/>
      </c>
      <c r="AB42" s="679" t="s">
        <v>217</v>
      </c>
      <c r="AC42" s="1036" t="str">
        <f>IF(IGRF!B30="","",IGRF!B30)</f>
        <v/>
      </c>
      <c r="AD42" s="423"/>
      <c r="AE42" s="424"/>
      <c r="AF42" s="424"/>
      <c r="AG42" s="424"/>
      <c r="AH42" s="424"/>
      <c r="AI42" s="425"/>
      <c r="AJ42" s="674"/>
      <c r="AK42" s="675"/>
      <c r="AL42" s="426"/>
      <c r="AM42" s="418"/>
      <c r="AN42" s="1034" t="str">
        <f>IF(COUNTA(AD42:AL42)=0,"",COUNTA(AD42:AL42))</f>
        <v/>
      </c>
      <c r="AO42" s="1025"/>
      <c r="AP42" s="1026"/>
      <c r="AQ42" s="1027"/>
      <c r="AR42" s="1036" t="str">
        <f>IF(IGRF!H30="","",IGRF!H30)</f>
        <v/>
      </c>
      <c r="AS42" s="423"/>
      <c r="AT42" s="424"/>
      <c r="AU42" s="424"/>
      <c r="AV42" s="424"/>
      <c r="AW42" s="424"/>
      <c r="AX42" s="425"/>
      <c r="AY42" s="674"/>
      <c r="AZ42" s="675"/>
      <c r="BA42" s="426"/>
      <c r="BB42" s="418"/>
      <c r="BC42" s="1034" t="str">
        <f>IF(COUNTA(AS42:BA42)=0,"",COUNTA(AS42:BA42))</f>
        <v/>
      </c>
      <c r="BD42" s="679" t="s">
        <v>217</v>
      </c>
    </row>
    <row r="43" spans="1:56" ht="16.5" customHeight="1" thickBot="1" x14ac:dyDescent="0.35">
      <c r="A43" s="1039"/>
      <c r="B43" s="429"/>
      <c r="C43" s="430"/>
      <c r="D43" s="430"/>
      <c r="E43" s="430"/>
      <c r="F43" s="430"/>
      <c r="G43" s="431"/>
      <c r="H43" s="677"/>
      <c r="I43" s="680"/>
      <c r="J43" s="432"/>
      <c r="K43" s="433"/>
      <c r="L43" s="1035"/>
      <c r="M43" s="1017"/>
      <c r="N43" s="1018"/>
      <c r="O43" s="1019">
        <v>40</v>
      </c>
      <c r="P43" s="1039"/>
      <c r="Q43" s="429"/>
      <c r="R43" s="430"/>
      <c r="S43" s="430"/>
      <c r="T43" s="430"/>
      <c r="U43" s="430"/>
      <c r="V43" s="431"/>
      <c r="W43" s="677"/>
      <c r="X43" s="680"/>
      <c r="Y43" s="432"/>
      <c r="Z43" s="433"/>
      <c r="AA43" s="1035"/>
      <c r="AB43" s="681" t="s">
        <v>218</v>
      </c>
      <c r="AC43" s="1037"/>
      <c r="AD43" s="487"/>
      <c r="AE43" s="427"/>
      <c r="AF43" s="427"/>
      <c r="AG43" s="427"/>
      <c r="AH43" s="427"/>
      <c r="AI43" s="428"/>
      <c r="AJ43" s="677"/>
      <c r="AK43" s="678"/>
      <c r="AL43" s="489"/>
      <c r="AM43" s="422"/>
      <c r="AN43" s="1035"/>
      <c r="AO43" s="1017"/>
      <c r="AP43" s="1018"/>
      <c r="AQ43" s="1019"/>
      <c r="AR43" s="1037"/>
      <c r="AS43" s="487"/>
      <c r="AT43" s="427"/>
      <c r="AU43" s="427"/>
      <c r="AV43" s="427"/>
      <c r="AW43" s="427"/>
      <c r="AX43" s="428"/>
      <c r="AY43" s="677"/>
      <c r="AZ43" s="678"/>
      <c r="BA43" s="489"/>
      <c r="BB43" s="422"/>
      <c r="BC43" s="1035"/>
      <c r="BD43" s="681" t="s">
        <v>218</v>
      </c>
    </row>
    <row r="44" spans="1:56" s="27" customFormat="1" ht="16.5" customHeight="1" thickBot="1" x14ac:dyDescent="0.3">
      <c r="A44" s="1005" t="s">
        <v>531</v>
      </c>
      <c r="B44" s="1006"/>
      <c r="C44" s="670"/>
      <c r="D44" s="416"/>
      <c r="E44" s="844">
        <f>COUNTA(C44:D44)</f>
        <v>0</v>
      </c>
      <c r="F44" s="1030" t="s">
        <v>553</v>
      </c>
      <c r="G44" s="1030"/>
      <c r="H44" s="1030"/>
      <c r="I44" s="1030"/>
      <c r="J44" s="1030"/>
      <c r="K44" s="1031"/>
      <c r="L44" s="1028">
        <f>IF(SUM(L4:L43)=0,"",SUM(L4:L43,E44))</f>
        <v>18</v>
      </c>
      <c r="M44" s="1025"/>
      <c r="N44" s="1026"/>
      <c r="O44" s="1027">
        <v>41</v>
      </c>
      <c r="P44" s="1005" t="s">
        <v>531</v>
      </c>
      <c r="Q44" s="1006"/>
      <c r="R44" s="670"/>
      <c r="S44" s="416"/>
      <c r="T44" s="844">
        <f>COUNTA(R44:S44)</f>
        <v>0</v>
      </c>
      <c r="U44" s="1030" t="s">
        <v>553</v>
      </c>
      <c r="V44" s="1030"/>
      <c r="W44" s="1030"/>
      <c r="X44" s="1030"/>
      <c r="Y44" s="1030"/>
      <c r="Z44" s="1031"/>
      <c r="AA44" s="1015">
        <f>IF(SUM(AA4:AA43)=0,"",SUM(AA4:AA43,T44))</f>
        <v>14</v>
      </c>
      <c r="AB44" s="682" t="s">
        <v>173</v>
      </c>
      <c r="AC44" s="1007" t="s">
        <v>531</v>
      </c>
      <c r="AD44" s="1008"/>
      <c r="AE44" s="670"/>
      <c r="AF44" s="416"/>
      <c r="AG44" s="844">
        <f>COUNTA(AE44:AF44)</f>
        <v>0</v>
      </c>
      <c r="AH44" s="1030" t="s">
        <v>554</v>
      </c>
      <c r="AI44" s="1030"/>
      <c r="AJ44" s="1030"/>
      <c r="AK44" s="1030"/>
      <c r="AL44" s="1030"/>
      <c r="AM44" s="1031"/>
      <c r="AN44" s="1023">
        <f>IF(SUM(AN4:AN43)=0,"",SUM(AN4:AN43,AG44))</f>
        <v>13</v>
      </c>
      <c r="AO44" s="1025"/>
      <c r="AP44" s="1026"/>
      <c r="AQ44" s="1027"/>
      <c r="AR44" s="1007" t="s">
        <v>531</v>
      </c>
      <c r="AS44" s="1008"/>
      <c r="AT44" s="670"/>
      <c r="AU44" s="416"/>
      <c r="AV44" s="844">
        <f>COUNTA(AT44:AU44)</f>
        <v>0</v>
      </c>
      <c r="AW44" s="1030" t="s">
        <v>554</v>
      </c>
      <c r="AX44" s="1030"/>
      <c r="AY44" s="1030"/>
      <c r="AZ44" s="1030"/>
      <c r="BA44" s="1030"/>
      <c r="BB44" s="1031"/>
      <c r="BC44" s="1015">
        <f>IF(SUM(BC4:BC43)=0,"",SUM(BC4:BC43,AV44))</f>
        <v>16</v>
      </c>
      <c r="BD44" s="682" t="s">
        <v>173</v>
      </c>
    </row>
    <row r="45" spans="1:56" s="29" customFormat="1" ht="16.5" customHeight="1" thickBot="1" x14ac:dyDescent="0.35">
      <c r="A45" s="835"/>
      <c r="B45" s="836"/>
      <c r="C45" s="683"/>
      <c r="D45" s="684"/>
      <c r="E45" s="843"/>
      <c r="F45" s="1032"/>
      <c r="G45" s="1032"/>
      <c r="H45" s="1032"/>
      <c r="I45" s="1032"/>
      <c r="J45" s="1032"/>
      <c r="K45" s="1033"/>
      <c r="L45" s="1029"/>
      <c r="M45" s="1017"/>
      <c r="N45" s="1018"/>
      <c r="O45" s="1019">
        <v>42</v>
      </c>
      <c r="P45" s="835"/>
      <c r="Q45" s="836"/>
      <c r="R45" s="683"/>
      <c r="S45" s="684"/>
      <c r="T45" s="843"/>
      <c r="U45" s="1032"/>
      <c r="V45" s="1032"/>
      <c r="W45" s="1032"/>
      <c r="X45" s="1032"/>
      <c r="Y45" s="1032"/>
      <c r="Z45" s="1033"/>
      <c r="AA45" s="1016"/>
      <c r="AB45" s="663"/>
      <c r="AC45" s="837"/>
      <c r="AD45" s="838"/>
      <c r="AE45" s="683"/>
      <c r="AF45" s="684"/>
      <c r="AG45" s="843"/>
      <c r="AH45" s="1032"/>
      <c r="AI45" s="1032"/>
      <c r="AJ45" s="1032"/>
      <c r="AK45" s="1032"/>
      <c r="AL45" s="1032"/>
      <c r="AM45" s="1033"/>
      <c r="AN45" s="1024"/>
      <c r="AO45" s="1017"/>
      <c r="AP45" s="1018"/>
      <c r="AQ45" s="1019"/>
      <c r="AR45" s="837"/>
      <c r="AS45" s="838"/>
      <c r="AT45" s="683"/>
      <c r="AU45" s="684"/>
      <c r="AV45" s="843"/>
      <c r="AW45" s="1032"/>
      <c r="AX45" s="1032"/>
      <c r="AY45" s="1032"/>
      <c r="AZ45" s="1032"/>
      <c r="BA45" s="1032"/>
      <c r="BB45" s="1033"/>
      <c r="BC45" s="1016"/>
      <c r="BD45" s="685"/>
    </row>
    <row r="46" spans="1:56" x14ac:dyDescent="0.3">
      <c r="A46" s="1020" t="s">
        <v>610</v>
      </c>
      <c r="B46" s="1021"/>
      <c r="C46" s="1021"/>
      <c r="D46" s="1021"/>
      <c r="E46" s="1021"/>
      <c r="F46" s="1021"/>
      <c r="G46" s="1021"/>
      <c r="H46" s="1021"/>
      <c r="I46" s="1021"/>
      <c r="J46" s="1021"/>
      <c r="K46" s="1021"/>
      <c r="L46" s="1021"/>
      <c r="M46" s="1021"/>
      <c r="N46" s="1021"/>
      <c r="O46" s="1021"/>
      <c r="P46" s="1021"/>
      <c r="Q46" s="1021"/>
      <c r="R46" s="1021"/>
      <c r="S46" s="1021"/>
      <c r="T46" s="1021"/>
      <c r="U46" s="1021"/>
      <c r="V46" s="1021"/>
      <c r="W46" s="1021"/>
      <c r="X46" s="1021"/>
      <c r="Y46" s="1021"/>
      <c r="Z46" s="1021"/>
      <c r="AA46" s="1021"/>
      <c r="AB46" s="1022"/>
      <c r="AC46" s="1020" t="str">
        <f>A46</f>
        <v>PENALTY / Jam #: Enter codes for penalties in the upper row and jam # in the lower row for each skater.  Any penalty past the dark line should result in a Foul Out.</v>
      </c>
      <c r="AD46" s="1021"/>
      <c r="AE46" s="1021"/>
      <c r="AF46" s="1021"/>
      <c r="AG46" s="1021"/>
      <c r="AH46" s="1021"/>
      <c r="AI46" s="1021"/>
      <c r="AJ46" s="1021"/>
      <c r="AK46" s="1021"/>
      <c r="AL46" s="1021"/>
      <c r="AM46" s="1021"/>
      <c r="AN46" s="1021"/>
      <c r="AO46" s="1021"/>
      <c r="AP46" s="1021"/>
      <c r="AQ46" s="1021"/>
      <c r="AR46" s="1021"/>
      <c r="AS46" s="1021"/>
      <c r="AT46" s="1021"/>
      <c r="AU46" s="1021"/>
      <c r="AV46" s="1021"/>
      <c r="AW46" s="1021"/>
      <c r="AX46" s="1021"/>
      <c r="AY46" s="1021"/>
      <c r="AZ46" s="1021"/>
      <c r="BA46" s="1021"/>
      <c r="BB46" s="1021"/>
      <c r="BC46" s="1021"/>
      <c r="BD46" s="1022"/>
    </row>
    <row r="47" spans="1:56" x14ac:dyDescent="0.3">
      <c r="A47" s="1009" t="s">
        <v>532</v>
      </c>
      <c r="B47" s="1010"/>
      <c r="C47" s="1010"/>
      <c r="D47" s="1010"/>
      <c r="E47" s="1010"/>
      <c r="F47" s="1010"/>
      <c r="G47" s="1010"/>
      <c r="H47" s="1010"/>
      <c r="I47" s="1010"/>
      <c r="J47" s="1010"/>
      <c r="K47" s="1010"/>
      <c r="L47" s="1010"/>
      <c r="M47" s="1010"/>
      <c r="N47" s="1010"/>
      <c r="O47" s="1010"/>
      <c r="P47" s="1010"/>
      <c r="Q47" s="1010"/>
      <c r="R47" s="1010"/>
      <c r="S47" s="1010"/>
      <c r="T47" s="1010"/>
      <c r="U47" s="1010"/>
      <c r="V47" s="1010"/>
      <c r="W47" s="1010"/>
      <c r="X47" s="1010"/>
      <c r="Y47" s="1010"/>
      <c r="Z47" s="1010"/>
      <c r="AA47" s="1010"/>
      <c r="AB47" s="1011"/>
      <c r="AC47" s="1009" t="str">
        <f>A47</f>
        <v xml:space="preserve">FO/EXP: Foul Outs (FO) for accumulated penalties should be marked as FO. Expulsions (EXP) should be listed by the appropriate penalty code. </v>
      </c>
      <c r="AD47" s="1010"/>
      <c r="AE47" s="1010"/>
      <c r="AF47" s="1010"/>
      <c r="AG47" s="1010"/>
      <c r="AH47" s="1010"/>
      <c r="AI47" s="1010"/>
      <c r="AJ47" s="1010"/>
      <c r="AK47" s="1010"/>
      <c r="AL47" s="1010"/>
      <c r="AM47" s="1010"/>
      <c r="AN47" s="1010"/>
      <c r="AO47" s="1010"/>
      <c r="AP47" s="1010"/>
      <c r="AQ47" s="1010"/>
      <c r="AR47" s="1010"/>
      <c r="AS47" s="1010"/>
      <c r="AT47" s="1010"/>
      <c r="AU47" s="1010"/>
      <c r="AV47" s="1010"/>
      <c r="AW47" s="1010"/>
      <c r="AX47" s="1010"/>
      <c r="AY47" s="1010"/>
      <c r="AZ47" s="1010"/>
      <c r="BA47" s="1010"/>
      <c r="BB47" s="1010"/>
      <c r="BC47" s="1010"/>
      <c r="BD47" s="1011"/>
    </row>
    <row r="48" spans="1:56" x14ac:dyDescent="0.3">
      <c r="A48" s="1009" t="s">
        <v>607</v>
      </c>
      <c r="B48" s="1010"/>
      <c r="C48" s="1010"/>
      <c r="D48" s="1010"/>
      <c r="E48" s="1010"/>
      <c r="F48" s="1010"/>
      <c r="G48" s="1010"/>
      <c r="H48" s="1010"/>
      <c r="I48" s="1010"/>
      <c r="J48" s="1010"/>
      <c r="K48" s="1010"/>
      <c r="L48" s="1010"/>
      <c r="M48" s="1010"/>
      <c r="N48" s="1010"/>
      <c r="O48" s="1010"/>
      <c r="P48" s="1010"/>
      <c r="Q48" s="1010"/>
      <c r="R48" s="1010"/>
      <c r="S48" s="1010"/>
      <c r="T48" s="1010"/>
      <c r="U48" s="1010"/>
      <c r="V48" s="1010"/>
      <c r="W48" s="1010"/>
      <c r="X48" s="1010"/>
      <c r="Y48" s="1010"/>
      <c r="Z48" s="1010"/>
      <c r="AA48" s="1010"/>
      <c r="AB48" s="1011"/>
      <c r="AC48" s="1009" t="str">
        <f>A48</f>
        <v>TOTAL: At the end of each period, add the number of penalties for each skater for that period and put it in the "TOTAL" column. The team's total penalties for the period should include Non-Skater Expulsions in the count.</v>
      </c>
      <c r="AD48" s="1010"/>
      <c r="AE48" s="1010"/>
      <c r="AF48" s="1010"/>
      <c r="AG48" s="1010"/>
      <c r="AH48" s="1010"/>
      <c r="AI48" s="1010"/>
      <c r="AJ48" s="1010"/>
      <c r="AK48" s="1010"/>
      <c r="AL48" s="1010"/>
      <c r="AM48" s="1010"/>
      <c r="AN48" s="1010"/>
      <c r="AO48" s="1010"/>
      <c r="AP48" s="1010"/>
      <c r="AQ48" s="1010"/>
      <c r="AR48" s="1010"/>
      <c r="AS48" s="1010"/>
      <c r="AT48" s="1010"/>
      <c r="AU48" s="1010"/>
      <c r="AV48" s="1010"/>
      <c r="AW48" s="1010"/>
      <c r="AX48" s="1010"/>
      <c r="AY48" s="1010"/>
      <c r="AZ48" s="1010"/>
      <c r="BA48" s="1010"/>
      <c r="BB48" s="1010"/>
      <c r="BC48" s="1010"/>
      <c r="BD48" s="1011"/>
    </row>
    <row r="49" spans="1:56" ht="14.4" thickBot="1" x14ac:dyDescent="0.35">
      <c r="A49" s="1012" t="s">
        <v>339</v>
      </c>
      <c r="B49" s="1013"/>
      <c r="C49" s="1013"/>
      <c r="D49" s="1013"/>
      <c r="E49" s="1013"/>
      <c r="F49" s="1013"/>
      <c r="G49" s="1013"/>
      <c r="H49" s="1013"/>
      <c r="I49" s="1013"/>
      <c r="J49" s="1013"/>
      <c r="K49" s="1013"/>
      <c r="L49" s="1013"/>
      <c r="M49" s="1013"/>
      <c r="N49" s="1013"/>
      <c r="O49" s="1013"/>
      <c r="P49" s="1013"/>
      <c r="Q49" s="1013"/>
      <c r="R49" s="1013"/>
      <c r="S49" s="1013"/>
      <c r="T49" s="1013"/>
      <c r="U49" s="1013"/>
      <c r="V49" s="1013"/>
      <c r="W49" s="1013"/>
      <c r="X49" s="1013"/>
      <c r="Y49" s="1013"/>
      <c r="Z49" s="1013"/>
      <c r="AA49" s="1013"/>
      <c r="AB49" s="1014"/>
      <c r="AC49" s="1012" t="str">
        <f>A49</f>
        <v xml:space="preserve">CARRY OVER: Before period 2, transfer the penalties from period 1 by shading in the equivalent number of boxes. </v>
      </c>
      <c r="AD49" s="1013"/>
      <c r="AE49" s="1013"/>
      <c r="AF49" s="1013"/>
      <c r="AG49" s="1013"/>
      <c r="AH49" s="1013"/>
      <c r="AI49" s="1013"/>
      <c r="AJ49" s="1013"/>
      <c r="AK49" s="1013"/>
      <c r="AL49" s="1013"/>
      <c r="AM49" s="1013"/>
      <c r="AN49" s="1013"/>
      <c r="AO49" s="1013"/>
      <c r="AP49" s="1013"/>
      <c r="AQ49" s="1013"/>
      <c r="AR49" s="1013"/>
      <c r="AS49" s="1013"/>
      <c r="AT49" s="1013"/>
      <c r="AU49" s="1013"/>
      <c r="AV49" s="1013"/>
      <c r="AW49" s="1013"/>
      <c r="AX49" s="1013"/>
      <c r="AY49" s="1013"/>
      <c r="AZ49" s="1013"/>
      <c r="BA49" s="1013"/>
      <c r="BB49" s="1013"/>
      <c r="BC49" s="1013"/>
      <c r="BD49" s="1014"/>
    </row>
    <row r="51" spans="1:56" x14ac:dyDescent="0.3">
      <c r="A51" s="28"/>
      <c r="B51" s="28"/>
      <c r="C51" s="28"/>
      <c r="D51" s="28"/>
      <c r="E51" s="28"/>
    </row>
  </sheetData>
  <mergeCells count="290">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A47:AB47"/>
    <mergeCell ref="AC47:BD47"/>
    <mergeCell ref="A48:AB48"/>
    <mergeCell ref="AC48:BD48"/>
    <mergeCell ref="A49:AB49"/>
    <mergeCell ref="AC49:BD49"/>
    <mergeCell ref="BC44:BC45"/>
    <mergeCell ref="M45:O45"/>
    <mergeCell ref="AO45:AQ45"/>
    <mergeCell ref="A46:AB46"/>
    <mergeCell ref="AC46:BD46"/>
    <mergeCell ref="AA44:AA45"/>
    <mergeCell ref="AN44:AN45"/>
    <mergeCell ref="AO44:AQ44"/>
    <mergeCell ref="L44:L45"/>
    <mergeCell ref="M44:O44"/>
    <mergeCell ref="F44:K45"/>
    <mergeCell ref="U44:Z45"/>
    <mergeCell ref="AH44:AM45"/>
    <mergeCell ref="AW44:BB45"/>
  </mergeCells>
  <phoneticPr fontId="6" type="noConversion"/>
  <conditionalFormatting sqref="AT44:AU45 AS4:BA43 AE44:AF45 AD4:AL43">
    <cfRule type="expression" dxfId="2" priority="1">
      <formula>NOT(ISBLANK(B4))</formula>
    </cfRule>
  </conditionalFormatting>
  <printOptions horizontalCentered="1"/>
  <pageMargins left="1" right="0.2" top="0.5" bottom="0.1" header="0.1" footer="0"/>
  <pageSetup scale="68" fitToWidth="2" orientation="landscape" horizontalDpi="4294967294" verticalDpi="4294967294"/>
  <headerFooter>
    <oddHeader>&amp;L&amp;K000000&amp;G&amp;"Calibri,Regular"&amp;36&amp;A&amp;R&amp;"Calibri,Regular"&amp;K000000‘&amp;A’ revision 140421&amp;KFFFFFF
&amp;K000000StatsBook © 2008–2014 WFTDA</oddHeader>
  </headerFooter>
  <colBreaks count="1" manualBreakCount="1">
    <brk id="28" max="48" man="1"/>
  </colBreaks>
  <legacyDrawingHF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tabColor theme="5"/>
  </sheetPr>
  <dimension ref="A1:AZ92"/>
  <sheetViews>
    <sheetView zoomScaleSheetLayoutView="100" workbookViewId="0">
      <selection sqref="A1:G2"/>
    </sheetView>
  </sheetViews>
  <sheetFormatPr defaultColWidth="8.6640625" defaultRowHeight="13.8" x14ac:dyDescent="0.3"/>
  <cols>
    <col min="1" max="1" width="7.6640625" style="16" customWidth="1"/>
    <col min="2" max="2" width="6.44140625" style="16" customWidth="1"/>
    <col min="3" max="3" width="14.33203125" style="16" customWidth="1"/>
    <col min="4" max="6" width="3" style="16" customWidth="1"/>
    <col min="7" max="7" width="14.33203125" style="16" customWidth="1"/>
    <col min="8" max="10" width="3" style="16" customWidth="1"/>
    <col min="11" max="11" width="14.33203125" style="16" customWidth="1"/>
    <col min="12" max="14" width="3" style="16" customWidth="1"/>
    <col min="15" max="15" width="14.33203125" style="16" customWidth="1"/>
    <col min="16" max="18" width="3" style="16" customWidth="1"/>
    <col min="19" max="19" width="14.33203125" style="16" customWidth="1"/>
    <col min="20" max="22" width="3" style="16" customWidth="1"/>
    <col min="23" max="23" width="5.44140625" style="634" hidden="1" customWidth="1"/>
    <col min="24" max="24" width="2.6640625" style="16" customWidth="1"/>
    <col min="25" max="25" width="6.44140625" style="16" customWidth="1"/>
    <col min="26" max="26" width="19.6640625" style="16" customWidth="1"/>
    <col min="27" max="27" width="7.6640625" style="16" customWidth="1"/>
    <col min="28" max="28" width="6.44140625" style="16" customWidth="1"/>
    <col min="29" max="29" width="14.33203125" style="16" customWidth="1"/>
    <col min="30" max="32" width="3" style="16" customWidth="1"/>
    <col min="33" max="33" width="14.33203125" style="16" customWidth="1"/>
    <col min="34" max="36" width="3" style="16" customWidth="1"/>
    <col min="37" max="37" width="14.33203125" style="16" customWidth="1"/>
    <col min="38" max="40" width="3" style="16" customWidth="1"/>
    <col min="41" max="41" width="14.33203125" style="16" customWidth="1"/>
    <col min="42" max="44" width="3" style="16" customWidth="1"/>
    <col min="45" max="45" width="14.33203125" style="16" customWidth="1"/>
    <col min="46" max="48" width="3" style="16" customWidth="1"/>
    <col min="49" max="49" width="5.44140625" style="634" hidden="1" customWidth="1"/>
    <col min="50" max="50" width="2.6640625" style="16" customWidth="1"/>
    <col min="51" max="51" width="6.44140625" style="16" customWidth="1"/>
    <col min="52" max="52" width="19.33203125" style="16" customWidth="1"/>
    <col min="53" max="16384" width="8.6640625" style="16"/>
  </cols>
  <sheetData>
    <row r="1" spans="1:52" s="569" customFormat="1" ht="30" customHeight="1" x14ac:dyDescent="0.45">
      <c r="A1" s="1066" t="str">
        <f>Score!$A$1</f>
        <v>Rat City Rollergirls / All-Stars</v>
      </c>
      <c r="B1" s="1066"/>
      <c r="C1" s="1066"/>
      <c r="D1" s="1066"/>
      <c r="E1" s="1066"/>
      <c r="F1" s="1066"/>
      <c r="G1" s="1066"/>
      <c r="H1" s="1068" t="s">
        <v>741</v>
      </c>
      <c r="I1" s="1068"/>
      <c r="J1" s="1068"/>
      <c r="K1" s="1068"/>
      <c r="L1" s="1068"/>
      <c r="M1" s="1068"/>
      <c r="N1" s="1068"/>
      <c r="O1" s="1068"/>
      <c r="P1" s="1069">
        <f>IF(ISBLANK(IGRF!$B$5), "", IGRF!$B$5)</f>
        <v>41832</v>
      </c>
      <c r="Q1" s="1069"/>
      <c r="R1" s="1069"/>
      <c r="S1" s="1069"/>
      <c r="T1" s="1061">
        <v>1</v>
      </c>
      <c r="U1" s="1061"/>
      <c r="V1" s="1061"/>
      <c r="W1" s="631"/>
      <c r="X1" s="1063" t="str">
        <f>IF(ISBLANK(Score!$I$1), "", Score!$I$1)</f>
        <v>Green</v>
      </c>
      <c r="Y1" s="1063"/>
      <c r="Z1" s="1063"/>
      <c r="AA1" s="1066" t="str">
        <f>Score!T1</f>
        <v>Houston Roller Derby / All-Stars</v>
      </c>
      <c r="AB1" s="1066"/>
      <c r="AC1" s="1066"/>
      <c r="AD1" s="1066"/>
      <c r="AE1" s="1066"/>
      <c r="AF1" s="1066"/>
      <c r="AG1" s="1066"/>
      <c r="AH1" s="1068" t="s">
        <v>740</v>
      </c>
      <c r="AI1" s="1068"/>
      <c r="AJ1" s="1068"/>
      <c r="AK1" s="1068"/>
      <c r="AL1" s="1068"/>
      <c r="AM1" s="1068"/>
      <c r="AN1" s="1068"/>
      <c r="AO1" s="1068"/>
      <c r="AP1" s="1069">
        <f>P1</f>
        <v>41832</v>
      </c>
      <c r="AQ1" s="1069"/>
      <c r="AR1" s="1069"/>
      <c r="AS1" s="1069"/>
      <c r="AT1" s="1061">
        <v>1</v>
      </c>
      <c r="AU1" s="1061"/>
      <c r="AV1" s="1061"/>
      <c r="AW1" s="631"/>
      <c r="AX1" s="1063" t="str">
        <f>IF(ISBLANK(Score!$AB$1), "", Score!$AB$1)</f>
        <v>White</v>
      </c>
      <c r="AY1" s="1063"/>
      <c r="AZ1" s="1063"/>
    </row>
    <row r="2" spans="1:52" s="569" customFormat="1" ht="15" customHeight="1" thickBot="1" x14ac:dyDescent="0.35">
      <c r="A2" s="1067"/>
      <c r="B2" s="1067"/>
      <c r="C2" s="1067"/>
      <c r="D2" s="1067"/>
      <c r="E2" s="1067"/>
      <c r="F2" s="1067"/>
      <c r="G2" s="1067"/>
      <c r="H2" s="1064" t="s">
        <v>342</v>
      </c>
      <c r="I2" s="1064"/>
      <c r="J2" s="1064"/>
      <c r="K2" s="1064"/>
      <c r="L2" s="1064"/>
      <c r="M2" s="1064"/>
      <c r="N2" s="1064"/>
      <c r="O2" s="1064"/>
      <c r="P2" s="1065" t="s">
        <v>355</v>
      </c>
      <c r="Q2" s="1065"/>
      <c r="R2" s="1065"/>
      <c r="S2" s="1065"/>
      <c r="T2" s="1062" t="str">
        <f>IF(ISBLANK(IGRF!$K$3), "", "GAME " &amp; IGRF!$K$3)</f>
        <v>GAME 2</v>
      </c>
      <c r="U2" s="1062"/>
      <c r="V2" s="1062"/>
      <c r="W2" s="632"/>
      <c r="X2" s="1064" t="s">
        <v>351</v>
      </c>
      <c r="Y2" s="1064"/>
      <c r="Z2" s="1064"/>
      <c r="AA2" s="1067"/>
      <c r="AB2" s="1067"/>
      <c r="AC2" s="1067"/>
      <c r="AD2" s="1067"/>
      <c r="AE2" s="1067"/>
      <c r="AF2" s="1067"/>
      <c r="AG2" s="1067"/>
      <c r="AH2" s="1064" t="s">
        <v>342</v>
      </c>
      <c r="AI2" s="1064"/>
      <c r="AJ2" s="1064"/>
      <c r="AK2" s="1064"/>
      <c r="AL2" s="1064"/>
      <c r="AM2" s="1064"/>
      <c r="AN2" s="1064"/>
      <c r="AO2" s="1064"/>
      <c r="AP2" s="1065" t="s">
        <v>355</v>
      </c>
      <c r="AQ2" s="1065"/>
      <c r="AR2" s="1065"/>
      <c r="AS2" s="1065"/>
      <c r="AT2" s="1062" t="str">
        <f>T2</f>
        <v>GAME 2</v>
      </c>
      <c r="AU2" s="1062"/>
      <c r="AV2" s="1062"/>
      <c r="AW2" s="632"/>
      <c r="AX2" s="1064" t="s">
        <v>351</v>
      </c>
      <c r="AY2" s="1064"/>
      <c r="AZ2" s="1064"/>
    </row>
    <row r="3" spans="1:52" s="570" customFormat="1" ht="13.5" customHeight="1" thickBot="1" x14ac:dyDescent="0.35">
      <c r="A3" s="572" t="s">
        <v>498</v>
      </c>
      <c r="B3" s="573" t="s">
        <v>352</v>
      </c>
      <c r="C3" s="574" t="s">
        <v>177</v>
      </c>
      <c r="D3" s="1060" t="s">
        <v>499</v>
      </c>
      <c r="E3" s="1060"/>
      <c r="F3" s="1060"/>
      <c r="G3" s="574" t="s">
        <v>175</v>
      </c>
      <c r="H3" s="1060" t="s">
        <v>499</v>
      </c>
      <c r="I3" s="1060"/>
      <c r="J3" s="1060"/>
      <c r="K3" s="574" t="s">
        <v>176</v>
      </c>
      <c r="L3" s="1060" t="s">
        <v>499</v>
      </c>
      <c r="M3" s="1060"/>
      <c r="N3" s="1060"/>
      <c r="O3" s="574" t="s">
        <v>176</v>
      </c>
      <c r="P3" s="1060" t="s">
        <v>499</v>
      </c>
      <c r="Q3" s="1060"/>
      <c r="R3" s="1060"/>
      <c r="S3" s="574" t="s">
        <v>176</v>
      </c>
      <c r="T3" s="1060" t="s">
        <v>499</v>
      </c>
      <c r="U3" s="1060"/>
      <c r="V3" s="1060"/>
      <c r="W3" s="633"/>
      <c r="X3" s="1087" t="s">
        <v>343</v>
      </c>
      <c r="Y3" s="1088"/>
      <c r="Z3" s="1089"/>
      <c r="AA3" s="572" t="s">
        <v>498</v>
      </c>
      <c r="AB3" s="573" t="s">
        <v>352</v>
      </c>
      <c r="AC3" s="574" t="s">
        <v>177</v>
      </c>
      <c r="AD3" s="1060" t="s">
        <v>499</v>
      </c>
      <c r="AE3" s="1060"/>
      <c r="AF3" s="1060"/>
      <c r="AG3" s="574" t="s">
        <v>175</v>
      </c>
      <c r="AH3" s="1060" t="s">
        <v>499</v>
      </c>
      <c r="AI3" s="1060"/>
      <c r="AJ3" s="1060"/>
      <c r="AK3" s="574" t="s">
        <v>176</v>
      </c>
      <c r="AL3" s="1060" t="s">
        <v>499</v>
      </c>
      <c r="AM3" s="1060"/>
      <c r="AN3" s="1060"/>
      <c r="AO3" s="574" t="s">
        <v>176</v>
      </c>
      <c r="AP3" s="1060" t="s">
        <v>499</v>
      </c>
      <c r="AQ3" s="1060"/>
      <c r="AR3" s="1060"/>
      <c r="AS3" s="574" t="s">
        <v>176</v>
      </c>
      <c r="AT3" s="1060" t="s">
        <v>499</v>
      </c>
      <c r="AU3" s="1060"/>
      <c r="AV3" s="1060"/>
      <c r="AW3" s="633"/>
      <c r="AX3" s="1087" t="s">
        <v>343</v>
      </c>
      <c r="AY3" s="1088"/>
      <c r="AZ3" s="1089"/>
    </row>
    <row r="4" spans="1:52" ht="28.5" customHeight="1" thickBot="1" x14ac:dyDescent="0.35">
      <c r="A4" s="578">
        <f>IF(Score!A4="", "",Score!A4 )</f>
        <v>1</v>
      </c>
      <c r="B4" s="582"/>
      <c r="C4" s="580" t="str">
        <f>IF(Score!B4="", "",Score!B4 )</f>
        <v>911</v>
      </c>
      <c r="D4" s="597" t="s">
        <v>500</v>
      </c>
      <c r="E4" s="597"/>
      <c r="F4" s="597"/>
      <c r="G4" s="598" t="s">
        <v>676</v>
      </c>
      <c r="H4" s="597"/>
      <c r="I4" s="597"/>
      <c r="J4" s="597"/>
      <c r="K4" s="598" t="s">
        <v>693</v>
      </c>
      <c r="L4" s="597"/>
      <c r="M4" s="597"/>
      <c r="N4" s="597"/>
      <c r="O4" s="598" t="s">
        <v>697</v>
      </c>
      <c r="P4" s="597"/>
      <c r="Q4" s="597"/>
      <c r="R4" s="597"/>
      <c r="S4" s="598" t="s">
        <v>699</v>
      </c>
      <c r="T4" s="597"/>
      <c r="U4" s="597"/>
      <c r="V4" s="599"/>
      <c r="W4" s="630">
        <f ca="1">IF(A4="","",SUMIF(SK!B$3:B$78,ROW(),SK!D$3:D$78))</f>
        <v>20</v>
      </c>
      <c r="X4" s="29"/>
      <c r="Y4" s="863" t="str">
        <f>IF(IGRF!B11="","",IGRF!B11)</f>
        <v>12</v>
      </c>
      <c r="Z4" s="858" t="str">
        <f>IF(IGRF!$M$1="rat","",IF(IGRF!C11="","",IGRF!C11))</f>
        <v>Carmen Getsome</v>
      </c>
      <c r="AA4" s="578">
        <f>IF(Score!T4="", "",Score!T4 )</f>
        <v>1</v>
      </c>
      <c r="AB4" s="582" t="s">
        <v>193</v>
      </c>
      <c r="AC4" s="580" t="str">
        <f>IF(Score!U4="", "",Score!U4 )</f>
        <v/>
      </c>
      <c r="AD4" s="597"/>
      <c r="AE4" s="597"/>
      <c r="AF4" s="597"/>
      <c r="AG4" s="598" t="s">
        <v>675</v>
      </c>
      <c r="AH4" s="597"/>
      <c r="AI4" s="597"/>
      <c r="AJ4" s="597"/>
      <c r="AK4" s="598" t="s">
        <v>718</v>
      </c>
      <c r="AL4" s="597"/>
      <c r="AM4" s="597"/>
      <c r="AN4" s="597"/>
      <c r="AO4" s="598" t="s">
        <v>728</v>
      </c>
      <c r="AP4" s="597"/>
      <c r="AQ4" s="597"/>
      <c r="AR4" s="597"/>
      <c r="AS4" s="598" t="s">
        <v>722</v>
      </c>
      <c r="AT4" s="597"/>
      <c r="AU4" s="597"/>
      <c r="AV4" s="599"/>
      <c r="AW4" s="630">
        <f ca="1">IF(AA4="","",SUMIF(SK!R$3:R$78,ROW(),SK!T$3:T$78))</f>
        <v>0</v>
      </c>
      <c r="AX4" s="29"/>
      <c r="AY4" s="863" t="str">
        <f>IF(IGRF!H11="","",IGRF!H11)</f>
        <v>112</v>
      </c>
      <c r="AZ4" s="858" t="str">
        <f>IF(IGRF!$M$1="rat","",IF(IGRF!I11="","",IGRF!I11))</f>
        <v>Singapore Rogue</v>
      </c>
    </row>
    <row r="5" spans="1:52" ht="28.5" customHeight="1" thickBot="1" x14ac:dyDescent="0.35">
      <c r="A5" s="579">
        <f>IF(Score!A5="", "",Score!A5 )</f>
        <v>2</v>
      </c>
      <c r="B5" s="583"/>
      <c r="C5" s="581" t="str">
        <f>IF(Score!B5="", "",Score!B5 )</f>
        <v>911</v>
      </c>
      <c r="D5" s="597" t="s">
        <v>501</v>
      </c>
      <c r="E5" s="597"/>
      <c r="F5" s="597"/>
      <c r="G5" s="600" t="s">
        <v>677</v>
      </c>
      <c r="H5" s="597"/>
      <c r="I5" s="597"/>
      <c r="J5" s="597"/>
      <c r="K5" s="600" t="s">
        <v>685</v>
      </c>
      <c r="L5" s="597"/>
      <c r="M5" s="597"/>
      <c r="N5" s="597"/>
      <c r="O5" s="600" t="s">
        <v>703</v>
      </c>
      <c r="P5" s="597" t="s">
        <v>500</v>
      </c>
      <c r="Q5" s="597"/>
      <c r="R5" s="597"/>
      <c r="S5" s="600" t="s">
        <v>707</v>
      </c>
      <c r="T5" s="597" t="s">
        <v>193</v>
      </c>
      <c r="U5" s="597"/>
      <c r="V5" s="599"/>
      <c r="W5" s="630">
        <f ca="1">IF(A5="","",SUMIF(SK!B$3:B$78,ROW(),SK!D$3:D$78))</f>
        <v>0</v>
      </c>
      <c r="X5" s="29"/>
      <c r="Y5" s="863" t="str">
        <f>IF(IGRF!B12="","",IGRF!B12)</f>
        <v>123</v>
      </c>
      <c r="Z5" s="858" t="str">
        <f>IF(IGRF!$M$1="rat","",IF(IGRF!C12="","",IGRF!C12))</f>
        <v>Nelson</v>
      </c>
      <c r="AA5" s="579">
        <f>IF(Score!T5="", "",Score!T5 )</f>
        <v>2</v>
      </c>
      <c r="AB5" s="583"/>
      <c r="AC5" s="581" t="str">
        <f>IF(Score!U5="", "",Score!U5 )</f>
        <v>9</v>
      </c>
      <c r="AD5" s="597"/>
      <c r="AE5" s="597"/>
      <c r="AF5" s="597"/>
      <c r="AG5" s="600" t="s">
        <v>716</v>
      </c>
      <c r="AH5" s="597"/>
      <c r="AI5" s="597"/>
      <c r="AJ5" s="597"/>
      <c r="AK5" s="600" t="s">
        <v>725</v>
      </c>
      <c r="AL5" s="597"/>
      <c r="AM5" s="597"/>
      <c r="AN5" s="597"/>
      <c r="AO5" s="600" t="s">
        <v>733</v>
      </c>
      <c r="AP5" s="597"/>
      <c r="AQ5" s="597"/>
      <c r="AR5" s="597"/>
      <c r="AS5" s="600" t="s">
        <v>711</v>
      </c>
      <c r="AT5" s="597"/>
      <c r="AU5" s="597"/>
      <c r="AV5" s="599"/>
      <c r="AW5" s="630">
        <f ca="1">IF(AA5="","",SUMIF(SK!R$3:R$78,ROW(),SK!T$3:T$78))</f>
        <v>7</v>
      </c>
      <c r="AX5" s="29"/>
      <c r="AY5" s="863" t="str">
        <f>IF(IGRF!H12="","",IGRF!H12)</f>
        <v>1542</v>
      </c>
      <c r="AZ5" s="858" t="str">
        <f>IF(IGRF!$M$1="rat","",IF(IGRF!I12="","",IGRF!I12))</f>
        <v>Mary Queen of Skates</v>
      </c>
    </row>
    <row r="6" spans="1:52" ht="28.5" customHeight="1" thickBot="1" x14ac:dyDescent="0.35">
      <c r="A6" s="578">
        <f>IF(Score!A6="", "",Score!A6 )</f>
        <v>3</v>
      </c>
      <c r="B6" s="582"/>
      <c r="C6" s="580" t="str">
        <f>IF(Score!B6="", "",Score!B6 )</f>
        <v>761</v>
      </c>
      <c r="D6" s="597"/>
      <c r="E6" s="597"/>
      <c r="F6" s="597"/>
      <c r="G6" s="598" t="s">
        <v>676</v>
      </c>
      <c r="H6" s="597"/>
      <c r="I6" s="597"/>
      <c r="J6" s="597"/>
      <c r="K6" s="598" t="s">
        <v>689</v>
      </c>
      <c r="L6" s="597"/>
      <c r="M6" s="597"/>
      <c r="N6" s="597"/>
      <c r="O6" s="598" t="s">
        <v>703</v>
      </c>
      <c r="P6" s="597" t="s">
        <v>501</v>
      </c>
      <c r="Q6" s="597"/>
      <c r="R6" s="597"/>
      <c r="S6" s="598" t="s">
        <v>693</v>
      </c>
      <c r="T6" s="597"/>
      <c r="U6" s="597"/>
      <c r="V6" s="599"/>
      <c r="W6" s="630">
        <f ca="1">IF(A6="","",SUMIF(SK!B$3:B$78,ROW(),SK!D$3:D$78))</f>
        <v>0</v>
      </c>
      <c r="X6" s="29"/>
      <c r="Y6" s="863" t="str">
        <f>IF(IGRF!B13="","",IGRF!B13)</f>
        <v>14</v>
      </c>
      <c r="Z6" s="858" t="str">
        <f>IF(IGRF!$M$1="rat","",IF(IGRF!C13="","",IGRF!C13))</f>
        <v>Shorty Ounce</v>
      </c>
      <c r="AA6" s="578">
        <f>IF(Score!T6="", "",Score!T6 )</f>
        <v>3</v>
      </c>
      <c r="AB6" s="582"/>
      <c r="AC6" s="580" t="str">
        <f>IF(Score!U6="", "",Score!U6 )</f>
        <v>69</v>
      </c>
      <c r="AD6" s="597"/>
      <c r="AE6" s="597"/>
      <c r="AF6" s="597"/>
      <c r="AG6" s="598" t="s">
        <v>675</v>
      </c>
      <c r="AH6" s="597"/>
      <c r="AI6" s="597"/>
      <c r="AJ6" s="597"/>
      <c r="AK6" s="598" t="s">
        <v>728</v>
      </c>
      <c r="AL6" s="597"/>
      <c r="AM6" s="597"/>
      <c r="AN6" s="597"/>
      <c r="AO6" s="598" t="s">
        <v>722</v>
      </c>
      <c r="AP6" s="597"/>
      <c r="AQ6" s="597"/>
      <c r="AR6" s="597"/>
      <c r="AS6" s="598" t="s">
        <v>718</v>
      </c>
      <c r="AT6" s="597"/>
      <c r="AU6" s="597"/>
      <c r="AV6" s="599"/>
      <c r="AW6" s="630">
        <f ca="1">IF(AA6="","",SUMIF(SK!R$3:R$78,ROW(),SK!T$3:T$78))</f>
        <v>0</v>
      </c>
      <c r="AX6" s="29"/>
      <c r="AY6" s="863" t="str">
        <f>IF(IGRF!H13="","",IGRF!H13)</f>
        <v>16</v>
      </c>
      <c r="AZ6" s="858" t="str">
        <f>IF(IGRF!$M$1="rat","",IF(IGRF!I13="","",IGRF!I13))</f>
        <v>Mistilla</v>
      </c>
    </row>
    <row r="7" spans="1:52" ht="28.5" customHeight="1" thickBot="1" x14ac:dyDescent="0.35">
      <c r="A7" s="579">
        <f>IF(Score!A7="", "",Score!A7 )</f>
        <v>4</v>
      </c>
      <c r="B7" s="583"/>
      <c r="C7" s="581" t="str">
        <f>IF(Score!B7="", "",Score!B7 )</f>
        <v>1618</v>
      </c>
      <c r="D7" s="597"/>
      <c r="E7" s="597"/>
      <c r="F7" s="597"/>
      <c r="G7" s="600" t="s">
        <v>677</v>
      </c>
      <c r="H7" s="597"/>
      <c r="I7" s="597"/>
      <c r="J7" s="597"/>
      <c r="K7" s="600" t="s">
        <v>707</v>
      </c>
      <c r="L7" s="597"/>
      <c r="M7" s="597"/>
      <c r="N7" s="597"/>
      <c r="O7" s="600" t="s">
        <v>695</v>
      </c>
      <c r="P7" s="597"/>
      <c r="Q7" s="597"/>
      <c r="R7" s="597"/>
      <c r="S7" s="600" t="s">
        <v>697</v>
      </c>
      <c r="T7" s="597"/>
      <c r="U7" s="597"/>
      <c r="V7" s="599"/>
      <c r="W7" s="630">
        <f ca="1">IF(A7="","",SUMIF(SK!B$3:B$78,ROW(),SK!D$3:D$78))</f>
        <v>0</v>
      </c>
      <c r="X7" s="29"/>
      <c r="Y7" s="863" t="str">
        <f>IF(IGRF!B14="","",IGRF!B14)</f>
        <v>1618</v>
      </c>
      <c r="Z7" s="858" t="str">
        <f>IF(IGRF!$M$1="rat","",IF(IGRF!C14="","",IGRF!C14))</f>
        <v>Sintripital Force</v>
      </c>
      <c r="AA7" s="579">
        <f>IF(Score!T7="", "",Score!T7 )</f>
        <v>4</v>
      </c>
      <c r="AB7" s="583"/>
      <c r="AC7" s="581" t="str">
        <f>IF(Score!U7="", "",Score!U7 )</f>
        <v>22</v>
      </c>
      <c r="AD7" s="597"/>
      <c r="AE7" s="597"/>
      <c r="AF7" s="597"/>
      <c r="AG7" s="600" t="s">
        <v>716</v>
      </c>
      <c r="AH7" s="597"/>
      <c r="AI7" s="597"/>
      <c r="AJ7" s="597"/>
      <c r="AK7" s="600" t="s">
        <v>711</v>
      </c>
      <c r="AL7" s="597"/>
      <c r="AM7" s="597"/>
      <c r="AN7" s="597"/>
      <c r="AO7" s="600" t="s">
        <v>716</v>
      </c>
      <c r="AP7" s="597"/>
      <c r="AQ7" s="597"/>
      <c r="AR7" s="597"/>
      <c r="AS7" s="600" t="s">
        <v>725</v>
      </c>
      <c r="AT7" s="597"/>
      <c r="AU7" s="597"/>
      <c r="AV7" s="599"/>
      <c r="AW7" s="630">
        <f ca="1">IF(AA7="","",SUMIF(SK!R$3:R$78,ROW(),SK!T$3:T$78))</f>
        <v>4</v>
      </c>
      <c r="AX7" s="29"/>
      <c r="AY7" s="863" t="str">
        <f>IF(IGRF!H14="","",IGRF!H14)</f>
        <v>19</v>
      </c>
      <c r="AZ7" s="858" t="str">
        <f>IF(IGRF!$M$1="rat","",IF(IGRF!I14="","",IGRF!I14))</f>
        <v>Betty Watchett</v>
      </c>
    </row>
    <row r="8" spans="1:52" ht="28.5" customHeight="1" thickBot="1" x14ac:dyDescent="0.35">
      <c r="A8" s="578">
        <f>IF(Score!A8="", "",Score!A8 )</f>
        <v>5</v>
      </c>
      <c r="B8" s="582"/>
      <c r="C8" s="580" t="str">
        <f>IF(Score!B8="", "",Score!B8 )</f>
        <v>23</v>
      </c>
      <c r="D8" s="597"/>
      <c r="E8" s="597"/>
      <c r="F8" s="597"/>
      <c r="G8" s="598" t="s">
        <v>676</v>
      </c>
      <c r="H8" s="597"/>
      <c r="I8" s="597"/>
      <c r="J8" s="597"/>
      <c r="K8" s="598" t="s">
        <v>693</v>
      </c>
      <c r="L8" s="597" t="s">
        <v>500</v>
      </c>
      <c r="M8" s="597"/>
      <c r="N8" s="597"/>
      <c r="O8" s="598" t="s">
        <v>685</v>
      </c>
      <c r="P8" s="597"/>
      <c r="Q8" s="597"/>
      <c r="R8" s="597"/>
      <c r="S8" s="598" t="s">
        <v>699</v>
      </c>
      <c r="T8" s="597"/>
      <c r="U8" s="597"/>
      <c r="V8" s="599"/>
      <c r="W8" s="630">
        <f ca="1">IF(A8="","",SUMIF(SK!B$3:B$78,ROW(),SK!D$3:D$78))</f>
        <v>3</v>
      </c>
      <c r="X8" s="29"/>
      <c r="Y8" s="863" t="str">
        <f>IF(IGRF!B15="","",IGRF!B15)</f>
        <v>22</v>
      </c>
      <c r="Z8" s="858" t="str">
        <f>IF(IGRF!$M$1="rat","",IF(IGRF!C15="","",IGRF!C15))</f>
        <v>Sami Automatic</v>
      </c>
      <c r="AA8" s="578">
        <f>IF(Score!T8="", "",Score!T8 )</f>
        <v>5</v>
      </c>
      <c r="AB8" s="582"/>
      <c r="AC8" s="580" t="str">
        <f>IF(Score!U8="", "",Score!U8 )</f>
        <v>9</v>
      </c>
      <c r="AD8" s="597"/>
      <c r="AE8" s="597"/>
      <c r="AF8" s="597"/>
      <c r="AG8" s="598" t="s">
        <v>675</v>
      </c>
      <c r="AH8" s="597"/>
      <c r="AI8" s="597"/>
      <c r="AJ8" s="597"/>
      <c r="AK8" s="598" t="s">
        <v>728</v>
      </c>
      <c r="AL8" s="597"/>
      <c r="AM8" s="597"/>
      <c r="AN8" s="597"/>
      <c r="AO8" s="598" t="s">
        <v>722</v>
      </c>
      <c r="AP8" s="597"/>
      <c r="AQ8" s="597"/>
      <c r="AR8" s="597"/>
      <c r="AS8" s="598" t="s">
        <v>720</v>
      </c>
      <c r="AT8" s="597"/>
      <c r="AU8" s="597"/>
      <c r="AV8" s="599"/>
      <c r="AW8" s="630">
        <f ca="1">IF(AA8="","",SUMIF(SK!R$3:R$78,ROW(),SK!T$3:T$78))</f>
        <v>2</v>
      </c>
      <c r="AX8" s="29"/>
      <c r="AY8" s="863" t="str">
        <f>IF(IGRF!H15="","",IGRF!H15)</f>
        <v>2000</v>
      </c>
      <c r="AZ8" s="858" t="str">
        <f>IF(IGRF!$M$1="rat","",IF(IGRF!I15="","",IGRF!I15))</f>
        <v>Lisa Lava</v>
      </c>
    </row>
    <row r="9" spans="1:52" ht="28.5" customHeight="1" thickBot="1" x14ac:dyDescent="0.35">
      <c r="A9" s="579">
        <f>IF(Score!A9="", "",Score!A9 )</f>
        <v>6</v>
      </c>
      <c r="B9" s="583"/>
      <c r="C9" s="581" t="str">
        <f>IF(Score!B9="", "",Score!B9 )</f>
        <v>911</v>
      </c>
      <c r="D9" s="597" t="s">
        <v>500</v>
      </c>
      <c r="E9" s="597"/>
      <c r="F9" s="597"/>
      <c r="G9" s="600" t="s">
        <v>677</v>
      </c>
      <c r="H9" s="597"/>
      <c r="I9" s="597"/>
      <c r="J9" s="597"/>
      <c r="K9" s="600" t="s">
        <v>693</v>
      </c>
      <c r="L9" s="597" t="s">
        <v>501</v>
      </c>
      <c r="M9" s="597"/>
      <c r="N9" s="597"/>
      <c r="O9" s="600" t="s">
        <v>689</v>
      </c>
      <c r="P9" s="597"/>
      <c r="Q9" s="597"/>
      <c r="R9" s="597"/>
      <c r="S9" s="600" t="s">
        <v>707</v>
      </c>
      <c r="T9" s="597"/>
      <c r="U9" s="597"/>
      <c r="V9" s="599"/>
      <c r="W9" s="630">
        <f ca="1">IF(A9="","",SUMIF(SK!B$3:B$78,ROW(),SK!D$3:D$78))</f>
        <v>0</v>
      </c>
      <c r="X9" s="29"/>
      <c r="Y9" s="863" t="str">
        <f>IF(IGRF!B16="","",IGRF!B16)</f>
        <v>23</v>
      </c>
      <c r="Z9" s="858" t="str">
        <f>IF(IGRF!$M$1="rat","",IF(IGRF!C16="","",IGRF!C16))</f>
        <v>LeBrawn Maimes</v>
      </c>
      <c r="AA9" s="579">
        <f>IF(Score!T9="", "",Score!T9 )</f>
        <v>6</v>
      </c>
      <c r="AB9" s="583"/>
      <c r="AC9" s="581" t="str">
        <f>IF(Score!U9="", "",Score!U9 )</f>
        <v>69</v>
      </c>
      <c r="AD9" s="597"/>
      <c r="AE9" s="597"/>
      <c r="AF9" s="597"/>
      <c r="AG9" s="600" t="s">
        <v>716</v>
      </c>
      <c r="AH9" s="597"/>
      <c r="AI9" s="597"/>
      <c r="AJ9" s="597"/>
      <c r="AK9" s="600" t="s">
        <v>725</v>
      </c>
      <c r="AL9" s="597"/>
      <c r="AM9" s="597"/>
      <c r="AN9" s="597"/>
      <c r="AO9" s="600" t="s">
        <v>733</v>
      </c>
      <c r="AP9" s="597"/>
      <c r="AQ9" s="597"/>
      <c r="AR9" s="597"/>
      <c r="AS9" s="600" t="s">
        <v>713</v>
      </c>
      <c r="AT9" s="597"/>
      <c r="AU9" s="597"/>
      <c r="AV9" s="599"/>
      <c r="AW9" s="630">
        <f ca="1">IF(AA9="","",SUMIF(SK!R$3:R$78,ROW(),SK!T$3:T$78))</f>
        <v>0</v>
      </c>
      <c r="AX9" s="29"/>
      <c r="AY9" s="863" t="str">
        <f>IF(IGRF!H16="","",IGRF!H16)</f>
        <v>201</v>
      </c>
      <c r="AZ9" s="858" t="str">
        <f>IF(IGRF!$M$1="rat","",IF(IGRF!I16="","",IGRF!I16))</f>
        <v>Dutch Destroyer</v>
      </c>
    </row>
    <row r="10" spans="1:52" ht="28.5" customHeight="1" thickBot="1" x14ac:dyDescent="0.35">
      <c r="A10" s="578">
        <f>IF(Score!A10="", "",Score!A10 )</f>
        <v>7</v>
      </c>
      <c r="B10" s="582"/>
      <c r="C10" s="580" t="str">
        <f>IF(Score!B10="", "",Score!B10 )</f>
        <v>911</v>
      </c>
      <c r="D10" s="597" t="s">
        <v>501</v>
      </c>
      <c r="E10" s="597"/>
      <c r="F10" s="597"/>
      <c r="G10" s="598" t="s">
        <v>676</v>
      </c>
      <c r="H10" s="597"/>
      <c r="I10" s="597"/>
      <c r="J10" s="597"/>
      <c r="K10" s="598" t="s">
        <v>703</v>
      </c>
      <c r="L10" s="597" t="s">
        <v>500</v>
      </c>
      <c r="M10" s="597"/>
      <c r="N10" s="597"/>
      <c r="O10" s="598" t="s">
        <v>697</v>
      </c>
      <c r="P10" s="597"/>
      <c r="Q10" s="597"/>
      <c r="R10" s="597"/>
      <c r="S10" s="598" t="s">
        <v>699</v>
      </c>
      <c r="T10" s="597"/>
      <c r="U10" s="597"/>
      <c r="V10" s="599"/>
      <c r="W10" s="630">
        <f ca="1">IF(A10="","",SUMIF(SK!B$3:B$78,ROW(),SK!D$3:D$78))</f>
        <v>0</v>
      </c>
      <c r="X10" s="29"/>
      <c r="Y10" s="863" t="str">
        <f>IF(IGRF!B17="","",IGRF!B17)</f>
        <v>321</v>
      </c>
      <c r="Z10" s="858" t="str">
        <f>IF(IGRF!$M$1="rat","",IF(IGRF!C17="","",IGRF!C17))</f>
        <v>Missile America</v>
      </c>
      <c r="AA10" s="578">
        <f>IF(Score!T10="", "",Score!T10 )</f>
        <v>7</v>
      </c>
      <c r="AB10" s="582"/>
      <c r="AC10" s="580" t="str">
        <f>IF(Score!U10="", "",Score!U10 )</f>
        <v>22</v>
      </c>
      <c r="AD10" s="597"/>
      <c r="AE10" s="597"/>
      <c r="AF10" s="597"/>
      <c r="AG10" s="598" t="s">
        <v>678</v>
      </c>
      <c r="AH10" s="597"/>
      <c r="AI10" s="597"/>
      <c r="AJ10" s="597"/>
      <c r="AK10" s="598" t="s">
        <v>728</v>
      </c>
      <c r="AL10" s="597"/>
      <c r="AM10" s="597"/>
      <c r="AN10" s="597"/>
      <c r="AO10" s="598" t="s">
        <v>718</v>
      </c>
      <c r="AP10" s="597"/>
      <c r="AQ10" s="597"/>
      <c r="AR10" s="597"/>
      <c r="AS10" s="598" t="s">
        <v>722</v>
      </c>
      <c r="AT10" s="597"/>
      <c r="AU10" s="597"/>
      <c r="AV10" s="599"/>
      <c r="AW10" s="630">
        <f ca="1">IF(AA10="","",SUMIF(SK!R$3:R$78,ROW(),SK!T$3:T$78))</f>
        <v>5</v>
      </c>
      <c r="AX10" s="29"/>
      <c r="AY10" s="863" t="str">
        <f>IF(IGRF!H17="","",IGRF!H17)</f>
        <v>21</v>
      </c>
      <c r="AZ10" s="858" t="str">
        <f>IF(IGRF!$M$1="rat","",IF(IGRF!I17="","",IGRF!I17))</f>
        <v>Jekyll &amp; Heidi</v>
      </c>
    </row>
    <row r="11" spans="1:52" ht="28.5" customHeight="1" thickBot="1" x14ac:dyDescent="0.35">
      <c r="A11" s="579">
        <f>IF(Score!A11="", "",Score!A11 )</f>
        <v>8</v>
      </c>
      <c r="B11" s="583"/>
      <c r="C11" s="581" t="str">
        <f>IF(Score!B11="", "",Score!B11 )</f>
        <v>761</v>
      </c>
      <c r="D11" s="597" t="s">
        <v>193</v>
      </c>
      <c r="E11" s="597"/>
      <c r="F11" s="597"/>
      <c r="G11" s="600" t="s">
        <v>677</v>
      </c>
      <c r="H11" s="597"/>
      <c r="I11" s="597"/>
      <c r="J11" s="597"/>
      <c r="K11" s="600" t="s">
        <v>703</v>
      </c>
      <c r="L11" s="597" t="s">
        <v>501</v>
      </c>
      <c r="M11" s="597"/>
      <c r="N11" s="597"/>
      <c r="O11" s="600" t="s">
        <v>707</v>
      </c>
      <c r="P11" s="597" t="s">
        <v>193</v>
      </c>
      <c r="Q11" s="597"/>
      <c r="R11" s="597"/>
      <c r="S11" s="600" t="s">
        <v>685</v>
      </c>
      <c r="T11" s="597"/>
      <c r="U11" s="597"/>
      <c r="V11" s="599"/>
      <c r="W11" s="630">
        <f ca="1">IF(A11="","",SUMIF(SK!B$3:B$78,ROW(),SK!D$3:D$78))</f>
        <v>8</v>
      </c>
      <c r="X11" s="29"/>
      <c r="Y11" s="863" t="str">
        <f>IF(IGRF!B18="","",IGRF!B18)</f>
        <v>4</v>
      </c>
      <c r="Z11" s="858" t="str">
        <f>IF(IGRF!$M$1="rat","",IF(IGRF!C18="","",IGRF!C18))</f>
        <v>Belle Tolls</v>
      </c>
      <c r="AA11" s="579">
        <f>IF(Score!T11="", "",Score!T11 )</f>
        <v>8</v>
      </c>
      <c r="AB11" s="583"/>
      <c r="AC11" s="581" t="str">
        <f>IF(Score!U11="", "",Score!U11 )</f>
        <v>9</v>
      </c>
      <c r="AD11" s="597"/>
      <c r="AE11" s="597"/>
      <c r="AF11" s="597"/>
      <c r="AG11" s="600" t="s">
        <v>716</v>
      </c>
      <c r="AH11" s="597" t="s">
        <v>500</v>
      </c>
      <c r="AI11" s="597"/>
      <c r="AJ11" s="597"/>
      <c r="AK11" s="600" t="s">
        <v>733</v>
      </c>
      <c r="AL11" s="597" t="s">
        <v>193</v>
      </c>
      <c r="AM11" s="597"/>
      <c r="AN11" s="597"/>
      <c r="AO11" s="600" t="s">
        <v>725</v>
      </c>
      <c r="AP11" s="597"/>
      <c r="AQ11" s="597"/>
      <c r="AR11" s="597"/>
      <c r="AS11" s="600" t="s">
        <v>711</v>
      </c>
      <c r="AT11" s="597"/>
      <c r="AU11" s="597"/>
      <c r="AV11" s="599"/>
      <c r="AW11" s="630">
        <f ca="1">IF(AA11="","",SUMIF(SK!R$3:R$78,ROW(),SK!T$3:T$78))</f>
        <v>11</v>
      </c>
      <c r="AX11" s="29"/>
      <c r="AY11" s="863" t="str">
        <f>IF(IGRF!H18="","",IGRF!H18)</f>
        <v>22</v>
      </c>
      <c r="AZ11" s="858" t="str">
        <f>IF(IGRF!$M$1="rat","",IF(IGRF!I18="","",IGRF!I18))</f>
        <v>Freight Train</v>
      </c>
    </row>
    <row r="12" spans="1:52" ht="28.5" customHeight="1" thickBot="1" x14ac:dyDescent="0.35">
      <c r="A12" s="578">
        <f>IF(Score!A12="", "",Score!A12 )</f>
        <v>9</v>
      </c>
      <c r="B12" s="582"/>
      <c r="C12" s="580" t="str">
        <f>IF(Score!B12="", "",Score!B12 )</f>
        <v>1618</v>
      </c>
      <c r="D12" s="597"/>
      <c r="E12" s="597"/>
      <c r="F12" s="597"/>
      <c r="G12" s="598" t="s">
        <v>676</v>
      </c>
      <c r="H12" s="597" t="s">
        <v>500</v>
      </c>
      <c r="I12" s="597"/>
      <c r="J12" s="597"/>
      <c r="K12" s="598" t="s">
        <v>695</v>
      </c>
      <c r="L12" s="597"/>
      <c r="M12" s="597"/>
      <c r="N12" s="597"/>
      <c r="O12" s="598" t="s">
        <v>693</v>
      </c>
      <c r="P12" s="597"/>
      <c r="Q12" s="597"/>
      <c r="R12" s="597"/>
      <c r="S12" s="598" t="s">
        <v>689</v>
      </c>
      <c r="T12" s="597"/>
      <c r="U12" s="597"/>
      <c r="V12" s="599"/>
      <c r="W12" s="630">
        <f ca="1">IF(A12="","",SUMIF(SK!B$3:B$78,ROW(),SK!D$3:D$78))</f>
        <v>20</v>
      </c>
      <c r="X12" s="29"/>
      <c r="Y12" s="863" t="str">
        <f>IF(IGRF!B19="","",IGRF!B19)</f>
        <v>505</v>
      </c>
      <c r="Z12" s="858" t="str">
        <f>IF(IGRF!$M$1="rat","",IF(IGRF!C19="","",IGRF!C19))</f>
        <v>Teddy Rupp</v>
      </c>
      <c r="AA12" s="578">
        <f>IF(Score!T12="", "",Score!T12 )</f>
        <v>9</v>
      </c>
      <c r="AB12" s="582"/>
      <c r="AC12" s="580" t="str">
        <f>IF(Score!U12="", "",Score!U12 )</f>
        <v>69</v>
      </c>
      <c r="AD12" s="597" t="s">
        <v>193</v>
      </c>
      <c r="AE12" s="597"/>
      <c r="AF12" s="597"/>
      <c r="AG12" s="598" t="s">
        <v>716</v>
      </c>
      <c r="AH12" s="597" t="s">
        <v>501</v>
      </c>
      <c r="AI12" s="597" t="s">
        <v>500</v>
      </c>
      <c r="AJ12" s="597"/>
      <c r="AK12" s="598" t="s">
        <v>675</v>
      </c>
      <c r="AL12" s="597" t="s">
        <v>500</v>
      </c>
      <c r="AM12" s="597"/>
      <c r="AN12" s="597"/>
      <c r="AO12" s="598" t="s">
        <v>728</v>
      </c>
      <c r="AP12" s="597"/>
      <c r="AQ12" s="597"/>
      <c r="AR12" s="597"/>
      <c r="AS12" s="598" t="s">
        <v>722</v>
      </c>
      <c r="AT12" s="597" t="s">
        <v>193</v>
      </c>
      <c r="AU12" s="597"/>
      <c r="AV12" s="599"/>
      <c r="AW12" s="630">
        <f ca="1">IF(AA12="","",SUMIF(SK!R$3:R$78,ROW(),SK!T$3:T$78))</f>
        <v>0</v>
      </c>
      <c r="AX12" s="29"/>
      <c r="AY12" s="863" t="str">
        <f>IF(IGRF!H19="","",IGRF!H19)</f>
        <v>312</v>
      </c>
      <c r="AZ12" s="858" t="str">
        <f>IF(IGRF!$M$1="rat","",IF(IGRF!I19="","",IGRF!I19))</f>
        <v>2x Force</v>
      </c>
    </row>
    <row r="13" spans="1:52" ht="28.5" customHeight="1" thickBot="1" x14ac:dyDescent="0.35">
      <c r="A13" s="579">
        <f>IF(Score!A13="", "",Score!A13 )</f>
        <v>10</v>
      </c>
      <c r="B13" s="583"/>
      <c r="C13" s="581" t="str">
        <f>IF(Score!B13="", "",Score!B13 )</f>
        <v>23</v>
      </c>
      <c r="D13" s="597"/>
      <c r="E13" s="597"/>
      <c r="F13" s="597"/>
      <c r="G13" s="600" t="s">
        <v>676</v>
      </c>
      <c r="H13" s="597" t="s">
        <v>501</v>
      </c>
      <c r="I13" s="597"/>
      <c r="J13" s="597"/>
      <c r="K13" s="600" t="s">
        <v>697</v>
      </c>
      <c r="L13" s="597"/>
      <c r="M13" s="597"/>
      <c r="N13" s="597"/>
      <c r="O13" s="600" t="s">
        <v>707</v>
      </c>
      <c r="P13" s="597"/>
      <c r="Q13" s="597"/>
      <c r="R13" s="597"/>
      <c r="S13" s="600" t="s">
        <v>699</v>
      </c>
      <c r="T13" s="597"/>
      <c r="U13" s="597"/>
      <c r="V13" s="599"/>
      <c r="W13" s="630">
        <f ca="1">IF(A13="","",SUMIF(SK!B$3:B$78,ROW(),SK!D$3:D$78))</f>
        <v>4</v>
      </c>
      <c r="X13" s="29"/>
      <c r="Y13" s="863" t="str">
        <f>IF(IGRF!B20="","",IGRF!B20)</f>
        <v>53</v>
      </c>
      <c r="Z13" s="858" t="str">
        <f>IF(IGRF!$M$1="rat","",IF(IGRF!C20="","",IGRF!C20))</f>
        <v>Raven Seaward</v>
      </c>
      <c r="AA13" s="579">
        <f>IF(Score!T13="", "",Score!T13 )</f>
        <v>10</v>
      </c>
      <c r="AB13" s="583"/>
      <c r="AC13" s="581" t="str">
        <f>IF(Score!U13="", "",Score!U13 )</f>
        <v>22</v>
      </c>
      <c r="AD13" s="597"/>
      <c r="AE13" s="597"/>
      <c r="AF13" s="597"/>
      <c r="AG13" s="600" t="s">
        <v>716</v>
      </c>
      <c r="AH13" s="597" t="s">
        <v>501</v>
      </c>
      <c r="AI13" s="597"/>
      <c r="AJ13" s="597"/>
      <c r="AK13" s="600" t="s">
        <v>675</v>
      </c>
      <c r="AL13" s="597" t="s">
        <v>501</v>
      </c>
      <c r="AM13" s="597"/>
      <c r="AN13" s="597"/>
      <c r="AO13" s="600" t="s">
        <v>678</v>
      </c>
      <c r="AP13" s="597"/>
      <c r="AQ13" s="597"/>
      <c r="AR13" s="597"/>
      <c r="AS13" s="600" t="s">
        <v>733</v>
      </c>
      <c r="AT13" s="597"/>
      <c r="AU13" s="597"/>
      <c r="AV13" s="599"/>
      <c r="AW13" s="630">
        <f ca="1">IF(AA13="","",SUMIF(SK!R$3:R$78,ROW(),SK!T$3:T$78))</f>
        <v>3</v>
      </c>
      <c r="AX13" s="29"/>
      <c r="AY13" s="863" t="str">
        <f>IF(IGRF!H20="","",IGRF!H20)</f>
        <v>51</v>
      </c>
      <c r="AZ13" s="858" t="str">
        <f>IF(IGRF!$M$1="rat","",IF(IGRF!I20="","",IGRF!I20))</f>
        <v>Bustin’ Beaver</v>
      </c>
    </row>
    <row r="14" spans="1:52" ht="28.5" customHeight="1" thickBot="1" x14ac:dyDescent="0.35">
      <c r="A14" s="578">
        <f>IF(Score!A14="", "",Score!A14 )</f>
        <v>11</v>
      </c>
      <c r="B14" s="582"/>
      <c r="C14" s="580" t="str">
        <f>IF(Score!B14="", "",Score!B14 )</f>
        <v>911</v>
      </c>
      <c r="D14" s="597"/>
      <c r="E14" s="597"/>
      <c r="F14" s="597"/>
      <c r="G14" s="598" t="s">
        <v>677</v>
      </c>
      <c r="H14" s="597" t="s">
        <v>500</v>
      </c>
      <c r="I14" s="597"/>
      <c r="J14" s="597"/>
      <c r="K14" s="598" t="s">
        <v>693</v>
      </c>
      <c r="L14" s="597"/>
      <c r="M14" s="597"/>
      <c r="N14" s="597"/>
      <c r="O14" s="598" t="s">
        <v>703</v>
      </c>
      <c r="P14" s="597"/>
      <c r="Q14" s="597"/>
      <c r="R14" s="597"/>
      <c r="S14" s="598" t="s">
        <v>685</v>
      </c>
      <c r="T14" s="597"/>
      <c r="U14" s="597"/>
      <c r="V14" s="599"/>
      <c r="W14" s="630">
        <f ca="1">IF(A14="","",SUMIF(SK!B$3:B$78,ROW(),SK!D$3:D$78))</f>
        <v>1</v>
      </c>
      <c r="X14" s="29"/>
      <c r="Y14" s="863" t="str">
        <f>IF(IGRF!B21="","",IGRF!B21)</f>
        <v>761</v>
      </c>
      <c r="Z14" s="858" t="str">
        <f>IF(IGRF!$M$1="rat","",IF(IGRF!C21="","",IGRF!C21))</f>
        <v>Rawkhell SqWelch</v>
      </c>
      <c r="AA14" s="578">
        <f>IF(Score!T14="", "",Score!T14 )</f>
        <v>11</v>
      </c>
      <c r="AB14" s="582"/>
      <c r="AC14" s="580" t="str">
        <f>IF(Score!U14="", "",Score!U14 )</f>
        <v>9</v>
      </c>
      <c r="AD14" s="597"/>
      <c r="AE14" s="597"/>
      <c r="AF14" s="597"/>
      <c r="AG14" s="598" t="s">
        <v>722</v>
      </c>
      <c r="AH14" s="597"/>
      <c r="AI14" s="597"/>
      <c r="AJ14" s="597"/>
      <c r="AK14" s="598" t="s">
        <v>720</v>
      </c>
      <c r="AL14" s="597"/>
      <c r="AM14" s="597"/>
      <c r="AN14" s="597"/>
      <c r="AO14" s="598" t="s">
        <v>728</v>
      </c>
      <c r="AP14" s="597"/>
      <c r="AQ14" s="597"/>
      <c r="AR14" s="597"/>
      <c r="AS14" s="598" t="s">
        <v>718</v>
      </c>
      <c r="AT14" s="597"/>
      <c r="AU14" s="597"/>
      <c r="AV14" s="599"/>
      <c r="AW14" s="630">
        <f ca="1">IF(AA14="","",SUMIF(SK!R$3:R$78,ROW(),SK!T$3:T$78))</f>
        <v>3</v>
      </c>
      <c r="AX14" s="29"/>
      <c r="AY14" s="863" t="str">
        <f>IF(IGRF!H21="","",IGRF!H21)</f>
        <v>5309</v>
      </c>
      <c r="AZ14" s="858" t="str">
        <f>IF(IGRF!$M$1="rat","",IF(IGRF!I21="","",IGRF!I21))</f>
        <v>Toxic Assets</v>
      </c>
    </row>
    <row r="15" spans="1:52" ht="28.5" customHeight="1" thickBot="1" x14ac:dyDescent="0.35">
      <c r="A15" s="579">
        <f>IF(Score!A15="", "",Score!A15 )</f>
        <v>12</v>
      </c>
      <c r="B15" s="583"/>
      <c r="C15" s="581" t="str">
        <f>IF(Score!B15="", "",Score!B15 )</f>
        <v>761</v>
      </c>
      <c r="D15" s="597"/>
      <c r="E15" s="597"/>
      <c r="F15" s="597"/>
      <c r="G15" s="600" t="s">
        <v>677</v>
      </c>
      <c r="H15" s="597" t="s">
        <v>212</v>
      </c>
      <c r="I15" s="597"/>
      <c r="J15" s="597"/>
      <c r="K15" s="600" t="s">
        <v>689</v>
      </c>
      <c r="L15" s="597" t="s">
        <v>500</v>
      </c>
      <c r="M15" s="597"/>
      <c r="N15" s="597"/>
      <c r="O15" s="600" t="s">
        <v>676</v>
      </c>
      <c r="P15" s="597"/>
      <c r="Q15" s="597"/>
      <c r="R15" s="597"/>
      <c r="S15" s="600" t="s">
        <v>699</v>
      </c>
      <c r="T15" s="597"/>
      <c r="U15" s="597"/>
      <c r="V15" s="599"/>
      <c r="W15" s="630">
        <f ca="1">IF(A15="","",SUMIF(SK!B$3:B$78,ROW(),SK!D$3:D$78))</f>
        <v>0</v>
      </c>
      <c r="X15" s="29"/>
      <c r="Y15" s="863" t="str">
        <f>IF(IGRF!B22="","",IGRF!B22)</f>
        <v>808</v>
      </c>
      <c r="Z15" s="858" t="str">
        <f>IF(IGRF!$M$1="rat","",IF(IGRF!C22="","",IGRF!C22))</f>
        <v>Kendle Bjelland</v>
      </c>
      <c r="AA15" s="579">
        <f>IF(Score!T15="", "",Score!T15 )</f>
        <v>12</v>
      </c>
      <c r="AB15" s="583"/>
      <c r="AC15" s="581" t="str">
        <f>IF(Score!U15="", "",Score!U15 )</f>
        <v>69</v>
      </c>
      <c r="AD15" s="597"/>
      <c r="AE15" s="597"/>
      <c r="AF15" s="597"/>
      <c r="AG15" s="600" t="s">
        <v>716</v>
      </c>
      <c r="AH15" s="597"/>
      <c r="AI15" s="597"/>
      <c r="AJ15" s="597"/>
      <c r="AK15" s="600" t="s">
        <v>720</v>
      </c>
      <c r="AL15" s="597" t="s">
        <v>212</v>
      </c>
      <c r="AM15" s="597"/>
      <c r="AN15" s="597"/>
      <c r="AO15" s="600" t="s">
        <v>725</v>
      </c>
      <c r="AP15" s="597"/>
      <c r="AQ15" s="597"/>
      <c r="AR15" s="597"/>
      <c r="AS15" s="600" t="s">
        <v>713</v>
      </c>
      <c r="AT15" s="597"/>
      <c r="AU15" s="597"/>
      <c r="AV15" s="599"/>
      <c r="AW15" s="630">
        <f ca="1">IF(AA15="","",SUMIF(SK!R$3:R$78,ROW(),SK!T$3:T$78))</f>
        <v>0</v>
      </c>
      <c r="AX15" s="29"/>
      <c r="AY15" s="863" t="str">
        <f>IF(IGRF!H22="","",IGRF!H22)</f>
        <v>69</v>
      </c>
      <c r="AZ15" s="858" t="str">
        <f>IF(IGRF!$M$1="rat","",IF(IGRF!I22="","",IGRF!I22))</f>
        <v>Death By Chocolate</v>
      </c>
    </row>
    <row r="16" spans="1:52" ht="28.5" customHeight="1" thickBot="1" x14ac:dyDescent="0.35">
      <c r="A16" s="578">
        <f>IF(Score!A16="", "",Score!A16 )</f>
        <v>13</v>
      </c>
      <c r="B16" s="582"/>
      <c r="C16" s="580" t="str">
        <f>IF(Score!B16="", "",Score!B16 )</f>
        <v>1618</v>
      </c>
      <c r="D16" s="597"/>
      <c r="E16" s="597"/>
      <c r="F16" s="597"/>
      <c r="G16" s="598" t="s">
        <v>677</v>
      </c>
      <c r="H16" s="597" t="s">
        <v>501</v>
      </c>
      <c r="I16" s="597"/>
      <c r="J16" s="597"/>
      <c r="K16" s="598" t="s">
        <v>689</v>
      </c>
      <c r="L16" s="597" t="s">
        <v>212</v>
      </c>
      <c r="M16" s="597"/>
      <c r="N16" s="597"/>
      <c r="O16" s="598" t="s">
        <v>707</v>
      </c>
      <c r="P16" s="597"/>
      <c r="Q16" s="597"/>
      <c r="R16" s="597"/>
      <c r="S16" s="598" t="s">
        <v>685</v>
      </c>
      <c r="T16" s="597"/>
      <c r="U16" s="597"/>
      <c r="V16" s="599"/>
      <c r="W16" s="630">
        <f ca="1">IF(A16="","",SUMIF(SK!B$3:B$78,ROW(),SK!D$3:D$78))</f>
        <v>4</v>
      </c>
      <c r="X16" s="29"/>
      <c r="Y16" s="863" t="str">
        <f>IF(IGRF!B23="","",IGRF!B23)</f>
        <v>9</v>
      </c>
      <c r="Z16" s="858" t="str">
        <f>IF(IGRF!$M$1="rat","",IF(IGRF!C23="","",IGRF!C23))</f>
        <v>P. Wilhelm</v>
      </c>
      <c r="AA16" s="578">
        <f>IF(Score!T16="", "",Score!T16 )</f>
        <v>13</v>
      </c>
      <c r="AB16" s="582"/>
      <c r="AC16" s="580" t="str">
        <f>IF(Score!U16="", "",Score!U16 )</f>
        <v>22</v>
      </c>
      <c r="AD16" s="597"/>
      <c r="AE16" s="597"/>
      <c r="AF16" s="597"/>
      <c r="AG16" s="598" t="s">
        <v>675</v>
      </c>
      <c r="AH16" s="597"/>
      <c r="AI16" s="597"/>
      <c r="AJ16" s="597"/>
      <c r="AK16" s="598" t="s">
        <v>720</v>
      </c>
      <c r="AL16" s="597" t="s">
        <v>501</v>
      </c>
      <c r="AM16" s="597"/>
      <c r="AN16" s="597"/>
      <c r="AO16" s="598" t="s">
        <v>725</v>
      </c>
      <c r="AP16" s="597" t="s">
        <v>212</v>
      </c>
      <c r="AQ16" s="597"/>
      <c r="AR16" s="597"/>
      <c r="AS16" s="598" t="s">
        <v>722</v>
      </c>
      <c r="AT16" s="597"/>
      <c r="AU16" s="597"/>
      <c r="AV16" s="599"/>
      <c r="AW16" s="630">
        <f ca="1">IF(AA16="","",SUMIF(SK!R$3:R$78,ROW(),SK!T$3:T$78))</f>
        <v>0</v>
      </c>
      <c r="AX16" s="29"/>
      <c r="AY16" s="863" t="str">
        <f>IF(IGRF!H23="","",IGRF!H23)</f>
        <v>9</v>
      </c>
      <c r="AZ16" s="858" t="str">
        <f>IF(IGRF!$M$1="rat","",IF(IGRF!I23="","",IGRF!I23))</f>
        <v>Big Bad Voodoo Dollie</v>
      </c>
    </row>
    <row r="17" spans="1:52" ht="28.5" customHeight="1" thickBot="1" x14ac:dyDescent="0.35">
      <c r="A17" s="579">
        <f>IF(Score!A17="", "",Score!A17 )</f>
        <v>14</v>
      </c>
      <c r="B17" s="583"/>
      <c r="C17" s="581" t="str">
        <f>IF(Score!B17="", "",Score!B17 )</f>
        <v>23</v>
      </c>
      <c r="D17" s="597" t="s">
        <v>193</v>
      </c>
      <c r="E17" s="597"/>
      <c r="F17" s="597"/>
      <c r="G17" s="600" t="s">
        <v>676</v>
      </c>
      <c r="H17" s="597"/>
      <c r="I17" s="597"/>
      <c r="J17" s="597"/>
      <c r="K17" s="600" t="s">
        <v>689</v>
      </c>
      <c r="L17" s="597" t="s">
        <v>501</v>
      </c>
      <c r="M17" s="597"/>
      <c r="N17" s="597"/>
      <c r="O17" s="600" t="s">
        <v>695</v>
      </c>
      <c r="P17" s="597" t="s">
        <v>500</v>
      </c>
      <c r="Q17" s="597"/>
      <c r="R17" s="597"/>
      <c r="S17" s="600" t="s">
        <v>693</v>
      </c>
      <c r="T17" s="597" t="s">
        <v>193</v>
      </c>
      <c r="U17" s="597"/>
      <c r="V17" s="599"/>
      <c r="W17" s="630">
        <f ca="1">IF(A17="","",SUMIF(SK!B$3:B$78,ROW(),SK!D$3:D$78))</f>
        <v>0</v>
      </c>
      <c r="X17" s="29"/>
      <c r="Y17" s="863" t="str">
        <f>IF(IGRF!B24="","",IGRF!B24)</f>
        <v>911</v>
      </c>
      <c r="Z17" s="858" t="str">
        <f>IF(IGRF!$M$1="rat","",IF(IGRF!C24="","",IGRF!C24))</f>
        <v>Luna Negra</v>
      </c>
      <c r="AA17" s="579">
        <f>IF(Score!T17="", "",Score!T17 )</f>
        <v>14</v>
      </c>
      <c r="AB17" s="583"/>
      <c r="AC17" s="581" t="str">
        <f>IF(Score!U17="", "",Score!U17 )</f>
        <v>9</v>
      </c>
      <c r="AD17" s="597"/>
      <c r="AE17" s="597"/>
      <c r="AF17" s="597"/>
      <c r="AG17" s="600" t="s">
        <v>716</v>
      </c>
      <c r="AH17" s="597"/>
      <c r="AI17" s="597"/>
      <c r="AJ17" s="597"/>
      <c r="AK17" s="600" t="s">
        <v>733</v>
      </c>
      <c r="AL17" s="597"/>
      <c r="AM17" s="597"/>
      <c r="AN17" s="597"/>
      <c r="AO17" s="600" t="s">
        <v>725</v>
      </c>
      <c r="AP17" s="597" t="s">
        <v>501</v>
      </c>
      <c r="AQ17" s="597"/>
      <c r="AR17" s="597"/>
      <c r="AS17" s="600" t="s">
        <v>678</v>
      </c>
      <c r="AT17" s="597"/>
      <c r="AU17" s="597"/>
      <c r="AV17" s="599"/>
      <c r="AW17" s="630">
        <f ca="1">IF(AA17="","",SUMIF(SK!R$3:R$78,ROW(),SK!T$3:T$78))</f>
        <v>3</v>
      </c>
      <c r="AX17" s="29"/>
      <c r="AY17" s="863" t="str">
        <f>IF(IGRF!H24="","",IGRF!H24)</f>
        <v>93</v>
      </c>
      <c r="AZ17" s="858" t="str">
        <f>IF(IGRF!$M$1="rat","",IF(IGRF!I24="","",IGRF!I24))</f>
        <v>Erma Gerd</v>
      </c>
    </row>
    <row r="18" spans="1:52" ht="28.5" customHeight="1" thickBot="1" x14ac:dyDescent="0.35">
      <c r="A18" s="578">
        <f>IF(Score!A18="", "",Score!A18 )</f>
        <v>15</v>
      </c>
      <c r="B18" s="582"/>
      <c r="C18" s="580" t="str">
        <f>IF(Score!B18="", "",Score!B18 )</f>
        <v>911</v>
      </c>
      <c r="D18" s="597" t="s">
        <v>193</v>
      </c>
      <c r="E18" s="597"/>
      <c r="F18" s="597"/>
      <c r="G18" s="598" t="s">
        <v>677</v>
      </c>
      <c r="H18" s="597"/>
      <c r="I18" s="597"/>
      <c r="J18" s="597"/>
      <c r="K18" s="598" t="s">
        <v>699</v>
      </c>
      <c r="L18" s="597"/>
      <c r="M18" s="597"/>
      <c r="N18" s="597"/>
      <c r="O18" s="598" t="s">
        <v>695</v>
      </c>
      <c r="P18" s="597" t="s">
        <v>501</v>
      </c>
      <c r="Q18" s="597"/>
      <c r="R18" s="597"/>
      <c r="S18" s="598" t="s">
        <v>697</v>
      </c>
      <c r="T18" s="597"/>
      <c r="U18" s="597"/>
      <c r="V18" s="599"/>
      <c r="W18" s="630">
        <f ca="1">IF(A18="","",SUMIF(SK!B$3:B$78,ROW(),SK!D$3:D$78))</f>
        <v>0</v>
      </c>
      <c r="X18" s="29"/>
      <c r="Y18" s="863" t="str">
        <f>IF(IGRF!B25="","",IGRF!B25)</f>
        <v>0</v>
      </c>
      <c r="Z18" s="858" t="str">
        <f>IF(IGRF!$M$1="rat","",IF(IGRF!C25="","",IGRF!C25))</f>
        <v>Enurgizer Bunny</v>
      </c>
      <c r="AA18" s="578">
        <f>IF(Score!T18="", "",Score!T18 )</f>
        <v>15</v>
      </c>
      <c r="AB18" s="582"/>
      <c r="AC18" s="580" t="str">
        <f>IF(Score!U18="", "",Score!U18 )</f>
        <v>69</v>
      </c>
      <c r="AD18" s="597"/>
      <c r="AE18" s="597"/>
      <c r="AF18" s="597"/>
      <c r="AG18" s="598" t="s">
        <v>675</v>
      </c>
      <c r="AH18" s="597"/>
      <c r="AI18" s="597"/>
      <c r="AJ18" s="597"/>
      <c r="AK18" s="598" t="s">
        <v>722</v>
      </c>
      <c r="AL18" s="597"/>
      <c r="AM18" s="597"/>
      <c r="AN18" s="597"/>
      <c r="AO18" s="598" t="s">
        <v>728</v>
      </c>
      <c r="AP18" s="597"/>
      <c r="AQ18" s="597"/>
      <c r="AR18" s="597"/>
      <c r="AS18" s="598" t="s">
        <v>718</v>
      </c>
      <c r="AT18" s="597"/>
      <c r="AU18" s="597"/>
      <c r="AV18" s="599"/>
      <c r="AW18" s="630">
        <f ca="1">IF(AA18="","",SUMIF(SK!R$3:R$78,ROW(),SK!T$3:T$78))</f>
        <v>6</v>
      </c>
      <c r="AX18" s="29"/>
      <c r="AY18" s="863" t="str">
        <f>IF(IGRF!H25="","",IGRF!H25)</f>
        <v/>
      </c>
      <c r="AZ18" s="858" t="str">
        <f>IF(IGRF!$M$1="rat","",IF(IGRF!I25="","",IGRF!I25))</f>
        <v/>
      </c>
    </row>
    <row r="19" spans="1:52" ht="28.5" customHeight="1" thickBot="1" x14ac:dyDescent="0.35">
      <c r="A19" s="579">
        <f>IF(Score!A19="", "",Score!A19 )</f>
        <v>16</v>
      </c>
      <c r="B19" s="583"/>
      <c r="C19" s="581" t="str">
        <f>IF(Score!B19="", "",Score!B19 )</f>
        <v>761</v>
      </c>
      <c r="D19" s="597"/>
      <c r="E19" s="597"/>
      <c r="F19" s="597"/>
      <c r="G19" s="600" t="s">
        <v>707</v>
      </c>
      <c r="H19" s="597"/>
      <c r="I19" s="597"/>
      <c r="J19" s="597"/>
      <c r="K19" s="600" t="s">
        <v>703</v>
      </c>
      <c r="L19" s="597"/>
      <c r="M19" s="597"/>
      <c r="N19" s="597"/>
      <c r="O19" s="600" t="s">
        <v>693</v>
      </c>
      <c r="P19" s="597"/>
      <c r="Q19" s="597"/>
      <c r="R19" s="597"/>
      <c r="S19" s="600" t="s">
        <v>685</v>
      </c>
      <c r="T19" s="597"/>
      <c r="U19" s="597"/>
      <c r="V19" s="599"/>
      <c r="W19" s="630">
        <f ca="1">IF(A19="","",SUMIF(SK!B$3:B$78,ROW(),SK!D$3:D$78))</f>
        <v>21</v>
      </c>
      <c r="X19" s="29"/>
      <c r="Y19" s="863" t="str">
        <f>IF(IGRF!B26="","",IGRF!B26)</f>
        <v>88</v>
      </c>
      <c r="Z19" s="858" t="str">
        <f>IF(IGRF!$M$1="rat","",IF(IGRF!C26="","",IGRF!C26))</f>
        <v>Ophelia Melons</v>
      </c>
      <c r="AA19" s="579">
        <f>IF(Score!T19="", "",Score!T19 )</f>
        <v>16</v>
      </c>
      <c r="AB19" s="583"/>
      <c r="AC19" s="581" t="str">
        <f>IF(Score!U19="", "",Score!U19 )</f>
        <v>22</v>
      </c>
      <c r="AD19" s="597" t="s">
        <v>193</v>
      </c>
      <c r="AE19" s="597"/>
      <c r="AF19" s="597"/>
      <c r="AG19" s="600" t="s">
        <v>716</v>
      </c>
      <c r="AH19" s="597" t="s">
        <v>193</v>
      </c>
      <c r="AI19" s="597"/>
      <c r="AJ19" s="597"/>
      <c r="AK19" s="600" t="s">
        <v>733</v>
      </c>
      <c r="AL19" s="597"/>
      <c r="AM19" s="597"/>
      <c r="AN19" s="597"/>
      <c r="AO19" s="600" t="s">
        <v>711</v>
      </c>
      <c r="AP19" s="597"/>
      <c r="AQ19" s="597"/>
      <c r="AR19" s="597"/>
      <c r="AS19" s="600" t="s">
        <v>725</v>
      </c>
      <c r="AT19" s="597"/>
      <c r="AU19" s="597"/>
      <c r="AV19" s="599"/>
      <c r="AW19" s="630">
        <f ca="1">IF(AA19="","",SUMIF(SK!R$3:R$78,ROW(),SK!T$3:T$78))</f>
        <v>0</v>
      </c>
      <c r="AX19" s="29"/>
      <c r="AY19" s="863" t="str">
        <f>IF(IGRF!H26="","",IGRF!H26)</f>
        <v/>
      </c>
      <c r="AZ19" s="858" t="str">
        <f>IF(IGRF!$M$1="rat","",IF(IGRF!I26="","",IGRF!I26))</f>
        <v/>
      </c>
    </row>
    <row r="20" spans="1:52" ht="28.5" customHeight="1" thickBot="1" x14ac:dyDescent="0.35">
      <c r="A20" s="578">
        <f>IF(Score!A20="", "",Score!A20 )</f>
        <v>17</v>
      </c>
      <c r="B20" s="582"/>
      <c r="C20" s="580" t="str">
        <f>IF(Score!B20="", "",Score!B20 )</f>
        <v>1618</v>
      </c>
      <c r="D20" s="597"/>
      <c r="E20" s="597"/>
      <c r="F20" s="597"/>
      <c r="G20" s="598" t="s">
        <v>676</v>
      </c>
      <c r="H20" s="597"/>
      <c r="I20" s="597"/>
      <c r="J20" s="597"/>
      <c r="K20" s="598" t="s">
        <v>677</v>
      </c>
      <c r="L20" s="597"/>
      <c r="M20" s="597"/>
      <c r="N20" s="597"/>
      <c r="O20" s="598" t="s">
        <v>689</v>
      </c>
      <c r="P20" s="597"/>
      <c r="Q20" s="597"/>
      <c r="R20" s="597"/>
      <c r="S20" s="598" t="s">
        <v>697</v>
      </c>
      <c r="T20" s="597" t="s">
        <v>500</v>
      </c>
      <c r="U20" s="597"/>
      <c r="V20" s="599"/>
      <c r="W20" s="630">
        <f ca="1">IF(A20="","",SUMIF(SK!B$3:B$78,ROW(),SK!D$3:D$78))</f>
        <v>4</v>
      </c>
      <c r="X20" s="29"/>
      <c r="Y20" s="863" t="str">
        <f>IF(IGRF!B27="","",IGRF!B27)</f>
        <v/>
      </c>
      <c r="Z20" s="858" t="str">
        <f>IF(IGRF!$M$1="rat","",IF(IGRF!C27="","",IGRF!C27))</f>
        <v/>
      </c>
      <c r="AA20" s="578">
        <f>IF(Score!T20="", "",Score!T20 )</f>
        <v>17</v>
      </c>
      <c r="AB20" s="582"/>
      <c r="AC20" s="580" t="str">
        <f>IF(Score!U20="", "",Score!U20 )</f>
        <v>9</v>
      </c>
      <c r="AD20" s="597"/>
      <c r="AE20" s="597"/>
      <c r="AF20" s="597"/>
      <c r="AG20" s="598" t="s">
        <v>675</v>
      </c>
      <c r="AH20" s="597"/>
      <c r="AI20" s="597"/>
      <c r="AJ20" s="597"/>
      <c r="AK20" s="598" t="s">
        <v>718</v>
      </c>
      <c r="AL20" s="597"/>
      <c r="AM20" s="597"/>
      <c r="AN20" s="597"/>
      <c r="AO20" s="598" t="s">
        <v>722</v>
      </c>
      <c r="AP20" s="597" t="s">
        <v>500</v>
      </c>
      <c r="AQ20" s="597"/>
      <c r="AR20" s="597"/>
      <c r="AS20" s="598" t="s">
        <v>720</v>
      </c>
      <c r="AT20" s="597"/>
      <c r="AU20" s="597"/>
      <c r="AV20" s="599"/>
      <c r="AW20" s="630">
        <f ca="1">IF(AA20="","",SUMIF(SK!R$3:R$78,ROW(),SK!T$3:T$78))</f>
        <v>0</v>
      </c>
      <c r="AX20" s="29"/>
      <c r="AY20" s="863" t="str">
        <f>IF(IGRF!H27="","",IGRF!H27)</f>
        <v/>
      </c>
      <c r="AZ20" s="858" t="str">
        <f>IF(IGRF!$M$1="rat","",IF(IGRF!I27="","",IGRF!I27))</f>
        <v/>
      </c>
    </row>
    <row r="21" spans="1:52" ht="28.5" customHeight="1" thickBot="1" x14ac:dyDescent="0.35">
      <c r="A21" s="579">
        <f>IF(Score!A21="", "",Score!A21 )</f>
        <v>18</v>
      </c>
      <c r="B21" s="583"/>
      <c r="C21" s="581" t="str">
        <f>IF(Score!B21="", "",Score!B21 )</f>
        <v>23</v>
      </c>
      <c r="D21" s="597" t="s">
        <v>500</v>
      </c>
      <c r="E21" s="597"/>
      <c r="F21" s="597"/>
      <c r="G21" s="600" t="s">
        <v>707</v>
      </c>
      <c r="H21" s="597"/>
      <c r="I21" s="597"/>
      <c r="J21" s="597"/>
      <c r="K21" s="600" t="s">
        <v>685</v>
      </c>
      <c r="L21" s="597"/>
      <c r="M21" s="597"/>
      <c r="N21" s="597"/>
      <c r="O21" s="600" t="s">
        <v>699</v>
      </c>
      <c r="P21" s="597"/>
      <c r="Q21" s="597"/>
      <c r="R21" s="597"/>
      <c r="S21" s="600" t="s">
        <v>697</v>
      </c>
      <c r="T21" s="597" t="s">
        <v>501</v>
      </c>
      <c r="U21" s="597"/>
      <c r="V21" s="599"/>
      <c r="W21" s="630">
        <f ca="1">IF(A21="","",SUMIF(SK!B$3:B$78,ROW(),SK!D$3:D$78))</f>
        <v>0</v>
      </c>
      <c r="X21" s="29"/>
      <c r="Y21" s="863" t="str">
        <f>IF(IGRF!B28="","",IGRF!B28)</f>
        <v/>
      </c>
      <c r="Z21" s="858" t="str">
        <f>IF(IGRF!$M$1="rat","",IF(IGRF!C28="","",IGRF!C28))</f>
        <v/>
      </c>
      <c r="AA21" s="579">
        <f>IF(Score!T21="", "",Score!T21 )</f>
        <v>18</v>
      </c>
      <c r="AB21" s="583"/>
      <c r="AC21" s="581" t="str">
        <f>IF(Score!U21="", "",Score!U21 )</f>
        <v>69</v>
      </c>
      <c r="AD21" s="597"/>
      <c r="AE21" s="597"/>
      <c r="AF21" s="597"/>
      <c r="AG21" s="600" t="s">
        <v>716</v>
      </c>
      <c r="AH21" s="597"/>
      <c r="AI21" s="597"/>
      <c r="AJ21" s="597"/>
      <c r="AK21" s="600" t="s">
        <v>711</v>
      </c>
      <c r="AL21" s="597"/>
      <c r="AM21" s="597"/>
      <c r="AN21" s="597"/>
      <c r="AO21" s="600" t="s">
        <v>722</v>
      </c>
      <c r="AP21" s="597" t="s">
        <v>501</v>
      </c>
      <c r="AQ21" s="597" t="s">
        <v>500</v>
      </c>
      <c r="AR21" s="597"/>
      <c r="AS21" s="600" t="s">
        <v>725</v>
      </c>
      <c r="AT21" s="597"/>
      <c r="AU21" s="597"/>
      <c r="AV21" s="599"/>
      <c r="AW21" s="630">
        <f ca="1">IF(AA21="","",SUMIF(SK!R$3:R$78,ROW(),SK!T$3:T$78))</f>
        <v>5</v>
      </c>
      <c r="AX21" s="29"/>
      <c r="AY21" s="863" t="str">
        <f>IF(IGRF!H28="","",IGRF!H28)</f>
        <v/>
      </c>
      <c r="AZ21" s="858" t="str">
        <f>IF(IGRF!$M$1="rat","",IF(IGRF!I28="","",IGRF!I28))</f>
        <v/>
      </c>
    </row>
    <row r="22" spans="1:52" ht="28.5" customHeight="1" thickBot="1" x14ac:dyDescent="0.35">
      <c r="A22" s="578">
        <f>IF(Score!A22="", "",Score!A22 )</f>
        <v>19</v>
      </c>
      <c r="B22" s="582"/>
      <c r="C22" s="580" t="str">
        <f>IF(Score!B22="", "",Score!B22 )</f>
        <v>23</v>
      </c>
      <c r="D22" s="597" t="s">
        <v>501</v>
      </c>
      <c r="E22" s="597"/>
      <c r="F22" s="597"/>
      <c r="G22" s="598" t="s">
        <v>676</v>
      </c>
      <c r="H22" s="597"/>
      <c r="I22" s="597"/>
      <c r="J22" s="597"/>
      <c r="K22" s="598" t="s">
        <v>693</v>
      </c>
      <c r="L22" s="597"/>
      <c r="M22" s="597"/>
      <c r="N22" s="597"/>
      <c r="O22" s="598" t="s">
        <v>695</v>
      </c>
      <c r="P22" s="597"/>
      <c r="Q22" s="597"/>
      <c r="R22" s="597"/>
      <c r="S22" s="598" t="s">
        <v>689</v>
      </c>
      <c r="T22" s="597"/>
      <c r="U22" s="597"/>
      <c r="V22" s="599"/>
      <c r="W22" s="630">
        <f ca="1">IF(A22="","",SUMIF(SK!B$3:B$78,ROW(),SK!D$3:D$78))</f>
        <v>0</v>
      </c>
      <c r="X22" s="29"/>
      <c r="Y22" s="863" t="str">
        <f>IF(IGRF!B29="","",IGRF!B29)</f>
        <v/>
      </c>
      <c r="Z22" s="858" t="str">
        <f>IF(IGRF!$M$1="rat","",IF(IGRF!C29="","",IGRF!C29))</f>
        <v/>
      </c>
      <c r="AA22" s="578">
        <f>IF(Score!T22="", "",Score!T22 )</f>
        <v>19</v>
      </c>
      <c r="AB22" s="582"/>
      <c r="AC22" s="580" t="str">
        <f>IF(Score!U22="", "",Score!U22 )</f>
        <v>22</v>
      </c>
      <c r="AD22" s="597"/>
      <c r="AE22" s="597"/>
      <c r="AF22" s="597"/>
      <c r="AG22" s="598" t="s">
        <v>675</v>
      </c>
      <c r="AH22" s="597"/>
      <c r="AI22" s="597"/>
      <c r="AJ22" s="597"/>
      <c r="AK22" s="598" t="s">
        <v>678</v>
      </c>
      <c r="AL22" s="597"/>
      <c r="AM22" s="597"/>
      <c r="AN22" s="597"/>
      <c r="AO22" s="598" t="s">
        <v>722</v>
      </c>
      <c r="AP22" s="597" t="s">
        <v>501</v>
      </c>
      <c r="AQ22" s="597"/>
      <c r="AR22" s="597"/>
      <c r="AS22" s="598" t="s">
        <v>728</v>
      </c>
      <c r="AT22" s="597"/>
      <c r="AU22" s="597"/>
      <c r="AV22" s="599"/>
      <c r="AW22" s="630">
        <f ca="1">IF(AA22="","",SUMIF(SK!R$3:R$78,ROW(),SK!T$3:T$78))</f>
        <v>0</v>
      </c>
      <c r="AX22" s="29"/>
      <c r="AY22" s="863" t="str">
        <f>IF(IGRF!H29="","",IGRF!H29)</f>
        <v/>
      </c>
      <c r="AZ22" s="858" t="str">
        <f>IF(IGRF!$M$1="rat","",IF(IGRF!I29="","",IGRF!I29))</f>
        <v/>
      </c>
    </row>
    <row r="23" spans="1:52" ht="28.5" customHeight="1" thickBot="1" x14ac:dyDescent="0.35">
      <c r="A23" s="579">
        <f>IF(Score!A23="", "",Score!A23 )</f>
        <v>20</v>
      </c>
      <c r="B23" s="583"/>
      <c r="C23" s="581" t="str">
        <f>IF(Score!B23="", "",Score!B23 )</f>
        <v>761</v>
      </c>
      <c r="D23" s="597"/>
      <c r="E23" s="597"/>
      <c r="F23" s="597"/>
      <c r="G23" s="600" t="s">
        <v>677</v>
      </c>
      <c r="H23" s="597"/>
      <c r="I23" s="597"/>
      <c r="J23" s="597"/>
      <c r="K23" s="600" t="s">
        <v>707</v>
      </c>
      <c r="L23" s="597"/>
      <c r="M23" s="597"/>
      <c r="N23" s="597"/>
      <c r="O23" s="600" t="s">
        <v>697</v>
      </c>
      <c r="P23" s="597"/>
      <c r="Q23" s="597"/>
      <c r="R23" s="597"/>
      <c r="S23" s="600" t="s">
        <v>703</v>
      </c>
      <c r="T23" s="597"/>
      <c r="U23" s="597"/>
      <c r="V23" s="599"/>
      <c r="W23" s="630">
        <f ca="1">IF(A23="","",SUMIF(SK!B$3:B$78,ROW(),SK!D$3:D$78))</f>
        <v>0</v>
      </c>
      <c r="X23" s="29"/>
      <c r="Y23" s="863" t="str">
        <f>IF(IGRF!B30="","",IGRF!B30)</f>
        <v/>
      </c>
      <c r="Z23" s="858" t="str">
        <f>IF(IGRF!$M$1="rat","",IF(IGRF!C30="","",IGRF!C30))</f>
        <v/>
      </c>
      <c r="AA23" s="579">
        <f>IF(Score!T23="", "",Score!T23 )</f>
        <v>20</v>
      </c>
      <c r="AB23" s="583"/>
      <c r="AC23" s="581" t="str">
        <f>IF(Score!U23="", "",Score!U23 )</f>
        <v>9</v>
      </c>
      <c r="AD23" s="597"/>
      <c r="AE23" s="597"/>
      <c r="AF23" s="597"/>
      <c r="AG23" s="600" t="s">
        <v>716</v>
      </c>
      <c r="AH23" s="597"/>
      <c r="AI23" s="597"/>
      <c r="AJ23" s="597"/>
      <c r="AK23" s="600" t="s">
        <v>711</v>
      </c>
      <c r="AL23" s="597"/>
      <c r="AM23" s="597"/>
      <c r="AN23" s="597"/>
      <c r="AO23" s="600" t="s">
        <v>733</v>
      </c>
      <c r="AP23" s="597"/>
      <c r="AQ23" s="597"/>
      <c r="AR23" s="597"/>
      <c r="AS23" s="600" t="s">
        <v>725</v>
      </c>
      <c r="AT23" s="597"/>
      <c r="AU23" s="597"/>
      <c r="AV23" s="599"/>
      <c r="AW23" s="630">
        <f ca="1">IF(AA23="","",SUMIF(SK!R$3:R$78,ROW(),SK!T$3:T$78))</f>
        <v>0</v>
      </c>
      <c r="AX23" s="29"/>
      <c r="AY23" s="863" t="str">
        <f>IF(IGRF!H30="","",IGRF!H30)</f>
        <v/>
      </c>
      <c r="AZ23" s="858" t="str">
        <f>IF(IGRF!$M$1="rat","",IF(IGRF!I30="","",IGRF!I30))</f>
        <v/>
      </c>
    </row>
    <row r="24" spans="1:52" ht="28.5" customHeight="1" thickBot="1" x14ac:dyDescent="0.35">
      <c r="A24" s="578">
        <f>IF(Score!A24="", "",Score!A24 )</f>
        <v>21</v>
      </c>
      <c r="B24" s="582"/>
      <c r="C24" s="580" t="str">
        <f>IF(Score!B24="", "",Score!B24 )</f>
        <v>911</v>
      </c>
      <c r="D24" s="597"/>
      <c r="E24" s="597"/>
      <c r="F24" s="597"/>
      <c r="G24" s="598" t="s">
        <v>676</v>
      </c>
      <c r="H24" s="597"/>
      <c r="I24" s="597"/>
      <c r="J24" s="597"/>
      <c r="K24" s="598" t="s">
        <v>699</v>
      </c>
      <c r="L24" s="597"/>
      <c r="M24" s="597"/>
      <c r="N24" s="597"/>
      <c r="O24" s="598" t="s">
        <v>693</v>
      </c>
      <c r="P24" s="597"/>
      <c r="Q24" s="597"/>
      <c r="R24" s="597"/>
      <c r="S24" s="598" t="s">
        <v>685</v>
      </c>
      <c r="T24" s="597"/>
      <c r="U24" s="597"/>
      <c r="V24" s="599"/>
      <c r="W24" s="630">
        <f ca="1">IF(A24="","",SUMIF(SK!B$3:B$78,ROW(),SK!D$3:D$78))</f>
        <v>0</v>
      </c>
      <c r="X24" s="29"/>
      <c r="Y24" s="29"/>
      <c r="Z24" s="571"/>
      <c r="AA24" s="578">
        <f>IF(Score!T24="", "",Score!T24 )</f>
        <v>21</v>
      </c>
      <c r="AB24" s="582"/>
      <c r="AC24" s="580" t="str">
        <f>IF(Score!U24="", "",Score!U24 )</f>
        <v>69</v>
      </c>
      <c r="AD24" s="597"/>
      <c r="AE24" s="597"/>
      <c r="AF24" s="597"/>
      <c r="AG24" s="598" t="s">
        <v>675</v>
      </c>
      <c r="AH24" s="597"/>
      <c r="AI24" s="597"/>
      <c r="AJ24" s="597"/>
      <c r="AK24" s="598" t="s">
        <v>728</v>
      </c>
      <c r="AL24" s="597"/>
      <c r="AM24" s="597"/>
      <c r="AN24" s="597"/>
      <c r="AO24" s="598" t="s">
        <v>718</v>
      </c>
      <c r="AP24" s="597"/>
      <c r="AQ24" s="597"/>
      <c r="AR24" s="597"/>
      <c r="AS24" s="598" t="s">
        <v>722</v>
      </c>
      <c r="AT24" s="597"/>
      <c r="AU24" s="597"/>
      <c r="AV24" s="599"/>
      <c r="AW24" s="630">
        <f ca="1">IF(AA24="","",SUMIF(SK!R$3:R$78,ROW(),SK!T$3:T$78))</f>
        <v>0</v>
      </c>
      <c r="AX24" s="29"/>
      <c r="AY24" s="29"/>
      <c r="AZ24" s="571"/>
    </row>
    <row r="25" spans="1:52" ht="28.5" customHeight="1" thickBot="1" x14ac:dyDescent="0.35">
      <c r="A25" s="579">
        <f>IF(Score!A25="", "",Score!A25 )</f>
        <v>22</v>
      </c>
      <c r="B25" s="583"/>
      <c r="C25" s="581" t="str">
        <f>IF(Score!B25="", "",Score!B25 )</f>
        <v>1618</v>
      </c>
      <c r="D25" s="597"/>
      <c r="E25" s="597"/>
      <c r="F25" s="597"/>
      <c r="G25" s="600" t="s">
        <v>677</v>
      </c>
      <c r="H25" s="597"/>
      <c r="I25" s="597"/>
      <c r="J25" s="597"/>
      <c r="K25" s="600" t="s">
        <v>707</v>
      </c>
      <c r="L25" s="597"/>
      <c r="M25" s="597"/>
      <c r="N25" s="597"/>
      <c r="O25" s="600" t="s">
        <v>689</v>
      </c>
      <c r="P25" s="597"/>
      <c r="Q25" s="597"/>
      <c r="R25" s="597"/>
      <c r="S25" s="600" t="s">
        <v>695</v>
      </c>
      <c r="T25" s="597"/>
      <c r="U25" s="597"/>
      <c r="V25" s="599"/>
      <c r="W25" s="630">
        <f ca="1">IF(A25="","",SUMIF(SK!B$3:B$78,ROW(),SK!D$3:D$78))</f>
        <v>0</v>
      </c>
      <c r="X25" s="29"/>
      <c r="Y25" s="29"/>
      <c r="Z25" s="571"/>
      <c r="AA25" s="579">
        <f>IF(Score!T25="", "",Score!T25 )</f>
        <v>22</v>
      </c>
      <c r="AB25" s="583"/>
      <c r="AC25" s="581" t="str">
        <f>IF(Score!U25="", "",Score!U25 )</f>
        <v>22</v>
      </c>
      <c r="AD25" s="597"/>
      <c r="AE25" s="597"/>
      <c r="AF25" s="597"/>
      <c r="AG25" s="600" t="s">
        <v>678</v>
      </c>
      <c r="AH25" s="597"/>
      <c r="AI25" s="597"/>
      <c r="AJ25" s="597"/>
      <c r="AK25" s="600" t="s">
        <v>711</v>
      </c>
      <c r="AL25" s="597"/>
      <c r="AM25" s="597"/>
      <c r="AN25" s="597"/>
      <c r="AO25" s="600" t="s">
        <v>725</v>
      </c>
      <c r="AP25" s="597"/>
      <c r="AQ25" s="597"/>
      <c r="AR25" s="597"/>
      <c r="AS25" s="600" t="s">
        <v>733</v>
      </c>
      <c r="AT25" s="597"/>
      <c r="AU25" s="597"/>
      <c r="AV25" s="599"/>
      <c r="AW25" s="630">
        <f ca="1">IF(AA25="","",SUMIF(SK!R$3:R$78,ROW(),SK!T$3:T$78))</f>
        <v>2</v>
      </c>
      <c r="AX25" s="29"/>
      <c r="AY25" s="29"/>
      <c r="AZ25" s="571"/>
    </row>
    <row r="26" spans="1:52" ht="28.5" customHeight="1" thickBot="1" x14ac:dyDescent="0.35">
      <c r="A26" s="578">
        <f>IF(Score!A26="", "",Score!A26 )</f>
        <v>23</v>
      </c>
      <c r="B26" s="582"/>
      <c r="C26" s="580" t="str">
        <f>IF(Score!B26="", "",Score!B26 )</f>
        <v>23</v>
      </c>
      <c r="D26" s="597"/>
      <c r="E26" s="597"/>
      <c r="F26" s="597"/>
      <c r="G26" s="598" t="s">
        <v>676</v>
      </c>
      <c r="H26" s="597"/>
      <c r="I26" s="597"/>
      <c r="J26" s="597"/>
      <c r="K26" s="598" t="s">
        <v>693</v>
      </c>
      <c r="L26" s="597" t="s">
        <v>193</v>
      </c>
      <c r="M26" s="597"/>
      <c r="N26" s="597"/>
      <c r="O26" s="598" t="s">
        <v>685</v>
      </c>
      <c r="P26" s="597"/>
      <c r="Q26" s="597"/>
      <c r="R26" s="597"/>
      <c r="S26" s="598" t="s">
        <v>697</v>
      </c>
      <c r="T26" s="597"/>
      <c r="U26" s="597"/>
      <c r="V26" s="599"/>
      <c r="W26" s="630">
        <f ca="1">IF(A26="","",SUMIF(SK!B$3:B$78,ROW(),SK!D$3:D$78))</f>
        <v>19</v>
      </c>
      <c r="X26" s="29"/>
      <c r="Y26" s="29"/>
      <c r="Z26" s="571"/>
      <c r="AA26" s="578">
        <f>IF(Score!T26="", "",Score!T26 )</f>
        <v>23</v>
      </c>
      <c r="AB26" s="582"/>
      <c r="AC26" s="580" t="str">
        <f>IF(Score!U26="", "",Score!U26 )</f>
        <v>9</v>
      </c>
      <c r="AD26" s="597"/>
      <c r="AE26" s="597"/>
      <c r="AF26" s="597"/>
      <c r="AG26" s="598" t="s">
        <v>675</v>
      </c>
      <c r="AH26" s="597"/>
      <c r="AI26" s="597"/>
      <c r="AJ26" s="597"/>
      <c r="AK26" s="598" t="s">
        <v>713</v>
      </c>
      <c r="AL26" s="597" t="s">
        <v>193</v>
      </c>
      <c r="AM26" s="597"/>
      <c r="AN26" s="597"/>
      <c r="AO26" s="598" t="s">
        <v>720</v>
      </c>
      <c r="AP26" s="597"/>
      <c r="AQ26" s="597"/>
      <c r="AR26" s="597"/>
      <c r="AS26" s="598" t="s">
        <v>722</v>
      </c>
      <c r="AT26" s="597" t="s">
        <v>193</v>
      </c>
      <c r="AU26" s="597"/>
      <c r="AV26" s="599"/>
      <c r="AW26" s="630">
        <f ca="1">IF(AA26="","",SUMIF(SK!R$3:R$78,ROW(),SK!T$3:T$78))</f>
        <v>0</v>
      </c>
      <c r="AX26" s="29"/>
      <c r="AY26" s="29"/>
      <c r="AZ26" s="571"/>
    </row>
    <row r="27" spans="1:52" ht="28.5" customHeight="1" thickBot="1" x14ac:dyDescent="0.35">
      <c r="A27" s="579" t="str">
        <f>IF(Score!A27="", "",Score!A27 )</f>
        <v/>
      </c>
      <c r="B27" s="583"/>
      <c r="C27" s="581" t="str">
        <f>IF(Score!B27="", "",Score!B27 )</f>
        <v/>
      </c>
      <c r="D27" s="597"/>
      <c r="E27" s="597"/>
      <c r="F27" s="597"/>
      <c r="G27" s="600"/>
      <c r="H27" s="597"/>
      <c r="I27" s="597"/>
      <c r="J27" s="597"/>
      <c r="K27" s="600"/>
      <c r="L27" s="597"/>
      <c r="M27" s="597"/>
      <c r="N27" s="597"/>
      <c r="O27" s="600"/>
      <c r="P27" s="597"/>
      <c r="Q27" s="597"/>
      <c r="R27" s="597"/>
      <c r="S27" s="600"/>
      <c r="T27" s="597"/>
      <c r="U27" s="597"/>
      <c r="V27" s="599"/>
      <c r="W27" s="630" t="str">
        <f>IF(A27="","",SUMIF(SK!B$3:B$78,ROW(),SK!D$3:D$78))</f>
        <v/>
      </c>
      <c r="X27" s="29"/>
      <c r="Y27" s="29"/>
      <c r="Z27" s="571"/>
      <c r="AA27" s="579" t="str">
        <f>IF(Score!T27="", "",Score!T27 )</f>
        <v/>
      </c>
      <c r="AB27" s="583"/>
      <c r="AC27" s="581" t="str">
        <f>IF(Score!U27="", "",Score!U27 )</f>
        <v/>
      </c>
      <c r="AD27" s="597"/>
      <c r="AE27" s="597"/>
      <c r="AF27" s="597"/>
      <c r="AG27" s="600"/>
      <c r="AH27" s="597"/>
      <c r="AI27" s="597"/>
      <c r="AJ27" s="597"/>
      <c r="AK27" s="600"/>
      <c r="AL27" s="597"/>
      <c r="AM27" s="597"/>
      <c r="AN27" s="597"/>
      <c r="AO27" s="600"/>
      <c r="AP27" s="597"/>
      <c r="AQ27" s="597"/>
      <c r="AR27" s="597"/>
      <c r="AS27" s="600"/>
      <c r="AT27" s="597"/>
      <c r="AU27" s="597"/>
      <c r="AV27" s="599"/>
      <c r="AW27" s="630" t="str">
        <f>IF(AA27="","",SUMIF(SK!R$3:R$78,ROW(),SK!T$3:T$78))</f>
        <v/>
      </c>
      <c r="AX27" s="29"/>
      <c r="AY27" s="29"/>
      <c r="AZ27" s="571"/>
    </row>
    <row r="28" spans="1:52" ht="28.5" customHeight="1" thickBot="1" x14ac:dyDescent="0.35">
      <c r="A28" s="578" t="str">
        <f>IF(Score!A28="", "",Score!A28 )</f>
        <v/>
      </c>
      <c r="B28" s="582"/>
      <c r="C28" s="580" t="str">
        <f>IF(Score!B28="", "",Score!B28 )</f>
        <v/>
      </c>
      <c r="D28" s="597"/>
      <c r="E28" s="597"/>
      <c r="F28" s="597"/>
      <c r="G28" s="598"/>
      <c r="H28" s="597"/>
      <c r="I28" s="597"/>
      <c r="J28" s="597"/>
      <c r="K28" s="598"/>
      <c r="L28" s="597"/>
      <c r="M28" s="597"/>
      <c r="N28" s="597"/>
      <c r="O28" s="598"/>
      <c r="P28" s="597"/>
      <c r="Q28" s="597"/>
      <c r="R28" s="597"/>
      <c r="S28" s="598"/>
      <c r="T28" s="597"/>
      <c r="U28" s="597"/>
      <c r="V28" s="599"/>
      <c r="W28" s="630" t="str">
        <f>IF(A28="","",SUMIF(SK!B$3:B$78,ROW(),SK!D$3:D$78))</f>
        <v/>
      </c>
      <c r="X28" s="29"/>
      <c r="Y28" s="29"/>
      <c r="Z28" s="571"/>
      <c r="AA28" s="578" t="str">
        <f>IF(Score!T28="", "",Score!T28 )</f>
        <v/>
      </c>
      <c r="AB28" s="582"/>
      <c r="AC28" s="580" t="str">
        <f>IF(Score!U28="", "",Score!U28 )</f>
        <v/>
      </c>
      <c r="AD28" s="597"/>
      <c r="AE28" s="597"/>
      <c r="AF28" s="597"/>
      <c r="AG28" s="598"/>
      <c r="AH28" s="597"/>
      <c r="AI28" s="597"/>
      <c r="AJ28" s="597"/>
      <c r="AK28" s="598"/>
      <c r="AL28" s="597"/>
      <c r="AM28" s="597"/>
      <c r="AN28" s="597"/>
      <c r="AO28" s="598"/>
      <c r="AP28" s="597"/>
      <c r="AQ28" s="597"/>
      <c r="AR28" s="597"/>
      <c r="AS28" s="598"/>
      <c r="AT28" s="597"/>
      <c r="AU28" s="597"/>
      <c r="AV28" s="599"/>
      <c r="AW28" s="630" t="str">
        <f>IF(AA28="","",SUMIF(SK!R$3:R$78,ROW(),SK!T$3:T$78))</f>
        <v/>
      </c>
      <c r="AX28" s="29"/>
      <c r="AY28" s="29"/>
      <c r="AZ28" s="571"/>
    </row>
    <row r="29" spans="1:52" ht="28.5" customHeight="1" thickBot="1" x14ac:dyDescent="0.35">
      <c r="A29" s="579" t="str">
        <f>IF(Score!A29="", "",Score!A29 )</f>
        <v/>
      </c>
      <c r="B29" s="583"/>
      <c r="C29" s="581" t="str">
        <f>IF(Score!B29="", "",Score!B29 )</f>
        <v/>
      </c>
      <c r="D29" s="597"/>
      <c r="E29" s="597"/>
      <c r="F29" s="597"/>
      <c r="G29" s="600"/>
      <c r="H29" s="597"/>
      <c r="I29" s="597"/>
      <c r="J29" s="597"/>
      <c r="K29" s="600"/>
      <c r="L29" s="597"/>
      <c r="M29" s="597"/>
      <c r="N29" s="597"/>
      <c r="O29" s="600"/>
      <c r="P29" s="597"/>
      <c r="Q29" s="597"/>
      <c r="R29" s="597"/>
      <c r="S29" s="600"/>
      <c r="T29" s="597"/>
      <c r="U29" s="597"/>
      <c r="V29" s="599"/>
      <c r="W29" s="630" t="str">
        <f>IF(A29="","",SUMIF(SK!B$3:B$78,ROW(),SK!D$3:D$78))</f>
        <v/>
      </c>
      <c r="X29" s="29"/>
      <c r="Y29" s="29"/>
      <c r="Z29" s="571"/>
      <c r="AA29" s="579" t="str">
        <f>IF(Score!T29="", "",Score!T29 )</f>
        <v/>
      </c>
      <c r="AB29" s="583"/>
      <c r="AC29" s="581" t="str">
        <f>IF(Score!U29="", "",Score!U29 )</f>
        <v/>
      </c>
      <c r="AD29" s="597"/>
      <c r="AE29" s="597"/>
      <c r="AF29" s="597"/>
      <c r="AG29" s="600"/>
      <c r="AH29" s="597"/>
      <c r="AI29" s="597"/>
      <c r="AJ29" s="597"/>
      <c r="AK29" s="600"/>
      <c r="AL29" s="597"/>
      <c r="AM29" s="597"/>
      <c r="AN29" s="597"/>
      <c r="AO29" s="600"/>
      <c r="AP29" s="597"/>
      <c r="AQ29" s="597"/>
      <c r="AR29" s="597"/>
      <c r="AS29" s="600"/>
      <c r="AT29" s="597"/>
      <c r="AU29" s="597"/>
      <c r="AV29" s="599"/>
      <c r="AW29" s="630" t="str">
        <f>IF(AA29="","",SUMIF(SK!R$3:R$78,ROW(),SK!T$3:T$78))</f>
        <v/>
      </c>
      <c r="AX29" s="29"/>
      <c r="AY29" s="29"/>
      <c r="AZ29" s="571"/>
    </row>
    <row r="30" spans="1:52" ht="28.5" customHeight="1" thickBot="1" x14ac:dyDescent="0.35">
      <c r="A30" s="578" t="str">
        <f>IF(Score!A30="", "",Score!A30 )</f>
        <v/>
      </c>
      <c r="B30" s="582"/>
      <c r="C30" s="580" t="str">
        <f>IF(Score!B30="", "",Score!B30 )</f>
        <v/>
      </c>
      <c r="D30" s="597"/>
      <c r="E30" s="597"/>
      <c r="F30" s="597"/>
      <c r="G30" s="598"/>
      <c r="H30" s="597"/>
      <c r="I30" s="597"/>
      <c r="J30" s="597"/>
      <c r="K30" s="598"/>
      <c r="L30" s="597"/>
      <c r="M30" s="597"/>
      <c r="N30" s="597"/>
      <c r="O30" s="598"/>
      <c r="P30" s="597"/>
      <c r="Q30" s="597"/>
      <c r="R30" s="597"/>
      <c r="S30" s="598"/>
      <c r="T30" s="597"/>
      <c r="U30" s="597"/>
      <c r="V30" s="599"/>
      <c r="W30" s="630" t="str">
        <f>IF(A30="","",SUMIF(SK!B$3:B$78,ROW(),SK!D$3:D$78))</f>
        <v/>
      </c>
      <c r="X30" s="29"/>
      <c r="Y30" s="29"/>
      <c r="Z30" s="571"/>
      <c r="AA30" s="578" t="str">
        <f>IF(Score!T30="", "",Score!T30 )</f>
        <v/>
      </c>
      <c r="AB30" s="582"/>
      <c r="AC30" s="580" t="str">
        <f>IF(Score!U30="", "",Score!U30 )</f>
        <v/>
      </c>
      <c r="AD30" s="597"/>
      <c r="AE30" s="597"/>
      <c r="AF30" s="597"/>
      <c r="AG30" s="598"/>
      <c r="AH30" s="597"/>
      <c r="AI30" s="597"/>
      <c r="AJ30" s="597"/>
      <c r="AK30" s="598"/>
      <c r="AL30" s="597"/>
      <c r="AM30" s="597"/>
      <c r="AN30" s="597"/>
      <c r="AO30" s="598"/>
      <c r="AP30" s="597"/>
      <c r="AQ30" s="597"/>
      <c r="AR30" s="597"/>
      <c r="AS30" s="598"/>
      <c r="AT30" s="597"/>
      <c r="AU30" s="597"/>
      <c r="AV30" s="599"/>
      <c r="AW30" s="630" t="str">
        <f>IF(AA30="","",SUMIF(SK!R$3:R$78,ROW(),SK!T$3:T$78))</f>
        <v/>
      </c>
      <c r="AX30" s="29"/>
      <c r="AY30" s="29"/>
      <c r="AZ30" s="571"/>
    </row>
    <row r="31" spans="1:52" ht="28.5" customHeight="1" thickBot="1" x14ac:dyDescent="0.35">
      <c r="A31" s="579" t="str">
        <f>IF(Score!A31="", "",Score!A31 )</f>
        <v/>
      </c>
      <c r="B31" s="583"/>
      <c r="C31" s="581" t="str">
        <f>IF(Score!B31="", "",Score!B31 )</f>
        <v/>
      </c>
      <c r="D31" s="597"/>
      <c r="E31" s="597"/>
      <c r="F31" s="597"/>
      <c r="G31" s="600"/>
      <c r="H31" s="597"/>
      <c r="I31" s="597"/>
      <c r="J31" s="597"/>
      <c r="K31" s="600"/>
      <c r="L31" s="597"/>
      <c r="M31" s="597"/>
      <c r="N31" s="597"/>
      <c r="O31" s="600"/>
      <c r="P31" s="597"/>
      <c r="Q31" s="597"/>
      <c r="R31" s="597"/>
      <c r="S31" s="600"/>
      <c r="T31" s="597"/>
      <c r="U31" s="597"/>
      <c r="V31" s="599"/>
      <c r="W31" s="630" t="str">
        <f>IF(A31="","",SUMIF(SK!B$3:B$78,ROW(),SK!D$3:D$78))</f>
        <v/>
      </c>
      <c r="X31" s="29"/>
      <c r="Y31" s="29"/>
      <c r="Z31" s="571"/>
      <c r="AA31" s="579" t="str">
        <f>IF(Score!T31="", "",Score!T31 )</f>
        <v/>
      </c>
      <c r="AB31" s="583"/>
      <c r="AC31" s="581" t="str">
        <f>IF(Score!U31="", "",Score!U31 )</f>
        <v/>
      </c>
      <c r="AD31" s="597"/>
      <c r="AE31" s="597"/>
      <c r="AF31" s="597"/>
      <c r="AG31" s="600"/>
      <c r="AH31" s="597"/>
      <c r="AI31" s="597"/>
      <c r="AJ31" s="597"/>
      <c r="AK31" s="600"/>
      <c r="AL31" s="597"/>
      <c r="AM31" s="597"/>
      <c r="AN31" s="597"/>
      <c r="AO31" s="600"/>
      <c r="AP31" s="597"/>
      <c r="AQ31" s="597"/>
      <c r="AR31" s="597"/>
      <c r="AS31" s="600"/>
      <c r="AT31" s="597"/>
      <c r="AU31" s="597"/>
      <c r="AV31" s="599"/>
      <c r="AW31" s="630" t="str">
        <f>IF(AA31="","",SUMIF(SK!R$3:R$78,ROW(),SK!T$3:T$78))</f>
        <v/>
      </c>
      <c r="AX31" s="29"/>
      <c r="AY31" s="29"/>
      <c r="AZ31" s="571"/>
    </row>
    <row r="32" spans="1:52" ht="28.5" customHeight="1" thickBot="1" x14ac:dyDescent="0.35">
      <c r="A32" s="578" t="str">
        <f>IF(Score!A32="", "",Score!A32 )</f>
        <v/>
      </c>
      <c r="B32" s="582"/>
      <c r="C32" s="580" t="str">
        <f>IF(Score!B32="", "",Score!B32 )</f>
        <v/>
      </c>
      <c r="D32" s="597"/>
      <c r="E32" s="597"/>
      <c r="F32" s="597"/>
      <c r="G32" s="598"/>
      <c r="H32" s="597"/>
      <c r="I32" s="597"/>
      <c r="J32" s="597"/>
      <c r="K32" s="598"/>
      <c r="L32" s="597"/>
      <c r="M32" s="597"/>
      <c r="N32" s="597"/>
      <c r="O32" s="598"/>
      <c r="P32" s="597"/>
      <c r="Q32" s="597"/>
      <c r="R32" s="597"/>
      <c r="S32" s="598"/>
      <c r="T32" s="597"/>
      <c r="U32" s="597"/>
      <c r="V32" s="599"/>
      <c r="W32" s="630" t="str">
        <f>IF(A32="","",SUMIF(SK!B$3:B$78,ROW(),SK!D$3:D$78))</f>
        <v/>
      </c>
      <c r="X32" s="29"/>
      <c r="Y32" s="29"/>
      <c r="Z32" s="571"/>
      <c r="AA32" s="578" t="str">
        <f>IF(Score!T32="", "",Score!T32 )</f>
        <v/>
      </c>
      <c r="AB32" s="582"/>
      <c r="AC32" s="580" t="str">
        <f>IF(Score!U32="", "",Score!U32 )</f>
        <v/>
      </c>
      <c r="AD32" s="597"/>
      <c r="AE32" s="597"/>
      <c r="AF32" s="597"/>
      <c r="AG32" s="598"/>
      <c r="AH32" s="597"/>
      <c r="AI32" s="597"/>
      <c r="AJ32" s="597"/>
      <c r="AK32" s="598"/>
      <c r="AL32" s="597"/>
      <c r="AM32" s="597"/>
      <c r="AN32" s="597"/>
      <c r="AO32" s="598"/>
      <c r="AP32" s="597"/>
      <c r="AQ32" s="597"/>
      <c r="AR32" s="597"/>
      <c r="AS32" s="598"/>
      <c r="AT32" s="597"/>
      <c r="AU32" s="597"/>
      <c r="AV32" s="599"/>
      <c r="AW32" s="630" t="str">
        <f>IF(AA32="","",SUMIF(SK!R$3:R$78,ROW(),SK!T$3:T$78))</f>
        <v/>
      </c>
      <c r="AX32" s="29"/>
      <c r="AY32" s="29"/>
      <c r="AZ32" s="571"/>
    </row>
    <row r="33" spans="1:52" ht="28.5" customHeight="1" thickBot="1" x14ac:dyDescent="0.35">
      <c r="A33" s="579" t="str">
        <f>IF(Score!A33="", "",Score!A33 )</f>
        <v/>
      </c>
      <c r="B33" s="583"/>
      <c r="C33" s="581" t="str">
        <f>IF(Score!B33="", "",Score!B33 )</f>
        <v/>
      </c>
      <c r="D33" s="597"/>
      <c r="E33" s="597"/>
      <c r="F33" s="597"/>
      <c r="G33" s="600"/>
      <c r="H33" s="597"/>
      <c r="I33" s="597"/>
      <c r="J33" s="597"/>
      <c r="K33" s="600"/>
      <c r="L33" s="597"/>
      <c r="M33" s="597"/>
      <c r="N33" s="597"/>
      <c r="O33" s="600"/>
      <c r="P33" s="597"/>
      <c r="Q33" s="597"/>
      <c r="R33" s="597"/>
      <c r="S33" s="600"/>
      <c r="T33" s="597"/>
      <c r="U33" s="597"/>
      <c r="V33" s="599"/>
      <c r="W33" s="630" t="str">
        <f>IF(A33="","",SUMIF(SK!B$3:B$78,ROW(),SK!D$3:D$78))</f>
        <v/>
      </c>
      <c r="X33" s="29"/>
      <c r="Y33" s="29"/>
      <c r="Z33" s="571"/>
      <c r="AA33" s="579" t="str">
        <f>IF(Score!T33="", "",Score!T33 )</f>
        <v/>
      </c>
      <c r="AB33" s="583"/>
      <c r="AC33" s="581" t="str">
        <f>IF(Score!U33="", "",Score!U33 )</f>
        <v/>
      </c>
      <c r="AD33" s="597"/>
      <c r="AE33" s="597"/>
      <c r="AF33" s="597"/>
      <c r="AG33" s="600"/>
      <c r="AH33" s="597"/>
      <c r="AI33" s="597"/>
      <c r="AJ33" s="597"/>
      <c r="AK33" s="600"/>
      <c r="AL33" s="597"/>
      <c r="AM33" s="597"/>
      <c r="AN33" s="597"/>
      <c r="AO33" s="600"/>
      <c r="AP33" s="597"/>
      <c r="AQ33" s="597"/>
      <c r="AR33" s="597"/>
      <c r="AS33" s="600"/>
      <c r="AT33" s="597"/>
      <c r="AU33" s="597"/>
      <c r="AV33" s="599"/>
      <c r="AW33" s="630" t="str">
        <f>IF(AA33="","",SUMIF(SK!R$3:R$78,ROW(),SK!T$3:T$78))</f>
        <v/>
      </c>
      <c r="AX33" s="29"/>
      <c r="AY33" s="29"/>
      <c r="AZ33" s="571"/>
    </row>
    <row r="34" spans="1:52" ht="28.5" customHeight="1" thickBot="1" x14ac:dyDescent="0.35">
      <c r="A34" s="578" t="str">
        <f>IF(Score!A34="", "",Score!A34 )</f>
        <v/>
      </c>
      <c r="B34" s="582"/>
      <c r="C34" s="580" t="str">
        <f>IF(Score!B34="", "",Score!B34 )</f>
        <v/>
      </c>
      <c r="D34" s="597"/>
      <c r="E34" s="597"/>
      <c r="F34" s="597"/>
      <c r="G34" s="598"/>
      <c r="H34" s="597"/>
      <c r="I34" s="597"/>
      <c r="J34" s="597"/>
      <c r="K34" s="598"/>
      <c r="L34" s="597"/>
      <c r="M34" s="597"/>
      <c r="N34" s="597"/>
      <c r="O34" s="598"/>
      <c r="P34" s="597"/>
      <c r="Q34" s="597"/>
      <c r="R34" s="597"/>
      <c r="S34" s="598"/>
      <c r="T34" s="597"/>
      <c r="U34" s="597"/>
      <c r="V34" s="599"/>
      <c r="W34" s="630" t="str">
        <f>IF(A34="","",SUMIF(SK!B$3:B$78,ROW(),SK!D$3:D$78))</f>
        <v/>
      </c>
      <c r="X34" s="29"/>
      <c r="Y34" s="29"/>
      <c r="Z34" s="571"/>
      <c r="AA34" s="578" t="str">
        <f>IF(Score!T34="", "",Score!T34 )</f>
        <v/>
      </c>
      <c r="AB34" s="582"/>
      <c r="AC34" s="580" t="str">
        <f>IF(Score!U34="", "",Score!U34 )</f>
        <v/>
      </c>
      <c r="AD34" s="597"/>
      <c r="AE34" s="597"/>
      <c r="AF34" s="597"/>
      <c r="AG34" s="598"/>
      <c r="AH34" s="597"/>
      <c r="AI34" s="597"/>
      <c r="AJ34" s="597"/>
      <c r="AK34" s="598"/>
      <c r="AL34" s="597"/>
      <c r="AM34" s="597"/>
      <c r="AN34" s="597"/>
      <c r="AO34" s="598"/>
      <c r="AP34" s="597"/>
      <c r="AQ34" s="597"/>
      <c r="AR34" s="597"/>
      <c r="AS34" s="598"/>
      <c r="AT34" s="597"/>
      <c r="AU34" s="597"/>
      <c r="AV34" s="599"/>
      <c r="AW34" s="630" t="str">
        <f>IF(AA34="","",SUMIF(SK!R$3:R$78,ROW(),SK!T$3:T$78))</f>
        <v/>
      </c>
      <c r="AX34" s="29"/>
      <c r="AY34" s="29"/>
      <c r="AZ34" s="571"/>
    </row>
    <row r="35" spans="1:52" ht="28.5" customHeight="1" thickBot="1" x14ac:dyDescent="0.35">
      <c r="A35" s="579" t="str">
        <f>IF(Score!A35="", "",Score!A35 )</f>
        <v/>
      </c>
      <c r="B35" s="583"/>
      <c r="C35" s="581" t="str">
        <f>IF(Score!B35="", "",Score!B35 )</f>
        <v/>
      </c>
      <c r="D35" s="597"/>
      <c r="E35" s="597"/>
      <c r="F35" s="597"/>
      <c r="G35" s="600"/>
      <c r="H35" s="597"/>
      <c r="I35" s="597"/>
      <c r="J35" s="597"/>
      <c r="K35" s="600"/>
      <c r="L35" s="597"/>
      <c r="M35" s="597"/>
      <c r="N35" s="597"/>
      <c r="O35" s="600"/>
      <c r="P35" s="597"/>
      <c r="Q35" s="597"/>
      <c r="R35" s="597"/>
      <c r="S35" s="600"/>
      <c r="T35" s="597"/>
      <c r="U35" s="597"/>
      <c r="V35" s="599"/>
      <c r="W35" s="630" t="str">
        <f>IF(A35="","",SUMIF(SK!B$3:B$78,ROW(),SK!D$3:D$78))</f>
        <v/>
      </c>
      <c r="X35" s="29"/>
      <c r="Y35" s="29"/>
      <c r="Z35" s="571"/>
      <c r="AA35" s="579" t="str">
        <f>IF(Score!T35="", "",Score!T35 )</f>
        <v/>
      </c>
      <c r="AB35" s="583"/>
      <c r="AC35" s="581" t="str">
        <f>IF(Score!U35="", "",Score!U35 )</f>
        <v/>
      </c>
      <c r="AD35" s="597"/>
      <c r="AE35" s="597"/>
      <c r="AF35" s="597"/>
      <c r="AG35" s="600"/>
      <c r="AH35" s="597"/>
      <c r="AI35" s="597"/>
      <c r="AJ35" s="597"/>
      <c r="AK35" s="600"/>
      <c r="AL35" s="597"/>
      <c r="AM35" s="597"/>
      <c r="AN35" s="597"/>
      <c r="AO35" s="600"/>
      <c r="AP35" s="597"/>
      <c r="AQ35" s="597"/>
      <c r="AR35" s="597"/>
      <c r="AS35" s="600"/>
      <c r="AT35" s="597"/>
      <c r="AU35" s="597"/>
      <c r="AV35" s="599"/>
      <c r="AW35" s="630" t="str">
        <f>IF(AA35="","",SUMIF(SK!R$3:R$78,ROW(),SK!T$3:T$78))</f>
        <v/>
      </c>
      <c r="AX35" s="29"/>
      <c r="AY35" s="29"/>
      <c r="AZ35" s="571"/>
    </row>
    <row r="36" spans="1:52" ht="28.5" customHeight="1" thickBot="1" x14ac:dyDescent="0.35">
      <c r="A36" s="578" t="str">
        <f>IF(Score!A36="", "",Score!A36 )</f>
        <v/>
      </c>
      <c r="B36" s="582"/>
      <c r="C36" s="580" t="str">
        <f>IF(Score!B36="", "",Score!B36 )</f>
        <v/>
      </c>
      <c r="D36" s="597"/>
      <c r="E36" s="597"/>
      <c r="F36" s="597"/>
      <c r="G36" s="598"/>
      <c r="H36" s="597"/>
      <c r="I36" s="597"/>
      <c r="J36" s="597"/>
      <c r="K36" s="598"/>
      <c r="L36" s="597"/>
      <c r="M36" s="597"/>
      <c r="N36" s="597"/>
      <c r="O36" s="598"/>
      <c r="P36" s="597"/>
      <c r="Q36" s="597"/>
      <c r="R36" s="597"/>
      <c r="S36" s="598"/>
      <c r="T36" s="597"/>
      <c r="U36" s="597"/>
      <c r="V36" s="599"/>
      <c r="W36" s="630" t="str">
        <f>IF(A36="","",SUMIF(SK!B$3:B$78,ROW(),SK!D$3:D$78))</f>
        <v/>
      </c>
      <c r="X36" s="1090" t="s">
        <v>503</v>
      </c>
      <c r="Y36" s="1058"/>
      <c r="Z36" s="1091"/>
      <c r="AA36" s="578" t="str">
        <f>IF(Score!T36="", "",Score!T36 )</f>
        <v/>
      </c>
      <c r="AB36" s="582"/>
      <c r="AC36" s="580" t="str">
        <f>IF(Score!U36="", "",Score!U36 )</f>
        <v/>
      </c>
      <c r="AD36" s="597"/>
      <c r="AE36" s="597"/>
      <c r="AF36" s="597"/>
      <c r="AG36" s="598"/>
      <c r="AH36" s="597"/>
      <c r="AI36" s="597"/>
      <c r="AJ36" s="597"/>
      <c r="AK36" s="598"/>
      <c r="AL36" s="597"/>
      <c r="AM36" s="597"/>
      <c r="AN36" s="597"/>
      <c r="AO36" s="598"/>
      <c r="AP36" s="597"/>
      <c r="AQ36" s="597"/>
      <c r="AR36" s="597"/>
      <c r="AS36" s="598"/>
      <c r="AT36" s="597"/>
      <c r="AU36" s="597"/>
      <c r="AV36" s="599"/>
      <c r="AW36" s="630" t="str">
        <f>IF(AA36="","",SUMIF(SK!R$3:R$78,ROW(),SK!T$3:T$78))</f>
        <v/>
      </c>
      <c r="AX36" s="1090" t="s">
        <v>503</v>
      </c>
      <c r="AY36" s="1058"/>
      <c r="AZ36" s="1091"/>
    </row>
    <row r="37" spans="1:52" ht="28.5" customHeight="1" thickBot="1" x14ac:dyDescent="0.35">
      <c r="A37" s="579" t="str">
        <f>IF(Score!A37="", "",Score!A37 )</f>
        <v/>
      </c>
      <c r="B37" s="583"/>
      <c r="C37" s="581" t="str">
        <f>IF(Score!B37="", "",Score!B37 )</f>
        <v/>
      </c>
      <c r="D37" s="597"/>
      <c r="E37" s="597"/>
      <c r="F37" s="597"/>
      <c r="G37" s="600"/>
      <c r="H37" s="597"/>
      <c r="I37" s="597"/>
      <c r="J37" s="597"/>
      <c r="K37" s="600"/>
      <c r="L37" s="597"/>
      <c r="M37" s="597"/>
      <c r="N37" s="597"/>
      <c r="O37" s="600"/>
      <c r="P37" s="597"/>
      <c r="Q37" s="597"/>
      <c r="R37" s="597"/>
      <c r="S37" s="600"/>
      <c r="T37" s="597"/>
      <c r="U37" s="597"/>
      <c r="V37" s="599"/>
      <c r="W37" s="630" t="str">
        <f>IF(A37="","",SUMIF(SK!B$3:B$78,ROW(),SK!D$3:D$78))</f>
        <v/>
      </c>
      <c r="X37" s="584" t="s">
        <v>500</v>
      </c>
      <c r="Y37" s="1092" t="s">
        <v>568</v>
      </c>
      <c r="Z37" s="1093"/>
      <c r="AA37" s="579" t="str">
        <f>IF(Score!T37="", "",Score!T37 )</f>
        <v/>
      </c>
      <c r="AB37" s="583"/>
      <c r="AC37" s="581" t="str">
        <f>IF(Score!U37="", "",Score!U37 )</f>
        <v/>
      </c>
      <c r="AD37" s="597"/>
      <c r="AE37" s="597"/>
      <c r="AF37" s="597"/>
      <c r="AG37" s="600"/>
      <c r="AH37" s="597"/>
      <c r="AI37" s="597"/>
      <c r="AJ37" s="597"/>
      <c r="AK37" s="600"/>
      <c r="AL37" s="597"/>
      <c r="AM37" s="597"/>
      <c r="AN37" s="597"/>
      <c r="AO37" s="600"/>
      <c r="AP37" s="597"/>
      <c r="AQ37" s="597"/>
      <c r="AR37" s="597"/>
      <c r="AS37" s="600"/>
      <c r="AT37" s="597"/>
      <c r="AU37" s="597"/>
      <c r="AV37" s="599"/>
      <c r="AW37" s="630" t="str">
        <f>IF(AA37="","",SUMIF(SK!R$3:R$78,ROW(),SK!T$3:T$78))</f>
        <v/>
      </c>
      <c r="AX37" s="584" t="s">
        <v>500</v>
      </c>
      <c r="AY37" s="1092" t="str">
        <f>Y37</f>
        <v>Sat in the box this jam.</v>
      </c>
      <c r="AZ37" s="1093"/>
    </row>
    <row r="38" spans="1:52" ht="28.5" customHeight="1" thickBot="1" x14ac:dyDescent="0.35">
      <c r="A38" s="578" t="str">
        <f>IF(Score!A38="", "",Score!A38 )</f>
        <v/>
      </c>
      <c r="B38" s="582"/>
      <c r="C38" s="580" t="str">
        <f>IF(Score!B38="", "",Score!B38 )</f>
        <v/>
      </c>
      <c r="D38" s="597"/>
      <c r="E38" s="597"/>
      <c r="F38" s="597"/>
      <c r="G38" s="598"/>
      <c r="H38" s="597"/>
      <c r="I38" s="597"/>
      <c r="J38" s="597"/>
      <c r="K38" s="598"/>
      <c r="L38" s="597"/>
      <c r="M38" s="597"/>
      <c r="N38" s="597"/>
      <c r="O38" s="598"/>
      <c r="P38" s="597"/>
      <c r="Q38" s="597"/>
      <c r="R38" s="597"/>
      <c r="S38" s="598"/>
      <c r="T38" s="597"/>
      <c r="U38" s="597"/>
      <c r="V38" s="599"/>
      <c r="W38" s="630" t="str">
        <f>IF(A38="","",SUMIF(SK!B$3:B$78,ROW(),SK!D$3:D$78))</f>
        <v/>
      </c>
      <c r="X38" s="575" t="s">
        <v>193</v>
      </c>
      <c r="Y38" s="1079" t="s">
        <v>570</v>
      </c>
      <c r="Z38" s="1080"/>
      <c r="AA38" s="578" t="str">
        <f>IF(Score!T38="", "",Score!T38 )</f>
        <v/>
      </c>
      <c r="AB38" s="582"/>
      <c r="AC38" s="580" t="str">
        <f>IF(Score!U38="", "",Score!U38 )</f>
        <v/>
      </c>
      <c r="AD38" s="597"/>
      <c r="AE38" s="597"/>
      <c r="AF38" s="597"/>
      <c r="AG38" s="598"/>
      <c r="AH38" s="597"/>
      <c r="AI38" s="597"/>
      <c r="AJ38" s="597"/>
      <c r="AK38" s="598"/>
      <c r="AL38" s="597"/>
      <c r="AM38" s="597"/>
      <c r="AN38" s="597"/>
      <c r="AO38" s="598"/>
      <c r="AP38" s="597"/>
      <c r="AQ38" s="597"/>
      <c r="AR38" s="597"/>
      <c r="AS38" s="598"/>
      <c r="AT38" s="597"/>
      <c r="AU38" s="597"/>
      <c r="AV38" s="599"/>
      <c r="AW38" s="630" t="str">
        <f>IF(AA38="","",SUMIF(SK!R$3:R$78,ROW(),SK!T$3:T$78))</f>
        <v/>
      </c>
      <c r="AX38" s="575" t="s">
        <v>193</v>
      </c>
      <c r="AY38" s="1079" t="str">
        <f>Y38</f>
        <v>Sat &amp; finished that penalty time this jam.</v>
      </c>
      <c r="AZ38" s="1080"/>
    </row>
    <row r="39" spans="1:52" ht="28.5" customHeight="1" thickBot="1" x14ac:dyDescent="0.35">
      <c r="A39" s="579" t="str">
        <f>IF(Score!A39="", "",Score!A39 )</f>
        <v/>
      </c>
      <c r="B39" s="583"/>
      <c r="C39" s="581" t="str">
        <f>IF(Score!B39="", "",Score!B39 )</f>
        <v/>
      </c>
      <c r="D39" s="597"/>
      <c r="E39" s="597"/>
      <c r="F39" s="597"/>
      <c r="G39" s="600"/>
      <c r="H39" s="597"/>
      <c r="I39" s="597"/>
      <c r="J39" s="597"/>
      <c r="K39" s="600"/>
      <c r="L39" s="597"/>
      <c r="M39" s="597"/>
      <c r="N39" s="597"/>
      <c r="O39" s="600"/>
      <c r="P39" s="597"/>
      <c r="Q39" s="597"/>
      <c r="R39" s="597"/>
      <c r="S39" s="600"/>
      <c r="T39" s="597"/>
      <c r="U39" s="597"/>
      <c r="V39" s="599"/>
      <c r="W39" s="630" t="str">
        <f>IF(A39="","",SUMIF(SK!B$3:B$78,ROW(),SK!D$3:D$78))</f>
        <v/>
      </c>
      <c r="X39" s="575" t="s">
        <v>212</v>
      </c>
      <c r="Y39" s="1079" t="s">
        <v>569</v>
      </c>
      <c r="Z39" s="1080"/>
      <c r="AA39" s="579" t="str">
        <f>IF(Score!T39="", "",Score!T39 )</f>
        <v/>
      </c>
      <c r="AB39" s="583"/>
      <c r="AC39" s="581" t="str">
        <f>IF(Score!U39="", "",Score!U39 )</f>
        <v/>
      </c>
      <c r="AD39" s="597"/>
      <c r="AE39" s="597"/>
      <c r="AF39" s="597"/>
      <c r="AG39" s="600"/>
      <c r="AH39" s="597"/>
      <c r="AI39" s="597"/>
      <c r="AJ39" s="597"/>
      <c r="AK39" s="600"/>
      <c r="AL39" s="597"/>
      <c r="AM39" s="597"/>
      <c r="AN39" s="597"/>
      <c r="AO39" s="600"/>
      <c r="AP39" s="597"/>
      <c r="AQ39" s="597"/>
      <c r="AR39" s="597"/>
      <c r="AS39" s="600"/>
      <c r="AT39" s="597"/>
      <c r="AU39" s="597"/>
      <c r="AV39" s="599"/>
      <c r="AW39" s="630" t="str">
        <f>IF(AA39="","",SUMIF(SK!R$3:R$78,ROW(),SK!T$3:T$78))</f>
        <v/>
      </c>
      <c r="AX39" s="575" t="s">
        <v>212</v>
      </c>
      <c r="AY39" s="1079" t="str">
        <f>Y39</f>
        <v>Started from the box this jam.</v>
      </c>
      <c r="AZ39" s="1080"/>
    </row>
    <row r="40" spans="1:52" ht="28.5" customHeight="1" thickBot="1" x14ac:dyDescent="0.35">
      <c r="A40" s="578" t="str">
        <f>IF(Score!A40="", "",Score!A40 )</f>
        <v/>
      </c>
      <c r="B40" s="582"/>
      <c r="C40" s="580" t="str">
        <f>IF(Score!B40="", "",Score!B40 )</f>
        <v/>
      </c>
      <c r="D40" s="597"/>
      <c r="E40" s="597"/>
      <c r="F40" s="597"/>
      <c r="G40" s="598"/>
      <c r="H40" s="597"/>
      <c r="I40" s="597"/>
      <c r="J40" s="597"/>
      <c r="K40" s="598"/>
      <c r="L40" s="597"/>
      <c r="M40" s="597"/>
      <c r="N40" s="597"/>
      <c r="O40" s="598"/>
      <c r="P40" s="597"/>
      <c r="Q40" s="597"/>
      <c r="R40" s="597"/>
      <c r="S40" s="598"/>
      <c r="T40" s="597"/>
      <c r="U40" s="597"/>
      <c r="V40" s="599"/>
      <c r="W40" s="630" t="str">
        <f>IF(A40="","",SUMIF(SK!B$3:B$78,ROW(),SK!D$3:D$78))</f>
        <v/>
      </c>
      <c r="X40" s="577" t="s">
        <v>501</v>
      </c>
      <c r="Y40" s="1079" t="s">
        <v>571</v>
      </c>
      <c r="Z40" s="1080"/>
      <c r="AA40" s="578" t="str">
        <f>IF(Score!T40="", "",Score!T40 )</f>
        <v/>
      </c>
      <c r="AB40" s="582"/>
      <c r="AC40" s="580" t="str">
        <f>IF(Score!U40="", "",Score!U40 )</f>
        <v/>
      </c>
      <c r="AD40" s="597"/>
      <c r="AE40" s="597"/>
      <c r="AF40" s="597"/>
      <c r="AG40" s="598"/>
      <c r="AH40" s="597"/>
      <c r="AI40" s="597"/>
      <c r="AJ40" s="597"/>
      <c r="AK40" s="598"/>
      <c r="AL40" s="597"/>
      <c r="AM40" s="597"/>
      <c r="AN40" s="597"/>
      <c r="AO40" s="598"/>
      <c r="AP40" s="597"/>
      <c r="AQ40" s="597"/>
      <c r="AR40" s="597"/>
      <c r="AS40" s="598"/>
      <c r="AT40" s="597"/>
      <c r="AU40" s="597"/>
      <c r="AV40" s="599"/>
      <c r="AW40" s="630" t="str">
        <f>IF(AA40="","",SUMIF(SK!R$3:R$78,ROW(),SK!T$3:T$78))</f>
        <v/>
      </c>
      <c r="AX40" s="577" t="s">
        <v>501</v>
      </c>
      <c r="AY40" s="1079" t="str">
        <f>Y40</f>
        <v>Started from the box &amp; finished that penalty time this jam.</v>
      </c>
      <c r="AZ40" s="1080"/>
    </row>
    <row r="41" spans="1:52" ht="28.5" customHeight="1" thickBot="1" x14ac:dyDescent="0.35">
      <c r="A41" s="579" t="str">
        <f>IF(Score!A41="", "",Score!A41 )</f>
        <v/>
      </c>
      <c r="B41" s="583"/>
      <c r="C41" s="581" t="str">
        <f>IF(Score!B41="", "",Score!B41 )</f>
        <v/>
      </c>
      <c r="D41" s="597"/>
      <c r="E41" s="597"/>
      <c r="F41" s="597"/>
      <c r="G41" s="600"/>
      <c r="H41" s="597"/>
      <c r="I41" s="597"/>
      <c r="J41" s="597"/>
      <c r="K41" s="600"/>
      <c r="L41" s="597"/>
      <c r="M41" s="597"/>
      <c r="N41" s="597"/>
      <c r="O41" s="600"/>
      <c r="P41" s="597"/>
      <c r="Q41" s="597"/>
      <c r="R41" s="597"/>
      <c r="S41" s="600"/>
      <c r="T41" s="597"/>
      <c r="U41" s="597"/>
      <c r="V41" s="599"/>
      <c r="W41" s="630" t="str">
        <f>IF(A41="","",SUMIF(SK!B$3:B$78,ROW(),SK!D$3:D$78))</f>
        <v/>
      </c>
      <c r="X41" s="576">
        <v>3</v>
      </c>
      <c r="Y41" s="1081" t="s">
        <v>504</v>
      </c>
      <c r="Z41" s="1082"/>
      <c r="AA41" s="579" t="str">
        <f>IF(Score!T41="", "",Score!T41 )</f>
        <v/>
      </c>
      <c r="AB41" s="583"/>
      <c r="AC41" s="581" t="str">
        <f>IF(Score!U41="", "",Score!U41 )</f>
        <v/>
      </c>
      <c r="AD41" s="597"/>
      <c r="AE41" s="597"/>
      <c r="AF41" s="597"/>
      <c r="AG41" s="600"/>
      <c r="AH41" s="597"/>
      <c r="AI41" s="597"/>
      <c r="AJ41" s="597"/>
      <c r="AK41" s="600"/>
      <c r="AL41" s="597"/>
      <c r="AM41" s="597"/>
      <c r="AN41" s="597"/>
      <c r="AO41" s="600"/>
      <c r="AP41" s="597"/>
      <c r="AQ41" s="597"/>
      <c r="AR41" s="597"/>
      <c r="AS41" s="600"/>
      <c r="AT41" s="597"/>
      <c r="AU41" s="597"/>
      <c r="AV41" s="599"/>
      <c r="AW41" s="630" t="str">
        <f>IF(AA41="","",SUMIF(SK!R$3:R$78,ROW(),SK!T$3:T$78))</f>
        <v/>
      </c>
      <c r="AX41" s="576">
        <v>3</v>
      </c>
      <c r="AY41" s="1081" t="str">
        <f>Y41</f>
        <v>Jam was called off due to this skater's injury.</v>
      </c>
      <c r="AZ41" s="1082"/>
    </row>
    <row r="42" spans="1:52" s="596" customFormat="1" ht="15" customHeight="1" x14ac:dyDescent="0.3">
      <c r="A42" s="1083" t="s">
        <v>614</v>
      </c>
      <c r="B42" s="1084"/>
      <c r="C42" s="1084"/>
      <c r="D42" s="1084"/>
      <c r="E42" s="1084"/>
      <c r="F42" s="1084"/>
      <c r="G42" s="1084"/>
      <c r="H42" s="1084"/>
      <c r="I42" s="1084"/>
      <c r="J42" s="1084"/>
      <c r="K42" s="1084"/>
      <c r="L42" s="1084"/>
      <c r="M42" s="1084"/>
      <c r="N42" s="1084"/>
      <c r="O42" s="1084"/>
      <c r="P42" s="1084"/>
      <c r="Q42" s="1084"/>
      <c r="R42" s="1084"/>
      <c r="S42" s="1084"/>
      <c r="T42" s="1084"/>
      <c r="U42" s="1084"/>
      <c r="V42" s="1084"/>
      <c r="W42" s="1084"/>
      <c r="X42" s="1084"/>
      <c r="Y42" s="1084"/>
      <c r="Z42" s="1085"/>
      <c r="AA42" s="1083" t="str">
        <f>A42</f>
        <v>Write the jam number, starting from 1 each period, in the JAM column as each jam happens. Enter skater numbers by position. If no Pivot is fielded, enter an "X" in the noPivot box.</v>
      </c>
      <c r="AB42" s="1084"/>
      <c r="AC42" s="1084"/>
      <c r="AD42" s="1084"/>
      <c r="AE42" s="1084"/>
      <c r="AF42" s="1084"/>
      <c r="AG42" s="1084"/>
      <c r="AH42" s="1084"/>
      <c r="AI42" s="1084"/>
      <c r="AJ42" s="1084"/>
      <c r="AK42" s="1084"/>
      <c r="AL42" s="1084"/>
      <c r="AM42" s="1084"/>
      <c r="AN42" s="1084"/>
      <c r="AO42" s="1084"/>
      <c r="AP42" s="1084"/>
      <c r="AQ42" s="1084"/>
      <c r="AR42" s="1084"/>
      <c r="AS42" s="1084"/>
      <c r="AT42" s="1084"/>
      <c r="AU42" s="1084"/>
      <c r="AV42" s="1084"/>
      <c r="AW42" s="1084"/>
      <c r="AX42" s="1084"/>
      <c r="AY42" s="1084"/>
      <c r="AZ42" s="1085"/>
    </row>
    <row r="43" spans="1:52" s="596" customFormat="1" ht="15" customHeight="1" x14ac:dyDescent="0.3">
      <c r="A43" s="1076" t="s">
        <v>615</v>
      </c>
      <c r="B43" s="1077"/>
      <c r="C43" s="1077"/>
      <c r="D43" s="1077"/>
      <c r="E43" s="1077"/>
      <c r="F43" s="1077"/>
      <c r="G43" s="1077"/>
      <c r="H43" s="1077"/>
      <c r="I43" s="1077"/>
      <c r="J43" s="1077"/>
      <c r="K43" s="1077"/>
      <c r="L43" s="1077"/>
      <c r="M43" s="1077"/>
      <c r="N43" s="1077"/>
      <c r="O43" s="1077"/>
      <c r="P43" s="1077"/>
      <c r="Q43" s="1077"/>
      <c r="R43" s="1077"/>
      <c r="S43" s="1077"/>
      <c r="T43" s="1077"/>
      <c r="U43" s="1077"/>
      <c r="V43" s="1077"/>
      <c r="W43" s="1077"/>
      <c r="X43" s="1077"/>
      <c r="Y43" s="1077"/>
      <c r="Z43" s="1078"/>
      <c r="AA43" s="1076" t="str">
        <f>A43</f>
        <v>When a skater sits in the penalty box, enter a / in the next unmarked BOX column, or an S if the skater starts the jam in the box. When the skater completes the penalty time, mark exit in same</v>
      </c>
      <c r="AB43" s="1077"/>
      <c r="AC43" s="1077"/>
      <c r="AD43" s="1077"/>
      <c r="AE43" s="1077"/>
      <c r="AF43" s="1077"/>
      <c r="AG43" s="1077"/>
      <c r="AH43" s="1077"/>
      <c r="AI43" s="1077"/>
      <c r="AJ43" s="1077"/>
      <c r="AK43" s="1077"/>
      <c r="AL43" s="1077"/>
      <c r="AM43" s="1077"/>
      <c r="AN43" s="1077"/>
      <c r="AO43" s="1077"/>
      <c r="AP43" s="1077"/>
      <c r="AQ43" s="1077"/>
      <c r="AR43" s="1077"/>
      <c r="AS43" s="1077"/>
      <c r="AT43" s="1077"/>
      <c r="AU43" s="1077"/>
      <c r="AV43" s="1077"/>
      <c r="AW43" s="1077"/>
      <c r="AX43" s="1077"/>
      <c r="AY43" s="1077"/>
      <c r="AZ43" s="1078"/>
    </row>
    <row r="44" spans="1:52" s="596" customFormat="1" ht="15" customHeight="1" x14ac:dyDescent="0.3">
      <c r="A44" s="1076" t="s">
        <v>616</v>
      </c>
      <c r="B44" s="1077"/>
      <c r="C44" s="1077"/>
      <c r="D44" s="1077"/>
      <c r="E44" s="1077"/>
      <c r="F44" s="1077"/>
      <c r="G44" s="1077"/>
      <c r="H44" s="1077"/>
      <c r="I44" s="1077"/>
      <c r="J44" s="1077"/>
      <c r="K44" s="1077"/>
      <c r="L44" s="1077"/>
      <c r="M44" s="1077"/>
      <c r="N44" s="1077"/>
      <c r="O44" s="1077"/>
      <c r="P44" s="1077"/>
      <c r="Q44" s="1077"/>
      <c r="R44" s="1077"/>
      <c r="S44" s="1077"/>
      <c r="T44" s="1077"/>
      <c r="U44" s="1077"/>
      <c r="V44" s="1077"/>
      <c r="W44" s="1077"/>
      <c r="X44" s="1077"/>
      <c r="Y44" s="1077"/>
      <c r="Z44" s="1078"/>
      <c r="AA44" s="1076" t="str">
        <f>A44</f>
        <v>column (if same jam, make the / an X or the S an $). If that skater sits again in the penalty box during same jam, move to the next column under BOX. In case of star pass, both teams enter SP in the</v>
      </c>
      <c r="AB44" s="1077"/>
      <c r="AC44" s="1077"/>
      <c r="AD44" s="1077"/>
      <c r="AE44" s="1077"/>
      <c r="AF44" s="1077"/>
      <c r="AG44" s="1077"/>
      <c r="AH44" s="1077"/>
      <c r="AI44" s="1077"/>
      <c r="AJ44" s="1077"/>
      <c r="AK44" s="1077"/>
      <c r="AL44" s="1077"/>
      <c r="AM44" s="1077"/>
      <c r="AN44" s="1077"/>
      <c r="AO44" s="1077"/>
      <c r="AP44" s="1077"/>
      <c r="AQ44" s="1077"/>
      <c r="AR44" s="1077"/>
      <c r="AS44" s="1077"/>
      <c r="AT44" s="1077"/>
      <c r="AU44" s="1077"/>
      <c r="AV44" s="1077"/>
      <c r="AW44" s="1077"/>
      <c r="AX44" s="1077"/>
      <c r="AY44" s="1077"/>
      <c r="AZ44" s="1078"/>
    </row>
    <row r="45" spans="1:52" s="596" customFormat="1" ht="15" customHeight="1" x14ac:dyDescent="0.3">
      <c r="A45" s="1076" t="s">
        <v>617</v>
      </c>
      <c r="B45" s="1077"/>
      <c r="C45" s="1077"/>
      <c r="D45" s="1077"/>
      <c r="E45" s="1077"/>
      <c r="F45" s="1077"/>
      <c r="G45" s="1077"/>
      <c r="H45" s="1077"/>
      <c r="I45" s="1077"/>
      <c r="J45" s="1077"/>
      <c r="K45" s="1077"/>
      <c r="L45" s="1077"/>
      <c r="M45" s="1077"/>
      <c r="N45" s="1077"/>
      <c r="O45" s="1077"/>
      <c r="P45" s="1077"/>
      <c r="Q45" s="1077"/>
      <c r="R45" s="1077"/>
      <c r="S45" s="1077"/>
      <c r="T45" s="1077"/>
      <c r="U45" s="1077"/>
      <c r="V45" s="1077"/>
      <c r="W45" s="1077"/>
      <c r="X45" s="1077"/>
      <c r="Y45" s="1077"/>
      <c r="Z45" s="1078"/>
      <c r="AA45" s="1076" t="str">
        <f>A45</f>
        <v>Jam column on a new row. Update star passing team with Jammer and Pivot reversed (mark noPivot) and the same Blockers. Mark all box exits/entries after a star pass in rows with current Jammer.</v>
      </c>
      <c r="AB45" s="1077"/>
      <c r="AC45" s="1077"/>
      <c r="AD45" s="1077"/>
      <c r="AE45" s="1077"/>
      <c r="AF45" s="1077"/>
      <c r="AG45" s="1077"/>
      <c r="AH45" s="1077"/>
      <c r="AI45" s="1077"/>
      <c r="AJ45" s="1077"/>
      <c r="AK45" s="1077"/>
      <c r="AL45" s="1077"/>
      <c r="AM45" s="1077"/>
      <c r="AN45" s="1077"/>
      <c r="AO45" s="1077"/>
      <c r="AP45" s="1077"/>
      <c r="AQ45" s="1077"/>
      <c r="AR45" s="1077"/>
      <c r="AS45" s="1077"/>
      <c r="AT45" s="1077"/>
      <c r="AU45" s="1077"/>
      <c r="AV45" s="1077"/>
      <c r="AW45" s="1077"/>
      <c r="AX45" s="1077"/>
      <c r="AY45" s="1077"/>
      <c r="AZ45" s="1078"/>
    </row>
    <row r="46" spans="1:52" s="596" customFormat="1" ht="15" customHeight="1" thickBot="1" x14ac:dyDescent="0.35">
      <c r="A46" s="1070" t="s">
        <v>502</v>
      </c>
      <c r="B46" s="1071"/>
      <c r="C46" s="1071"/>
      <c r="D46" s="1071"/>
      <c r="E46" s="1071"/>
      <c r="F46" s="1071"/>
      <c r="G46" s="1071"/>
      <c r="H46" s="1071"/>
      <c r="I46" s="1071"/>
      <c r="J46" s="1071"/>
      <c r="K46" s="1071"/>
      <c r="L46" s="1071"/>
      <c r="M46" s="1071"/>
      <c r="N46" s="1071"/>
      <c r="O46" s="1071"/>
      <c r="P46" s="1071"/>
      <c r="Q46" s="1071"/>
      <c r="R46" s="1071"/>
      <c r="S46" s="1071"/>
      <c r="T46" s="1071"/>
      <c r="U46" s="1071"/>
      <c r="V46" s="1071"/>
      <c r="W46" s="1071"/>
      <c r="X46" s="1071"/>
      <c r="Y46" s="1071"/>
      <c r="Z46" s="1072"/>
      <c r="AA46" s="1070" t="str">
        <f>A46</f>
        <v>If jam is called for injury, indicate it with an 3 in the BOX column of the injured skater. Note any box time carrying over from first period onto the period 2 sheet before turning in period 1 sheet.</v>
      </c>
      <c r="AB46" s="1071"/>
      <c r="AC46" s="1071"/>
      <c r="AD46" s="1071"/>
      <c r="AE46" s="1071"/>
      <c r="AF46" s="1071"/>
      <c r="AG46" s="1071"/>
      <c r="AH46" s="1071"/>
      <c r="AI46" s="1071"/>
      <c r="AJ46" s="1071"/>
      <c r="AK46" s="1071"/>
      <c r="AL46" s="1071"/>
      <c r="AM46" s="1071"/>
      <c r="AN46" s="1071"/>
      <c r="AO46" s="1071"/>
      <c r="AP46" s="1071"/>
      <c r="AQ46" s="1071"/>
      <c r="AR46" s="1071"/>
      <c r="AS46" s="1071"/>
      <c r="AT46" s="1071"/>
      <c r="AU46" s="1071"/>
      <c r="AV46" s="1071"/>
      <c r="AW46" s="1071"/>
      <c r="AX46" s="1071"/>
      <c r="AY46" s="1071"/>
      <c r="AZ46" s="1072"/>
    </row>
    <row r="47" spans="1:52" ht="30" customHeight="1" x14ac:dyDescent="0.45">
      <c r="A47" s="1066" t="str">
        <f>A1</f>
        <v>Rat City Rollergirls / All-Stars</v>
      </c>
      <c r="B47" s="1066"/>
      <c r="C47" s="1066"/>
      <c r="D47" s="1066"/>
      <c r="E47" s="1066"/>
      <c r="F47" s="1066"/>
      <c r="G47" s="1066"/>
      <c r="H47" s="1068" t="s">
        <v>741</v>
      </c>
      <c r="I47" s="1068"/>
      <c r="J47" s="1068"/>
      <c r="K47" s="1068"/>
      <c r="L47" s="1068"/>
      <c r="M47" s="1068"/>
      <c r="N47" s="1068"/>
      <c r="O47" s="1068"/>
      <c r="P47" s="1069">
        <f>P1</f>
        <v>41832</v>
      </c>
      <c r="Q47" s="1069"/>
      <c r="R47" s="1069"/>
      <c r="S47" s="1069"/>
      <c r="T47" s="1061">
        <v>2</v>
      </c>
      <c r="U47" s="1061"/>
      <c r="V47" s="1061"/>
      <c r="W47" s="631"/>
      <c r="X47" s="1063" t="str">
        <f>X1</f>
        <v>Green</v>
      </c>
      <c r="Y47" s="1063"/>
      <c r="Z47" s="1063"/>
      <c r="AA47" s="1066" t="str">
        <f>AA1</f>
        <v>Houston Roller Derby / All-Stars</v>
      </c>
      <c r="AB47" s="1066"/>
      <c r="AC47" s="1066"/>
      <c r="AD47" s="1066"/>
      <c r="AE47" s="1066"/>
      <c r="AF47" s="1066"/>
      <c r="AG47" s="1066"/>
      <c r="AH47" s="1068" t="s">
        <v>740</v>
      </c>
      <c r="AI47" s="1068"/>
      <c r="AJ47" s="1068"/>
      <c r="AK47" s="1068"/>
      <c r="AL47" s="1068"/>
      <c r="AM47" s="1068"/>
      <c r="AN47" s="1068"/>
      <c r="AO47" s="1068"/>
      <c r="AP47" s="1069">
        <f>P1</f>
        <v>41832</v>
      </c>
      <c r="AQ47" s="1069"/>
      <c r="AR47" s="1069"/>
      <c r="AS47" s="1069"/>
      <c r="AT47" s="1061">
        <v>2</v>
      </c>
      <c r="AU47" s="1061"/>
      <c r="AV47" s="1061"/>
      <c r="AW47" s="631"/>
      <c r="AX47" s="1063" t="str">
        <f>AX1</f>
        <v>White</v>
      </c>
      <c r="AY47" s="1063"/>
      <c r="AZ47" s="1063"/>
    </row>
    <row r="48" spans="1:52" ht="15" customHeight="1" thickBot="1" x14ac:dyDescent="0.35">
      <c r="A48" s="1067"/>
      <c r="B48" s="1067"/>
      <c r="C48" s="1067"/>
      <c r="D48" s="1067"/>
      <c r="E48" s="1067"/>
      <c r="F48" s="1067"/>
      <c r="G48" s="1067"/>
      <c r="H48" s="1064" t="s">
        <v>342</v>
      </c>
      <c r="I48" s="1064"/>
      <c r="J48" s="1064"/>
      <c r="K48" s="1064"/>
      <c r="L48" s="1064"/>
      <c r="M48" s="1064"/>
      <c r="N48" s="1064"/>
      <c r="O48" s="1064"/>
      <c r="P48" s="1065" t="s">
        <v>355</v>
      </c>
      <c r="Q48" s="1065"/>
      <c r="R48" s="1065"/>
      <c r="S48" s="1065"/>
      <c r="T48" s="1062" t="str">
        <f>T2</f>
        <v>GAME 2</v>
      </c>
      <c r="U48" s="1062"/>
      <c r="V48" s="1062"/>
      <c r="W48" s="632"/>
      <c r="X48" s="1064" t="s">
        <v>351</v>
      </c>
      <c r="Y48" s="1064"/>
      <c r="Z48" s="1064"/>
      <c r="AA48" s="1067"/>
      <c r="AB48" s="1067"/>
      <c r="AC48" s="1067"/>
      <c r="AD48" s="1067"/>
      <c r="AE48" s="1067"/>
      <c r="AF48" s="1067"/>
      <c r="AG48" s="1067"/>
      <c r="AH48" s="1064" t="s">
        <v>342</v>
      </c>
      <c r="AI48" s="1064"/>
      <c r="AJ48" s="1064"/>
      <c r="AK48" s="1064"/>
      <c r="AL48" s="1064"/>
      <c r="AM48" s="1064"/>
      <c r="AN48" s="1064"/>
      <c r="AO48" s="1064"/>
      <c r="AP48" s="1065" t="s">
        <v>355</v>
      </c>
      <c r="AQ48" s="1065"/>
      <c r="AR48" s="1065"/>
      <c r="AS48" s="1065"/>
      <c r="AT48" s="1062" t="str">
        <f>T2</f>
        <v>GAME 2</v>
      </c>
      <c r="AU48" s="1062"/>
      <c r="AV48" s="1062"/>
      <c r="AW48" s="632"/>
      <c r="AX48" s="1064" t="s">
        <v>351</v>
      </c>
      <c r="AY48" s="1064"/>
      <c r="AZ48" s="1064"/>
    </row>
    <row r="49" spans="1:52" ht="13.5" customHeight="1" thickBot="1" x14ac:dyDescent="0.35">
      <c r="A49" s="572" t="s">
        <v>498</v>
      </c>
      <c r="B49" s="573" t="s">
        <v>352</v>
      </c>
      <c r="C49" s="574" t="s">
        <v>177</v>
      </c>
      <c r="D49" s="1060" t="s">
        <v>499</v>
      </c>
      <c r="E49" s="1060"/>
      <c r="F49" s="1060"/>
      <c r="G49" s="574" t="s">
        <v>175</v>
      </c>
      <c r="H49" s="1060" t="s">
        <v>499</v>
      </c>
      <c r="I49" s="1060"/>
      <c r="J49" s="1060"/>
      <c r="K49" s="574" t="s">
        <v>176</v>
      </c>
      <c r="L49" s="1060" t="s">
        <v>499</v>
      </c>
      <c r="M49" s="1060"/>
      <c r="N49" s="1060"/>
      <c r="O49" s="574" t="s">
        <v>176</v>
      </c>
      <c r="P49" s="1060" t="s">
        <v>499</v>
      </c>
      <c r="Q49" s="1060"/>
      <c r="R49" s="1060"/>
      <c r="S49" s="574" t="s">
        <v>176</v>
      </c>
      <c r="T49" s="1060" t="s">
        <v>499</v>
      </c>
      <c r="U49" s="1060"/>
      <c r="V49" s="1060"/>
      <c r="W49" s="633"/>
      <c r="X49" s="1087" t="s">
        <v>343</v>
      </c>
      <c r="Y49" s="1088"/>
      <c r="Z49" s="1089"/>
      <c r="AA49" s="572" t="s">
        <v>498</v>
      </c>
      <c r="AB49" s="573" t="s">
        <v>352</v>
      </c>
      <c r="AC49" s="574" t="s">
        <v>177</v>
      </c>
      <c r="AD49" s="1060" t="s">
        <v>499</v>
      </c>
      <c r="AE49" s="1060"/>
      <c r="AF49" s="1060"/>
      <c r="AG49" s="574" t="s">
        <v>175</v>
      </c>
      <c r="AH49" s="1060" t="s">
        <v>499</v>
      </c>
      <c r="AI49" s="1060"/>
      <c r="AJ49" s="1060"/>
      <c r="AK49" s="574" t="s">
        <v>176</v>
      </c>
      <c r="AL49" s="1060" t="s">
        <v>499</v>
      </c>
      <c r="AM49" s="1060"/>
      <c r="AN49" s="1060"/>
      <c r="AO49" s="574" t="s">
        <v>176</v>
      </c>
      <c r="AP49" s="1060" t="s">
        <v>499</v>
      </c>
      <c r="AQ49" s="1060"/>
      <c r="AR49" s="1060"/>
      <c r="AS49" s="574" t="s">
        <v>176</v>
      </c>
      <c r="AT49" s="1060" t="s">
        <v>499</v>
      </c>
      <c r="AU49" s="1060"/>
      <c r="AV49" s="1060"/>
      <c r="AW49" s="633"/>
      <c r="AX49" s="1087" t="s">
        <v>343</v>
      </c>
      <c r="AY49" s="1088"/>
      <c r="AZ49" s="1089"/>
    </row>
    <row r="50" spans="1:52" ht="28.5" customHeight="1" thickBot="1" x14ac:dyDescent="0.35">
      <c r="A50" s="578">
        <f>IF(Score!A51="", "",Score!A51 )</f>
        <v>1</v>
      </c>
      <c r="B50" s="582"/>
      <c r="C50" s="580" t="str">
        <f>IF(Score!B51="", "",Score!B51 )</f>
        <v>911</v>
      </c>
      <c r="D50" s="597"/>
      <c r="E50" s="597"/>
      <c r="F50" s="597"/>
      <c r="G50" s="598" t="s">
        <v>676</v>
      </c>
      <c r="H50" s="597"/>
      <c r="I50" s="597"/>
      <c r="J50" s="597"/>
      <c r="K50" s="598" t="s">
        <v>693</v>
      </c>
      <c r="L50" s="597"/>
      <c r="M50" s="597"/>
      <c r="N50" s="597"/>
      <c r="O50" s="598" t="s">
        <v>699</v>
      </c>
      <c r="P50" s="597"/>
      <c r="Q50" s="597"/>
      <c r="R50" s="597"/>
      <c r="S50" s="598" t="s">
        <v>697</v>
      </c>
      <c r="T50" s="597"/>
      <c r="U50" s="597"/>
      <c r="V50" s="599"/>
      <c r="W50" s="630">
        <f ca="1">IF(A50="","",SUMIF(SK!B$88:B$163,ROW()+1,SK!D$88:D$163))</f>
        <v>3</v>
      </c>
      <c r="X50" s="29"/>
      <c r="Y50" s="863" t="str">
        <f>Y4</f>
        <v>12</v>
      </c>
      <c r="Z50" s="858" t="str">
        <f>Z4</f>
        <v>Carmen Getsome</v>
      </c>
      <c r="AA50" s="578">
        <f>IF(Score!T51="", "",Score!T51 )</f>
        <v>1</v>
      </c>
      <c r="AB50" s="582"/>
      <c r="AC50" s="580" t="str">
        <f>IF(Score!U51="", "",Score!U51 )</f>
        <v>22</v>
      </c>
      <c r="AD50" s="597"/>
      <c r="AE50" s="597"/>
      <c r="AF50" s="597"/>
      <c r="AG50" s="598" t="s">
        <v>675</v>
      </c>
      <c r="AH50" s="597"/>
      <c r="AI50" s="597"/>
      <c r="AJ50" s="597"/>
      <c r="AK50" s="598" t="s">
        <v>728</v>
      </c>
      <c r="AL50" s="597"/>
      <c r="AM50" s="597"/>
      <c r="AN50" s="597"/>
      <c r="AO50" s="598" t="s">
        <v>722</v>
      </c>
      <c r="AP50" s="597"/>
      <c r="AQ50" s="597"/>
      <c r="AR50" s="597"/>
      <c r="AS50" s="598" t="s">
        <v>718</v>
      </c>
      <c r="AT50" s="597"/>
      <c r="AU50" s="597"/>
      <c r="AV50" s="599"/>
      <c r="AW50" s="630">
        <f ca="1">IF(AA50="","",SUMIF(SK!R$88:R$163,ROW()+1,SK!T$88:T$163))</f>
        <v>0</v>
      </c>
      <c r="AX50" s="29"/>
      <c r="AY50" s="863" t="str">
        <f>AY4</f>
        <v>112</v>
      </c>
      <c r="AZ50" s="858" t="str">
        <f>AZ4</f>
        <v>Singapore Rogue</v>
      </c>
    </row>
    <row r="51" spans="1:52" ht="28.5" customHeight="1" thickBot="1" x14ac:dyDescent="0.35">
      <c r="A51" s="579">
        <f>IF(Score!A52="", "",Score!A52 )</f>
        <v>2</v>
      </c>
      <c r="B51" s="583"/>
      <c r="C51" s="581" t="str">
        <f>IF(Score!B52="", "",Score!B52 )</f>
        <v>761</v>
      </c>
      <c r="D51" s="597"/>
      <c r="E51" s="597"/>
      <c r="F51" s="597"/>
      <c r="G51" s="600" t="s">
        <v>677</v>
      </c>
      <c r="H51" s="597"/>
      <c r="I51" s="597"/>
      <c r="J51" s="597"/>
      <c r="K51" s="600" t="s">
        <v>707</v>
      </c>
      <c r="L51" s="597"/>
      <c r="M51" s="597"/>
      <c r="N51" s="597"/>
      <c r="O51" s="600" t="s">
        <v>689</v>
      </c>
      <c r="P51" s="597"/>
      <c r="Q51" s="597"/>
      <c r="R51" s="597"/>
      <c r="S51" s="600" t="s">
        <v>685</v>
      </c>
      <c r="T51" s="597"/>
      <c r="U51" s="597"/>
      <c r="V51" s="599"/>
      <c r="W51" s="630">
        <f ca="1">IF(A51="","",SUMIF(SK!B$88:B$163,ROW()+1,SK!D$88:D$163))</f>
        <v>8</v>
      </c>
      <c r="X51" s="29"/>
      <c r="Y51" s="863" t="str">
        <f t="shared" ref="Y51:Z66" si="0">Y5</f>
        <v>123</v>
      </c>
      <c r="Z51" s="858" t="str">
        <f t="shared" si="0"/>
        <v>Nelson</v>
      </c>
      <c r="AA51" s="579">
        <f>IF(Score!T52="", "",Score!T52 )</f>
        <v>2</v>
      </c>
      <c r="AB51" s="583"/>
      <c r="AC51" s="581" t="str">
        <f>IF(Score!U52="", "",Score!U52 )</f>
        <v>69</v>
      </c>
      <c r="AD51" s="597"/>
      <c r="AE51" s="597"/>
      <c r="AF51" s="597"/>
      <c r="AG51" s="600" t="s">
        <v>716</v>
      </c>
      <c r="AH51" s="597"/>
      <c r="AI51" s="597"/>
      <c r="AJ51" s="597"/>
      <c r="AK51" s="600" t="s">
        <v>733</v>
      </c>
      <c r="AL51" s="597" t="s">
        <v>500</v>
      </c>
      <c r="AM51" s="597"/>
      <c r="AN51" s="597"/>
      <c r="AO51" s="600" t="s">
        <v>711</v>
      </c>
      <c r="AP51" s="597"/>
      <c r="AQ51" s="597"/>
      <c r="AR51" s="597"/>
      <c r="AS51" s="600" t="s">
        <v>725</v>
      </c>
      <c r="AT51" s="597" t="s">
        <v>500</v>
      </c>
      <c r="AU51" s="597"/>
      <c r="AV51" s="599"/>
      <c r="AW51" s="630">
        <f ca="1">IF(AA51="","",SUMIF(SK!R$88:R$163,ROW()+1,SK!T$88:T$163))</f>
        <v>0</v>
      </c>
      <c r="AX51" s="29"/>
      <c r="AY51" s="863" t="str">
        <f t="shared" ref="AY51:AZ66" si="1">AY5</f>
        <v>1542</v>
      </c>
      <c r="AZ51" s="858" t="str">
        <f t="shared" si="1"/>
        <v>Mary Queen of Skates</v>
      </c>
    </row>
    <row r="52" spans="1:52" ht="28.5" customHeight="1" thickBot="1" x14ac:dyDescent="0.35">
      <c r="A52" s="578">
        <f>IF(Score!A53="", "",Score!A53 )</f>
        <v>3</v>
      </c>
      <c r="B52" s="582"/>
      <c r="C52" s="580" t="str">
        <f>IF(Score!B53="", "",Score!B53 )</f>
        <v>1618</v>
      </c>
      <c r="D52" s="597"/>
      <c r="E52" s="597"/>
      <c r="F52" s="597"/>
      <c r="G52" s="598" t="s">
        <v>676</v>
      </c>
      <c r="H52" s="597"/>
      <c r="I52" s="597"/>
      <c r="J52" s="597"/>
      <c r="K52" s="598" t="s">
        <v>699</v>
      </c>
      <c r="L52" s="597"/>
      <c r="M52" s="597"/>
      <c r="N52" s="597"/>
      <c r="O52" s="598" t="s">
        <v>703</v>
      </c>
      <c r="P52" s="597"/>
      <c r="Q52" s="597"/>
      <c r="R52" s="597"/>
      <c r="S52" s="598" t="s">
        <v>695</v>
      </c>
      <c r="T52" s="597"/>
      <c r="U52" s="597"/>
      <c r="V52" s="599"/>
      <c r="W52" s="630">
        <f ca="1">IF(A52="","",SUMIF(SK!B$88:B$163,ROW()+1,SK!D$88:D$163))</f>
        <v>0</v>
      </c>
      <c r="X52" s="29"/>
      <c r="Y52" s="863" t="str">
        <f t="shared" si="0"/>
        <v>14</v>
      </c>
      <c r="Z52" s="858" t="str">
        <f t="shared" si="0"/>
        <v>Shorty Ounce</v>
      </c>
      <c r="AA52" s="578">
        <f>IF(Score!T53="", "",Score!T53 )</f>
        <v>3</v>
      </c>
      <c r="AB52" s="582"/>
      <c r="AC52" s="580" t="str">
        <f>IF(Score!U53="", "",Score!U53 )</f>
        <v>22</v>
      </c>
      <c r="AD52" s="597"/>
      <c r="AE52" s="597"/>
      <c r="AF52" s="597"/>
      <c r="AG52" s="598" t="s">
        <v>675</v>
      </c>
      <c r="AH52" s="597"/>
      <c r="AI52" s="597"/>
      <c r="AJ52" s="597"/>
      <c r="AK52" s="598" t="s">
        <v>733</v>
      </c>
      <c r="AL52" s="597" t="s">
        <v>501</v>
      </c>
      <c r="AM52" s="597"/>
      <c r="AN52" s="597"/>
      <c r="AO52" s="598" t="s">
        <v>722</v>
      </c>
      <c r="AP52" s="597"/>
      <c r="AQ52" s="597"/>
      <c r="AR52" s="597"/>
      <c r="AS52" s="598" t="s">
        <v>725</v>
      </c>
      <c r="AT52" s="597" t="s">
        <v>501</v>
      </c>
      <c r="AU52" s="597"/>
      <c r="AV52" s="599"/>
      <c r="AW52" s="630">
        <f ca="1">IF(AA52="","",SUMIF(SK!R$88:R$163,ROW()+1,SK!T$88:T$163))</f>
        <v>2</v>
      </c>
      <c r="AX52" s="29"/>
      <c r="AY52" s="863" t="str">
        <f t="shared" si="1"/>
        <v>16</v>
      </c>
      <c r="AZ52" s="858" t="str">
        <f t="shared" si="1"/>
        <v>Mistilla</v>
      </c>
    </row>
    <row r="53" spans="1:52" ht="28.5" customHeight="1" thickBot="1" x14ac:dyDescent="0.35">
      <c r="A53" s="579">
        <f>IF(Score!A54="", "",Score!A54 )</f>
        <v>4</v>
      </c>
      <c r="B53" s="583"/>
      <c r="C53" s="581" t="str">
        <f>IF(Score!B54="", "",Score!B54 )</f>
        <v>23</v>
      </c>
      <c r="D53" s="597"/>
      <c r="E53" s="597"/>
      <c r="F53" s="597"/>
      <c r="G53" s="600" t="s">
        <v>677</v>
      </c>
      <c r="H53" s="597"/>
      <c r="I53" s="597"/>
      <c r="J53" s="597"/>
      <c r="K53" s="600" t="s">
        <v>707</v>
      </c>
      <c r="L53" s="597"/>
      <c r="M53" s="597"/>
      <c r="N53" s="597"/>
      <c r="O53" s="600" t="s">
        <v>697</v>
      </c>
      <c r="P53" s="597"/>
      <c r="Q53" s="597"/>
      <c r="R53" s="597"/>
      <c r="S53" s="600" t="s">
        <v>685</v>
      </c>
      <c r="T53" s="597"/>
      <c r="U53" s="597"/>
      <c r="V53" s="599"/>
      <c r="W53" s="630">
        <f ca="1">IF(A53="","",SUMIF(SK!B$88:B$163,ROW()+1,SK!D$88:D$163))</f>
        <v>0</v>
      </c>
      <c r="X53" s="29"/>
      <c r="Y53" s="863" t="str">
        <f t="shared" si="0"/>
        <v>1618</v>
      </c>
      <c r="Z53" s="858" t="str">
        <f t="shared" si="0"/>
        <v>Sintripital Force</v>
      </c>
      <c r="AA53" s="579">
        <f>IF(Score!T54="", "",Score!T54 )</f>
        <v>4</v>
      </c>
      <c r="AB53" s="583"/>
      <c r="AC53" s="581" t="str">
        <f>IF(Score!U54="", "",Score!U54 )</f>
        <v>69</v>
      </c>
      <c r="AD53" s="597"/>
      <c r="AE53" s="597"/>
      <c r="AF53" s="597"/>
      <c r="AG53" s="600" t="s">
        <v>716</v>
      </c>
      <c r="AH53" s="597"/>
      <c r="AI53" s="597"/>
      <c r="AJ53" s="597"/>
      <c r="AK53" s="600" t="s">
        <v>713</v>
      </c>
      <c r="AL53" s="597"/>
      <c r="AM53" s="597"/>
      <c r="AN53" s="597"/>
      <c r="AO53" s="600" t="s">
        <v>711</v>
      </c>
      <c r="AP53" s="597" t="s">
        <v>500</v>
      </c>
      <c r="AQ53" s="597"/>
      <c r="AR53" s="597"/>
      <c r="AS53" s="600" t="s">
        <v>725</v>
      </c>
      <c r="AT53" s="597"/>
      <c r="AU53" s="597"/>
      <c r="AV53" s="599"/>
      <c r="AW53" s="630">
        <f ca="1">IF(AA53="","",SUMIF(SK!R$88:R$163,ROW()+1,SK!T$88:T$163))</f>
        <v>0</v>
      </c>
      <c r="AX53" s="29"/>
      <c r="AY53" s="863" t="str">
        <f t="shared" si="1"/>
        <v>19</v>
      </c>
      <c r="AZ53" s="858" t="str">
        <f t="shared" si="1"/>
        <v>Betty Watchett</v>
      </c>
    </row>
    <row r="54" spans="1:52" ht="28.5" customHeight="1" thickBot="1" x14ac:dyDescent="0.35">
      <c r="A54" s="578">
        <f>IF(Score!A55="", "",Score!A55 )</f>
        <v>5</v>
      </c>
      <c r="B54" s="582"/>
      <c r="C54" s="580" t="str">
        <f>IF(Score!B55="", "",Score!B55 )</f>
        <v>911</v>
      </c>
      <c r="D54" s="597"/>
      <c r="E54" s="597"/>
      <c r="F54" s="597"/>
      <c r="G54" s="598" t="s">
        <v>676</v>
      </c>
      <c r="H54" s="597" t="s">
        <v>500</v>
      </c>
      <c r="I54" s="597"/>
      <c r="J54" s="597"/>
      <c r="K54" s="598" t="s">
        <v>693</v>
      </c>
      <c r="L54" s="597"/>
      <c r="M54" s="597"/>
      <c r="N54" s="597"/>
      <c r="O54" s="598" t="s">
        <v>689</v>
      </c>
      <c r="P54" s="597"/>
      <c r="Q54" s="597"/>
      <c r="R54" s="597"/>
      <c r="S54" s="598" t="s">
        <v>693</v>
      </c>
      <c r="T54" s="597"/>
      <c r="U54" s="597"/>
      <c r="V54" s="599"/>
      <c r="W54" s="630">
        <f ca="1">IF(A54="","",SUMIF(SK!B$88:B$163,ROW()+1,SK!D$88:D$163))</f>
        <v>4</v>
      </c>
      <c r="X54" s="29"/>
      <c r="Y54" s="863" t="str">
        <f t="shared" si="0"/>
        <v>22</v>
      </c>
      <c r="Z54" s="858" t="str">
        <f t="shared" si="0"/>
        <v>Sami Automatic</v>
      </c>
      <c r="AA54" s="578">
        <f>IF(Score!T55="", "",Score!T55 )</f>
        <v>5</v>
      </c>
      <c r="AB54" s="582"/>
      <c r="AC54" s="580" t="str">
        <f>IF(Score!U55="", "",Score!U55 )</f>
        <v>22</v>
      </c>
      <c r="AD54" s="597"/>
      <c r="AE54" s="597"/>
      <c r="AF54" s="597"/>
      <c r="AG54" s="598" t="s">
        <v>675</v>
      </c>
      <c r="AH54" s="597"/>
      <c r="AI54" s="597"/>
      <c r="AJ54" s="597"/>
      <c r="AK54" s="598" t="s">
        <v>728</v>
      </c>
      <c r="AL54" s="597"/>
      <c r="AM54" s="597"/>
      <c r="AN54" s="597"/>
      <c r="AO54" s="598" t="s">
        <v>711</v>
      </c>
      <c r="AP54" s="597" t="s">
        <v>212</v>
      </c>
      <c r="AQ54" s="597"/>
      <c r="AR54" s="597"/>
      <c r="AS54" s="598" t="s">
        <v>718</v>
      </c>
      <c r="AT54" s="597"/>
      <c r="AU54" s="597"/>
      <c r="AV54" s="599"/>
      <c r="AW54" s="630">
        <f ca="1">IF(AA54="","",SUMIF(SK!R$88:R$163,ROW()+1,SK!T$88:T$163))</f>
        <v>0</v>
      </c>
      <c r="AX54" s="29"/>
      <c r="AY54" s="863" t="str">
        <f t="shared" si="1"/>
        <v>2000</v>
      </c>
      <c r="AZ54" s="858" t="str">
        <f t="shared" si="1"/>
        <v>Lisa Lava</v>
      </c>
    </row>
    <row r="55" spans="1:52" ht="28.5" customHeight="1" thickBot="1" x14ac:dyDescent="0.35">
      <c r="A55" s="579">
        <f>IF(Score!A56="", "",Score!A56 )</f>
        <v>6</v>
      </c>
      <c r="B55" s="583"/>
      <c r="C55" s="581" t="str">
        <f>IF(Score!B56="", "",Score!B56 )</f>
        <v>761</v>
      </c>
      <c r="D55" s="597"/>
      <c r="E55" s="597"/>
      <c r="F55" s="597"/>
      <c r="G55" s="600" t="s">
        <v>676</v>
      </c>
      <c r="H55" s="597" t="s">
        <v>212</v>
      </c>
      <c r="I55" s="597"/>
      <c r="J55" s="597"/>
      <c r="K55" s="600" t="s">
        <v>707</v>
      </c>
      <c r="L55" s="597"/>
      <c r="M55" s="597"/>
      <c r="N55" s="597"/>
      <c r="O55" s="600" t="s">
        <v>695</v>
      </c>
      <c r="P55" s="597"/>
      <c r="Q55" s="597"/>
      <c r="R55" s="597"/>
      <c r="S55" s="600" t="s">
        <v>677</v>
      </c>
      <c r="T55" s="597"/>
      <c r="U55" s="597"/>
      <c r="V55" s="599"/>
      <c r="W55" s="630">
        <f ca="1">IF(A55="","",SUMIF(SK!B$88:B$163,ROW()+1,SK!D$88:D$163))</f>
        <v>1</v>
      </c>
      <c r="X55" s="29"/>
      <c r="Y55" s="863" t="str">
        <f t="shared" si="0"/>
        <v>23</v>
      </c>
      <c r="Z55" s="858" t="str">
        <f t="shared" si="0"/>
        <v>LeBrawn Maimes</v>
      </c>
      <c r="AA55" s="579">
        <f>IF(Score!T56="", "",Score!T56 )</f>
        <v>6</v>
      </c>
      <c r="AB55" s="583"/>
      <c r="AC55" s="581" t="str">
        <f>IF(Score!U56="", "",Score!U56 )</f>
        <v>69</v>
      </c>
      <c r="AD55" s="597"/>
      <c r="AE55" s="597"/>
      <c r="AF55" s="597"/>
      <c r="AG55" s="600" t="s">
        <v>716</v>
      </c>
      <c r="AH55" s="597"/>
      <c r="AI55" s="597"/>
      <c r="AJ55" s="597"/>
      <c r="AK55" s="600" t="s">
        <v>733</v>
      </c>
      <c r="AL55" s="597"/>
      <c r="AM55" s="597"/>
      <c r="AN55" s="597"/>
      <c r="AO55" s="600" t="s">
        <v>711</v>
      </c>
      <c r="AP55" s="597" t="s">
        <v>501</v>
      </c>
      <c r="AQ55" s="597"/>
      <c r="AR55" s="597"/>
      <c r="AS55" s="600" t="s">
        <v>725</v>
      </c>
      <c r="AT55" s="597"/>
      <c r="AU55" s="597"/>
      <c r="AV55" s="599"/>
      <c r="AW55" s="630">
        <f ca="1">IF(AA55="","",SUMIF(SK!R$88:R$163,ROW()+1,SK!T$88:T$163))</f>
        <v>0</v>
      </c>
      <c r="AX55" s="29"/>
      <c r="AY55" s="863" t="str">
        <f t="shared" si="1"/>
        <v>201</v>
      </c>
      <c r="AZ55" s="858" t="str">
        <f t="shared" si="1"/>
        <v>Dutch Destroyer</v>
      </c>
    </row>
    <row r="56" spans="1:52" ht="28.5" customHeight="1" thickBot="1" x14ac:dyDescent="0.35">
      <c r="A56" s="578">
        <f>IF(Score!A57="", "",Score!A57 )</f>
        <v>7</v>
      </c>
      <c r="B56" s="582"/>
      <c r="C56" s="580" t="str">
        <f>IF(Score!B57="", "",Score!B57 )</f>
        <v>23</v>
      </c>
      <c r="D56" s="597"/>
      <c r="E56" s="597"/>
      <c r="F56" s="597"/>
      <c r="G56" s="598" t="s">
        <v>676</v>
      </c>
      <c r="H56" s="597" t="s">
        <v>501</v>
      </c>
      <c r="I56" s="597"/>
      <c r="J56" s="597"/>
      <c r="K56" s="598" t="s">
        <v>697</v>
      </c>
      <c r="L56" s="597"/>
      <c r="M56" s="597"/>
      <c r="N56" s="597"/>
      <c r="O56" s="598" t="s">
        <v>699</v>
      </c>
      <c r="P56" s="597"/>
      <c r="Q56" s="597"/>
      <c r="R56" s="597"/>
      <c r="S56" s="598" t="s">
        <v>685</v>
      </c>
      <c r="T56" s="597"/>
      <c r="U56" s="597"/>
      <c r="V56" s="599"/>
      <c r="W56" s="630">
        <f ca="1">IF(A56="","",SUMIF(SK!B$88:B$163,ROW()+1,SK!D$88:D$163))</f>
        <v>0</v>
      </c>
      <c r="X56" s="29"/>
      <c r="Y56" s="863" t="str">
        <f t="shared" si="0"/>
        <v>321</v>
      </c>
      <c r="Z56" s="858" t="str">
        <f t="shared" si="0"/>
        <v>Missile America</v>
      </c>
      <c r="AA56" s="578">
        <f>IF(Score!T57="", "",Score!T57 )</f>
        <v>7</v>
      </c>
      <c r="AB56" s="582"/>
      <c r="AC56" s="580" t="str">
        <f>IF(Score!U57="", "",Score!U57 )</f>
        <v>22</v>
      </c>
      <c r="AD56" s="597"/>
      <c r="AE56" s="597"/>
      <c r="AF56" s="597"/>
      <c r="AG56" s="598" t="s">
        <v>675</v>
      </c>
      <c r="AH56" s="597"/>
      <c r="AI56" s="597"/>
      <c r="AJ56" s="597"/>
      <c r="AK56" s="598" t="s">
        <v>728</v>
      </c>
      <c r="AL56" s="597"/>
      <c r="AM56" s="597"/>
      <c r="AN56" s="597"/>
      <c r="AO56" s="598" t="s">
        <v>722</v>
      </c>
      <c r="AP56" s="597"/>
      <c r="AQ56" s="597"/>
      <c r="AR56" s="597"/>
      <c r="AS56" s="598" t="s">
        <v>718</v>
      </c>
      <c r="AT56" s="597"/>
      <c r="AU56" s="597"/>
      <c r="AV56" s="599"/>
      <c r="AW56" s="630">
        <f ca="1">IF(AA56="","",SUMIF(SK!R$88:R$163,ROW()+1,SK!T$88:T$163))</f>
        <v>2</v>
      </c>
      <c r="AX56" s="29"/>
      <c r="AY56" s="863" t="str">
        <f t="shared" si="1"/>
        <v>21</v>
      </c>
      <c r="AZ56" s="858" t="str">
        <f t="shared" si="1"/>
        <v>Jekyll &amp; Heidi</v>
      </c>
    </row>
    <row r="57" spans="1:52" ht="28.5" customHeight="1" thickBot="1" x14ac:dyDescent="0.35">
      <c r="A57" s="579">
        <f>IF(Score!A58="", "",Score!A58 )</f>
        <v>8</v>
      </c>
      <c r="B57" s="583"/>
      <c r="C57" s="581" t="str">
        <f>IF(Score!B58="", "",Score!B58 )</f>
        <v>1618</v>
      </c>
      <c r="D57" s="597"/>
      <c r="E57" s="597"/>
      <c r="F57" s="597"/>
      <c r="G57" s="600" t="s">
        <v>707</v>
      </c>
      <c r="H57" s="597"/>
      <c r="I57" s="597"/>
      <c r="J57" s="597"/>
      <c r="K57" s="600" t="s">
        <v>693</v>
      </c>
      <c r="L57" s="597"/>
      <c r="M57" s="597"/>
      <c r="N57" s="597"/>
      <c r="O57" s="600" t="s">
        <v>703</v>
      </c>
      <c r="P57" s="597"/>
      <c r="Q57" s="597"/>
      <c r="R57" s="597"/>
      <c r="S57" s="600" t="s">
        <v>689</v>
      </c>
      <c r="T57" s="597"/>
      <c r="U57" s="597"/>
      <c r="V57" s="599"/>
      <c r="W57" s="630">
        <f ca="1">IF(A57="","",SUMIF(SK!B$88:B$163,ROW()+1,SK!D$88:D$163))</f>
        <v>25</v>
      </c>
      <c r="X57" s="29"/>
      <c r="Y57" s="863" t="str">
        <f t="shared" si="0"/>
        <v>4</v>
      </c>
      <c r="Z57" s="858" t="str">
        <f t="shared" si="0"/>
        <v>Belle Tolls</v>
      </c>
      <c r="AA57" s="579">
        <f>IF(Score!T58="", "",Score!T58 )</f>
        <v>8</v>
      </c>
      <c r="AB57" s="583"/>
      <c r="AC57" s="581" t="str">
        <f>IF(Score!U58="", "",Score!U58 )</f>
        <v>69</v>
      </c>
      <c r="AD57" s="597" t="s">
        <v>500</v>
      </c>
      <c r="AE57" s="597"/>
      <c r="AF57" s="597"/>
      <c r="AG57" s="600" t="s">
        <v>716</v>
      </c>
      <c r="AH57" s="597" t="s">
        <v>193</v>
      </c>
      <c r="AI57" s="597"/>
      <c r="AJ57" s="597"/>
      <c r="AK57" s="600" t="s">
        <v>725</v>
      </c>
      <c r="AL57" s="597"/>
      <c r="AM57" s="597"/>
      <c r="AN57" s="597"/>
      <c r="AO57" s="600" t="s">
        <v>733</v>
      </c>
      <c r="AP57" s="597"/>
      <c r="AQ57" s="597"/>
      <c r="AR57" s="597"/>
      <c r="AS57" s="600" t="s">
        <v>713</v>
      </c>
      <c r="AT57" s="597"/>
      <c r="AU57" s="597"/>
      <c r="AV57" s="599"/>
      <c r="AW57" s="630">
        <f ca="1">IF(AA57="","",SUMIF(SK!R$88:R$163,ROW()+1,SK!T$88:T$163))</f>
        <v>0</v>
      </c>
      <c r="AX57" s="29"/>
      <c r="AY57" s="863" t="str">
        <f t="shared" si="1"/>
        <v>22</v>
      </c>
      <c r="AZ57" s="858" t="str">
        <f t="shared" si="1"/>
        <v>Freight Train</v>
      </c>
    </row>
    <row r="58" spans="1:52" ht="28.5" customHeight="1" thickBot="1" x14ac:dyDescent="0.35">
      <c r="A58" s="578">
        <f>IF(Score!A59="", "",Score!A59 )</f>
        <v>9</v>
      </c>
      <c r="B58" s="582"/>
      <c r="C58" s="580" t="str">
        <f>IF(Score!B59="", "",Score!B59 )</f>
        <v>911</v>
      </c>
      <c r="D58" s="597"/>
      <c r="E58" s="597"/>
      <c r="F58" s="597"/>
      <c r="G58" s="598" t="s">
        <v>677</v>
      </c>
      <c r="H58" s="597"/>
      <c r="I58" s="597"/>
      <c r="J58" s="597"/>
      <c r="K58" s="598" t="s">
        <v>699</v>
      </c>
      <c r="L58" s="597"/>
      <c r="M58" s="597"/>
      <c r="N58" s="597"/>
      <c r="O58" s="598" t="s">
        <v>695</v>
      </c>
      <c r="P58" s="597" t="s">
        <v>193</v>
      </c>
      <c r="Q58" s="597"/>
      <c r="R58" s="597"/>
      <c r="S58" s="598" t="s">
        <v>676</v>
      </c>
      <c r="T58" s="597" t="s">
        <v>193</v>
      </c>
      <c r="U58" s="597"/>
      <c r="V58" s="599"/>
      <c r="W58" s="630">
        <f ca="1">IF(A58="","",SUMIF(SK!B$88:B$163,ROW()+1,SK!D$88:D$163))</f>
        <v>28</v>
      </c>
      <c r="X58" s="29"/>
      <c r="Y58" s="863" t="str">
        <f t="shared" si="0"/>
        <v>505</v>
      </c>
      <c r="Z58" s="858" t="str">
        <f t="shared" si="0"/>
        <v>Teddy Rupp</v>
      </c>
      <c r="AA58" s="578">
        <f>IF(Score!T59="", "",Score!T59 )</f>
        <v>9</v>
      </c>
      <c r="AB58" s="582"/>
      <c r="AC58" s="580" t="str">
        <f>IF(Score!U59="", "",Score!U59 )</f>
        <v>69</v>
      </c>
      <c r="AD58" s="597" t="s">
        <v>501</v>
      </c>
      <c r="AE58" s="597" t="s">
        <v>193</v>
      </c>
      <c r="AF58" s="597"/>
      <c r="AG58" s="598" t="s">
        <v>678</v>
      </c>
      <c r="AH58" s="597"/>
      <c r="AI58" s="597"/>
      <c r="AJ58" s="597"/>
      <c r="AK58" s="598" t="s">
        <v>728</v>
      </c>
      <c r="AL58" s="597"/>
      <c r="AM58" s="597"/>
      <c r="AN58" s="597"/>
      <c r="AO58" s="598" t="s">
        <v>722</v>
      </c>
      <c r="AP58" s="597"/>
      <c r="AQ58" s="597"/>
      <c r="AR58" s="597"/>
      <c r="AS58" s="598" t="s">
        <v>718</v>
      </c>
      <c r="AT58" s="597"/>
      <c r="AU58" s="597"/>
      <c r="AV58" s="599"/>
      <c r="AW58" s="630">
        <f ca="1">IF(AA58="","",SUMIF(SK!R$88:R$163,ROW()+1,SK!T$88:T$163))</f>
        <v>0</v>
      </c>
      <c r="AX58" s="29"/>
      <c r="AY58" s="863" t="str">
        <f t="shared" si="1"/>
        <v>312</v>
      </c>
      <c r="AZ58" s="858" t="str">
        <f t="shared" si="1"/>
        <v>2x Force</v>
      </c>
    </row>
    <row r="59" spans="1:52" ht="28.5" customHeight="1" thickBot="1" x14ac:dyDescent="0.35">
      <c r="A59" s="579">
        <f>IF(Score!A60="", "",Score!A60 )</f>
        <v>10</v>
      </c>
      <c r="B59" s="583"/>
      <c r="C59" s="581" t="str">
        <f>IF(Score!B60="", "",Score!B60 )</f>
        <v>23</v>
      </c>
      <c r="D59" s="597"/>
      <c r="E59" s="597"/>
      <c r="F59" s="597"/>
      <c r="G59" s="600" t="s">
        <v>707</v>
      </c>
      <c r="H59" s="597" t="s">
        <v>500</v>
      </c>
      <c r="I59" s="597"/>
      <c r="J59" s="597"/>
      <c r="K59" s="600" t="s">
        <v>697</v>
      </c>
      <c r="L59" s="597" t="s">
        <v>500</v>
      </c>
      <c r="M59" s="597"/>
      <c r="N59" s="597"/>
      <c r="O59" s="600" t="s">
        <v>685</v>
      </c>
      <c r="P59" s="597"/>
      <c r="Q59" s="597"/>
      <c r="R59" s="597"/>
      <c r="S59" s="600" t="s">
        <v>693</v>
      </c>
      <c r="T59" s="597"/>
      <c r="U59" s="597"/>
      <c r="V59" s="599"/>
      <c r="W59" s="630">
        <f ca="1">IF(A59="","",SUMIF(SK!B$88:B$163,ROW()+1,SK!D$88:D$163))</f>
        <v>0</v>
      </c>
      <c r="X59" s="29"/>
      <c r="Y59" s="863" t="str">
        <f t="shared" si="0"/>
        <v>53</v>
      </c>
      <c r="Z59" s="858" t="str">
        <f t="shared" si="0"/>
        <v>Raven Seaward</v>
      </c>
      <c r="AA59" s="579">
        <f>IF(Score!T60="", "",Score!T60 )</f>
        <v>10</v>
      </c>
      <c r="AB59" s="583"/>
      <c r="AC59" s="581" t="str">
        <f>IF(Score!U60="", "",Score!U60 )</f>
        <v>22</v>
      </c>
      <c r="AD59" s="597"/>
      <c r="AE59" s="597"/>
      <c r="AF59" s="597"/>
      <c r="AG59" s="600" t="s">
        <v>716</v>
      </c>
      <c r="AH59" s="597"/>
      <c r="AI59" s="597"/>
      <c r="AJ59" s="597"/>
      <c r="AK59" s="600" t="s">
        <v>733</v>
      </c>
      <c r="AL59" s="597"/>
      <c r="AM59" s="597"/>
      <c r="AN59" s="597"/>
      <c r="AO59" s="600" t="s">
        <v>711</v>
      </c>
      <c r="AP59" s="597"/>
      <c r="AQ59" s="597"/>
      <c r="AR59" s="597"/>
      <c r="AS59" s="600" t="s">
        <v>725</v>
      </c>
      <c r="AT59" s="597"/>
      <c r="AU59" s="597"/>
      <c r="AV59" s="599"/>
      <c r="AW59" s="630">
        <f ca="1">IF(AA59="","",SUMIF(SK!R$88:R$163,ROW()+1,SK!T$88:T$163))</f>
        <v>0</v>
      </c>
      <c r="AX59" s="29"/>
      <c r="AY59" s="863" t="str">
        <f t="shared" si="1"/>
        <v>51</v>
      </c>
      <c r="AZ59" s="858" t="str">
        <f t="shared" si="1"/>
        <v>Bustin’ Beaver</v>
      </c>
    </row>
    <row r="60" spans="1:52" ht="28.5" customHeight="1" thickBot="1" x14ac:dyDescent="0.35">
      <c r="A60" s="578">
        <f>IF(Score!A61="", "",Score!A61 )</f>
        <v>11</v>
      </c>
      <c r="B60" s="582"/>
      <c r="C60" s="580" t="str">
        <f>IF(Score!B61="", "",Score!B61 )</f>
        <v>761</v>
      </c>
      <c r="D60" s="597"/>
      <c r="E60" s="597"/>
      <c r="F60" s="597"/>
      <c r="G60" s="598" t="s">
        <v>707</v>
      </c>
      <c r="H60" s="597" t="s">
        <v>501</v>
      </c>
      <c r="I60" s="597"/>
      <c r="J60" s="597"/>
      <c r="K60" s="598" t="s">
        <v>697</v>
      </c>
      <c r="L60" s="597" t="s">
        <v>501</v>
      </c>
      <c r="M60" s="597"/>
      <c r="N60" s="597"/>
      <c r="O60" s="598" t="s">
        <v>676</v>
      </c>
      <c r="P60" s="597"/>
      <c r="Q60" s="597"/>
      <c r="R60" s="597"/>
      <c r="S60" s="598" t="s">
        <v>699</v>
      </c>
      <c r="T60" s="597"/>
      <c r="U60" s="597"/>
      <c r="V60" s="599"/>
      <c r="W60" s="630">
        <f ca="1">IF(A60="","",SUMIF(SK!B$88:B$163,ROW()+1,SK!D$88:D$163))</f>
        <v>25</v>
      </c>
      <c r="X60" s="29"/>
      <c r="Y60" s="863" t="str">
        <f t="shared" si="0"/>
        <v>761</v>
      </c>
      <c r="Z60" s="858" t="str">
        <f t="shared" si="0"/>
        <v>Rawkhell SqWelch</v>
      </c>
      <c r="AA60" s="578">
        <f>IF(Score!T61="", "",Score!T61 )</f>
        <v>11</v>
      </c>
      <c r="AB60" s="582"/>
      <c r="AC60" s="580" t="str">
        <f>IF(Score!U61="", "",Score!U61 )</f>
        <v>51</v>
      </c>
      <c r="AD60" s="597" t="s">
        <v>193</v>
      </c>
      <c r="AE60" s="597" t="s">
        <v>193</v>
      </c>
      <c r="AF60" s="597"/>
      <c r="AG60" s="598" t="s">
        <v>675</v>
      </c>
      <c r="AH60" s="597" t="s">
        <v>193</v>
      </c>
      <c r="AI60" s="597"/>
      <c r="AJ60" s="597"/>
      <c r="AK60" s="598" t="s">
        <v>720</v>
      </c>
      <c r="AL60" s="597"/>
      <c r="AM60" s="597"/>
      <c r="AN60" s="597"/>
      <c r="AO60" s="598" t="s">
        <v>722</v>
      </c>
      <c r="AP60" s="597"/>
      <c r="AQ60" s="597"/>
      <c r="AR60" s="597"/>
      <c r="AS60" s="598" t="s">
        <v>728</v>
      </c>
      <c r="AT60" s="597"/>
      <c r="AU60" s="597"/>
      <c r="AV60" s="599"/>
      <c r="AW60" s="630">
        <f ca="1">IF(AA60="","",SUMIF(SK!R$88:R$163,ROW()+1,SK!T$88:T$163))</f>
        <v>0</v>
      </c>
      <c r="AX60" s="29"/>
      <c r="AY60" s="863" t="str">
        <f t="shared" si="1"/>
        <v>5309</v>
      </c>
      <c r="AZ60" s="858" t="str">
        <f t="shared" si="1"/>
        <v>Toxic Assets</v>
      </c>
    </row>
    <row r="61" spans="1:52" ht="28.5" customHeight="1" thickBot="1" x14ac:dyDescent="0.35">
      <c r="A61" s="579">
        <f>IF(Score!A62="", "",Score!A62 )</f>
        <v>12</v>
      </c>
      <c r="B61" s="583"/>
      <c r="C61" s="581" t="str">
        <f>IF(Score!B62="", "",Score!B62 )</f>
        <v>911</v>
      </c>
      <c r="D61" s="597"/>
      <c r="E61" s="597"/>
      <c r="F61" s="597"/>
      <c r="G61" s="600" t="s">
        <v>677</v>
      </c>
      <c r="H61" s="597"/>
      <c r="I61" s="597"/>
      <c r="J61" s="597"/>
      <c r="K61" s="600" t="s">
        <v>693</v>
      </c>
      <c r="L61" s="597"/>
      <c r="M61" s="597"/>
      <c r="N61" s="597"/>
      <c r="O61" s="600" t="s">
        <v>703</v>
      </c>
      <c r="P61" s="597"/>
      <c r="Q61" s="597"/>
      <c r="R61" s="597"/>
      <c r="S61" s="600" t="s">
        <v>689</v>
      </c>
      <c r="T61" s="597" t="s">
        <v>500</v>
      </c>
      <c r="U61" s="597"/>
      <c r="V61" s="599"/>
      <c r="W61" s="630">
        <f ca="1">IF(A61="","",SUMIF(SK!B$88:B$163,ROW()+1,SK!D$88:D$163))</f>
        <v>2</v>
      </c>
      <c r="X61" s="29"/>
      <c r="Y61" s="863" t="str">
        <f t="shared" si="0"/>
        <v>808</v>
      </c>
      <c r="Z61" s="858" t="str">
        <f t="shared" si="0"/>
        <v>Kendle Bjelland</v>
      </c>
      <c r="AA61" s="579">
        <f>IF(Score!T62="", "",Score!T62 )</f>
        <v>12</v>
      </c>
      <c r="AB61" s="583"/>
      <c r="AC61" s="581" t="str">
        <f>IF(Score!U62="", "",Score!U62 )</f>
        <v>22</v>
      </c>
      <c r="AD61" s="597"/>
      <c r="AE61" s="597"/>
      <c r="AF61" s="597"/>
      <c r="AG61" s="600" t="s">
        <v>716</v>
      </c>
      <c r="AH61" s="597"/>
      <c r="AI61" s="597"/>
      <c r="AJ61" s="597"/>
      <c r="AK61" s="600" t="s">
        <v>733</v>
      </c>
      <c r="AL61" s="597"/>
      <c r="AM61" s="597"/>
      <c r="AN61" s="597"/>
      <c r="AO61" s="600" t="s">
        <v>711</v>
      </c>
      <c r="AP61" s="597"/>
      <c r="AQ61" s="597"/>
      <c r="AR61" s="597"/>
      <c r="AS61" s="600" t="s">
        <v>725</v>
      </c>
      <c r="AT61" s="597"/>
      <c r="AU61" s="597"/>
      <c r="AV61" s="599"/>
      <c r="AW61" s="630">
        <f ca="1">IF(AA61="","",SUMIF(SK!R$88:R$163,ROW()+1,SK!T$88:T$163))</f>
        <v>0</v>
      </c>
      <c r="AX61" s="29"/>
      <c r="AY61" s="863" t="str">
        <f t="shared" si="1"/>
        <v>69</v>
      </c>
      <c r="AZ61" s="858" t="str">
        <f t="shared" si="1"/>
        <v>Death By Chocolate</v>
      </c>
    </row>
    <row r="62" spans="1:52" ht="28.5" customHeight="1" thickBot="1" x14ac:dyDescent="0.35">
      <c r="A62" s="578">
        <f>IF(Score!A63="", "",Score!A63 )</f>
        <v>13</v>
      </c>
      <c r="B62" s="582"/>
      <c r="C62" s="580" t="str">
        <f>IF(Score!B63="", "",Score!B63 )</f>
        <v>1618</v>
      </c>
      <c r="D62" s="597"/>
      <c r="E62" s="597"/>
      <c r="F62" s="597"/>
      <c r="G62" s="598" t="s">
        <v>676</v>
      </c>
      <c r="H62" s="597" t="s">
        <v>500</v>
      </c>
      <c r="I62" s="597"/>
      <c r="J62" s="597"/>
      <c r="K62" s="598" t="s">
        <v>685</v>
      </c>
      <c r="L62" s="597" t="s">
        <v>500</v>
      </c>
      <c r="M62" s="597"/>
      <c r="N62" s="597"/>
      <c r="O62" s="598" t="s">
        <v>699</v>
      </c>
      <c r="P62" s="597"/>
      <c r="Q62" s="597"/>
      <c r="R62" s="597"/>
      <c r="S62" s="598" t="s">
        <v>689</v>
      </c>
      <c r="T62" s="597" t="s">
        <v>501</v>
      </c>
      <c r="U62" s="597"/>
      <c r="V62" s="599"/>
      <c r="W62" s="630">
        <f ca="1">IF(A62="","",SUMIF(SK!B$88:B$163,ROW()+1,SK!D$88:D$163))</f>
        <v>0</v>
      </c>
      <c r="X62" s="29"/>
      <c r="Y62" s="863" t="str">
        <f t="shared" si="0"/>
        <v>9</v>
      </c>
      <c r="Z62" s="858" t="str">
        <f t="shared" si="0"/>
        <v>P. Wilhelm</v>
      </c>
      <c r="AA62" s="578">
        <f>IF(Score!T63="", "",Score!T63 )</f>
        <v>13</v>
      </c>
      <c r="AB62" s="582"/>
      <c r="AC62" s="580" t="str">
        <f>IF(Score!U63="", "",Score!U63 )</f>
        <v>69</v>
      </c>
      <c r="AD62" s="597"/>
      <c r="AE62" s="597"/>
      <c r="AF62" s="597"/>
      <c r="AG62" s="598" t="s">
        <v>675</v>
      </c>
      <c r="AH62" s="597" t="s">
        <v>500</v>
      </c>
      <c r="AI62" s="597"/>
      <c r="AJ62" s="597"/>
      <c r="AK62" s="598" t="s">
        <v>728</v>
      </c>
      <c r="AL62" s="597"/>
      <c r="AM62" s="597"/>
      <c r="AN62" s="597"/>
      <c r="AO62" s="598" t="s">
        <v>722</v>
      </c>
      <c r="AP62" s="597"/>
      <c r="AQ62" s="597"/>
      <c r="AR62" s="597"/>
      <c r="AS62" s="598" t="s">
        <v>718</v>
      </c>
      <c r="AT62" s="597"/>
      <c r="AU62" s="597"/>
      <c r="AV62" s="599"/>
      <c r="AW62" s="630">
        <f ca="1">IF(AA62="","",SUMIF(SK!R$88:R$163,ROW()+1,SK!T$88:T$163))</f>
        <v>0</v>
      </c>
      <c r="AX62" s="29"/>
      <c r="AY62" s="863" t="str">
        <f t="shared" si="1"/>
        <v>9</v>
      </c>
      <c r="AZ62" s="858" t="str">
        <f t="shared" si="1"/>
        <v>Big Bad Voodoo Dollie</v>
      </c>
    </row>
    <row r="63" spans="1:52" ht="28.5" customHeight="1" thickBot="1" x14ac:dyDescent="0.35">
      <c r="A63" s="579">
        <f>IF(Score!A64="", "",Score!A64 )</f>
        <v>14</v>
      </c>
      <c r="B63" s="583"/>
      <c r="C63" s="581" t="str">
        <f>IF(Score!B64="", "",Score!B64 )</f>
        <v>23</v>
      </c>
      <c r="D63" s="597"/>
      <c r="E63" s="597"/>
      <c r="F63" s="597"/>
      <c r="G63" s="600" t="s">
        <v>676</v>
      </c>
      <c r="H63" s="597" t="s">
        <v>501</v>
      </c>
      <c r="I63" s="597"/>
      <c r="J63" s="597"/>
      <c r="K63" s="600" t="s">
        <v>685</v>
      </c>
      <c r="L63" s="597" t="s">
        <v>501</v>
      </c>
      <c r="M63" s="597"/>
      <c r="N63" s="597"/>
      <c r="O63" s="600" t="s">
        <v>677</v>
      </c>
      <c r="P63" s="597"/>
      <c r="Q63" s="597"/>
      <c r="R63" s="597"/>
      <c r="S63" s="600" t="s">
        <v>707</v>
      </c>
      <c r="T63" s="597"/>
      <c r="U63" s="597"/>
      <c r="V63" s="599"/>
      <c r="W63" s="630">
        <f ca="1">IF(A63="","",SUMIF(SK!B$88:B$163,ROW()+1,SK!D$88:D$163))</f>
        <v>0</v>
      </c>
      <c r="X63" s="29"/>
      <c r="Y63" s="863" t="str">
        <f t="shared" si="0"/>
        <v>911</v>
      </c>
      <c r="Z63" s="858" t="str">
        <f t="shared" si="0"/>
        <v>Luna Negra</v>
      </c>
      <c r="AA63" s="579">
        <f>IF(Score!T64="", "",Score!T64 )</f>
        <v>14</v>
      </c>
      <c r="AB63" s="583"/>
      <c r="AC63" s="581" t="str">
        <f>IF(Score!U64="", "",Score!U64 )</f>
        <v>22</v>
      </c>
      <c r="AD63" s="597"/>
      <c r="AE63" s="597"/>
      <c r="AF63" s="597"/>
      <c r="AG63" s="600" t="s">
        <v>675</v>
      </c>
      <c r="AH63" s="597" t="s">
        <v>501</v>
      </c>
      <c r="AI63" s="597"/>
      <c r="AJ63" s="597"/>
      <c r="AK63" s="600" t="s">
        <v>733</v>
      </c>
      <c r="AL63" s="597" t="s">
        <v>500</v>
      </c>
      <c r="AM63" s="597"/>
      <c r="AN63" s="597"/>
      <c r="AO63" s="600" t="s">
        <v>711</v>
      </c>
      <c r="AP63" s="597" t="s">
        <v>500</v>
      </c>
      <c r="AQ63" s="597"/>
      <c r="AR63" s="597"/>
      <c r="AS63" s="600" t="s">
        <v>725</v>
      </c>
      <c r="AT63" s="597"/>
      <c r="AU63" s="597"/>
      <c r="AV63" s="599"/>
      <c r="AW63" s="630">
        <f ca="1">IF(AA63="","",SUMIF(SK!R$88:R$163,ROW()+1,SK!T$88:T$163))</f>
        <v>5</v>
      </c>
      <c r="AX63" s="29"/>
      <c r="AY63" s="863" t="str">
        <f t="shared" si="1"/>
        <v>93</v>
      </c>
      <c r="AZ63" s="858" t="str">
        <f t="shared" si="1"/>
        <v>Erma Gerd</v>
      </c>
    </row>
    <row r="64" spans="1:52" ht="28.5" customHeight="1" thickBot="1" x14ac:dyDescent="0.35">
      <c r="A64" s="578">
        <f>IF(Score!A65="", "",Score!A65 )</f>
        <v>15</v>
      </c>
      <c r="B64" s="582"/>
      <c r="C64" s="580" t="str">
        <f>IF(Score!B65="", "",Score!B65 )</f>
        <v>911</v>
      </c>
      <c r="D64" s="597"/>
      <c r="E64" s="597"/>
      <c r="F64" s="597"/>
      <c r="G64" s="598" t="s">
        <v>699</v>
      </c>
      <c r="H64" s="597"/>
      <c r="I64" s="597"/>
      <c r="J64" s="597"/>
      <c r="K64" s="598" t="s">
        <v>697</v>
      </c>
      <c r="L64" s="597"/>
      <c r="M64" s="597"/>
      <c r="N64" s="597"/>
      <c r="O64" s="598" t="s">
        <v>695</v>
      </c>
      <c r="P64" s="597"/>
      <c r="Q64" s="597"/>
      <c r="R64" s="597"/>
      <c r="S64" s="598" t="s">
        <v>693</v>
      </c>
      <c r="T64" s="597"/>
      <c r="U64" s="597"/>
      <c r="V64" s="599"/>
      <c r="W64" s="630">
        <f ca="1">IF(A64="","",SUMIF(SK!B$88:B$163,ROW()+1,SK!D$88:D$163))</f>
        <v>9</v>
      </c>
      <c r="X64" s="29"/>
      <c r="Y64" s="863" t="str">
        <f t="shared" si="0"/>
        <v>0</v>
      </c>
      <c r="Z64" s="858" t="str">
        <f t="shared" si="0"/>
        <v>Enurgizer Bunny</v>
      </c>
      <c r="AA64" s="578">
        <f>IF(Score!T65="", "",Score!T65 )</f>
        <v>15</v>
      </c>
      <c r="AB64" s="582" t="s">
        <v>193</v>
      </c>
      <c r="AC64" s="580" t="str">
        <f>IF(Score!U65="", "",Score!U65 )</f>
        <v>69</v>
      </c>
      <c r="AD64" s="597"/>
      <c r="AE64" s="597"/>
      <c r="AF64" s="597"/>
      <c r="AG64" s="598" t="s">
        <v>718</v>
      </c>
      <c r="AH64" s="597"/>
      <c r="AI64" s="597"/>
      <c r="AJ64" s="597"/>
      <c r="AK64" s="598" t="s">
        <v>733</v>
      </c>
      <c r="AL64" s="597" t="s">
        <v>501</v>
      </c>
      <c r="AM64" s="597"/>
      <c r="AN64" s="597"/>
      <c r="AO64" s="598" t="s">
        <v>711</v>
      </c>
      <c r="AP64" s="597" t="s">
        <v>501</v>
      </c>
      <c r="AQ64" s="597"/>
      <c r="AR64" s="597"/>
      <c r="AS64" s="598" t="s">
        <v>722</v>
      </c>
      <c r="AT64" s="597"/>
      <c r="AU64" s="597"/>
      <c r="AV64" s="599"/>
      <c r="AW64" s="630">
        <f ca="1">IF(AA64="","",SUMIF(SK!R$88:R$163,ROW()+1,SK!T$88:T$163))</f>
        <v>0</v>
      </c>
      <c r="AX64" s="29"/>
      <c r="AY64" s="863" t="str">
        <f t="shared" si="1"/>
        <v/>
      </c>
      <c r="AZ64" s="858" t="str">
        <f t="shared" si="1"/>
        <v/>
      </c>
    </row>
    <row r="65" spans="1:52" ht="28.5" customHeight="1" thickBot="1" x14ac:dyDescent="0.35">
      <c r="A65" s="579">
        <f>IF(Score!A66="", "",Score!A66 )</f>
        <v>16</v>
      </c>
      <c r="B65" s="583"/>
      <c r="C65" s="581" t="str">
        <f>IF(Score!B66="", "",Score!B66 )</f>
        <v>761</v>
      </c>
      <c r="D65" s="597"/>
      <c r="E65" s="597"/>
      <c r="F65" s="597"/>
      <c r="G65" s="600" t="s">
        <v>707</v>
      </c>
      <c r="H65" s="597"/>
      <c r="I65" s="597"/>
      <c r="J65" s="597"/>
      <c r="K65" s="600" t="s">
        <v>685</v>
      </c>
      <c r="L65" s="597"/>
      <c r="M65" s="597"/>
      <c r="N65" s="597"/>
      <c r="O65" s="600" t="s">
        <v>703</v>
      </c>
      <c r="P65" s="597"/>
      <c r="Q65" s="597"/>
      <c r="R65" s="597"/>
      <c r="S65" s="600" t="s">
        <v>689</v>
      </c>
      <c r="T65" s="597"/>
      <c r="U65" s="597"/>
      <c r="V65" s="599"/>
      <c r="W65" s="630">
        <f ca="1">IF(A65="","",SUMIF(SK!B$88:B$163,ROW()+1,SK!D$88:D$163))</f>
        <v>4</v>
      </c>
      <c r="X65" s="29"/>
      <c r="Y65" s="863" t="str">
        <f t="shared" si="0"/>
        <v>88</v>
      </c>
      <c r="Z65" s="858" t="str">
        <f t="shared" si="0"/>
        <v>Ophelia Melons</v>
      </c>
      <c r="AA65" s="579">
        <f>IF(Score!T66="", "",Score!T66 )</f>
        <v>16</v>
      </c>
      <c r="AB65" s="583"/>
      <c r="AC65" s="581" t="str">
        <f>IF(Score!U66="", "",Score!U66 )</f>
        <v>22</v>
      </c>
      <c r="AD65" s="597"/>
      <c r="AE65" s="597"/>
      <c r="AF65" s="597"/>
      <c r="AG65" s="600" t="s">
        <v>716</v>
      </c>
      <c r="AH65" s="597"/>
      <c r="AI65" s="597"/>
      <c r="AJ65" s="597"/>
      <c r="AK65" s="600" t="s">
        <v>711</v>
      </c>
      <c r="AL65" s="597"/>
      <c r="AM65" s="597"/>
      <c r="AN65" s="597"/>
      <c r="AO65" s="600" t="s">
        <v>713</v>
      </c>
      <c r="AP65" s="597"/>
      <c r="AQ65" s="597"/>
      <c r="AR65" s="597"/>
      <c r="AS65" s="600" t="s">
        <v>725</v>
      </c>
      <c r="AT65" s="597"/>
      <c r="AU65" s="597"/>
      <c r="AV65" s="599"/>
      <c r="AW65" s="630">
        <f ca="1">IF(AA65="","",SUMIF(SK!R$88:R$163,ROW()+1,SK!T$88:T$163))</f>
        <v>0</v>
      </c>
      <c r="AX65" s="29"/>
      <c r="AY65" s="863" t="str">
        <f t="shared" si="1"/>
        <v/>
      </c>
      <c r="AZ65" s="858" t="str">
        <f t="shared" si="1"/>
        <v/>
      </c>
    </row>
    <row r="66" spans="1:52" ht="28.5" customHeight="1" thickBot="1" x14ac:dyDescent="0.35">
      <c r="A66" s="578">
        <f>IF(Score!A67="", "",Score!A67 )</f>
        <v>17</v>
      </c>
      <c r="B66" s="582"/>
      <c r="C66" s="580" t="str">
        <f>IF(Score!B67="", "",Score!B67 )</f>
        <v>1618</v>
      </c>
      <c r="D66" s="597"/>
      <c r="E66" s="597"/>
      <c r="F66" s="597"/>
      <c r="G66" s="598" t="s">
        <v>677</v>
      </c>
      <c r="H66" s="597"/>
      <c r="I66" s="597"/>
      <c r="J66" s="597"/>
      <c r="K66" s="598" t="s">
        <v>695</v>
      </c>
      <c r="L66" s="597"/>
      <c r="M66" s="597"/>
      <c r="N66" s="597"/>
      <c r="O66" s="598" t="s">
        <v>697</v>
      </c>
      <c r="P66" s="597"/>
      <c r="Q66" s="597"/>
      <c r="R66" s="597"/>
      <c r="S66" s="598" t="s">
        <v>699</v>
      </c>
      <c r="T66" s="597"/>
      <c r="U66" s="597"/>
      <c r="V66" s="599"/>
      <c r="W66" s="630">
        <f ca="1">IF(A66="","",SUMIF(SK!B$88:B$163,ROW()+1,SK!D$88:D$163))</f>
        <v>6</v>
      </c>
      <c r="X66" s="29"/>
      <c r="Y66" s="863" t="str">
        <f t="shared" si="0"/>
        <v/>
      </c>
      <c r="Z66" s="858" t="str">
        <f t="shared" si="0"/>
        <v/>
      </c>
      <c r="AA66" s="578">
        <f>IF(Score!T67="", "",Score!T67 )</f>
        <v>17</v>
      </c>
      <c r="AB66" s="582"/>
      <c r="AC66" s="580" t="str">
        <f>IF(Score!U67="", "",Score!U67 )</f>
        <v>51</v>
      </c>
      <c r="AD66" s="597"/>
      <c r="AE66" s="597"/>
      <c r="AF66" s="597"/>
      <c r="AG66" s="598" t="s">
        <v>675</v>
      </c>
      <c r="AH66" s="597"/>
      <c r="AI66" s="597"/>
      <c r="AJ66" s="597"/>
      <c r="AK66" s="598" t="s">
        <v>728</v>
      </c>
      <c r="AL66" s="597"/>
      <c r="AM66" s="597"/>
      <c r="AN66" s="597"/>
      <c r="AO66" s="598" t="s">
        <v>722</v>
      </c>
      <c r="AP66" s="597"/>
      <c r="AQ66" s="597"/>
      <c r="AR66" s="597"/>
      <c r="AS66" s="598" t="s">
        <v>718</v>
      </c>
      <c r="AT66" s="597"/>
      <c r="AU66" s="597"/>
      <c r="AV66" s="599"/>
      <c r="AW66" s="630">
        <f ca="1">IF(AA66="","",SUMIF(SK!R$88:R$163,ROW()+1,SK!T$88:T$163))</f>
        <v>0</v>
      </c>
      <c r="AX66" s="29"/>
      <c r="AY66" s="863" t="str">
        <f t="shared" si="1"/>
        <v/>
      </c>
      <c r="AZ66" s="858" t="str">
        <f t="shared" si="1"/>
        <v/>
      </c>
    </row>
    <row r="67" spans="1:52" ht="28.5" customHeight="1" thickBot="1" x14ac:dyDescent="0.35">
      <c r="A67" s="579">
        <f>IF(Score!A68="", "",Score!A68 )</f>
        <v>18</v>
      </c>
      <c r="B67" s="583"/>
      <c r="C67" s="581" t="str">
        <f>IF(Score!B68="", "",Score!B68 )</f>
        <v>23</v>
      </c>
      <c r="D67" s="597"/>
      <c r="E67" s="597"/>
      <c r="F67" s="597"/>
      <c r="G67" s="600" t="s">
        <v>676</v>
      </c>
      <c r="H67" s="597"/>
      <c r="I67" s="597"/>
      <c r="J67" s="597"/>
      <c r="K67" s="600" t="s">
        <v>689</v>
      </c>
      <c r="L67" s="597"/>
      <c r="M67" s="597"/>
      <c r="N67" s="597"/>
      <c r="O67" s="600" t="s">
        <v>693</v>
      </c>
      <c r="P67" s="597" t="s">
        <v>500</v>
      </c>
      <c r="Q67" s="597"/>
      <c r="R67" s="597"/>
      <c r="S67" s="600" t="s">
        <v>685</v>
      </c>
      <c r="T67" s="597"/>
      <c r="U67" s="597"/>
      <c r="V67" s="599"/>
      <c r="W67" s="630">
        <f ca="1">IF(A67="","",SUMIF(SK!B$88:B$163,ROW()+1,SK!D$88:D$163))</f>
        <v>4</v>
      </c>
      <c r="X67" s="29"/>
      <c r="Y67" s="863" t="str">
        <f t="shared" ref="Y67:Z69" si="2">Y21</f>
        <v/>
      </c>
      <c r="Z67" s="858" t="str">
        <f t="shared" si="2"/>
        <v/>
      </c>
      <c r="AA67" s="579">
        <f>IF(Score!T68="", "",Score!T68 )</f>
        <v>18</v>
      </c>
      <c r="AB67" s="583"/>
      <c r="AC67" s="581" t="str">
        <f>IF(Score!U68="", "",Score!U68 )</f>
        <v>22</v>
      </c>
      <c r="AD67" s="597"/>
      <c r="AE67" s="597"/>
      <c r="AF67" s="597"/>
      <c r="AG67" s="600" t="s">
        <v>716</v>
      </c>
      <c r="AH67" s="597"/>
      <c r="AI67" s="597"/>
      <c r="AJ67" s="597"/>
      <c r="AK67" s="600" t="s">
        <v>711</v>
      </c>
      <c r="AL67" s="597"/>
      <c r="AM67" s="597"/>
      <c r="AN67" s="597"/>
      <c r="AO67" s="600" t="s">
        <v>733</v>
      </c>
      <c r="AP67" s="597"/>
      <c r="AQ67" s="597"/>
      <c r="AR67" s="597"/>
      <c r="AS67" s="600" t="s">
        <v>713</v>
      </c>
      <c r="AT67" s="597"/>
      <c r="AU67" s="597"/>
      <c r="AV67" s="599"/>
      <c r="AW67" s="630">
        <f ca="1">IF(AA67="","",SUMIF(SK!R$88:R$163,ROW()+1,SK!T$88:T$163))</f>
        <v>0</v>
      </c>
      <c r="AX67" s="29"/>
      <c r="AY67" s="863" t="str">
        <f t="shared" ref="AY67:AZ69" si="3">AY21</f>
        <v/>
      </c>
      <c r="AZ67" s="858" t="str">
        <f t="shared" si="3"/>
        <v/>
      </c>
    </row>
    <row r="68" spans="1:52" ht="28.5" customHeight="1" thickBot="1" x14ac:dyDescent="0.35">
      <c r="A68" s="578">
        <f>IF(Score!A69="", "",Score!A69 )</f>
        <v>19</v>
      </c>
      <c r="B68" s="582"/>
      <c r="C68" s="580" t="str">
        <f>IF(Score!B69="", "",Score!B69 )</f>
        <v>911</v>
      </c>
      <c r="D68" s="597"/>
      <c r="E68" s="597"/>
      <c r="F68" s="597"/>
      <c r="G68" s="598" t="s">
        <v>707</v>
      </c>
      <c r="H68" s="597"/>
      <c r="I68" s="597"/>
      <c r="J68" s="597"/>
      <c r="K68" s="598" t="s">
        <v>695</v>
      </c>
      <c r="L68" s="597"/>
      <c r="M68" s="597"/>
      <c r="N68" s="597"/>
      <c r="O68" s="598" t="s">
        <v>693</v>
      </c>
      <c r="P68" s="597" t="s">
        <v>501</v>
      </c>
      <c r="Q68" s="597"/>
      <c r="R68" s="597"/>
      <c r="S68" s="598" t="s">
        <v>699</v>
      </c>
      <c r="T68" s="597"/>
      <c r="U68" s="597"/>
      <c r="V68" s="599"/>
      <c r="W68" s="630">
        <f ca="1">IF(A68="","",SUMIF(SK!B$88:B$163,ROW()+1,SK!D$88:D$163))</f>
        <v>4</v>
      </c>
      <c r="X68" s="29"/>
      <c r="Y68" s="863" t="str">
        <f t="shared" si="2"/>
        <v/>
      </c>
      <c r="Z68" s="858" t="str">
        <f t="shared" si="2"/>
        <v/>
      </c>
      <c r="AA68" s="578">
        <f>IF(Score!T69="", "",Score!T69 )</f>
        <v>19</v>
      </c>
      <c r="AB68" s="582"/>
      <c r="AC68" s="580" t="str">
        <f>IF(Score!U69="", "",Score!U69 )</f>
        <v>9</v>
      </c>
      <c r="AD68" s="597"/>
      <c r="AE68" s="597"/>
      <c r="AF68" s="597"/>
      <c r="AG68" s="598" t="s">
        <v>675</v>
      </c>
      <c r="AH68" s="597"/>
      <c r="AI68" s="597"/>
      <c r="AJ68" s="597"/>
      <c r="AK68" s="598" t="s">
        <v>722</v>
      </c>
      <c r="AL68" s="597" t="s">
        <v>500</v>
      </c>
      <c r="AM68" s="597"/>
      <c r="AN68" s="597"/>
      <c r="AO68" s="598" t="s">
        <v>720</v>
      </c>
      <c r="AP68" s="597"/>
      <c r="AQ68" s="597"/>
      <c r="AR68" s="597"/>
      <c r="AS68" s="598" t="s">
        <v>718</v>
      </c>
      <c r="AT68" s="597"/>
      <c r="AU68" s="597"/>
      <c r="AV68" s="599"/>
      <c r="AW68" s="630">
        <f ca="1">IF(AA68="","",SUMIF(SK!R$88:R$163,ROW()+1,SK!T$88:T$163))</f>
        <v>0</v>
      </c>
      <c r="AX68" s="29"/>
      <c r="AY68" s="863" t="str">
        <f t="shared" si="3"/>
        <v/>
      </c>
      <c r="AZ68" s="858" t="str">
        <f t="shared" si="3"/>
        <v/>
      </c>
    </row>
    <row r="69" spans="1:52" ht="28.5" customHeight="1" thickBot="1" x14ac:dyDescent="0.35">
      <c r="A69" s="579">
        <f>IF(Score!A70="", "",Score!A70 )</f>
        <v>20</v>
      </c>
      <c r="B69" s="583"/>
      <c r="C69" s="581" t="str">
        <f>IF(Score!B70="", "",Score!B70 )</f>
        <v>761</v>
      </c>
      <c r="D69" s="597" t="s">
        <v>193</v>
      </c>
      <c r="E69" s="597"/>
      <c r="F69" s="597"/>
      <c r="G69" s="600" t="s">
        <v>677</v>
      </c>
      <c r="H69" s="597"/>
      <c r="I69" s="597"/>
      <c r="J69" s="597"/>
      <c r="K69" s="600" t="s">
        <v>703</v>
      </c>
      <c r="L69" s="597"/>
      <c r="M69" s="597"/>
      <c r="N69" s="597"/>
      <c r="O69" s="600" t="s">
        <v>685</v>
      </c>
      <c r="P69" s="597" t="s">
        <v>500</v>
      </c>
      <c r="Q69" s="597"/>
      <c r="R69" s="597"/>
      <c r="S69" s="600" t="s">
        <v>697</v>
      </c>
      <c r="T69" s="597"/>
      <c r="U69" s="597"/>
      <c r="V69" s="599"/>
      <c r="W69" s="630">
        <f ca="1">IF(A69="","",SUMIF(SK!B$88:B$163,ROW()+1,SK!D$88:D$163))</f>
        <v>0</v>
      </c>
      <c r="X69" s="29"/>
      <c r="Y69" s="863" t="str">
        <f t="shared" si="2"/>
        <v/>
      </c>
      <c r="Z69" s="858" t="str">
        <f t="shared" si="2"/>
        <v/>
      </c>
      <c r="AA69" s="579">
        <f>IF(Score!T70="", "",Score!T70 )</f>
        <v>20</v>
      </c>
      <c r="AB69" s="583"/>
      <c r="AC69" s="581" t="str">
        <f>IF(Score!U70="", "",Score!U70 )</f>
        <v>22</v>
      </c>
      <c r="AD69" s="597"/>
      <c r="AE69" s="597"/>
      <c r="AF69" s="597"/>
      <c r="AG69" s="600" t="s">
        <v>711</v>
      </c>
      <c r="AH69" s="597" t="s">
        <v>500</v>
      </c>
      <c r="AI69" s="597"/>
      <c r="AJ69" s="597"/>
      <c r="AK69" s="600" t="s">
        <v>722</v>
      </c>
      <c r="AL69" s="597" t="s">
        <v>501</v>
      </c>
      <c r="AM69" s="597"/>
      <c r="AN69" s="597"/>
      <c r="AO69" s="600" t="s">
        <v>725</v>
      </c>
      <c r="AP69" s="597"/>
      <c r="AQ69" s="597"/>
      <c r="AR69" s="597"/>
      <c r="AS69" s="600" t="s">
        <v>733</v>
      </c>
      <c r="AT69" s="597"/>
      <c r="AU69" s="597"/>
      <c r="AV69" s="599"/>
      <c r="AW69" s="630">
        <f ca="1">IF(AA69="","",SUMIF(SK!R$88:R$163,ROW()+1,SK!T$88:T$163))</f>
        <v>10</v>
      </c>
      <c r="AX69" s="29"/>
      <c r="AY69" s="863" t="str">
        <f t="shared" si="3"/>
        <v/>
      </c>
      <c r="AZ69" s="858" t="str">
        <f t="shared" si="3"/>
        <v/>
      </c>
    </row>
    <row r="70" spans="1:52" ht="28.5" customHeight="1" thickBot="1" x14ac:dyDescent="0.35">
      <c r="A70" s="578">
        <f>IF(Score!A71="", "",Score!A71 )</f>
        <v>21</v>
      </c>
      <c r="B70" s="582"/>
      <c r="C70" s="580" t="str">
        <f>IF(Score!B71="", "",Score!B71 )</f>
        <v>23</v>
      </c>
      <c r="D70" s="597"/>
      <c r="E70" s="597"/>
      <c r="F70" s="597"/>
      <c r="G70" s="598" t="s">
        <v>676</v>
      </c>
      <c r="H70" s="597"/>
      <c r="I70" s="597"/>
      <c r="J70" s="597"/>
      <c r="K70" s="598" t="s">
        <v>699</v>
      </c>
      <c r="L70" s="597"/>
      <c r="M70" s="597"/>
      <c r="N70" s="597"/>
      <c r="O70" s="598" t="s">
        <v>685</v>
      </c>
      <c r="P70" s="597" t="s">
        <v>212</v>
      </c>
      <c r="Q70" s="597"/>
      <c r="R70" s="597"/>
      <c r="S70" s="598" t="s">
        <v>689</v>
      </c>
      <c r="T70" s="597"/>
      <c r="U70" s="597"/>
      <c r="V70" s="599"/>
      <c r="W70" s="630">
        <f ca="1">IF(A70="","",SUMIF(SK!B$88:B$163,ROW()+1,SK!D$88:D$163))</f>
        <v>0</v>
      </c>
      <c r="X70" s="29"/>
      <c r="Y70" s="29"/>
      <c r="Z70" s="571"/>
      <c r="AA70" s="578">
        <f>IF(Score!T71="", "",Score!T71 )</f>
        <v>21</v>
      </c>
      <c r="AB70" s="582"/>
      <c r="AC70" s="580" t="str">
        <f>IF(Score!U71="", "",Score!U71 )</f>
        <v>69</v>
      </c>
      <c r="AD70" s="597"/>
      <c r="AE70" s="597"/>
      <c r="AF70" s="597"/>
      <c r="AG70" s="598" t="s">
        <v>711</v>
      </c>
      <c r="AH70" s="597" t="s">
        <v>501</v>
      </c>
      <c r="AI70" s="597"/>
      <c r="AJ70" s="597"/>
      <c r="AK70" s="598" t="s">
        <v>675</v>
      </c>
      <c r="AL70" s="597"/>
      <c r="AM70" s="597"/>
      <c r="AN70" s="597"/>
      <c r="AO70" s="598" t="s">
        <v>728</v>
      </c>
      <c r="AP70" s="597"/>
      <c r="AQ70" s="597"/>
      <c r="AR70" s="597"/>
      <c r="AS70" s="598" t="s">
        <v>722</v>
      </c>
      <c r="AT70" s="597"/>
      <c r="AU70" s="597"/>
      <c r="AV70" s="599"/>
      <c r="AW70" s="630">
        <f ca="1">IF(AA70="","",SUMIF(SK!R$88:R$163,ROW()+1,SK!T$88:T$163))</f>
        <v>0</v>
      </c>
      <c r="AX70" s="29"/>
      <c r="AY70" s="29"/>
      <c r="AZ70" s="571"/>
    </row>
    <row r="71" spans="1:52" ht="28.5" customHeight="1" thickBot="1" x14ac:dyDescent="0.35">
      <c r="A71" s="579">
        <f>IF(Score!A72="", "",Score!A72 )</f>
        <v>22</v>
      </c>
      <c r="B71" s="583"/>
      <c r="C71" s="581" t="str">
        <f>IF(Score!B72="", "",Score!B72 )</f>
        <v>911</v>
      </c>
      <c r="D71" s="597"/>
      <c r="E71" s="597"/>
      <c r="F71" s="597"/>
      <c r="G71" s="600" t="s">
        <v>707</v>
      </c>
      <c r="H71" s="597"/>
      <c r="I71" s="597"/>
      <c r="J71" s="597"/>
      <c r="K71" s="600" t="s">
        <v>693</v>
      </c>
      <c r="L71" s="597"/>
      <c r="M71" s="597"/>
      <c r="N71" s="597"/>
      <c r="O71" s="600" t="s">
        <v>685</v>
      </c>
      <c r="P71" s="597" t="s">
        <v>501</v>
      </c>
      <c r="Q71" s="597"/>
      <c r="R71" s="597"/>
      <c r="S71" s="600" t="s">
        <v>695</v>
      </c>
      <c r="T71" s="597"/>
      <c r="U71" s="597"/>
      <c r="V71" s="599"/>
      <c r="W71" s="630">
        <f ca="1">IF(A71="","",SUMIF(SK!B$88:B$163,ROW()+1,SK!D$88:D$163))</f>
        <v>4</v>
      </c>
      <c r="X71" s="29"/>
      <c r="Y71" s="29"/>
      <c r="Z71" s="571"/>
      <c r="AA71" s="579">
        <f>IF(Score!T72="", "",Score!T72 )</f>
        <v>22</v>
      </c>
      <c r="AB71" s="583"/>
      <c r="AC71" s="581" t="str">
        <f>IF(Score!U72="", "",Score!U72 )</f>
        <v>22</v>
      </c>
      <c r="AD71" s="597"/>
      <c r="AE71" s="597"/>
      <c r="AF71" s="597"/>
      <c r="AG71" s="600" t="s">
        <v>716</v>
      </c>
      <c r="AH71" s="597"/>
      <c r="AI71" s="597"/>
      <c r="AJ71" s="597"/>
      <c r="AK71" s="600" t="s">
        <v>733</v>
      </c>
      <c r="AL71" s="597"/>
      <c r="AM71" s="597"/>
      <c r="AN71" s="597"/>
      <c r="AO71" s="600" t="s">
        <v>711</v>
      </c>
      <c r="AP71" s="597"/>
      <c r="AQ71" s="597"/>
      <c r="AR71" s="597"/>
      <c r="AS71" s="600" t="s">
        <v>725</v>
      </c>
      <c r="AT71" s="597"/>
      <c r="AU71" s="597"/>
      <c r="AV71" s="599"/>
      <c r="AW71" s="630">
        <f ca="1">IF(AA71="","",SUMIF(SK!R$88:R$163,ROW()+1,SK!T$88:T$163))</f>
        <v>3</v>
      </c>
      <c r="AX71" s="29"/>
      <c r="AY71" s="29"/>
      <c r="AZ71" s="571"/>
    </row>
    <row r="72" spans="1:52" ht="28.5" customHeight="1" thickBot="1" x14ac:dyDescent="0.35">
      <c r="A72" s="578">
        <f>IF(Score!A73="", "",Score!A73 )</f>
        <v>23</v>
      </c>
      <c r="B72" s="582"/>
      <c r="C72" s="580" t="str">
        <f>IF(Score!B73="", "",Score!B73 )</f>
        <v>1618</v>
      </c>
      <c r="D72" s="597"/>
      <c r="E72" s="597"/>
      <c r="F72" s="597"/>
      <c r="G72" s="598" t="s">
        <v>677</v>
      </c>
      <c r="H72" s="597"/>
      <c r="I72" s="597"/>
      <c r="J72" s="597"/>
      <c r="K72" s="598" t="s">
        <v>699</v>
      </c>
      <c r="L72" s="597"/>
      <c r="M72" s="597"/>
      <c r="N72" s="597"/>
      <c r="O72" s="598" t="s">
        <v>697</v>
      </c>
      <c r="P72" s="597"/>
      <c r="Q72" s="597"/>
      <c r="R72" s="597"/>
      <c r="S72" s="598" t="s">
        <v>703</v>
      </c>
      <c r="T72" s="597"/>
      <c r="U72" s="597"/>
      <c r="V72" s="599"/>
      <c r="W72" s="630">
        <f ca="1">IF(A72="","",SUMIF(SK!B$88:B$163,ROW()+1,SK!D$88:D$163))</f>
        <v>8</v>
      </c>
      <c r="X72" s="29"/>
      <c r="Y72" s="29"/>
      <c r="Z72" s="571"/>
      <c r="AA72" s="578">
        <f>IF(Score!T73="", "",Score!T73 )</f>
        <v>23</v>
      </c>
      <c r="AB72" s="582"/>
      <c r="AC72" s="580" t="str">
        <f>IF(Score!U73="", "",Score!U73 )</f>
        <v>69</v>
      </c>
      <c r="AD72" s="597"/>
      <c r="AE72" s="597"/>
      <c r="AF72" s="597"/>
      <c r="AG72" s="598" t="s">
        <v>675</v>
      </c>
      <c r="AH72" s="597"/>
      <c r="AI72" s="597"/>
      <c r="AJ72" s="597"/>
      <c r="AK72" s="598" t="s">
        <v>720</v>
      </c>
      <c r="AL72" s="597"/>
      <c r="AM72" s="597"/>
      <c r="AN72" s="597"/>
      <c r="AO72" s="598" t="s">
        <v>718</v>
      </c>
      <c r="AP72" s="597"/>
      <c r="AQ72" s="597"/>
      <c r="AR72" s="597"/>
      <c r="AS72" s="598" t="s">
        <v>722</v>
      </c>
      <c r="AT72" s="597"/>
      <c r="AU72" s="597"/>
      <c r="AV72" s="599"/>
      <c r="AW72" s="630">
        <f ca="1">IF(AA72="","",SUMIF(SK!R$88:R$163,ROW()+1,SK!T$88:T$163))</f>
        <v>4</v>
      </c>
      <c r="AX72" s="29"/>
      <c r="AY72" s="29"/>
      <c r="AZ72" s="571"/>
    </row>
    <row r="73" spans="1:52" ht="28.5" customHeight="1" thickBot="1" x14ac:dyDescent="0.35">
      <c r="A73" s="579">
        <f>IF(Score!A74="", "",Score!A74 )</f>
        <v>24</v>
      </c>
      <c r="B73" s="583"/>
      <c r="C73" s="581" t="str">
        <f>IF(Score!B74="", "",Score!B74 )</f>
        <v>761</v>
      </c>
      <c r="D73" s="597"/>
      <c r="E73" s="597"/>
      <c r="F73" s="597"/>
      <c r="G73" s="600" t="s">
        <v>676</v>
      </c>
      <c r="H73" s="597"/>
      <c r="I73" s="597"/>
      <c r="J73" s="597"/>
      <c r="K73" s="600" t="s">
        <v>707</v>
      </c>
      <c r="L73" s="597" t="s">
        <v>193</v>
      </c>
      <c r="M73" s="597"/>
      <c r="N73" s="597"/>
      <c r="O73" s="600" t="s">
        <v>695</v>
      </c>
      <c r="P73" s="597"/>
      <c r="Q73" s="597"/>
      <c r="R73" s="597"/>
      <c r="S73" s="600" t="s">
        <v>693</v>
      </c>
      <c r="T73" s="597" t="s">
        <v>193</v>
      </c>
      <c r="U73" s="597"/>
      <c r="V73" s="599"/>
      <c r="W73" s="630">
        <f ca="1">IF(A73="","",SUMIF(SK!B$88:B$163,ROW()+1,SK!D$88:D$163))</f>
        <v>10</v>
      </c>
      <c r="X73" s="29"/>
      <c r="Y73" s="29"/>
      <c r="Z73" s="571"/>
      <c r="AA73" s="579">
        <f>IF(Score!T74="", "",Score!T74 )</f>
        <v>24</v>
      </c>
      <c r="AB73" s="583"/>
      <c r="AC73" s="581" t="str">
        <f>IF(Score!U74="", "",Score!U74 )</f>
        <v>22</v>
      </c>
      <c r="AD73" s="597" t="s">
        <v>193</v>
      </c>
      <c r="AE73" s="597"/>
      <c r="AF73" s="597"/>
      <c r="AG73" s="600" t="s">
        <v>716</v>
      </c>
      <c r="AH73" s="597" t="s">
        <v>193</v>
      </c>
      <c r="AI73" s="597"/>
      <c r="AJ73" s="597"/>
      <c r="AK73" s="600" t="s">
        <v>733</v>
      </c>
      <c r="AL73" s="597"/>
      <c r="AM73" s="597"/>
      <c r="AN73" s="597"/>
      <c r="AO73" s="600" t="s">
        <v>711</v>
      </c>
      <c r="AP73" s="597"/>
      <c r="AQ73" s="597"/>
      <c r="AR73" s="597"/>
      <c r="AS73" s="600" t="s">
        <v>725</v>
      </c>
      <c r="AT73" s="597"/>
      <c r="AU73" s="597"/>
      <c r="AV73" s="599"/>
      <c r="AW73" s="630">
        <f ca="1">IF(AA73="","",SUMIF(SK!R$88:R$163,ROW()+1,SK!T$88:T$163))</f>
        <v>0</v>
      </c>
      <c r="AX73" s="29"/>
      <c r="AY73" s="29"/>
      <c r="AZ73" s="571"/>
    </row>
    <row r="74" spans="1:52" ht="28.5" customHeight="1" thickBot="1" x14ac:dyDescent="0.35">
      <c r="A74" s="578" t="str">
        <f>IF(Score!A75="", "",Score!A75 )</f>
        <v>SP</v>
      </c>
      <c r="B74" s="582" t="s">
        <v>193</v>
      </c>
      <c r="C74" s="580" t="str">
        <f>IF(Score!B75="", "",Score!B75 )</f>
        <v>12</v>
      </c>
      <c r="D74" s="597" t="s">
        <v>500</v>
      </c>
      <c r="E74" s="597"/>
      <c r="F74" s="597"/>
      <c r="G74" s="598" t="s">
        <v>701</v>
      </c>
      <c r="H74" s="597"/>
      <c r="I74" s="597"/>
      <c r="J74" s="597"/>
      <c r="K74" s="598" t="s">
        <v>707</v>
      </c>
      <c r="L74" s="597"/>
      <c r="M74" s="597"/>
      <c r="N74" s="597"/>
      <c r="O74" s="598" t="s">
        <v>695</v>
      </c>
      <c r="P74" s="597"/>
      <c r="Q74" s="597"/>
      <c r="R74" s="597"/>
      <c r="S74" s="598" t="s">
        <v>693</v>
      </c>
      <c r="T74" s="597"/>
      <c r="U74" s="597"/>
      <c r="V74" s="599"/>
      <c r="W74" s="630">
        <f ca="1">IF(A74="","",SUMIF(SK!B$88:B$163,ROW()+1,SK!D$88:D$163))</f>
        <v>11</v>
      </c>
      <c r="X74" s="29"/>
      <c r="Y74" s="29"/>
      <c r="Z74" s="571"/>
      <c r="AA74" s="578" t="str">
        <f>IF(Score!T75="", "",Score!T75 )</f>
        <v>SP*</v>
      </c>
      <c r="AB74" s="582"/>
      <c r="AC74" s="580" t="str">
        <f>IF(Score!U75="", "",Score!U75 )</f>
        <v/>
      </c>
      <c r="AD74" s="597"/>
      <c r="AE74" s="597"/>
      <c r="AF74" s="597"/>
      <c r="AG74" s="598"/>
      <c r="AH74" s="597"/>
      <c r="AI74" s="597"/>
      <c r="AJ74" s="597"/>
      <c r="AK74" s="598"/>
      <c r="AL74" s="597"/>
      <c r="AM74" s="597"/>
      <c r="AN74" s="597"/>
      <c r="AO74" s="598"/>
      <c r="AP74" s="597"/>
      <c r="AQ74" s="597"/>
      <c r="AR74" s="597"/>
      <c r="AS74" s="598"/>
      <c r="AT74" s="597"/>
      <c r="AU74" s="597"/>
      <c r="AV74" s="599"/>
      <c r="AW74" s="630">
        <f ca="1">IF(AA74="","",SUMIF(SK!R$88:R$163,ROW()+1,SK!T$88:T$163))</f>
        <v>0</v>
      </c>
      <c r="AX74" s="29"/>
      <c r="AY74" s="29"/>
      <c r="AZ74" s="571"/>
    </row>
    <row r="75" spans="1:52" ht="28.5" customHeight="1" thickBot="1" x14ac:dyDescent="0.35">
      <c r="A75" s="579" t="str">
        <f>IF(Score!A76="", "",Score!A76 )</f>
        <v/>
      </c>
      <c r="B75" s="583"/>
      <c r="C75" s="581" t="str">
        <f>IF(Score!B76="", "",Score!B76 )</f>
        <v/>
      </c>
      <c r="D75" s="597"/>
      <c r="E75" s="597"/>
      <c r="F75" s="597"/>
      <c r="G75" s="600"/>
      <c r="H75" s="597"/>
      <c r="I75" s="597"/>
      <c r="J75" s="597"/>
      <c r="K75" s="600"/>
      <c r="L75" s="597"/>
      <c r="M75" s="597"/>
      <c r="N75" s="597"/>
      <c r="O75" s="600"/>
      <c r="P75" s="597"/>
      <c r="Q75" s="597"/>
      <c r="R75" s="597"/>
      <c r="S75" s="600"/>
      <c r="T75" s="597"/>
      <c r="U75" s="597"/>
      <c r="V75" s="599"/>
      <c r="W75" s="630" t="str">
        <f>IF(A75="","",SUMIF(SK!B$88:B$163,ROW()+1,SK!D$88:D$163))</f>
        <v/>
      </c>
      <c r="X75" s="29"/>
      <c r="Y75" s="29"/>
      <c r="Z75" s="571"/>
      <c r="AA75" s="579" t="str">
        <f>IF(Score!T76="", "",Score!T76 )</f>
        <v/>
      </c>
      <c r="AB75" s="583"/>
      <c r="AC75" s="581" t="str">
        <f>IF(Score!U76="", "",Score!U76 )</f>
        <v/>
      </c>
      <c r="AD75" s="597"/>
      <c r="AE75" s="597"/>
      <c r="AF75" s="597"/>
      <c r="AG75" s="600"/>
      <c r="AH75" s="597"/>
      <c r="AI75" s="597"/>
      <c r="AJ75" s="597"/>
      <c r="AK75" s="600"/>
      <c r="AL75" s="597"/>
      <c r="AM75" s="597"/>
      <c r="AN75" s="597"/>
      <c r="AO75" s="600"/>
      <c r="AP75" s="597"/>
      <c r="AQ75" s="597"/>
      <c r="AR75" s="597"/>
      <c r="AS75" s="600"/>
      <c r="AT75" s="597"/>
      <c r="AU75" s="597"/>
      <c r="AV75" s="599"/>
      <c r="AW75" s="630" t="str">
        <f>IF(AA75="","",SUMIF(SK!R$88:R$163,ROW()+1,SK!T$88:T$163))</f>
        <v/>
      </c>
      <c r="AX75" s="29"/>
      <c r="AY75" s="29"/>
      <c r="AZ75" s="571"/>
    </row>
    <row r="76" spans="1:52" ht="28.5" customHeight="1" thickBot="1" x14ac:dyDescent="0.35">
      <c r="A76" s="578" t="str">
        <f>IF(Score!A77="", "",Score!A77 )</f>
        <v/>
      </c>
      <c r="B76" s="582"/>
      <c r="C76" s="580" t="str">
        <f>IF(Score!B77="", "",Score!B77 )</f>
        <v/>
      </c>
      <c r="D76" s="597"/>
      <c r="E76" s="597"/>
      <c r="F76" s="597"/>
      <c r="G76" s="598"/>
      <c r="H76" s="597"/>
      <c r="I76" s="597"/>
      <c r="J76" s="597"/>
      <c r="K76" s="598"/>
      <c r="L76" s="597"/>
      <c r="M76" s="597"/>
      <c r="N76" s="597"/>
      <c r="O76" s="598"/>
      <c r="P76" s="597"/>
      <c r="Q76" s="597"/>
      <c r="R76" s="597"/>
      <c r="S76" s="598"/>
      <c r="T76" s="597"/>
      <c r="U76" s="597"/>
      <c r="V76" s="599"/>
      <c r="W76" s="630" t="str">
        <f>IF(A76="","",SUMIF(SK!B$88:B$163,ROW()+1,SK!D$88:D$163))</f>
        <v/>
      </c>
      <c r="X76" s="29"/>
      <c r="Y76" s="29"/>
      <c r="Z76" s="571"/>
      <c r="AA76" s="578" t="str">
        <f>IF(Score!T77="", "",Score!T77 )</f>
        <v/>
      </c>
      <c r="AB76" s="582"/>
      <c r="AC76" s="580" t="str">
        <f>IF(Score!U77="", "",Score!U77 )</f>
        <v/>
      </c>
      <c r="AD76" s="597"/>
      <c r="AE76" s="597"/>
      <c r="AF76" s="597"/>
      <c r="AG76" s="598"/>
      <c r="AH76" s="597"/>
      <c r="AI76" s="597"/>
      <c r="AJ76" s="597"/>
      <c r="AK76" s="598"/>
      <c r="AL76" s="597"/>
      <c r="AM76" s="597"/>
      <c r="AN76" s="597"/>
      <c r="AO76" s="598"/>
      <c r="AP76" s="597"/>
      <c r="AQ76" s="597"/>
      <c r="AR76" s="597"/>
      <c r="AS76" s="598"/>
      <c r="AT76" s="597"/>
      <c r="AU76" s="597"/>
      <c r="AV76" s="599"/>
      <c r="AW76" s="630" t="str">
        <f>IF(AA76="","",SUMIF(SK!R$88:R$163,ROW()+1,SK!T$88:T$163))</f>
        <v/>
      </c>
      <c r="AX76" s="29"/>
      <c r="AY76" s="29"/>
      <c r="AZ76" s="571"/>
    </row>
    <row r="77" spans="1:52" ht="28.5" customHeight="1" thickBot="1" x14ac:dyDescent="0.35">
      <c r="A77" s="579" t="str">
        <f>IF(Score!A78="", "",Score!A78 )</f>
        <v/>
      </c>
      <c r="B77" s="583"/>
      <c r="C77" s="581" t="str">
        <f>IF(Score!B78="", "",Score!B78 )</f>
        <v/>
      </c>
      <c r="D77" s="597"/>
      <c r="E77" s="597"/>
      <c r="F77" s="597"/>
      <c r="G77" s="600"/>
      <c r="H77" s="597"/>
      <c r="I77" s="597"/>
      <c r="J77" s="597"/>
      <c r="K77" s="600"/>
      <c r="L77" s="597"/>
      <c r="M77" s="597"/>
      <c r="N77" s="597"/>
      <c r="O77" s="600"/>
      <c r="P77" s="597"/>
      <c r="Q77" s="597"/>
      <c r="R77" s="597"/>
      <c r="S77" s="600"/>
      <c r="T77" s="597"/>
      <c r="U77" s="597"/>
      <c r="V77" s="599"/>
      <c r="W77" s="630" t="str">
        <f>IF(A77="","",SUMIF(SK!B$88:B$163,ROW()+1,SK!D$88:D$163))</f>
        <v/>
      </c>
      <c r="X77" s="29"/>
      <c r="Y77" s="29"/>
      <c r="Z77" s="571"/>
      <c r="AA77" s="579" t="str">
        <f>IF(Score!T78="", "",Score!T78 )</f>
        <v/>
      </c>
      <c r="AB77" s="583"/>
      <c r="AC77" s="581" t="str">
        <f>IF(Score!U78="", "",Score!U78 )</f>
        <v/>
      </c>
      <c r="AD77" s="597"/>
      <c r="AE77" s="597"/>
      <c r="AF77" s="597"/>
      <c r="AG77" s="600"/>
      <c r="AH77" s="597"/>
      <c r="AI77" s="597"/>
      <c r="AJ77" s="597"/>
      <c r="AK77" s="600"/>
      <c r="AL77" s="597"/>
      <c r="AM77" s="597"/>
      <c r="AN77" s="597"/>
      <c r="AO77" s="600"/>
      <c r="AP77" s="597"/>
      <c r="AQ77" s="597"/>
      <c r="AR77" s="597"/>
      <c r="AS77" s="600"/>
      <c r="AT77" s="597"/>
      <c r="AU77" s="597"/>
      <c r="AV77" s="599"/>
      <c r="AW77" s="630" t="str">
        <f>IF(AA77="","",SUMIF(SK!R$88:R$163,ROW()+1,SK!T$88:T$163))</f>
        <v/>
      </c>
      <c r="AX77" s="29"/>
      <c r="AY77" s="29"/>
      <c r="AZ77" s="571"/>
    </row>
    <row r="78" spans="1:52" ht="28.5" customHeight="1" thickBot="1" x14ac:dyDescent="0.35">
      <c r="A78" s="578" t="str">
        <f>IF(Score!A79="", "",Score!A79 )</f>
        <v/>
      </c>
      <c r="B78" s="582"/>
      <c r="C78" s="580" t="str">
        <f>IF(Score!B79="", "",Score!B79 )</f>
        <v/>
      </c>
      <c r="D78" s="597"/>
      <c r="E78" s="597"/>
      <c r="F78" s="597"/>
      <c r="G78" s="598"/>
      <c r="H78" s="597"/>
      <c r="I78" s="597"/>
      <c r="J78" s="597"/>
      <c r="K78" s="598"/>
      <c r="L78" s="597"/>
      <c r="M78" s="597"/>
      <c r="N78" s="597"/>
      <c r="O78" s="598"/>
      <c r="P78" s="597"/>
      <c r="Q78" s="597"/>
      <c r="R78" s="597"/>
      <c r="S78" s="598"/>
      <c r="T78" s="597"/>
      <c r="U78" s="597"/>
      <c r="V78" s="599"/>
      <c r="W78" s="630" t="str">
        <f>IF(A78="","",SUMIF(SK!B$88:B$163,ROW()+1,SK!D$88:D$163))</f>
        <v/>
      </c>
      <c r="X78" s="29"/>
      <c r="Y78" s="29"/>
      <c r="Z78" s="571"/>
      <c r="AA78" s="578" t="str">
        <f>IF(Score!T79="", "",Score!T79 )</f>
        <v/>
      </c>
      <c r="AB78" s="582"/>
      <c r="AC78" s="580" t="str">
        <f>IF(Score!U79="", "",Score!U79 )</f>
        <v/>
      </c>
      <c r="AD78" s="597"/>
      <c r="AE78" s="597"/>
      <c r="AF78" s="597"/>
      <c r="AG78" s="598"/>
      <c r="AH78" s="597"/>
      <c r="AI78" s="597"/>
      <c r="AJ78" s="597"/>
      <c r="AK78" s="598"/>
      <c r="AL78" s="597"/>
      <c r="AM78" s="597"/>
      <c r="AN78" s="597"/>
      <c r="AO78" s="598"/>
      <c r="AP78" s="597"/>
      <c r="AQ78" s="597"/>
      <c r="AR78" s="597"/>
      <c r="AS78" s="598"/>
      <c r="AT78" s="597"/>
      <c r="AU78" s="597"/>
      <c r="AV78" s="599"/>
      <c r="AW78" s="630" t="str">
        <f>IF(AA78="","",SUMIF(SK!R$88:R$163,ROW()+1,SK!T$88:T$163))</f>
        <v/>
      </c>
      <c r="AX78" s="29"/>
      <c r="AY78" s="29"/>
      <c r="AZ78" s="571"/>
    </row>
    <row r="79" spans="1:52" ht="28.5" customHeight="1" thickBot="1" x14ac:dyDescent="0.35">
      <c r="A79" s="579" t="str">
        <f>IF(Score!A80="", "",Score!A80 )</f>
        <v/>
      </c>
      <c r="B79" s="583"/>
      <c r="C79" s="581" t="str">
        <f>IF(Score!B80="", "",Score!B80 )</f>
        <v/>
      </c>
      <c r="D79" s="597"/>
      <c r="E79" s="597"/>
      <c r="F79" s="597"/>
      <c r="G79" s="600"/>
      <c r="H79" s="597"/>
      <c r="I79" s="597"/>
      <c r="J79" s="597"/>
      <c r="K79" s="600"/>
      <c r="L79" s="597"/>
      <c r="M79" s="597"/>
      <c r="N79" s="597"/>
      <c r="O79" s="600"/>
      <c r="P79" s="597"/>
      <c r="Q79" s="597"/>
      <c r="R79" s="597"/>
      <c r="S79" s="600"/>
      <c r="T79" s="597"/>
      <c r="U79" s="597"/>
      <c r="V79" s="599"/>
      <c r="W79" s="630" t="str">
        <f>IF(A79="","",SUMIF(SK!B$88:B$163,ROW()+1,SK!D$88:D$163))</f>
        <v/>
      </c>
      <c r="X79" s="29"/>
      <c r="Y79" s="29"/>
      <c r="Z79" s="571"/>
      <c r="AA79" s="579" t="str">
        <f>IF(Score!T80="", "",Score!T80 )</f>
        <v/>
      </c>
      <c r="AB79" s="583"/>
      <c r="AC79" s="581" t="str">
        <f>IF(Score!U80="", "",Score!U80 )</f>
        <v/>
      </c>
      <c r="AD79" s="597"/>
      <c r="AE79" s="597"/>
      <c r="AF79" s="597"/>
      <c r="AG79" s="600"/>
      <c r="AH79" s="597"/>
      <c r="AI79" s="597"/>
      <c r="AJ79" s="597"/>
      <c r="AK79" s="600"/>
      <c r="AL79" s="597"/>
      <c r="AM79" s="597"/>
      <c r="AN79" s="597"/>
      <c r="AO79" s="600"/>
      <c r="AP79" s="597"/>
      <c r="AQ79" s="597"/>
      <c r="AR79" s="597"/>
      <c r="AS79" s="600"/>
      <c r="AT79" s="597"/>
      <c r="AU79" s="597"/>
      <c r="AV79" s="599"/>
      <c r="AW79" s="630" t="str">
        <f>IF(AA79="","",SUMIF(SK!R$88:R$163,ROW()+1,SK!T$88:T$163))</f>
        <v/>
      </c>
      <c r="AX79" s="29"/>
      <c r="AY79" s="29"/>
      <c r="AZ79" s="571"/>
    </row>
    <row r="80" spans="1:52" ht="28.5" customHeight="1" thickBot="1" x14ac:dyDescent="0.35">
      <c r="A80" s="578" t="str">
        <f>IF(Score!A81="", "",Score!A81 )</f>
        <v/>
      </c>
      <c r="B80" s="582"/>
      <c r="C80" s="580" t="str">
        <f>IF(Score!B81="", "",Score!B81 )</f>
        <v/>
      </c>
      <c r="D80" s="597"/>
      <c r="E80" s="597"/>
      <c r="F80" s="597"/>
      <c r="G80" s="598"/>
      <c r="H80" s="597"/>
      <c r="I80" s="597"/>
      <c r="J80" s="597"/>
      <c r="K80" s="598"/>
      <c r="L80" s="597"/>
      <c r="M80" s="597"/>
      <c r="N80" s="597"/>
      <c r="O80" s="598"/>
      <c r="P80" s="597"/>
      <c r="Q80" s="597"/>
      <c r="R80" s="597"/>
      <c r="S80" s="598"/>
      <c r="T80" s="597"/>
      <c r="U80" s="597"/>
      <c r="V80" s="599"/>
      <c r="W80" s="630" t="str">
        <f>IF(A80="","",SUMIF(SK!B$88:B$163,ROW()+1,SK!D$88:D$163))</f>
        <v/>
      </c>
      <c r="X80" s="29"/>
      <c r="Y80" s="29"/>
      <c r="Z80" s="571"/>
      <c r="AA80" s="578" t="str">
        <f>IF(Score!T81="", "",Score!T81 )</f>
        <v/>
      </c>
      <c r="AB80" s="582"/>
      <c r="AC80" s="580" t="str">
        <f>IF(Score!U81="", "",Score!U81 )</f>
        <v/>
      </c>
      <c r="AD80" s="597"/>
      <c r="AE80" s="597"/>
      <c r="AF80" s="597"/>
      <c r="AG80" s="598"/>
      <c r="AH80" s="597"/>
      <c r="AI80" s="597"/>
      <c r="AJ80" s="597"/>
      <c r="AK80" s="598"/>
      <c r="AL80" s="597"/>
      <c r="AM80" s="597"/>
      <c r="AN80" s="597"/>
      <c r="AO80" s="598"/>
      <c r="AP80" s="597"/>
      <c r="AQ80" s="597"/>
      <c r="AR80" s="597"/>
      <c r="AS80" s="598"/>
      <c r="AT80" s="597"/>
      <c r="AU80" s="597"/>
      <c r="AV80" s="599"/>
      <c r="AW80" s="630" t="str">
        <f>IF(AA80="","",SUMIF(SK!R$88:R$163,ROW()+1,SK!T$88:T$163))</f>
        <v/>
      </c>
      <c r="AX80" s="29"/>
      <c r="AY80" s="29"/>
      <c r="AZ80" s="571"/>
    </row>
    <row r="81" spans="1:52" ht="28.5" customHeight="1" thickBot="1" x14ac:dyDescent="0.35">
      <c r="A81" s="579" t="str">
        <f>IF(Score!A82="", "",Score!A82 )</f>
        <v/>
      </c>
      <c r="B81" s="583"/>
      <c r="C81" s="581" t="str">
        <f>IF(Score!B82="", "",Score!B82 )</f>
        <v/>
      </c>
      <c r="D81" s="597"/>
      <c r="E81" s="597"/>
      <c r="F81" s="597"/>
      <c r="G81" s="600"/>
      <c r="H81" s="597"/>
      <c r="I81" s="597"/>
      <c r="J81" s="597"/>
      <c r="K81" s="600"/>
      <c r="L81" s="597"/>
      <c r="M81" s="597"/>
      <c r="N81" s="597"/>
      <c r="O81" s="600"/>
      <c r="P81" s="597"/>
      <c r="Q81" s="597"/>
      <c r="R81" s="597"/>
      <c r="S81" s="600"/>
      <c r="T81" s="597"/>
      <c r="U81" s="597"/>
      <c r="V81" s="599"/>
      <c r="W81" s="630" t="str">
        <f>IF(A81="","",SUMIF(SK!B$88:B$163,ROW()+1,SK!D$88:D$163))</f>
        <v/>
      </c>
      <c r="X81" s="29"/>
      <c r="Y81" s="29"/>
      <c r="Z81" s="571"/>
      <c r="AA81" s="579" t="str">
        <f>IF(Score!T82="", "",Score!T82 )</f>
        <v/>
      </c>
      <c r="AB81" s="583"/>
      <c r="AC81" s="581" t="str">
        <f>IF(Score!U82="", "",Score!U82 )</f>
        <v/>
      </c>
      <c r="AD81" s="597"/>
      <c r="AE81" s="597"/>
      <c r="AF81" s="597"/>
      <c r="AG81" s="600"/>
      <c r="AH81" s="597"/>
      <c r="AI81" s="597"/>
      <c r="AJ81" s="597"/>
      <c r="AK81" s="600"/>
      <c r="AL81" s="597"/>
      <c r="AM81" s="597"/>
      <c r="AN81" s="597"/>
      <c r="AO81" s="600"/>
      <c r="AP81" s="597"/>
      <c r="AQ81" s="597"/>
      <c r="AR81" s="597"/>
      <c r="AS81" s="600"/>
      <c r="AT81" s="597"/>
      <c r="AU81" s="597"/>
      <c r="AV81" s="599"/>
      <c r="AW81" s="630" t="str">
        <f>IF(AA81="","",SUMIF(SK!R$88:R$163,ROW()+1,SK!T$88:T$163))</f>
        <v/>
      </c>
      <c r="AX81" s="29"/>
      <c r="AY81" s="29"/>
      <c r="AZ81" s="571"/>
    </row>
    <row r="82" spans="1:52" ht="28.5" customHeight="1" thickBot="1" x14ac:dyDescent="0.35">
      <c r="A82" s="578" t="str">
        <f>IF(Score!A83="", "",Score!A83 )</f>
        <v/>
      </c>
      <c r="B82" s="582"/>
      <c r="C82" s="580" t="str">
        <f>IF(Score!B83="", "",Score!B83 )</f>
        <v/>
      </c>
      <c r="D82" s="597"/>
      <c r="E82" s="597"/>
      <c r="F82" s="597"/>
      <c r="G82" s="598"/>
      <c r="H82" s="597"/>
      <c r="I82" s="597"/>
      <c r="J82" s="597"/>
      <c r="K82" s="598"/>
      <c r="L82" s="597"/>
      <c r="M82" s="597"/>
      <c r="N82" s="597"/>
      <c r="O82" s="598"/>
      <c r="P82" s="597"/>
      <c r="Q82" s="597"/>
      <c r="R82" s="597"/>
      <c r="S82" s="598"/>
      <c r="T82" s="597"/>
      <c r="U82" s="597"/>
      <c r="V82" s="599"/>
      <c r="W82" s="630" t="str">
        <f>IF(A82="","",SUMIF(SK!B$88:B$163,ROW()+1,SK!D$88:D$163))</f>
        <v/>
      </c>
      <c r="X82" s="1090" t="s">
        <v>503</v>
      </c>
      <c r="Y82" s="1058"/>
      <c r="Z82" s="1091"/>
      <c r="AA82" s="578" t="str">
        <f>IF(Score!T83="", "",Score!T83 )</f>
        <v/>
      </c>
      <c r="AB82" s="582"/>
      <c r="AC82" s="580" t="str">
        <f>IF(Score!U83="", "",Score!U83 )</f>
        <v/>
      </c>
      <c r="AD82" s="597"/>
      <c r="AE82" s="597"/>
      <c r="AF82" s="597"/>
      <c r="AG82" s="598"/>
      <c r="AH82" s="597"/>
      <c r="AI82" s="597"/>
      <c r="AJ82" s="597"/>
      <c r="AK82" s="598"/>
      <c r="AL82" s="597"/>
      <c r="AM82" s="597"/>
      <c r="AN82" s="597"/>
      <c r="AO82" s="598"/>
      <c r="AP82" s="597"/>
      <c r="AQ82" s="597"/>
      <c r="AR82" s="597"/>
      <c r="AS82" s="598"/>
      <c r="AT82" s="597"/>
      <c r="AU82" s="597"/>
      <c r="AV82" s="599"/>
      <c r="AW82" s="630" t="str">
        <f>IF(AA82="","",SUMIF(SK!R$88:R$163,ROW()+1,SK!T$88:T$163))</f>
        <v/>
      </c>
      <c r="AX82" s="1090" t="s">
        <v>503</v>
      </c>
      <c r="AY82" s="1058"/>
      <c r="AZ82" s="1091"/>
    </row>
    <row r="83" spans="1:52" ht="28.5" customHeight="1" thickBot="1" x14ac:dyDescent="0.35">
      <c r="A83" s="579" t="str">
        <f>IF(Score!A84="", "",Score!A84 )</f>
        <v/>
      </c>
      <c r="B83" s="583"/>
      <c r="C83" s="581" t="str">
        <f>IF(Score!B84="", "",Score!B84 )</f>
        <v/>
      </c>
      <c r="D83" s="597"/>
      <c r="E83" s="597"/>
      <c r="F83" s="597"/>
      <c r="G83" s="600"/>
      <c r="H83" s="597"/>
      <c r="I83" s="597"/>
      <c r="J83" s="597"/>
      <c r="K83" s="600"/>
      <c r="L83" s="597"/>
      <c r="M83" s="597"/>
      <c r="N83" s="597"/>
      <c r="O83" s="600"/>
      <c r="P83" s="597"/>
      <c r="Q83" s="597"/>
      <c r="R83" s="597"/>
      <c r="S83" s="600"/>
      <c r="T83" s="597"/>
      <c r="U83" s="597"/>
      <c r="V83" s="599"/>
      <c r="W83" s="630" t="str">
        <f>IF(A83="","",SUMIF(SK!B$88:B$163,ROW()+1,SK!D$88:D$163))</f>
        <v/>
      </c>
      <c r="X83" s="584" t="s">
        <v>500</v>
      </c>
      <c r="Y83" s="1092" t="str">
        <f>Y37</f>
        <v>Sat in the box this jam.</v>
      </c>
      <c r="Z83" s="1093"/>
      <c r="AA83" s="579" t="str">
        <f>IF(Score!T84="", "",Score!T84 )</f>
        <v/>
      </c>
      <c r="AB83" s="583"/>
      <c r="AC83" s="581" t="str">
        <f>IF(Score!U84="", "",Score!U84 )</f>
        <v/>
      </c>
      <c r="AD83" s="597"/>
      <c r="AE83" s="597"/>
      <c r="AF83" s="597"/>
      <c r="AG83" s="600"/>
      <c r="AH83" s="597"/>
      <c r="AI83" s="597"/>
      <c r="AJ83" s="597"/>
      <c r="AK83" s="600"/>
      <c r="AL83" s="597"/>
      <c r="AM83" s="597"/>
      <c r="AN83" s="597"/>
      <c r="AO83" s="600"/>
      <c r="AP83" s="597"/>
      <c r="AQ83" s="597"/>
      <c r="AR83" s="597"/>
      <c r="AS83" s="600"/>
      <c r="AT83" s="597"/>
      <c r="AU83" s="597"/>
      <c r="AV83" s="599"/>
      <c r="AW83" s="630" t="str">
        <f>IF(AA83="","",SUMIF(SK!R$88:R$163,ROW()+1,SK!T$88:T$163))</f>
        <v/>
      </c>
      <c r="AX83" s="584" t="s">
        <v>500</v>
      </c>
      <c r="AY83" s="1092" t="str">
        <f>Y37</f>
        <v>Sat in the box this jam.</v>
      </c>
      <c r="AZ83" s="1093"/>
    </row>
    <row r="84" spans="1:52" ht="28.5" customHeight="1" thickBot="1" x14ac:dyDescent="0.35">
      <c r="A84" s="578" t="str">
        <f>IF(Score!A85="", "",Score!A85 )</f>
        <v/>
      </c>
      <c r="B84" s="582"/>
      <c r="C84" s="580" t="str">
        <f>IF(Score!B85="", "",Score!B85 )</f>
        <v/>
      </c>
      <c r="D84" s="597"/>
      <c r="E84" s="597"/>
      <c r="F84" s="597"/>
      <c r="G84" s="598"/>
      <c r="H84" s="597"/>
      <c r="I84" s="597"/>
      <c r="J84" s="597"/>
      <c r="K84" s="598"/>
      <c r="L84" s="597"/>
      <c r="M84" s="597"/>
      <c r="N84" s="597"/>
      <c r="O84" s="598"/>
      <c r="P84" s="597"/>
      <c r="Q84" s="597"/>
      <c r="R84" s="597"/>
      <c r="S84" s="598"/>
      <c r="T84" s="597"/>
      <c r="U84" s="597"/>
      <c r="V84" s="599"/>
      <c r="W84" s="630" t="str">
        <f>IF(A84="","",SUMIF(SK!B$88:B$163,ROW()+1,SK!D$88:D$163))</f>
        <v/>
      </c>
      <c r="X84" s="575" t="s">
        <v>193</v>
      </c>
      <c r="Y84" s="1079" t="str">
        <f>Y38</f>
        <v>Sat &amp; finished that penalty time this jam.</v>
      </c>
      <c r="Z84" s="1080"/>
      <c r="AA84" s="578" t="str">
        <f>IF(Score!T85="", "",Score!T85 )</f>
        <v/>
      </c>
      <c r="AB84" s="582"/>
      <c r="AC84" s="580" t="str">
        <f>IF(Score!U85="", "",Score!U85 )</f>
        <v/>
      </c>
      <c r="AD84" s="597"/>
      <c r="AE84" s="597"/>
      <c r="AF84" s="597"/>
      <c r="AG84" s="598"/>
      <c r="AH84" s="597"/>
      <c r="AI84" s="597"/>
      <c r="AJ84" s="597"/>
      <c r="AK84" s="598"/>
      <c r="AL84" s="597"/>
      <c r="AM84" s="597"/>
      <c r="AN84" s="597"/>
      <c r="AO84" s="598"/>
      <c r="AP84" s="597"/>
      <c r="AQ84" s="597"/>
      <c r="AR84" s="597"/>
      <c r="AS84" s="598"/>
      <c r="AT84" s="597"/>
      <c r="AU84" s="597"/>
      <c r="AV84" s="599"/>
      <c r="AW84" s="630" t="str">
        <f>IF(AA84="","",SUMIF(SK!R$88:R$163,ROW()+1,SK!T$88:T$163))</f>
        <v/>
      </c>
      <c r="AX84" s="575" t="s">
        <v>193</v>
      </c>
      <c r="AY84" s="1079" t="str">
        <f>Y38</f>
        <v>Sat &amp; finished that penalty time this jam.</v>
      </c>
      <c r="AZ84" s="1080"/>
    </row>
    <row r="85" spans="1:52" ht="28.5" customHeight="1" thickBot="1" x14ac:dyDescent="0.35">
      <c r="A85" s="579" t="str">
        <f>IF(Score!A86="", "",Score!A86 )</f>
        <v/>
      </c>
      <c r="B85" s="583"/>
      <c r="C85" s="581" t="str">
        <f>IF(Score!B86="", "",Score!B86 )</f>
        <v/>
      </c>
      <c r="D85" s="597"/>
      <c r="E85" s="597"/>
      <c r="F85" s="597"/>
      <c r="G85" s="600"/>
      <c r="H85" s="597"/>
      <c r="I85" s="597"/>
      <c r="J85" s="597"/>
      <c r="K85" s="600"/>
      <c r="L85" s="597"/>
      <c r="M85" s="597"/>
      <c r="N85" s="597"/>
      <c r="O85" s="600"/>
      <c r="P85" s="597"/>
      <c r="Q85" s="597"/>
      <c r="R85" s="597"/>
      <c r="S85" s="600"/>
      <c r="T85" s="597"/>
      <c r="U85" s="597"/>
      <c r="V85" s="599"/>
      <c r="W85" s="630" t="str">
        <f>IF(A85="","",SUMIF(SK!B$88:B$163,ROW()+1,SK!D$88:D$163))</f>
        <v/>
      </c>
      <c r="X85" s="575" t="s">
        <v>212</v>
      </c>
      <c r="Y85" s="1079" t="str">
        <f>Y39</f>
        <v>Started from the box this jam.</v>
      </c>
      <c r="Z85" s="1080"/>
      <c r="AA85" s="579" t="str">
        <f>IF(Score!T86="", "",Score!T86 )</f>
        <v/>
      </c>
      <c r="AB85" s="583"/>
      <c r="AC85" s="581" t="str">
        <f>IF(Score!U86="", "",Score!U86 )</f>
        <v/>
      </c>
      <c r="AD85" s="597"/>
      <c r="AE85" s="597"/>
      <c r="AF85" s="597"/>
      <c r="AG85" s="600"/>
      <c r="AH85" s="597"/>
      <c r="AI85" s="597"/>
      <c r="AJ85" s="597"/>
      <c r="AK85" s="600"/>
      <c r="AL85" s="597"/>
      <c r="AM85" s="597"/>
      <c r="AN85" s="597"/>
      <c r="AO85" s="600"/>
      <c r="AP85" s="597"/>
      <c r="AQ85" s="597"/>
      <c r="AR85" s="597"/>
      <c r="AS85" s="600"/>
      <c r="AT85" s="597"/>
      <c r="AU85" s="597"/>
      <c r="AV85" s="599"/>
      <c r="AW85" s="630" t="str">
        <f>IF(AA85="","",SUMIF(SK!R$88:R$163,ROW()+1,SK!T$88:T$163))</f>
        <v/>
      </c>
      <c r="AX85" s="575" t="s">
        <v>212</v>
      </c>
      <c r="AY85" s="1079" t="str">
        <f>Y39</f>
        <v>Started from the box this jam.</v>
      </c>
      <c r="AZ85" s="1080"/>
    </row>
    <row r="86" spans="1:52" ht="28.5" customHeight="1" thickBot="1" x14ac:dyDescent="0.35">
      <c r="A86" s="578" t="str">
        <f>IF(Score!A87="", "",Score!A87 )</f>
        <v/>
      </c>
      <c r="B86" s="582"/>
      <c r="C86" s="580" t="str">
        <f>IF(Score!B87="", "",Score!B87 )</f>
        <v/>
      </c>
      <c r="D86" s="597"/>
      <c r="E86" s="597"/>
      <c r="F86" s="597"/>
      <c r="G86" s="598"/>
      <c r="H86" s="597"/>
      <c r="I86" s="597"/>
      <c r="J86" s="597"/>
      <c r="K86" s="598"/>
      <c r="L86" s="597"/>
      <c r="M86" s="597"/>
      <c r="N86" s="597"/>
      <c r="O86" s="598"/>
      <c r="P86" s="597"/>
      <c r="Q86" s="597"/>
      <c r="R86" s="597"/>
      <c r="S86" s="598"/>
      <c r="T86" s="597"/>
      <c r="U86" s="597"/>
      <c r="V86" s="599"/>
      <c r="W86" s="630" t="str">
        <f>IF(A86="","",SUMIF(SK!B$88:B$163,ROW()+1,SK!D$88:D$163))</f>
        <v/>
      </c>
      <c r="X86" s="577" t="s">
        <v>501</v>
      </c>
      <c r="Y86" s="1079" t="str">
        <f>Y40</f>
        <v>Started from the box &amp; finished that penalty time this jam.</v>
      </c>
      <c r="Z86" s="1080"/>
      <c r="AA86" s="578" t="str">
        <f>IF(Score!T87="", "",Score!T87 )</f>
        <v/>
      </c>
      <c r="AB86" s="582"/>
      <c r="AC86" s="580" t="str">
        <f>IF(Score!U87="", "",Score!U87 )</f>
        <v/>
      </c>
      <c r="AD86" s="597"/>
      <c r="AE86" s="597"/>
      <c r="AF86" s="597"/>
      <c r="AG86" s="598"/>
      <c r="AH86" s="597"/>
      <c r="AI86" s="597"/>
      <c r="AJ86" s="597"/>
      <c r="AK86" s="598"/>
      <c r="AL86" s="597"/>
      <c r="AM86" s="597"/>
      <c r="AN86" s="597"/>
      <c r="AO86" s="598"/>
      <c r="AP86" s="597"/>
      <c r="AQ86" s="597"/>
      <c r="AR86" s="597"/>
      <c r="AS86" s="598"/>
      <c r="AT86" s="597"/>
      <c r="AU86" s="597"/>
      <c r="AV86" s="599"/>
      <c r="AW86" s="630" t="str">
        <f>IF(AA86="","",SUMIF(SK!R$88:R$163,ROW()+1,SK!T$88:T$163))</f>
        <v/>
      </c>
      <c r="AX86" s="577" t="s">
        <v>501</v>
      </c>
      <c r="AY86" s="1079" t="str">
        <f>Y40</f>
        <v>Started from the box &amp; finished that penalty time this jam.</v>
      </c>
      <c r="AZ86" s="1080"/>
    </row>
    <row r="87" spans="1:52" ht="28.5" customHeight="1" thickBot="1" x14ac:dyDescent="0.35">
      <c r="A87" s="579" t="str">
        <f>IF(Score!A88="", "",Score!A88 )</f>
        <v/>
      </c>
      <c r="B87" s="583"/>
      <c r="C87" s="581" t="str">
        <f>IF(Score!B88="", "",Score!B88 )</f>
        <v/>
      </c>
      <c r="D87" s="597"/>
      <c r="E87" s="597"/>
      <c r="F87" s="597"/>
      <c r="G87" s="600"/>
      <c r="H87" s="597"/>
      <c r="I87" s="597"/>
      <c r="J87" s="597"/>
      <c r="K87" s="600"/>
      <c r="L87" s="597"/>
      <c r="M87" s="597"/>
      <c r="N87" s="597"/>
      <c r="O87" s="600"/>
      <c r="P87" s="597"/>
      <c r="Q87" s="597"/>
      <c r="R87" s="597"/>
      <c r="S87" s="600"/>
      <c r="T87" s="597"/>
      <c r="U87" s="597"/>
      <c r="V87" s="599"/>
      <c r="W87" s="630" t="str">
        <f>IF(A87="","",SUMIF(SK!B$88:B$163,ROW()+1,SK!D$88:D$163))</f>
        <v/>
      </c>
      <c r="X87" s="576">
        <v>3</v>
      </c>
      <c r="Y87" s="1081" t="str">
        <f>Y41</f>
        <v>Jam was called off due to this skater's injury.</v>
      </c>
      <c r="Z87" s="1082"/>
      <c r="AA87" s="579" t="str">
        <f>IF(Score!T88="", "",Score!T88 )</f>
        <v/>
      </c>
      <c r="AB87" s="583"/>
      <c r="AC87" s="581" t="str">
        <f>IF(Score!U88="", "",Score!U88 )</f>
        <v/>
      </c>
      <c r="AD87" s="597"/>
      <c r="AE87" s="597"/>
      <c r="AF87" s="597"/>
      <c r="AG87" s="600"/>
      <c r="AH87" s="597"/>
      <c r="AI87" s="597"/>
      <c r="AJ87" s="597"/>
      <c r="AK87" s="600"/>
      <c r="AL87" s="597"/>
      <c r="AM87" s="597"/>
      <c r="AN87" s="597"/>
      <c r="AO87" s="600"/>
      <c r="AP87" s="597"/>
      <c r="AQ87" s="597"/>
      <c r="AR87" s="597"/>
      <c r="AS87" s="600"/>
      <c r="AT87" s="597"/>
      <c r="AU87" s="597"/>
      <c r="AV87" s="599"/>
      <c r="AW87" s="630" t="str">
        <f>IF(AA87="","",SUMIF(SK!R$88:R$163,ROW()+1,SK!T$88:T$163))</f>
        <v/>
      </c>
      <c r="AX87" s="576">
        <v>3</v>
      </c>
      <c r="AY87" s="1081" t="str">
        <f>Y41</f>
        <v>Jam was called off due to this skater's injury.</v>
      </c>
      <c r="AZ87" s="1082"/>
    </row>
    <row r="88" spans="1:52" s="596" customFormat="1" ht="15" customHeight="1" x14ac:dyDescent="0.3">
      <c r="A88" s="1083" t="str">
        <f>A42</f>
        <v>Write the jam number, starting from 1 each period, in the JAM column as each jam happens. Enter skater numbers by position. If no Pivot is fielded, enter an "X" in the noPivot box.</v>
      </c>
      <c r="B88" s="1084"/>
      <c r="C88" s="1084"/>
      <c r="D88" s="1084"/>
      <c r="E88" s="1084"/>
      <c r="F88" s="1084"/>
      <c r="G88" s="1084"/>
      <c r="H88" s="1084"/>
      <c r="I88" s="1084"/>
      <c r="J88" s="1084"/>
      <c r="K88" s="1084"/>
      <c r="L88" s="1084"/>
      <c r="M88" s="1084"/>
      <c r="N88" s="1084"/>
      <c r="O88" s="1084"/>
      <c r="P88" s="1084"/>
      <c r="Q88" s="1084"/>
      <c r="R88" s="1084"/>
      <c r="S88" s="1084"/>
      <c r="T88" s="1084"/>
      <c r="U88" s="1084"/>
      <c r="V88" s="1084"/>
      <c r="W88" s="1084"/>
      <c r="X88" s="1084"/>
      <c r="Y88" s="1084"/>
      <c r="Z88" s="1085"/>
      <c r="AA88" s="1086" t="str">
        <f>A42</f>
        <v>Write the jam number, starting from 1 each period, in the JAM column as each jam happens. Enter skater numbers by position. If no Pivot is fielded, enter an "X" in the noPivot box.</v>
      </c>
      <c r="AB88" s="1084"/>
      <c r="AC88" s="1084"/>
      <c r="AD88" s="1084"/>
      <c r="AE88" s="1084"/>
      <c r="AF88" s="1084"/>
      <c r="AG88" s="1084"/>
      <c r="AH88" s="1084"/>
      <c r="AI88" s="1084"/>
      <c r="AJ88" s="1084"/>
      <c r="AK88" s="1084"/>
      <c r="AL88" s="1084"/>
      <c r="AM88" s="1084"/>
      <c r="AN88" s="1084"/>
      <c r="AO88" s="1084"/>
      <c r="AP88" s="1084"/>
      <c r="AQ88" s="1084"/>
      <c r="AR88" s="1084"/>
      <c r="AS88" s="1084"/>
      <c r="AT88" s="1084"/>
      <c r="AU88" s="1084"/>
      <c r="AV88" s="1084"/>
      <c r="AW88" s="1077"/>
      <c r="AX88" s="1077"/>
      <c r="AY88" s="1077"/>
      <c r="AZ88" s="1078"/>
    </row>
    <row r="89" spans="1:52" s="596" customFormat="1" ht="15" customHeight="1" x14ac:dyDescent="0.3">
      <c r="A89" s="1076" t="str">
        <f>A43</f>
        <v>When a skater sits in the penalty box, enter a / in the next unmarked BOX column, or an S if the skater starts the jam in the box. When the skater completes the penalty time, mark exit in same</v>
      </c>
      <c r="B89" s="1077"/>
      <c r="C89" s="1077"/>
      <c r="D89" s="1077"/>
      <c r="E89" s="1077"/>
      <c r="F89" s="1077"/>
      <c r="G89" s="1077"/>
      <c r="H89" s="1077"/>
      <c r="I89" s="1077"/>
      <c r="J89" s="1077"/>
      <c r="K89" s="1077"/>
      <c r="L89" s="1077"/>
      <c r="M89" s="1077"/>
      <c r="N89" s="1077"/>
      <c r="O89" s="1077"/>
      <c r="P89" s="1077"/>
      <c r="Q89" s="1077"/>
      <c r="R89" s="1077"/>
      <c r="S89" s="1077"/>
      <c r="T89" s="1077"/>
      <c r="U89" s="1077"/>
      <c r="V89" s="1077"/>
      <c r="W89" s="1077"/>
      <c r="X89" s="1077"/>
      <c r="Y89" s="1077"/>
      <c r="Z89" s="1078"/>
      <c r="AA89" s="1076" t="str">
        <f>A43</f>
        <v>When a skater sits in the penalty box, enter a / in the next unmarked BOX column, or an S if the skater starts the jam in the box. When the skater completes the penalty time, mark exit in same</v>
      </c>
      <c r="AB89" s="1077"/>
      <c r="AC89" s="1077"/>
      <c r="AD89" s="1077"/>
      <c r="AE89" s="1077"/>
      <c r="AF89" s="1077"/>
      <c r="AG89" s="1077"/>
      <c r="AH89" s="1077"/>
      <c r="AI89" s="1077"/>
      <c r="AJ89" s="1077"/>
      <c r="AK89" s="1077"/>
      <c r="AL89" s="1077"/>
      <c r="AM89" s="1077"/>
      <c r="AN89" s="1077"/>
      <c r="AO89" s="1077"/>
      <c r="AP89" s="1077"/>
      <c r="AQ89" s="1077"/>
      <c r="AR89" s="1077"/>
      <c r="AS89" s="1077"/>
      <c r="AT89" s="1077"/>
      <c r="AU89" s="1077"/>
      <c r="AV89" s="1077"/>
      <c r="AW89" s="1077"/>
      <c r="AX89" s="1077"/>
      <c r="AY89" s="1077"/>
      <c r="AZ89" s="1078"/>
    </row>
    <row r="90" spans="1:52" s="596" customFormat="1" ht="15" customHeight="1" x14ac:dyDescent="0.3">
      <c r="A90" s="1076" t="str">
        <f>A44</f>
        <v>column (if same jam, make the / an X or the S an $). If that skater sits again in the penalty box during same jam, move to the next column under BOX. In case of star pass, both teams enter SP in the</v>
      </c>
      <c r="B90" s="1077"/>
      <c r="C90" s="1077"/>
      <c r="D90" s="1077"/>
      <c r="E90" s="1077"/>
      <c r="F90" s="1077"/>
      <c r="G90" s="1077"/>
      <c r="H90" s="1077"/>
      <c r="I90" s="1077"/>
      <c r="J90" s="1077"/>
      <c r="K90" s="1077"/>
      <c r="L90" s="1077"/>
      <c r="M90" s="1077"/>
      <c r="N90" s="1077"/>
      <c r="O90" s="1077"/>
      <c r="P90" s="1077"/>
      <c r="Q90" s="1077"/>
      <c r="R90" s="1077"/>
      <c r="S90" s="1077"/>
      <c r="T90" s="1077"/>
      <c r="U90" s="1077"/>
      <c r="V90" s="1077"/>
      <c r="W90" s="1077"/>
      <c r="X90" s="1077"/>
      <c r="Y90" s="1077"/>
      <c r="Z90" s="1078"/>
      <c r="AA90" s="1076" t="str">
        <f>A44</f>
        <v>column (if same jam, make the / an X or the S an $). If that skater sits again in the penalty box during same jam, move to the next column under BOX. In case of star pass, both teams enter SP in the</v>
      </c>
      <c r="AB90" s="1077"/>
      <c r="AC90" s="1077"/>
      <c r="AD90" s="1077"/>
      <c r="AE90" s="1077"/>
      <c r="AF90" s="1077"/>
      <c r="AG90" s="1077"/>
      <c r="AH90" s="1077"/>
      <c r="AI90" s="1077"/>
      <c r="AJ90" s="1077"/>
      <c r="AK90" s="1077"/>
      <c r="AL90" s="1077"/>
      <c r="AM90" s="1077"/>
      <c r="AN90" s="1077"/>
      <c r="AO90" s="1077"/>
      <c r="AP90" s="1077"/>
      <c r="AQ90" s="1077"/>
      <c r="AR90" s="1077"/>
      <c r="AS90" s="1077"/>
      <c r="AT90" s="1077"/>
      <c r="AU90" s="1077"/>
      <c r="AV90" s="1077"/>
      <c r="AW90" s="1077"/>
      <c r="AX90" s="1077"/>
      <c r="AY90" s="1077"/>
      <c r="AZ90" s="1078"/>
    </row>
    <row r="91" spans="1:52" s="596" customFormat="1" ht="15" customHeight="1" x14ac:dyDescent="0.3">
      <c r="A91" s="1076" t="str">
        <f>A45</f>
        <v>Jam column on a new row. Update star passing team with Jammer and Pivot reversed (mark noPivot) and the same Blockers. Mark all box exits/entries after a star pass in rows with current Jammer.</v>
      </c>
      <c r="B91" s="1077"/>
      <c r="C91" s="1077"/>
      <c r="D91" s="1077"/>
      <c r="E91" s="1077"/>
      <c r="F91" s="1077"/>
      <c r="G91" s="1077"/>
      <c r="H91" s="1077"/>
      <c r="I91" s="1077"/>
      <c r="J91" s="1077"/>
      <c r="K91" s="1077"/>
      <c r="L91" s="1077"/>
      <c r="M91" s="1077"/>
      <c r="N91" s="1077"/>
      <c r="O91" s="1077"/>
      <c r="P91" s="1077"/>
      <c r="Q91" s="1077"/>
      <c r="R91" s="1077"/>
      <c r="S91" s="1077"/>
      <c r="T91" s="1077"/>
      <c r="U91" s="1077"/>
      <c r="V91" s="1077"/>
      <c r="W91" s="1077"/>
      <c r="X91" s="1077"/>
      <c r="Y91" s="1077"/>
      <c r="Z91" s="1078"/>
      <c r="AA91" s="1076" t="str">
        <f>A45</f>
        <v>Jam column on a new row. Update star passing team with Jammer and Pivot reversed (mark noPivot) and the same Blockers. Mark all box exits/entries after a star pass in rows with current Jammer.</v>
      </c>
      <c r="AB91" s="1077"/>
      <c r="AC91" s="1077"/>
      <c r="AD91" s="1077"/>
      <c r="AE91" s="1077"/>
      <c r="AF91" s="1077"/>
      <c r="AG91" s="1077"/>
      <c r="AH91" s="1077"/>
      <c r="AI91" s="1077"/>
      <c r="AJ91" s="1077"/>
      <c r="AK91" s="1077"/>
      <c r="AL91" s="1077"/>
      <c r="AM91" s="1077"/>
      <c r="AN91" s="1077"/>
      <c r="AO91" s="1077"/>
      <c r="AP91" s="1077"/>
      <c r="AQ91" s="1077"/>
      <c r="AR91" s="1077"/>
      <c r="AS91" s="1077"/>
      <c r="AT91" s="1077"/>
      <c r="AU91" s="1077"/>
      <c r="AV91" s="1077"/>
      <c r="AW91" s="1077"/>
      <c r="AX91" s="1077"/>
      <c r="AY91" s="1077"/>
      <c r="AZ91" s="1078"/>
    </row>
    <row r="92" spans="1:52" s="596" customFormat="1" ht="15" customHeight="1" thickBot="1" x14ac:dyDescent="0.35">
      <c r="A92" s="1070" t="str">
        <f>A46</f>
        <v>If jam is called for injury, indicate it with an 3 in the BOX column of the injured skater. Note any box time carrying over from first period onto the period 2 sheet before turning in period 1 sheet.</v>
      </c>
      <c r="B92" s="1071"/>
      <c r="C92" s="1071"/>
      <c r="D92" s="1071"/>
      <c r="E92" s="1071"/>
      <c r="F92" s="1071"/>
      <c r="G92" s="1071"/>
      <c r="H92" s="1071"/>
      <c r="I92" s="1071"/>
      <c r="J92" s="1071"/>
      <c r="K92" s="1071"/>
      <c r="L92" s="1071"/>
      <c r="M92" s="1071"/>
      <c r="N92" s="1071"/>
      <c r="O92" s="1071"/>
      <c r="P92" s="1071"/>
      <c r="Q92" s="1071"/>
      <c r="R92" s="1071"/>
      <c r="S92" s="1071"/>
      <c r="T92" s="1071"/>
      <c r="U92" s="1071"/>
      <c r="V92" s="1071"/>
      <c r="W92" s="1071"/>
      <c r="X92" s="1071"/>
      <c r="Y92" s="1071"/>
      <c r="Z92" s="1072"/>
      <c r="AA92" s="1073" t="str">
        <f>A46</f>
        <v>If jam is called for injury, indicate it with an 3 in the BOX column of the injured skater. Note any box time carrying over from first period onto the period 2 sheet before turning in period 1 sheet.</v>
      </c>
      <c r="AB92" s="1074"/>
      <c r="AC92" s="1074"/>
      <c r="AD92" s="1074"/>
      <c r="AE92" s="1074"/>
      <c r="AF92" s="1074"/>
      <c r="AG92" s="1074"/>
      <c r="AH92" s="1074"/>
      <c r="AI92" s="1074"/>
      <c r="AJ92" s="1074"/>
      <c r="AK92" s="1074"/>
      <c r="AL92" s="1074"/>
      <c r="AM92" s="1074"/>
      <c r="AN92" s="1074"/>
      <c r="AO92" s="1074"/>
      <c r="AP92" s="1074"/>
      <c r="AQ92" s="1074"/>
      <c r="AR92" s="1074"/>
      <c r="AS92" s="1074"/>
      <c r="AT92" s="1074"/>
      <c r="AU92" s="1074"/>
      <c r="AV92" s="1074"/>
      <c r="AW92" s="1074"/>
      <c r="AX92" s="1074"/>
      <c r="AY92" s="1074"/>
      <c r="AZ92" s="1075"/>
    </row>
  </sheetData>
  <mergeCells count="104">
    <mergeCell ref="T47:V47"/>
    <mergeCell ref="T48:V48"/>
    <mergeCell ref="X47:Z47"/>
    <mergeCell ref="X48:Z48"/>
    <mergeCell ref="AT47:AV47"/>
    <mergeCell ref="AT48:AV48"/>
    <mergeCell ref="AT3:AV3"/>
    <mergeCell ref="AX3:AZ3"/>
    <mergeCell ref="X36:Z36"/>
    <mergeCell ref="AX36:AZ36"/>
    <mergeCell ref="Y37:Z37"/>
    <mergeCell ref="AY37:AZ37"/>
    <mergeCell ref="T3:V3"/>
    <mergeCell ref="X3:Z3"/>
    <mergeCell ref="AD3:AF3"/>
    <mergeCell ref="AH3:AJ3"/>
    <mergeCell ref="AL3:AN3"/>
    <mergeCell ref="AP3:AR3"/>
    <mergeCell ref="X82:Z82"/>
    <mergeCell ref="AX82:AZ82"/>
    <mergeCell ref="Y83:Z83"/>
    <mergeCell ref="AY83:AZ83"/>
    <mergeCell ref="Y84:Z84"/>
    <mergeCell ref="AY84:AZ84"/>
    <mergeCell ref="AX47:AZ47"/>
    <mergeCell ref="AX48:AZ48"/>
    <mergeCell ref="AT1:AV1"/>
    <mergeCell ref="AT2:AV2"/>
    <mergeCell ref="AX1:AZ1"/>
    <mergeCell ref="AX2:AZ2"/>
    <mergeCell ref="AD49:AF49"/>
    <mergeCell ref="AH49:AJ49"/>
    <mergeCell ref="AL49:AN49"/>
    <mergeCell ref="AP49:AR49"/>
    <mergeCell ref="AT49:AV49"/>
    <mergeCell ref="AX49:AZ49"/>
    <mergeCell ref="AP48:AS48"/>
    <mergeCell ref="AH2:AO2"/>
    <mergeCell ref="AP2:AS2"/>
    <mergeCell ref="AA1:AG2"/>
    <mergeCell ref="AH1:AO1"/>
    <mergeCell ref="AP1:AS1"/>
    <mergeCell ref="D49:F49"/>
    <mergeCell ref="H49:J49"/>
    <mergeCell ref="L49:N49"/>
    <mergeCell ref="P49:R49"/>
    <mergeCell ref="T49:V49"/>
    <mergeCell ref="X49:Z49"/>
    <mergeCell ref="H48:O48"/>
    <mergeCell ref="P48:S48"/>
    <mergeCell ref="AH48:AO48"/>
    <mergeCell ref="P47:S47"/>
    <mergeCell ref="AA47:AG48"/>
    <mergeCell ref="AH47:AO47"/>
    <mergeCell ref="AP47:AS47"/>
    <mergeCell ref="AY38:AZ38"/>
    <mergeCell ref="Y39:Z39"/>
    <mergeCell ref="AY39:AZ39"/>
    <mergeCell ref="Y40:Z40"/>
    <mergeCell ref="AY40:AZ40"/>
    <mergeCell ref="Y41:Z41"/>
    <mergeCell ref="AY41:AZ41"/>
    <mergeCell ref="A46:Z46"/>
    <mergeCell ref="AA46:AZ46"/>
    <mergeCell ref="A47:G48"/>
    <mergeCell ref="H47:O47"/>
    <mergeCell ref="A44:Z44"/>
    <mergeCell ref="AA44:AZ44"/>
    <mergeCell ref="A45:Z45"/>
    <mergeCell ref="AA45:AZ45"/>
    <mergeCell ref="AA42:AZ42"/>
    <mergeCell ref="AA43:AZ43"/>
    <mergeCell ref="A42:Z42"/>
    <mergeCell ref="A43:Z43"/>
    <mergeCell ref="Y38:Z38"/>
    <mergeCell ref="A92:Z92"/>
    <mergeCell ref="AA92:AZ92"/>
    <mergeCell ref="AA90:AZ90"/>
    <mergeCell ref="AA91:AZ91"/>
    <mergeCell ref="A90:Z90"/>
    <mergeCell ref="A91:Z91"/>
    <mergeCell ref="A89:Z89"/>
    <mergeCell ref="AA89:AZ89"/>
    <mergeCell ref="Y85:Z85"/>
    <mergeCell ref="AY85:AZ85"/>
    <mergeCell ref="Y86:Z86"/>
    <mergeCell ref="AY86:AZ86"/>
    <mergeCell ref="Y87:Z87"/>
    <mergeCell ref="AY87:AZ87"/>
    <mergeCell ref="A88:Z88"/>
    <mergeCell ref="AA88:AZ88"/>
    <mergeCell ref="D3:F3"/>
    <mergeCell ref="H3:J3"/>
    <mergeCell ref="L3:N3"/>
    <mergeCell ref="P3:R3"/>
    <mergeCell ref="T1:V1"/>
    <mergeCell ref="T2:V2"/>
    <mergeCell ref="X1:Z1"/>
    <mergeCell ref="X2:Z2"/>
    <mergeCell ref="H2:O2"/>
    <mergeCell ref="P2:S2"/>
    <mergeCell ref="A1:G2"/>
    <mergeCell ref="H1:O1"/>
    <mergeCell ref="P1:S1"/>
  </mergeCells>
  <phoneticPr fontId="6" type="noConversion"/>
  <printOptions horizontalCentered="1"/>
  <pageMargins left="0.2" right="0.2" top="0.5" bottom="0.25" header="0.1" footer="0.1"/>
  <pageSetup scale="61" firstPageNumber="0" fitToWidth="0" fitToHeight="0" orientation="portrait" horizontalDpi="4294967294" verticalDpi="4294967294"/>
  <headerFooter alignWithMargins="0">
    <oddHeader>&amp;L&amp;K000000&amp;G&amp;"Calibri,Regular"&amp;36&amp;A&amp;R&amp;"Calibri,Regular"&amp;K000000‘&amp;A’ revision 140421
StatsBook © 2008–2014 WFTDA</oddHeader>
  </headerFooter>
  <rowBreaks count="2" manualBreakCount="2">
    <brk id="46" max="49" man="1"/>
    <brk id="92" max="49" man="1"/>
  </rowBreaks>
  <colBreaks count="1" manualBreakCount="1">
    <brk id="26" max="91" man="1"/>
  </colBreaks>
  <legacyDrawing r:id="rId1"/>
  <legacyDrawingHF r:id="rId2"/>
  <extLst>
    <ext xmlns:x14="http://schemas.microsoft.com/office/spreadsheetml/2009/9/main" uri="{78C0D931-6437-407d-A8EE-F0AAD7539E65}">
      <x14:conditionalFormattings>
        <x14:conditionalFormatting xmlns:xm="http://schemas.microsoft.com/office/excel/2006/main">
          <x14:cfRule type="expression" priority="2" id="{3A5FB291-B281-4568-A2E1-A26D35BCD60A}">
            <xm:f>AND(COUNTIF(IGRF!$B$11:$B$30,G4)=0, NOT(ISBLANK(G4)))</xm:f>
            <x14:dxf>
              <fill>
                <patternFill>
                  <bgColor rgb="FFFF0000"/>
                </patternFill>
              </fill>
            </x14:dxf>
          </x14:cfRule>
          <xm:sqref>G4:G41 K4:K41 O4:O41 S4:S41 G50:G87 K50:K87 O50:O87 S50:S87</xm:sqref>
        </x14:conditionalFormatting>
        <x14:conditionalFormatting xmlns:xm="http://schemas.microsoft.com/office/excel/2006/main">
          <x14:cfRule type="expression" priority="1" id="{02200394-7933-4F30-91D3-1E965FB94D3D}">
            <xm:f>AND(COUNTIF(IGRF!$H$11:$H$30, AG4)=0, NOT(ISBLANK(AG4)))</xm:f>
            <x14:dxf>
              <fill>
                <patternFill>
                  <bgColor rgb="FFFF0000"/>
                </patternFill>
              </fill>
            </x14:dxf>
          </x14:cfRule>
          <xm:sqref>AG4:AG41 AK4:AK41 AO4:AO41 AS4:AS41 AG50:AG87 AK50:AK87 AO50:AO87 AS50:AS87</xm:sqref>
        </x14:conditionalFormatting>
      </x14:conditionalFormatting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5"/>
  </sheetPr>
  <dimension ref="A1:E36"/>
  <sheetViews>
    <sheetView workbookViewId="0">
      <selection sqref="A1:E1"/>
    </sheetView>
  </sheetViews>
  <sheetFormatPr defaultColWidth="8.6640625" defaultRowHeight="13.5" customHeight="1" x14ac:dyDescent="0.3"/>
  <cols>
    <col min="1" max="1" width="35.33203125" style="182" customWidth="1"/>
    <col min="2" max="2" width="40.6640625" style="182" customWidth="1"/>
    <col min="3" max="3" width="25.33203125" style="182" customWidth="1"/>
    <col min="4" max="4" width="41" style="182" customWidth="1"/>
    <col min="5" max="5" width="26.33203125" style="182" customWidth="1"/>
    <col min="6" max="16384" width="8.6640625" style="182"/>
  </cols>
  <sheetData>
    <row r="1" spans="1:5" ht="46.2" customHeight="1" x14ac:dyDescent="0.3">
      <c r="A1" s="1101" t="s">
        <v>620</v>
      </c>
      <c r="B1" s="1102"/>
      <c r="C1" s="1102"/>
      <c r="D1" s="1102"/>
      <c r="E1" s="1102"/>
    </row>
    <row r="2" spans="1:5" ht="3" customHeight="1" x14ac:dyDescent="0.3">
      <c r="A2" s="601"/>
      <c r="B2" s="602"/>
      <c r="C2" s="602"/>
      <c r="D2" s="602"/>
      <c r="E2" s="602"/>
    </row>
    <row r="3" spans="1:5" ht="48" customHeight="1" x14ac:dyDescent="0.3">
      <c r="A3" s="1101" t="s">
        <v>621</v>
      </c>
      <c r="B3" s="1102"/>
      <c r="C3" s="1102"/>
      <c r="D3" s="1102"/>
      <c r="E3" s="1102"/>
    </row>
    <row r="4" spans="1:5" s="604" customFormat="1" ht="10.199999999999999" customHeight="1" thickBot="1" x14ac:dyDescent="0.35">
      <c r="A4" s="603"/>
      <c r="B4" s="603"/>
      <c r="C4" s="603"/>
      <c r="D4" s="603"/>
      <c r="E4" s="603"/>
    </row>
    <row r="5" spans="1:5" ht="33" customHeight="1" x14ac:dyDescent="0.3">
      <c r="A5" s="605" t="s">
        <v>178</v>
      </c>
      <c r="B5" s="849">
        <f>IF(ISBLANK(IGRF!$B$5), "", IGRF!$B$5)</f>
        <v>41832</v>
      </c>
      <c r="C5" s="606" t="s">
        <v>505</v>
      </c>
      <c r="D5" s="1103" t="str">
        <f>IF(IGRF!B8="","",IGRF!$B$8&amp;"/"&amp;IGRF!$B$9&amp;" vs. "&amp;IGRF!$H$8&amp;"/"&amp;IGRF!$H$9)</f>
        <v>Rat City Rollergirls/All-Stars vs. Houston Roller Derby/All-Stars</v>
      </c>
      <c r="E5" s="1104"/>
    </row>
    <row r="6" spans="1:5" ht="33" customHeight="1" thickBot="1" x14ac:dyDescent="0.35">
      <c r="A6" s="607" t="s">
        <v>506</v>
      </c>
      <c r="B6" s="608" t="s">
        <v>619</v>
      </c>
      <c r="C6" s="609" t="s">
        <v>507</v>
      </c>
      <c r="D6" s="1105"/>
      <c r="E6" s="1106"/>
    </row>
    <row r="7" spans="1:5" ht="10.199999999999999" customHeight="1" thickBot="1" x14ac:dyDescent="0.35">
      <c r="A7" s="1107"/>
      <c r="B7" s="1108"/>
      <c r="C7" s="1108"/>
      <c r="D7" s="1108"/>
      <c r="E7" s="1108"/>
    </row>
    <row r="8" spans="1:5" ht="30" customHeight="1" x14ac:dyDescent="0.3">
      <c r="A8" s="605" t="s">
        <v>508</v>
      </c>
      <c r="B8" s="627"/>
      <c r="C8" s="610" t="s">
        <v>378</v>
      </c>
      <c r="D8" s="1097"/>
      <c r="E8" s="1098"/>
    </row>
    <row r="9" spans="1:5" ht="30" customHeight="1" x14ac:dyDescent="0.3">
      <c r="A9" s="611" t="s">
        <v>509</v>
      </c>
      <c r="B9" s="628"/>
      <c r="C9" s="612" t="s">
        <v>535</v>
      </c>
      <c r="D9" s="1099"/>
      <c r="E9" s="1100"/>
    </row>
    <row r="10" spans="1:5" ht="94.2" customHeight="1" thickBot="1" x14ac:dyDescent="0.35">
      <c r="A10" s="1094" t="s">
        <v>332</v>
      </c>
      <c r="B10" s="1095"/>
      <c r="C10" s="1095"/>
      <c r="D10" s="1095"/>
      <c r="E10" s="1096"/>
    </row>
    <row r="11" spans="1:5" s="604" customFormat="1" ht="10.199999999999999" customHeight="1" thickBot="1" x14ac:dyDescent="0.35">
      <c r="A11" s="614"/>
      <c r="B11" s="614"/>
      <c r="C11" s="614"/>
      <c r="D11" s="614"/>
      <c r="E11" s="614"/>
    </row>
    <row r="12" spans="1:5" ht="30" customHeight="1" x14ac:dyDescent="0.3">
      <c r="A12" s="605" t="s">
        <v>510</v>
      </c>
      <c r="B12" s="627"/>
      <c r="C12" s="610" t="s">
        <v>378</v>
      </c>
      <c r="D12" s="627"/>
      <c r="E12" s="615" t="s">
        <v>331</v>
      </c>
    </row>
    <row r="13" spans="1:5" ht="30" customHeight="1" x14ac:dyDescent="0.3">
      <c r="A13" s="611" t="s">
        <v>509</v>
      </c>
      <c r="B13" s="628"/>
      <c r="C13" s="612" t="s">
        <v>534</v>
      </c>
      <c r="D13" s="628"/>
      <c r="E13" s="616" t="s">
        <v>619</v>
      </c>
    </row>
    <row r="14" spans="1:5" ht="94.2" customHeight="1" thickBot="1" x14ac:dyDescent="0.35">
      <c r="A14" s="1094" t="s">
        <v>332</v>
      </c>
      <c r="B14" s="1095"/>
      <c r="C14" s="1095"/>
      <c r="D14" s="1095"/>
      <c r="E14" s="1096"/>
    </row>
    <row r="15" spans="1:5" s="604" customFormat="1" ht="10.199999999999999" customHeight="1" thickBot="1" x14ac:dyDescent="0.35">
      <c r="A15" s="614"/>
      <c r="B15" s="614"/>
      <c r="C15" s="614"/>
      <c r="D15" s="614"/>
      <c r="E15" s="614"/>
    </row>
    <row r="16" spans="1:5" ht="30" customHeight="1" x14ac:dyDescent="0.3">
      <c r="A16" s="617" t="s">
        <v>511</v>
      </c>
      <c r="B16" s="624"/>
      <c r="C16" s="610" t="s">
        <v>378</v>
      </c>
      <c r="D16" s="1097"/>
      <c r="E16" s="1098"/>
    </row>
    <row r="17" spans="1:5" ht="30" customHeight="1" x14ac:dyDescent="0.3">
      <c r="A17" s="619" t="s">
        <v>509</v>
      </c>
      <c r="B17" s="626"/>
      <c r="C17" s="620" t="s">
        <v>536</v>
      </c>
      <c r="D17" s="1099"/>
      <c r="E17" s="1100"/>
    </row>
    <row r="18" spans="1:5" ht="94.2" customHeight="1" thickBot="1" x14ac:dyDescent="0.35">
      <c r="A18" s="1094" t="s">
        <v>332</v>
      </c>
      <c r="B18" s="1095"/>
      <c r="C18" s="1095"/>
      <c r="D18" s="1095"/>
      <c r="E18" s="1096"/>
    </row>
    <row r="19" spans="1:5" s="604" customFormat="1" ht="10.199999999999999" customHeight="1" thickBot="1" x14ac:dyDescent="0.35">
      <c r="A19" s="614"/>
      <c r="B19" s="614"/>
      <c r="C19" s="614"/>
      <c r="D19" s="614"/>
      <c r="E19" s="614"/>
    </row>
    <row r="20" spans="1:5" ht="30" customHeight="1" x14ac:dyDescent="0.3">
      <c r="A20" s="617" t="s">
        <v>515</v>
      </c>
      <c r="B20" s="624"/>
      <c r="C20" s="610" t="s">
        <v>378</v>
      </c>
      <c r="D20" s="625"/>
      <c r="E20" s="621" t="s">
        <v>331</v>
      </c>
    </row>
    <row r="21" spans="1:5" ht="30" customHeight="1" x14ac:dyDescent="0.3">
      <c r="A21" s="619" t="s">
        <v>509</v>
      </c>
      <c r="B21" s="623" t="str">
        <f>IF(ISBLANK(IGRF!$B$8), "", IGRF!$B$8)</f>
        <v>Rat City Rollergirls</v>
      </c>
      <c r="C21" s="620" t="s">
        <v>537</v>
      </c>
      <c r="D21" s="626"/>
      <c r="E21" s="613" t="s">
        <v>619</v>
      </c>
    </row>
    <row r="22" spans="1:5" ht="94.2" customHeight="1" thickBot="1" x14ac:dyDescent="0.35">
      <c r="A22" s="1094" t="s">
        <v>332</v>
      </c>
      <c r="B22" s="1095"/>
      <c r="C22" s="1095"/>
      <c r="D22" s="1095"/>
      <c r="E22" s="1096"/>
    </row>
    <row r="23" spans="1:5" s="604" customFormat="1" ht="10.199999999999999" customHeight="1" thickBot="1" x14ac:dyDescent="0.35">
      <c r="A23" s="614"/>
      <c r="B23" s="614"/>
      <c r="C23" s="614"/>
      <c r="D23" s="614"/>
      <c r="E23" s="614"/>
    </row>
    <row r="24" spans="1:5" ht="30" customHeight="1" x14ac:dyDescent="0.3">
      <c r="A24" s="617" t="s">
        <v>516</v>
      </c>
      <c r="B24" s="618"/>
      <c r="C24" s="610" t="s">
        <v>378</v>
      </c>
      <c r="D24" s="625"/>
      <c r="E24" s="621" t="s">
        <v>331</v>
      </c>
    </row>
    <row r="25" spans="1:5" ht="30" customHeight="1" x14ac:dyDescent="0.3">
      <c r="A25" s="619" t="s">
        <v>509</v>
      </c>
      <c r="B25" s="623" t="str">
        <f>IF(ISBLANK(IGRF!$H$8), "", IGRF!$H$8)</f>
        <v>Houston Roller Derby</v>
      </c>
      <c r="C25" s="620" t="s">
        <v>537</v>
      </c>
      <c r="D25" s="626"/>
      <c r="E25" s="613" t="s">
        <v>619</v>
      </c>
    </row>
    <row r="26" spans="1:5" ht="94.95" customHeight="1" thickBot="1" x14ac:dyDescent="0.35">
      <c r="A26" s="1094" t="s">
        <v>332</v>
      </c>
      <c r="B26" s="1095"/>
      <c r="C26" s="1095"/>
      <c r="D26" s="1095"/>
      <c r="E26" s="1096"/>
    </row>
    <row r="27" spans="1:5" s="604" customFormat="1" ht="10.199999999999999" customHeight="1" x14ac:dyDescent="0.3">
      <c r="A27" s="614"/>
      <c r="B27" s="614"/>
      <c r="C27" s="614"/>
      <c r="D27" s="614"/>
      <c r="E27" s="614"/>
    </row>
    <row r="28" spans="1:5" s="604" customFormat="1" ht="16.2" customHeight="1" x14ac:dyDescent="0.3">
      <c r="A28" s="622" t="s">
        <v>512</v>
      </c>
      <c r="B28" s="614"/>
      <c r="C28" s="614"/>
      <c r="D28" s="614"/>
      <c r="E28" s="614"/>
    </row>
    <row r="29" spans="1:5" s="604" customFormat="1" ht="10.199999999999999" customHeight="1" thickBot="1" x14ac:dyDescent="0.35">
      <c r="A29" s="622"/>
      <c r="B29" s="614"/>
      <c r="C29" s="614"/>
      <c r="D29" s="614"/>
      <c r="E29" s="614"/>
    </row>
    <row r="30" spans="1:5" ht="30" customHeight="1" x14ac:dyDescent="0.3">
      <c r="A30" s="617" t="s">
        <v>513</v>
      </c>
      <c r="B30" s="629"/>
      <c r="C30" s="610" t="s">
        <v>378</v>
      </c>
      <c r="D30" s="625"/>
      <c r="E30" s="621" t="s">
        <v>331</v>
      </c>
    </row>
    <row r="31" spans="1:5" ht="30" customHeight="1" x14ac:dyDescent="0.3">
      <c r="A31" s="619" t="s">
        <v>509</v>
      </c>
      <c r="B31" s="626"/>
      <c r="C31" s="620" t="s">
        <v>538</v>
      </c>
      <c r="D31" s="626"/>
      <c r="E31" s="613" t="s">
        <v>619</v>
      </c>
    </row>
    <row r="32" spans="1:5" ht="94.2" customHeight="1" thickBot="1" x14ac:dyDescent="0.35">
      <c r="A32" s="1094" t="s">
        <v>332</v>
      </c>
      <c r="B32" s="1095"/>
      <c r="C32" s="1095"/>
      <c r="D32" s="1095"/>
      <c r="E32" s="1096"/>
    </row>
    <row r="33" spans="1:5" ht="10.199999999999999" customHeight="1" thickBot="1" x14ac:dyDescent="0.35"/>
    <row r="34" spans="1:5" ht="30" customHeight="1" x14ac:dyDescent="0.3">
      <c r="A34" s="617" t="s">
        <v>514</v>
      </c>
      <c r="B34" s="629"/>
      <c r="C34" s="610" t="s">
        <v>378</v>
      </c>
      <c r="D34" s="625"/>
      <c r="E34" s="621" t="s">
        <v>331</v>
      </c>
    </row>
    <row r="35" spans="1:5" ht="30" customHeight="1" x14ac:dyDescent="0.3">
      <c r="A35" s="619" t="s">
        <v>509</v>
      </c>
      <c r="B35" s="626"/>
      <c r="C35" s="620" t="s">
        <v>539</v>
      </c>
      <c r="D35" s="626"/>
      <c r="E35" s="613" t="s">
        <v>619</v>
      </c>
    </row>
    <row r="36" spans="1:5" ht="94.95" customHeight="1" thickBot="1" x14ac:dyDescent="0.35">
      <c r="A36" s="1094" t="s">
        <v>332</v>
      </c>
      <c r="B36" s="1095"/>
      <c r="C36" s="1095"/>
      <c r="D36" s="1095"/>
      <c r="E36" s="1096"/>
    </row>
  </sheetData>
  <mergeCells count="16">
    <mergeCell ref="A1:E1"/>
    <mergeCell ref="A3:E3"/>
    <mergeCell ref="A18:E18"/>
    <mergeCell ref="A22:E22"/>
    <mergeCell ref="D5:E5"/>
    <mergeCell ref="D6:E6"/>
    <mergeCell ref="A7:E7"/>
    <mergeCell ref="A10:E10"/>
    <mergeCell ref="A14:E14"/>
    <mergeCell ref="D8:E8"/>
    <mergeCell ref="D9:E9"/>
    <mergeCell ref="A26:E26"/>
    <mergeCell ref="A32:E32"/>
    <mergeCell ref="A36:E36"/>
    <mergeCell ref="D16:E16"/>
    <mergeCell ref="D17:E17"/>
  </mergeCells>
  <phoneticPr fontId="8" type="noConversion"/>
  <printOptions horizontalCentered="1"/>
  <pageMargins left="1" right="1" top="1.2" bottom="0.5" header="0.75" footer="0.51"/>
  <pageSetup scale="46" firstPageNumber="0" fitToWidth="0" orientation="portrait" horizontalDpi="4294967294" verticalDpi="4294967294"/>
  <headerFooter alignWithMargins="0">
    <oddHeader>&amp;L&amp;"Calibri,Regular"&amp;18&amp;K000000&amp;GWFTDA Expulsion/Suspension Form&amp;R&amp;"Calibri,Regular"&amp;K000000‘&amp;A’ revision 140421
StatsBook © 2008–2014 WFTDA</oddHeader>
  </headerFooter>
  <legacyDrawingHF r:id="rId1"/>
  <extLst>
    <ext xmlns:mx="http://schemas.microsoft.com/office/mac/excel/2008/main" uri="{64002731-A6B0-56B0-2670-7721B7C09600}">
      <mx:PLV Mode="0" OnePage="0" WScale="66"/>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theme="0" tint="-0.14999847407452621"/>
  </sheetPr>
  <dimension ref="A1:BT48"/>
  <sheetViews>
    <sheetView workbookViewId="0">
      <selection sqref="A1:AI1"/>
    </sheetView>
  </sheetViews>
  <sheetFormatPr defaultColWidth="9.33203125" defaultRowHeight="20.25" customHeight="1" x14ac:dyDescent="0.3"/>
  <cols>
    <col min="1" max="1" width="7.44140625" style="209" customWidth="1"/>
    <col min="2" max="2" width="22.33203125" style="3" customWidth="1"/>
    <col min="3" max="6" width="4.6640625" style="3" customWidth="1"/>
    <col min="7" max="7" width="6.44140625" style="3" customWidth="1"/>
    <col min="8" max="8" width="4.6640625" style="3" customWidth="1"/>
    <col min="9" max="9" width="6.44140625" style="3" customWidth="1"/>
    <col min="10" max="13" width="4.6640625" style="3" customWidth="1"/>
    <col min="14" max="14" width="6.44140625" style="3" customWidth="1"/>
    <col min="15" max="15" width="4.6640625" style="3" customWidth="1"/>
    <col min="16" max="16" width="6.6640625" style="3" bestFit="1" customWidth="1"/>
    <col min="17" max="20" width="4.6640625" style="3" customWidth="1"/>
    <col min="21" max="21" width="6.44140625" style="3" customWidth="1"/>
    <col min="22" max="22" width="4.6640625" style="210" customWidth="1"/>
    <col min="23" max="23" width="6.44140625" style="3" customWidth="1"/>
    <col min="24" max="24" width="4.6640625" style="210" customWidth="1"/>
    <col min="25" max="25" width="6.44140625" style="3" customWidth="1"/>
    <col min="26" max="26" width="6" style="3" customWidth="1"/>
    <col min="27" max="29" width="6" style="211" customWidth="1"/>
    <col min="30" max="32" width="6" style="212" customWidth="1"/>
    <col min="33" max="33" width="6.44140625" style="212" customWidth="1"/>
    <col min="34" max="34" width="4.6640625" style="3" customWidth="1"/>
    <col min="35" max="35" width="6.44140625" style="3" customWidth="1"/>
    <col min="36" max="36" width="7.44140625" style="213" customWidth="1"/>
    <col min="37" max="37" width="22" style="3" customWidth="1"/>
    <col min="38" max="42" width="3.33203125" style="3" customWidth="1"/>
    <col min="43" max="43" width="4.33203125" style="3" customWidth="1"/>
    <col min="44" max="48" width="3.33203125" style="3" customWidth="1"/>
    <col min="49" max="49" width="4.33203125" style="3" customWidth="1"/>
    <col min="50" max="51" width="4.6640625" style="3" customWidth="1"/>
    <col min="52" max="52" width="5.33203125" style="211" customWidth="1"/>
    <col min="53" max="53" width="6.44140625" style="214" customWidth="1"/>
    <col min="54" max="54" width="5.33203125" style="211" customWidth="1"/>
    <col min="55" max="55" width="6.44140625" style="214" customWidth="1"/>
    <col min="56" max="56" width="5.33203125" style="211" customWidth="1"/>
    <col min="57" max="57" width="6.44140625" style="214" customWidth="1"/>
    <col min="58" max="62" width="3.33203125" style="3" customWidth="1"/>
    <col min="63" max="63" width="4.6640625" style="3" customWidth="1"/>
    <col min="64" max="66" width="6.44140625" style="214" customWidth="1"/>
    <col min="67" max="71" width="3.33203125" style="3" customWidth="1"/>
    <col min="72" max="72" width="4.44140625" style="3" customWidth="1"/>
    <col min="73" max="16384" width="9.33203125" style="3"/>
  </cols>
  <sheetData>
    <row r="1" spans="1:72" ht="15" customHeight="1" x14ac:dyDescent="0.3">
      <c r="A1" s="1119" t="s">
        <v>92</v>
      </c>
      <c r="B1" s="1119"/>
      <c r="C1" s="1119"/>
      <c r="D1" s="1119"/>
      <c r="E1" s="1119"/>
      <c r="F1" s="1119"/>
      <c r="G1" s="1119"/>
      <c r="H1" s="1119"/>
      <c r="I1" s="1119"/>
      <c r="J1" s="1119"/>
      <c r="K1" s="1119"/>
      <c r="L1" s="1119"/>
      <c r="M1" s="1119"/>
      <c r="N1" s="1119"/>
      <c r="O1" s="1119"/>
      <c r="P1" s="1119"/>
      <c r="Q1" s="1119"/>
      <c r="R1" s="1119"/>
      <c r="S1" s="1119"/>
      <c r="T1" s="1119"/>
      <c r="U1" s="1119"/>
      <c r="V1" s="1119"/>
      <c r="W1" s="1119"/>
      <c r="X1" s="1119"/>
      <c r="Y1" s="1119"/>
      <c r="Z1" s="1119"/>
      <c r="AA1" s="1119"/>
      <c r="AB1" s="1119"/>
      <c r="AC1" s="1119"/>
      <c r="AD1" s="1119"/>
      <c r="AE1" s="1119"/>
      <c r="AF1" s="1119"/>
      <c r="AG1" s="1119"/>
      <c r="AH1" s="1119"/>
      <c r="AI1" s="1119"/>
      <c r="AJ1" s="1120" t="s">
        <v>93</v>
      </c>
      <c r="AK1" s="1120"/>
      <c r="AL1" s="1120"/>
      <c r="AM1" s="1120"/>
      <c r="AN1" s="1120"/>
      <c r="AO1" s="1120"/>
      <c r="AP1" s="1120"/>
      <c r="AQ1" s="1120"/>
      <c r="AR1" s="1120"/>
      <c r="AS1" s="1120"/>
      <c r="AT1" s="1120"/>
      <c r="AU1" s="1120"/>
      <c r="AV1" s="1120"/>
      <c r="AW1" s="1120"/>
      <c r="AX1" s="1120"/>
      <c r="AY1" s="1120"/>
      <c r="AZ1" s="1120"/>
      <c r="BA1" s="1120"/>
      <c r="BB1" s="1120"/>
      <c r="BC1" s="1120"/>
      <c r="BD1" s="1120"/>
      <c r="BE1" s="1120"/>
      <c r="BF1" s="1120"/>
      <c r="BG1" s="1120"/>
      <c r="BH1" s="1120"/>
      <c r="BI1" s="1120"/>
      <c r="BJ1" s="1120"/>
      <c r="BK1" s="1120"/>
      <c r="BL1" s="1120"/>
      <c r="BM1" s="1120"/>
      <c r="BN1" s="1120"/>
      <c r="BO1" s="1120"/>
      <c r="BP1" s="1120"/>
      <c r="BQ1" s="1120"/>
      <c r="BR1" s="1120"/>
      <c r="BS1" s="1120"/>
      <c r="BT1" s="1120"/>
    </row>
    <row r="2" spans="1:72" ht="15" customHeight="1" x14ac:dyDescent="0.3">
      <c r="A2" s="1121" t="str">
        <f>IF(IGRF!B8="","PLEASE FILL IN THE IGRF TAB!",IGRF!$B$8&amp;"/"&amp;IGRF!$B$9&amp;" vs. "&amp;IGRF!$H$8&amp;"/"&amp;IGRF!$H$9&amp;IF(IGRF!$K$3="",""," Game "&amp;IGRF!$K$3))</f>
        <v>Rat City Rollergirls/All-Stars vs. Houston Roller Derby/All-Stars Game 2</v>
      </c>
      <c r="B2" s="1121"/>
      <c r="C2" s="1121"/>
      <c r="D2" s="1121"/>
      <c r="E2" s="1121"/>
      <c r="F2" s="1121"/>
      <c r="G2" s="1121"/>
      <c r="H2" s="1121"/>
      <c r="I2" s="1121"/>
      <c r="J2" s="1121"/>
      <c r="K2" s="1121"/>
      <c r="L2" s="1121"/>
      <c r="M2" s="1121"/>
      <c r="N2" s="1121"/>
      <c r="O2" s="1121"/>
      <c r="P2" s="1121"/>
      <c r="Q2" s="1121"/>
      <c r="R2" s="1121"/>
      <c r="S2" s="1121"/>
      <c r="T2" s="1121"/>
      <c r="U2" s="1121"/>
      <c r="V2" s="1121"/>
      <c r="W2" s="1121"/>
      <c r="X2" s="1121"/>
      <c r="Y2" s="1121"/>
      <c r="Z2" s="1121"/>
      <c r="AA2" s="1121"/>
      <c r="AB2" s="1121"/>
      <c r="AC2" s="1121"/>
      <c r="AD2" s="1121"/>
      <c r="AE2" s="1121"/>
      <c r="AF2" s="1121"/>
      <c r="AG2" s="1121"/>
      <c r="AH2" s="1121"/>
      <c r="AI2" s="1121"/>
      <c r="AJ2" s="1121" t="str">
        <f>A2</f>
        <v>Rat City Rollergirls/All-Stars vs. Houston Roller Derby/All-Stars Game 2</v>
      </c>
      <c r="AK2" s="1121"/>
      <c r="AL2" s="1121"/>
      <c r="AM2" s="1121"/>
      <c r="AN2" s="1121"/>
      <c r="AO2" s="1121"/>
      <c r="AP2" s="1121"/>
      <c r="AQ2" s="1121"/>
      <c r="AR2" s="1121"/>
      <c r="AS2" s="1121"/>
      <c r="AT2" s="1121"/>
      <c r="AU2" s="1121"/>
      <c r="AV2" s="1121"/>
      <c r="AW2" s="1121"/>
      <c r="AX2" s="1121"/>
      <c r="AY2" s="1121"/>
      <c r="AZ2" s="1121"/>
      <c r="BA2" s="1121"/>
      <c r="BB2" s="1121"/>
      <c r="BC2" s="1121"/>
      <c r="BD2" s="1121"/>
      <c r="BE2" s="1121"/>
      <c r="BF2" s="1121"/>
      <c r="BG2" s="1121"/>
      <c r="BH2" s="1121"/>
      <c r="BI2" s="1121"/>
      <c r="BJ2" s="1121"/>
      <c r="BK2" s="1121"/>
      <c r="BL2" s="1121"/>
      <c r="BM2" s="1121"/>
      <c r="BN2" s="1121"/>
      <c r="BO2" s="1121"/>
      <c r="BP2" s="1121"/>
      <c r="BQ2" s="1121"/>
      <c r="BR2" s="1121"/>
      <c r="BS2" s="1121"/>
      <c r="BT2" s="1121"/>
    </row>
    <row r="3" spans="1:72" ht="15" customHeight="1" thickBot="1" x14ac:dyDescent="0.35">
      <c r="A3" s="1122">
        <f>IF(IGRF!$B$5="","ENTER DATE ON IGRF TAB!",IGRF!$B$5)</f>
        <v>41832</v>
      </c>
      <c r="B3" s="1122"/>
      <c r="C3" s="1122"/>
      <c r="D3" s="1122"/>
      <c r="E3" s="1122"/>
      <c r="F3" s="1122"/>
      <c r="G3" s="1122"/>
      <c r="H3" s="1122"/>
      <c r="I3" s="1122"/>
      <c r="J3" s="1122"/>
      <c r="K3" s="1122"/>
      <c r="L3" s="1122"/>
      <c r="M3" s="1122"/>
      <c r="N3" s="1122"/>
      <c r="O3" s="1122"/>
      <c r="P3" s="1122"/>
      <c r="Q3" s="1122"/>
      <c r="R3" s="1122"/>
      <c r="S3" s="1122"/>
      <c r="T3" s="1122"/>
      <c r="U3" s="1122"/>
      <c r="V3" s="1122"/>
      <c r="W3" s="1122"/>
      <c r="X3" s="1122"/>
      <c r="Y3" s="1122"/>
      <c r="Z3" s="1122"/>
      <c r="AA3" s="1122"/>
      <c r="AB3" s="1122"/>
      <c r="AC3" s="1122"/>
      <c r="AD3" s="1122"/>
      <c r="AE3" s="1122"/>
      <c r="AF3" s="1122"/>
      <c r="AG3" s="1122"/>
      <c r="AH3" s="1122"/>
      <c r="AI3" s="1122"/>
      <c r="AJ3" s="1123">
        <f>A3</f>
        <v>41832</v>
      </c>
      <c r="AK3" s="1123"/>
      <c r="AL3" s="1123"/>
      <c r="AM3" s="1123"/>
      <c r="AN3" s="1123"/>
      <c r="AO3" s="1123"/>
      <c r="AP3" s="1123"/>
      <c r="AQ3" s="1123"/>
      <c r="AR3" s="1123"/>
      <c r="AS3" s="1123"/>
      <c r="AT3" s="1123"/>
      <c r="AU3" s="1123"/>
      <c r="AV3" s="1123"/>
      <c r="AW3" s="1123"/>
      <c r="AX3" s="1123"/>
      <c r="AY3" s="1123"/>
      <c r="AZ3" s="1123"/>
      <c r="BA3" s="1123"/>
      <c r="BB3" s="1123"/>
      <c r="BC3" s="1123"/>
      <c r="BD3" s="1123"/>
      <c r="BE3" s="1123"/>
      <c r="BF3" s="1123"/>
      <c r="BG3" s="1123"/>
      <c r="BH3" s="1123"/>
      <c r="BI3" s="1123"/>
      <c r="BJ3" s="1123"/>
      <c r="BK3" s="1123"/>
      <c r="BL3" s="1123"/>
      <c r="BM3" s="1123"/>
      <c r="BN3" s="1123"/>
      <c r="BO3" s="1123"/>
      <c r="BP3" s="1123"/>
      <c r="BQ3" s="1123"/>
      <c r="BR3" s="1123"/>
      <c r="BS3" s="1123"/>
      <c r="BT3" s="1123"/>
    </row>
    <row r="4" spans="1:72" ht="15" customHeight="1" thickBot="1" x14ac:dyDescent="0.35">
      <c r="A4" s="1127" t="s">
        <v>94</v>
      </c>
      <c r="B4" s="1127"/>
      <c r="C4" s="1127" t="s">
        <v>95</v>
      </c>
      <c r="D4" s="1127"/>
      <c r="E4" s="1127"/>
      <c r="F4" s="1127"/>
      <c r="G4" s="183"/>
      <c r="H4" s="184"/>
      <c r="I4" s="185"/>
      <c r="J4" s="1124" t="s">
        <v>97</v>
      </c>
      <c r="K4" s="1124"/>
      <c r="L4" s="1124"/>
      <c r="M4" s="1124"/>
      <c r="N4" s="1124"/>
      <c r="O4" s="1124"/>
      <c r="P4" s="185"/>
      <c r="Q4" s="1124" t="s">
        <v>98</v>
      </c>
      <c r="R4" s="1124"/>
      <c r="S4" s="1124"/>
      <c r="T4" s="1124"/>
      <c r="U4" s="1124"/>
      <c r="V4" s="1124"/>
      <c r="W4" s="1124"/>
      <c r="X4" s="1124"/>
      <c r="Y4" s="1124"/>
      <c r="Z4" s="1124"/>
      <c r="AA4" s="1124" t="s">
        <v>99</v>
      </c>
      <c r="AB4" s="1124"/>
      <c r="AC4" s="1124"/>
      <c r="AD4" s="1124"/>
      <c r="AE4" s="1124"/>
      <c r="AF4" s="1124"/>
      <c r="AG4" s="1124"/>
      <c r="AH4" s="1124" t="s">
        <v>100</v>
      </c>
      <c r="AI4" s="1124"/>
      <c r="AJ4" s="1127" t="s">
        <v>94</v>
      </c>
      <c r="AK4" s="1127"/>
      <c r="AL4" s="1124" t="s">
        <v>482</v>
      </c>
      <c r="AM4" s="1124"/>
      <c r="AN4" s="1124"/>
      <c r="AO4" s="1124"/>
      <c r="AP4" s="1124"/>
      <c r="AQ4" s="1124"/>
      <c r="AR4" s="1124"/>
      <c r="AS4" s="1124"/>
      <c r="AT4" s="1124"/>
      <c r="AU4" s="1124"/>
      <c r="AV4" s="1124"/>
      <c r="AW4" s="1124"/>
      <c r="AX4" s="1124"/>
      <c r="AY4" s="1124"/>
      <c r="AZ4" s="1124" t="s">
        <v>101</v>
      </c>
      <c r="BA4" s="1124"/>
      <c r="BB4" s="1124"/>
      <c r="BC4" s="1124"/>
      <c r="BD4" s="1124"/>
      <c r="BE4" s="186"/>
      <c r="BF4" s="1125" t="s">
        <v>102</v>
      </c>
      <c r="BG4" s="1125"/>
      <c r="BH4" s="1125"/>
      <c r="BI4" s="1125"/>
      <c r="BJ4" s="1125"/>
      <c r="BK4" s="1125"/>
      <c r="BL4" s="1125"/>
      <c r="BM4" s="1125"/>
      <c r="BN4" s="1125"/>
      <c r="BO4" s="1126" t="s">
        <v>103</v>
      </c>
      <c r="BP4" s="1126"/>
      <c r="BQ4" s="1126"/>
      <c r="BR4" s="1126"/>
      <c r="BS4" s="1126"/>
      <c r="BT4" s="1126"/>
    </row>
    <row r="5" spans="1:72" s="49" customFormat="1" ht="63.75" customHeight="1" thickBot="1" x14ac:dyDescent="0.35">
      <c r="A5" s="291" t="s">
        <v>187</v>
      </c>
      <c r="B5" s="292" t="str">
        <f>Score!$A$1</f>
        <v>Rat City Rollergirls / All-Stars</v>
      </c>
      <c r="C5" s="293" t="s">
        <v>104</v>
      </c>
      <c r="D5" s="294" t="s">
        <v>105</v>
      </c>
      <c r="E5" s="294" t="s">
        <v>106</v>
      </c>
      <c r="F5" s="187" t="s">
        <v>107</v>
      </c>
      <c r="G5" s="188" t="s">
        <v>108</v>
      </c>
      <c r="H5" s="189" t="s">
        <v>96</v>
      </c>
      <c r="I5" s="190" t="s">
        <v>109</v>
      </c>
      <c r="J5" s="295" t="s">
        <v>259</v>
      </c>
      <c r="K5" s="296" t="s">
        <v>260</v>
      </c>
      <c r="L5" s="296" t="s">
        <v>110</v>
      </c>
      <c r="M5" s="296" t="s">
        <v>111</v>
      </c>
      <c r="N5" s="296" t="s">
        <v>112</v>
      </c>
      <c r="O5" s="296" t="s">
        <v>113</v>
      </c>
      <c r="P5" s="297" t="s">
        <v>114</v>
      </c>
      <c r="Q5" s="293" t="s">
        <v>115</v>
      </c>
      <c r="R5" s="296" t="s">
        <v>116</v>
      </c>
      <c r="S5" s="189" t="s">
        <v>117</v>
      </c>
      <c r="T5" s="293" t="s">
        <v>118</v>
      </c>
      <c r="U5" s="298" t="s">
        <v>119</v>
      </c>
      <c r="V5" s="299" t="s">
        <v>120</v>
      </c>
      <c r="W5" s="300" t="s">
        <v>121</v>
      </c>
      <c r="X5" s="301" t="s">
        <v>122</v>
      </c>
      <c r="Y5" s="300" t="s">
        <v>123</v>
      </c>
      <c r="Z5" s="191" t="s">
        <v>124</v>
      </c>
      <c r="AA5" s="302" t="s">
        <v>347</v>
      </c>
      <c r="AB5" s="302" t="s">
        <v>126</v>
      </c>
      <c r="AC5" s="192" t="s">
        <v>127</v>
      </c>
      <c r="AD5" s="303" t="s">
        <v>128</v>
      </c>
      <c r="AE5" s="303" t="s">
        <v>129</v>
      </c>
      <c r="AF5" s="303" t="s">
        <v>130</v>
      </c>
      <c r="AG5" s="193" t="s">
        <v>131</v>
      </c>
      <c r="AH5" s="1115" t="s">
        <v>608</v>
      </c>
      <c r="AI5" s="1116"/>
      <c r="AJ5" s="304" t="s">
        <v>187</v>
      </c>
      <c r="AK5" s="305" t="str">
        <f t="shared" ref="AK5:AK25" si="0">B5</f>
        <v>Rat City Rollergirls / All-Stars</v>
      </c>
      <c r="AL5" s="295" t="s">
        <v>132</v>
      </c>
      <c r="AM5" s="296" t="s">
        <v>133</v>
      </c>
      <c r="AN5" s="296" t="s">
        <v>134</v>
      </c>
      <c r="AO5" s="296" t="s">
        <v>135</v>
      </c>
      <c r="AP5" s="296" t="s">
        <v>136</v>
      </c>
      <c r="AQ5" s="306" t="s">
        <v>137</v>
      </c>
      <c r="AR5" s="295" t="s">
        <v>138</v>
      </c>
      <c r="AS5" s="296" t="s">
        <v>139</v>
      </c>
      <c r="AT5" s="296" t="s">
        <v>140</v>
      </c>
      <c r="AU5" s="296" t="s">
        <v>141</v>
      </c>
      <c r="AV5" s="296" t="s">
        <v>142</v>
      </c>
      <c r="AW5" s="296" t="s">
        <v>143</v>
      </c>
      <c r="AX5" s="194" t="s">
        <v>107</v>
      </c>
      <c r="AY5" s="195" t="s">
        <v>144</v>
      </c>
      <c r="AZ5" s="307" t="s">
        <v>145</v>
      </c>
      <c r="BA5" s="308" t="s">
        <v>146</v>
      </c>
      <c r="BB5" s="309" t="s">
        <v>147</v>
      </c>
      <c r="BC5" s="308" t="s">
        <v>148</v>
      </c>
      <c r="BD5" s="196" t="s">
        <v>149</v>
      </c>
      <c r="BE5" s="197" t="s">
        <v>150</v>
      </c>
      <c r="BF5" s="295" t="s">
        <v>151</v>
      </c>
      <c r="BG5" s="296" t="s">
        <v>152</v>
      </c>
      <c r="BH5" s="296" t="s">
        <v>153</v>
      </c>
      <c r="BI5" s="296" t="s">
        <v>154</v>
      </c>
      <c r="BJ5" s="294" t="s">
        <v>155</v>
      </c>
      <c r="BK5" s="194" t="s">
        <v>107</v>
      </c>
      <c r="BL5" s="198" t="s">
        <v>156</v>
      </c>
      <c r="BM5" s="199" t="s">
        <v>157</v>
      </c>
      <c r="BN5" s="200" t="s">
        <v>158</v>
      </c>
      <c r="BO5" s="377" t="s">
        <v>159</v>
      </c>
      <c r="BP5" s="378" t="s">
        <v>160</v>
      </c>
      <c r="BQ5" s="378" t="s">
        <v>161</v>
      </c>
      <c r="BR5" s="378" t="s">
        <v>162</v>
      </c>
      <c r="BS5" s="378" t="s">
        <v>163</v>
      </c>
      <c r="BT5" s="201" t="s">
        <v>107</v>
      </c>
    </row>
    <row r="6" spans="1:72" s="108" customFormat="1" ht="19.95" customHeight="1" x14ac:dyDescent="0.3">
      <c r="A6" s="286" t="str">
        <f>IF(ISBLANK(IGRF!$B11),"",IGRF!$B11)</f>
        <v>12</v>
      </c>
      <c r="B6" s="202" t="str">
        <f>IF(ISBLANK(IGRF!$C11),"",IGRF!$C11)</f>
        <v>Carmen Getsome</v>
      </c>
      <c r="C6" s="203">
        <f>IF(A6="","",SUM(LU!O9,LU!O108))</f>
        <v>1</v>
      </c>
      <c r="D6" s="203">
        <f>IF(A6="","",SUM(LU!D9,LU!D108))</f>
        <v>21</v>
      </c>
      <c r="E6" s="203">
        <f>IF(A6="","",SUM(LU!J9,LU!J108))</f>
        <v>3</v>
      </c>
      <c r="F6" s="760">
        <f>IF(A6="","",(SUM(C6:E6)-(SUMPRODUCT(--(Lineups!C$4:C$41=A6),--(Lineups!A$4:A$41="SP"))+SUMPRODUCT(--(Lineups!G$4:G$41=A6),--(Lineups!A$4:A$41="SP"))+SUMPRODUCT(--(Lineups!C$50:C$87=A6),--(Lineups!A$50:A$87="SP"))+SUMPRODUCT(--(Lineups!G$50:G$87=A6),--(Lineups!A$50:A$87="SP")))))</f>
        <v>24</v>
      </c>
      <c r="G6" s="761">
        <f>IF(OR(A6="",F6=0,LU!D$3+LU!D$102=0),"",F6/(LU!D$3+LU!D$102))</f>
        <v>0.51063829787234039</v>
      </c>
      <c r="H6" s="762">
        <f ca="1">IF(OR(C6=0,A6=""),"",SK!D174)</f>
        <v>11</v>
      </c>
      <c r="I6" s="763">
        <f ca="1">IF(OR(A6="",SK!E174="",SK!E174=0),"",H6/SK!E174)</f>
        <v>11</v>
      </c>
      <c r="J6" s="770">
        <f ca="1">IF(OR(A6="",C6=0),"",SK!G174)</f>
        <v>0</v>
      </c>
      <c r="K6" s="771">
        <f ca="1">IF(OR(A6="",C6=0),"",SK!H174)</f>
        <v>0</v>
      </c>
      <c r="L6" s="772">
        <f ca="1">IF(OR(A6="",C6=0),"",SK!J174)</f>
        <v>0</v>
      </c>
      <c r="M6" s="772">
        <f ca="1">IF(OR(A6="",C6=0),"",SK!L174)</f>
        <v>0</v>
      </c>
      <c r="N6" s="773">
        <f t="shared" ref="N6:N25" ca="1" si="1">IF(OR(A6="",C6=0),"",K6/C6)</f>
        <v>0</v>
      </c>
      <c r="O6" s="774">
        <f ca="1">IF(OR(A6="",C6=0),"",SK!I174)</f>
        <v>0</v>
      </c>
      <c r="P6" s="775" t="str">
        <f t="shared" ref="P6:P25" ca="1" si="2">IF(OR(A6="",C6=0,K6=0),"",O6/K6)</f>
        <v/>
      </c>
      <c r="Q6" s="776">
        <f ca="1">IF(OR(A6="",F6=0),"",SUM(LU!Q55,LU!Q154))</f>
        <v>156</v>
      </c>
      <c r="R6" s="777">
        <f ca="1">IF(OR(A6="",F6=0),"",SUM(LU!Q78,LU!Q177))</f>
        <v>22</v>
      </c>
      <c r="S6" s="762">
        <f ca="1">IF(OR(A6="",F6=0),"",SUM(LU!Q32,LU!Q131))</f>
        <v>134</v>
      </c>
      <c r="T6" s="777">
        <f ca="1">IF(OR(A6="",C6=0),"",SUM(LU!O32,LU!O131))</f>
        <v>11</v>
      </c>
      <c r="U6" s="778">
        <f t="shared" ref="U6:U25" ca="1" si="3">IF(OR(A6="",C6=0),"",T6/C6)</f>
        <v>11</v>
      </c>
      <c r="V6" s="779">
        <f ca="1">IF(OR(A6="",D6=0),"",SUM(LU!D32,LU!D131))</f>
        <v>70</v>
      </c>
      <c r="W6" s="778">
        <f t="shared" ref="W6:W25" ca="1" si="4">IF(OR(A6="",D6=0),"",V6/D6)</f>
        <v>3.3333333333333335</v>
      </c>
      <c r="X6" s="779">
        <f ca="1">IF(OR(A6="",E6=0),"",SUM(LU!J32,LU!J131))</f>
        <v>53</v>
      </c>
      <c r="Y6" s="778">
        <f t="shared" ref="Y6:Y25" ca="1" si="5">IF(OR(A6="",E6=0),"",X6/E6)</f>
        <v>17.666666666666668</v>
      </c>
      <c r="Z6" s="775">
        <f ca="1">IF(OR(A6="",F6=0),"",S6/F6)</f>
        <v>5.583333333333333</v>
      </c>
      <c r="AA6" s="780">
        <f ca="1">IF(OR(A6="",F6=0,Q$26="-",LU!$D$5=0),"",Q6-Q$26)</f>
        <v>63.142857142857139</v>
      </c>
      <c r="AB6" s="781">
        <f ca="1">IF(OR(A6="",F6=0,R$26="-",LU!$D$5=0),"",R6-R$26)</f>
        <v>-5.5</v>
      </c>
      <c r="AC6" s="782">
        <f t="shared" ref="AC6:AC25" ca="1" si="6">IF(OR(A6="",F6=0,AA6=""),"",AA6-AB6)</f>
        <v>68.642857142857139</v>
      </c>
      <c r="AD6" s="783">
        <f t="shared" ref="AD6:AD25" ca="1" si="7">IF(OR($A6="",C6=0),"",U6-U$26)</f>
        <v>5.7865800865800869</v>
      </c>
      <c r="AE6" s="783">
        <f t="shared" ref="AE6:AE25" ca="1" si="8">IF(OR($A6="",D6=0),"",W6-W$26)</f>
        <v>-2.3584558823529407</v>
      </c>
      <c r="AF6" s="784">
        <f t="shared" ref="AF6:AF25" ca="1" si="9">IF(OR($A6="",E6=0),"",Y6-Y$26)</f>
        <v>12.504414955217095</v>
      </c>
      <c r="AG6" s="785">
        <f ca="1">IF(OR($A6="",Z6="",Z$26="-",LU!$D$5=0),"",Z6-Z$26)</f>
        <v>1.7195572536461516</v>
      </c>
      <c r="AH6" s="1117">
        <f>IF(OR(A6="",F6=0),"",SUM(PT!U3,PT!U4))</f>
        <v>5</v>
      </c>
      <c r="AI6" s="1118"/>
      <c r="AJ6" s="286" t="str">
        <f t="shared" ref="AJ6:AJ25" si="10">A6</f>
        <v>12</v>
      </c>
      <c r="AK6" s="204" t="str">
        <f t="shared" si="0"/>
        <v>Carmen Getsome</v>
      </c>
      <c r="AL6" s="805">
        <f>IF(OR($A6="",$F6=0),"",SUM(Actions!C75,Actions!J75))</f>
        <v>0</v>
      </c>
      <c r="AM6" s="806">
        <f>IF(OR($A6="",$F6=0),"",SUM(Actions!D75,Actions!K75))</f>
        <v>0</v>
      </c>
      <c r="AN6" s="806">
        <f>IF(OR($A6="",$F6=0),"",SUM(Actions!E75,Actions!L75))</f>
        <v>0</v>
      </c>
      <c r="AO6" s="806">
        <f>IF(OR($A6="",$F6=0),"",SUM(Actions!F75,Actions!M75))</f>
        <v>0</v>
      </c>
      <c r="AP6" s="806">
        <f>IF(OR($A6="",$F6=0),"",SUM(Actions!G75,Actions!N75))</f>
        <v>0</v>
      </c>
      <c r="AQ6" s="807">
        <f t="shared" ref="AQ6:AQ25" si="11">IF(OR(A6="",F6=0),"",SUM(AL6:AP6))</f>
        <v>0</v>
      </c>
      <c r="AR6" s="776">
        <f>IF(OR($A6="",$F6=0),"",SUM(Actions!C5,Actions!J5))</f>
        <v>0</v>
      </c>
      <c r="AS6" s="777">
        <f>IF(OR($A6="",$F6=0),"",SUM(Actions!D5,Actions!K5))</f>
        <v>0</v>
      </c>
      <c r="AT6" s="777">
        <f>IF(OR($A6="",$F6=0),"",SUM(Actions!E5,Actions!L5))</f>
        <v>0</v>
      </c>
      <c r="AU6" s="777">
        <f>IF(OR($A6="",$F6=0),"",SUM(Actions!F5,Actions!M5))</f>
        <v>0</v>
      </c>
      <c r="AV6" s="777">
        <f>IF(OR($A6="",$F6=0),"",SUM(Actions!G5,Actions!N5))</f>
        <v>0</v>
      </c>
      <c r="AW6" s="762">
        <f t="shared" ref="AW6:AW25" si="12">IF(OR($A6="",F6=0),"",SUM(AR6:AV6))</f>
        <v>0</v>
      </c>
      <c r="AX6" s="808">
        <f>IF(OR(A6="",F6=0),"",SUM(AQ6,AW6))</f>
        <v>0</v>
      </c>
      <c r="AY6" s="809">
        <f t="shared" ref="AY6:AY25" si="13">IF(OR(A6="",F6=0),"",SUM(AM6,AU6))</f>
        <v>0</v>
      </c>
      <c r="AZ6" s="810">
        <f t="shared" ref="AZ6:AZ25" si="14">IF(OR(A6="",F6=0),"",AQ6/F6)</f>
        <v>0</v>
      </c>
      <c r="BA6" s="811" t="str">
        <f t="shared" ref="BA6:BA25" si="15">IF(OR(A6="",F6=0,AQ$26=0),"",AQ6/AQ$26)</f>
        <v/>
      </c>
      <c r="BB6" s="782">
        <f t="shared" ref="BB6:BB25" si="16">IF(OR(A6="",F6=0),"",AW6/F6)</f>
        <v>0</v>
      </c>
      <c r="BC6" s="812" t="str">
        <f t="shared" ref="BC6:BC25" si="17">IF(OR(A6="",F6=0,AW$26=0),"",AW6/AW$26)</f>
        <v/>
      </c>
      <c r="BD6" s="813">
        <f t="shared" ref="BD6:BD25" si="18">IF(OR(A6="",F6=0),"",AX6/F6)</f>
        <v>0</v>
      </c>
      <c r="BE6" s="761" t="str">
        <f t="shared" ref="BE6:BE25" si="19">IF(OR(A6="",F6=0,AX$26=0),"",AX6/AX$26)</f>
        <v/>
      </c>
      <c r="BF6" s="814">
        <f>IF(OR($A6="",$F6=0),"",SUM(Errors!C5,Errors!J5))</f>
        <v>0</v>
      </c>
      <c r="BG6" s="777">
        <f>IF(OR($A6="",$F6=0),"",SUM(Errors!D5,Errors!K5))</f>
        <v>0</v>
      </c>
      <c r="BH6" s="777">
        <f>IF(OR($A6="",$F6=0),"",SUM(Errors!E5,Errors!L5))</f>
        <v>0</v>
      </c>
      <c r="BI6" s="777">
        <f>IF(OR($A6="",$F6=0),"",SUM(Errors!F5,Errors!M5))</f>
        <v>0</v>
      </c>
      <c r="BJ6" s="815">
        <f>IF(OR($A6="",$F6=0),"",SUM(Errors!G5,Errors!N5))</f>
        <v>0</v>
      </c>
      <c r="BK6" s="762">
        <f t="shared" ref="BK6:BK25" si="20">IF(OR(A6="",F6=0),"",SUM(BF6:BJ6))</f>
        <v>0</v>
      </c>
      <c r="BL6" s="816" t="str">
        <f t="shared" ref="BL6:BL25" si="21">IF(OR(A6="",F6=0),"",IF(SUM(AT6,AU6,BH6,BG6)=0,"",SUM(AT6,AU6,BH6)/SUM(AT6,AU6,BH6,BG6)))</f>
        <v/>
      </c>
      <c r="BM6" s="816" t="str">
        <f t="shared" ref="BM6:BM25" si="22">IF(OR(A6="",F6=0),"",IF(SUM(AT6,AU6,BG6,BH6)=0,"",SUM(AT6,AU6)/SUM(AT6,AU6,BG6,BH6)))</f>
        <v/>
      </c>
      <c r="BN6" s="817" t="str">
        <f t="shared" ref="BN6:BN25" si="23">IF(OR(A6="",F6=0,SUM(AR6:AS6,BF6,BJ6)=0),"",SUM(AR6,AS6)/(SUM(AR6,AS6,BF6,BJ6)))</f>
        <v/>
      </c>
      <c r="BO6" s="805">
        <f>IF(OR($A6="",$F6=0),"",SUM(Errors!C75,Errors!J75))</f>
        <v>0</v>
      </c>
      <c r="BP6" s="806">
        <f>IF(OR($A6="",$F6=0),"",SUM(Errors!D75,Errors!K75))</f>
        <v>0</v>
      </c>
      <c r="BQ6" s="806">
        <f>IF(OR($A6="",$F6=0),"",SUM(Errors!E75,Errors!L75))</f>
        <v>0</v>
      </c>
      <c r="BR6" s="806">
        <f>IF(OR($A6="",$F6=0),"",SUM(Errors!F75,Errors!M75))</f>
        <v>0</v>
      </c>
      <c r="BS6" s="806">
        <f>IF(OR($A6="",$F6=0),"",SUM(Errors!G75,Errors!N75))</f>
        <v>0</v>
      </c>
      <c r="BT6" s="290">
        <f t="shared" ref="BT6:BT25" si="24">IF(OR(A6="",C6=0),"",SUM(BO6:BS6))</f>
        <v>0</v>
      </c>
    </row>
    <row r="7" spans="1:72" s="108" customFormat="1" ht="19.95" customHeight="1" x14ac:dyDescent="0.3">
      <c r="A7" s="287" t="str">
        <f>IF(ISBLANK(IGRF!$B12),"",IGRF!$B12)</f>
        <v>123</v>
      </c>
      <c r="B7" s="205" t="str">
        <f>IF(ISBLANK(IGRF!$C12),"",IGRF!$C12)</f>
        <v>Nelson</v>
      </c>
      <c r="C7" s="206">
        <f>IF(A7="","",SUM(LU!O10,LU!O109))</f>
        <v>0</v>
      </c>
      <c r="D7" s="206">
        <f>IF(A7="","",SUM(LU!D10,LU!D109))</f>
        <v>17</v>
      </c>
      <c r="E7" s="207">
        <f>IF(A7="","",SUM(LU!J10,LU!J109))</f>
        <v>3</v>
      </c>
      <c r="F7" s="764">
        <f>IF(A7="","",(SUM(C7:E7)-(SUMPRODUCT(--(Lineups!C$4:C$41=A7),--(Lineups!A$4:A$41="SP"))+SUMPRODUCT(--(Lineups!G$4:G$41=A7),--(Lineups!A$4:A$41="SP"))+SUMPRODUCT(--(Lineups!C$50:C$87=A7),--(Lineups!A$50:A$87="SP"))+SUMPRODUCT(--(Lineups!G$50:G$87=A7),--(Lineups!A$50:A$87="SP")))))</f>
        <v>20</v>
      </c>
      <c r="G7" s="765">
        <f>IF(OR(A7="",F7=0,LU!D$3+LU!D$102=0),"",F7/(LU!D$3+LU!D$102))</f>
        <v>0.42553191489361702</v>
      </c>
      <c r="H7" s="766" t="str">
        <f>IF(OR(C7=0,A7=""),"",SK!D177)</f>
        <v/>
      </c>
      <c r="I7" s="767" t="str">
        <f ca="1">IF(OR(A7="",SK!E177="",SK!E177=0),"",H7/SK!E177)</f>
        <v/>
      </c>
      <c r="J7" s="786" t="str">
        <f>IF(OR(A7="",C7=0),"",SK!G177)</f>
        <v/>
      </c>
      <c r="K7" s="787" t="str">
        <f>IF(OR(A7="",C7=0),"",SK!H177)</f>
        <v/>
      </c>
      <c r="L7" s="788" t="str">
        <f>IF(OR(A7="",C7=0),"",SK!J177)</f>
        <v/>
      </c>
      <c r="M7" s="788" t="str">
        <f>IF(OR(A7="",C7=0),"",SK!L177)</f>
        <v/>
      </c>
      <c r="N7" s="789" t="str">
        <f t="shared" si="1"/>
        <v/>
      </c>
      <c r="O7" s="790" t="str">
        <f>IF(OR(A7="",C7=0),"",SK!I177)</f>
        <v/>
      </c>
      <c r="P7" s="791" t="str">
        <f t="shared" si="2"/>
        <v/>
      </c>
      <c r="Q7" s="792">
        <f ca="1">IF(OR(A7="",F7=0),"",SUM(LU!Q56,LU!Q155))</f>
        <v>70</v>
      </c>
      <c r="R7" s="793">
        <f ca="1">IF(OR(A7="",F7=0),"",SUM(LU!Q79,LU!Q178))</f>
        <v>52</v>
      </c>
      <c r="S7" s="766">
        <f ca="1">IF(OR(A7="",F7=0),"",SUM(LU!Q33,LU!Q132))</f>
        <v>18</v>
      </c>
      <c r="T7" s="793" t="str">
        <f>IF(OR(A7="",C7=0),"",SUM(LU!O33,LU!O132))</f>
        <v/>
      </c>
      <c r="U7" s="794" t="str">
        <f t="shared" si="3"/>
        <v/>
      </c>
      <c r="V7" s="795">
        <f ca="1">IF(OR(A7="",D7=0),"",SUM(LU!D33,LU!D132))</f>
        <v>18</v>
      </c>
      <c r="W7" s="794">
        <f t="shared" ca="1" si="4"/>
        <v>1.0588235294117647</v>
      </c>
      <c r="X7" s="795">
        <f ca="1">IF(OR(A7="",E7=0),"",SUM(LU!J33,LU!J132))</f>
        <v>0</v>
      </c>
      <c r="Y7" s="794">
        <f t="shared" ca="1" si="5"/>
        <v>0</v>
      </c>
      <c r="Z7" s="791">
        <f t="shared" ref="Z7:Z25" ca="1" si="25">IF(OR(A7="",F7="",F7=0),"",S7/F7)</f>
        <v>0.9</v>
      </c>
      <c r="AA7" s="796">
        <f ca="1">IF(OR(A7="",F7=0,Q$26="-",LU!$D$5=0),"",Q7-Q$26)</f>
        <v>-22.857142857142861</v>
      </c>
      <c r="AB7" s="797">
        <f ca="1">IF(OR(A7="",F7=0,R$26="-",LU!$D$5=0),"",R7-R$26)</f>
        <v>24.5</v>
      </c>
      <c r="AC7" s="798">
        <f t="shared" ca="1" si="6"/>
        <v>-47.357142857142861</v>
      </c>
      <c r="AD7" s="799" t="str">
        <f t="shared" si="7"/>
        <v/>
      </c>
      <c r="AE7" s="799">
        <f t="shared" ca="1" si="8"/>
        <v>-4.6329656862745097</v>
      </c>
      <c r="AF7" s="800">
        <f t="shared" ca="1" si="9"/>
        <v>-5.1622517114495725</v>
      </c>
      <c r="AG7" s="801">
        <f ca="1">IF(OR($A7="",Z7="",Z$26="-",LU!$D$5=0),"",Z7-Z$26)</f>
        <v>-2.9637760796871815</v>
      </c>
      <c r="AH7" s="1111">
        <f>IF(OR(A7="",F7=0),"",SUM(PT!U5,PT!U6))</f>
        <v>1</v>
      </c>
      <c r="AI7" s="1112"/>
      <c r="AJ7" s="287" t="str">
        <f t="shared" si="10"/>
        <v>123</v>
      </c>
      <c r="AK7" s="208" t="str">
        <f t="shared" si="0"/>
        <v>Nelson</v>
      </c>
      <c r="AL7" s="818">
        <f>IF(OR($A7="",$F7=0),"",SUM(Actions!C76,Actions!J76))</f>
        <v>0</v>
      </c>
      <c r="AM7" s="819">
        <f>IF(OR($A7="",$F7=0),"",SUM(Actions!D76,Actions!K76))</f>
        <v>0</v>
      </c>
      <c r="AN7" s="819">
        <f>IF(OR($A7="",$F7=0),"",SUM(Actions!E76,Actions!L76))</f>
        <v>0</v>
      </c>
      <c r="AO7" s="819">
        <f>IF(OR($A7="",$F7=0),"",SUM(Actions!F76,Actions!M76))</f>
        <v>0</v>
      </c>
      <c r="AP7" s="819">
        <f>IF(OR($A7="",$F7=0),"",SUM(Actions!G76,Actions!N76))</f>
        <v>0</v>
      </c>
      <c r="AQ7" s="820">
        <f t="shared" si="11"/>
        <v>0</v>
      </c>
      <c r="AR7" s="792">
        <f>IF(OR($A7="",$F7=0),"",SUM(Actions!C6,Actions!J6))</f>
        <v>0</v>
      </c>
      <c r="AS7" s="793">
        <f>IF(OR($A7="",$F7=0),"",SUM(Actions!D6,Actions!K6))</f>
        <v>0</v>
      </c>
      <c r="AT7" s="793">
        <f>IF(OR($A7="",$F7=0),"",SUM(Actions!E6,Actions!L6))</f>
        <v>0</v>
      </c>
      <c r="AU7" s="793">
        <f>IF(OR($A7="",$F7=0),"",SUM(Actions!F6,Actions!M6))</f>
        <v>0</v>
      </c>
      <c r="AV7" s="793">
        <f>IF(OR($A7="",$F7=0),"",SUM(Actions!G6,Actions!N6))</f>
        <v>0</v>
      </c>
      <c r="AW7" s="766">
        <f t="shared" si="12"/>
        <v>0</v>
      </c>
      <c r="AX7" s="821">
        <f t="shared" ref="AX7:AX25" si="26">IF(OR(F7=0,A7=""),"",SUM(AQ7,AW7))</f>
        <v>0</v>
      </c>
      <c r="AY7" s="822">
        <f t="shared" si="13"/>
        <v>0</v>
      </c>
      <c r="AZ7" s="823">
        <f t="shared" si="14"/>
        <v>0</v>
      </c>
      <c r="BA7" s="824" t="str">
        <f t="shared" si="15"/>
        <v/>
      </c>
      <c r="BB7" s="798">
        <f t="shared" si="16"/>
        <v>0</v>
      </c>
      <c r="BC7" s="825" t="str">
        <f t="shared" si="17"/>
        <v/>
      </c>
      <c r="BD7" s="826">
        <f t="shared" si="18"/>
        <v>0</v>
      </c>
      <c r="BE7" s="827" t="str">
        <f t="shared" si="19"/>
        <v/>
      </c>
      <c r="BF7" s="828">
        <f>IF(OR($A7="",$F7=0),"",SUM(Errors!C6,Errors!J6))</f>
        <v>0</v>
      </c>
      <c r="BG7" s="793">
        <f>IF(OR($A7="",$F7=0),"",SUM(Errors!D6,Errors!K6))</f>
        <v>0</v>
      </c>
      <c r="BH7" s="793">
        <f>IF(OR($A7="",$F7=0),"",SUM(Errors!E6,Errors!L6))</f>
        <v>0</v>
      </c>
      <c r="BI7" s="793">
        <f>IF(OR($A7="",$F7=0),"",SUM(Errors!F6,Errors!M6))</f>
        <v>0</v>
      </c>
      <c r="BJ7" s="829">
        <f>IF(OR($A7="",$F7=0),"",SUM(Errors!G6,Errors!N6))</f>
        <v>0</v>
      </c>
      <c r="BK7" s="766">
        <f t="shared" si="20"/>
        <v>0</v>
      </c>
      <c r="BL7" s="830" t="str">
        <f t="shared" si="21"/>
        <v/>
      </c>
      <c r="BM7" s="830" t="str">
        <f t="shared" si="22"/>
        <v/>
      </c>
      <c r="BN7" s="817" t="str">
        <f t="shared" si="23"/>
        <v/>
      </c>
      <c r="BO7" s="818">
        <f>IF(OR($A7="",$F7=0),"",SUM(Errors!C76,Errors!J76))</f>
        <v>0</v>
      </c>
      <c r="BP7" s="819">
        <f>IF(OR($A7="",$F7=0),"",SUM(Errors!D76,Errors!K76))</f>
        <v>0</v>
      </c>
      <c r="BQ7" s="819">
        <f>IF(OR($A7="",$F7=0),"",SUM(Errors!E76,Errors!L76))</f>
        <v>0</v>
      </c>
      <c r="BR7" s="819">
        <f>IF(OR($A7="",$F7=0),"",SUM(Errors!F76,Errors!M76))</f>
        <v>0</v>
      </c>
      <c r="BS7" s="819">
        <f>IF(OR($A7="",$F7=0),"",SUM(Errors!G76,Errors!N76))</f>
        <v>0</v>
      </c>
      <c r="BT7" s="288" t="str">
        <f t="shared" si="24"/>
        <v/>
      </c>
    </row>
    <row r="8" spans="1:72" s="108" customFormat="1" ht="19.95" customHeight="1" x14ac:dyDescent="0.3">
      <c r="A8" s="287" t="str">
        <f>IF(ISBLANK(IGRF!$B13),"",IGRF!$B13)</f>
        <v>14</v>
      </c>
      <c r="B8" s="205" t="str">
        <f>IF(ISBLANK(IGRF!$C13),"",IGRF!$C13)</f>
        <v>Shorty Ounce</v>
      </c>
      <c r="C8" s="206">
        <f>IF(A8="","",SUM(LU!O11,LU!O110))</f>
        <v>0</v>
      </c>
      <c r="D8" s="206">
        <f>IF(A8="","",SUM(LU!D11,LU!D110))</f>
        <v>0</v>
      </c>
      <c r="E8" s="207">
        <f>IF(A8="","",SUM(LU!J11,LU!J110))</f>
        <v>20</v>
      </c>
      <c r="F8" s="764">
        <f>IF(A8="","",(SUM(C8:E8)-(SUMPRODUCT(--(Lineups!C$4:C$41=A8),--(Lineups!A$4:A$41="SP"))+SUMPRODUCT(--(Lineups!G$4:G$41=A8),--(Lineups!A$4:A$41="SP"))+SUMPRODUCT(--(Lineups!C$50:C$87=A8),--(Lineups!A$50:A$87="SP"))+SUMPRODUCT(--(Lineups!G$50:G$87=A8),--(Lineups!A$50:A$87="SP")))))</f>
        <v>20</v>
      </c>
      <c r="G8" s="765">
        <f>IF(OR(A8="",F8=0,LU!D$3+LU!D$102=0),"",F8/(LU!D$3+LU!D$102))</f>
        <v>0.42553191489361702</v>
      </c>
      <c r="H8" s="766" t="str">
        <f>IF(OR(C8=0,A8=""),"",SK!D180)</f>
        <v/>
      </c>
      <c r="I8" s="767" t="str">
        <f ca="1">IF(OR(A8="",SK!E180="",SK!E180=0),"",H8/SK!E180)</f>
        <v/>
      </c>
      <c r="J8" s="786" t="str">
        <f>IF(OR(A8="",C8=0),"",SK!G180)</f>
        <v/>
      </c>
      <c r="K8" s="787" t="str">
        <f>IF(OR(A8="",C8=0),"",SK!H180)</f>
        <v/>
      </c>
      <c r="L8" s="788" t="str">
        <f>IF(OR(A8="",C8=0),"",SK!J180)</f>
        <v/>
      </c>
      <c r="M8" s="788" t="str">
        <f>IF(OR(A8="",C8=0),"",SK!L180)</f>
        <v/>
      </c>
      <c r="N8" s="789" t="str">
        <f t="shared" si="1"/>
        <v/>
      </c>
      <c r="O8" s="790" t="str">
        <f>IF(OR(A8="",C8=0),"",SK!I180)</f>
        <v/>
      </c>
      <c r="P8" s="791" t="str">
        <f t="shared" si="2"/>
        <v/>
      </c>
      <c r="Q8" s="792">
        <f ca="1">IF(OR(A8="",F8=0),"",SUM(LU!Q57,LU!Q156))</f>
        <v>76</v>
      </c>
      <c r="R8" s="793">
        <f ca="1">IF(OR(A8="",F8=0),"",SUM(LU!Q80,LU!Q179))</f>
        <v>48</v>
      </c>
      <c r="S8" s="766">
        <f ca="1">IF(OR(A8="",F8=0),"",SUM(LU!Q34,LU!Q133))</f>
        <v>28</v>
      </c>
      <c r="T8" s="793" t="str">
        <f>IF(OR(A8="",C8=0),"",SUM(LU!O34,LU!O133))</f>
        <v/>
      </c>
      <c r="U8" s="794" t="str">
        <f t="shared" si="3"/>
        <v/>
      </c>
      <c r="V8" s="795" t="str">
        <f>IF(OR(A8="",D8=0),"",SUM(LU!D34,LU!D133))</f>
        <v/>
      </c>
      <c r="W8" s="794" t="str">
        <f t="shared" si="4"/>
        <v/>
      </c>
      <c r="X8" s="795">
        <f ca="1">IF(OR(A8="",E8=0),"",SUM(LU!J34,LU!J133))</f>
        <v>28</v>
      </c>
      <c r="Y8" s="794">
        <f t="shared" ca="1" si="5"/>
        <v>1.4</v>
      </c>
      <c r="Z8" s="791">
        <f t="shared" ca="1" si="25"/>
        <v>1.4</v>
      </c>
      <c r="AA8" s="796">
        <f ca="1">IF(OR(A8="",F8=0,Q$26="-",LU!$D$5=0),"",Q8-Q$26)</f>
        <v>-16.857142857142861</v>
      </c>
      <c r="AB8" s="797">
        <f ca="1">IF(OR(A8="",F8=0,R$26="-",LU!$D$5=0),"",R8-R$26)</f>
        <v>20.5</v>
      </c>
      <c r="AC8" s="798">
        <f t="shared" ca="1" si="6"/>
        <v>-37.357142857142861</v>
      </c>
      <c r="AD8" s="799" t="str">
        <f t="shared" si="7"/>
        <v/>
      </c>
      <c r="AE8" s="799" t="str">
        <f t="shared" si="8"/>
        <v/>
      </c>
      <c r="AF8" s="800">
        <f t="shared" ca="1" si="9"/>
        <v>-3.7622517114495726</v>
      </c>
      <c r="AG8" s="801">
        <f ca="1">IF(OR($A8="",Z8="",Z$26="-",LU!$D$5=0),"",Z8-Z$26)</f>
        <v>-2.4637760796871815</v>
      </c>
      <c r="AH8" s="1111">
        <f>IF(OR(A8="",F8=0),"",SUM(PT!U7,PT!U8))</f>
        <v>2</v>
      </c>
      <c r="AI8" s="1112"/>
      <c r="AJ8" s="287" t="str">
        <f t="shared" si="10"/>
        <v>14</v>
      </c>
      <c r="AK8" s="208" t="str">
        <f t="shared" si="0"/>
        <v>Shorty Ounce</v>
      </c>
      <c r="AL8" s="818">
        <f>IF(OR($A8="",$F8=0),"",SUM(Actions!C77,Actions!J77))</f>
        <v>0</v>
      </c>
      <c r="AM8" s="819">
        <f>IF(OR($A8="",$F8=0),"",SUM(Actions!D77,Actions!K77))</f>
        <v>0</v>
      </c>
      <c r="AN8" s="819">
        <f>IF(OR($A8="",$F8=0),"",SUM(Actions!E77,Actions!L77))</f>
        <v>0</v>
      </c>
      <c r="AO8" s="819">
        <f>IF(OR($A8="",$F8=0),"",SUM(Actions!F77,Actions!M77))</f>
        <v>0</v>
      </c>
      <c r="AP8" s="819">
        <f>IF(OR($A8="",$F8=0),"",SUM(Actions!G77,Actions!N77))</f>
        <v>0</v>
      </c>
      <c r="AQ8" s="820">
        <f t="shared" si="11"/>
        <v>0</v>
      </c>
      <c r="AR8" s="792">
        <f>IF(OR($A8="",$F8=0),"",SUM(Actions!C7,Actions!J7))</f>
        <v>0</v>
      </c>
      <c r="AS8" s="793">
        <f>IF(OR($A8="",$F8=0),"",SUM(Actions!D7,Actions!K7))</f>
        <v>0</v>
      </c>
      <c r="AT8" s="793">
        <f>IF(OR($A8="",$F8=0),"",SUM(Actions!E7,Actions!L7))</f>
        <v>0</v>
      </c>
      <c r="AU8" s="793">
        <f>IF(OR($A8="",$F8=0),"",SUM(Actions!F7,Actions!M7))</f>
        <v>0</v>
      </c>
      <c r="AV8" s="793">
        <f>IF(OR($A8="",$F8=0),"",SUM(Actions!G7,Actions!N7))</f>
        <v>0</v>
      </c>
      <c r="AW8" s="766">
        <f t="shared" si="12"/>
        <v>0</v>
      </c>
      <c r="AX8" s="821">
        <f t="shared" si="26"/>
        <v>0</v>
      </c>
      <c r="AY8" s="822">
        <f t="shared" si="13"/>
        <v>0</v>
      </c>
      <c r="AZ8" s="823">
        <f t="shared" si="14"/>
        <v>0</v>
      </c>
      <c r="BA8" s="824" t="str">
        <f t="shared" si="15"/>
        <v/>
      </c>
      <c r="BB8" s="798">
        <f t="shared" si="16"/>
        <v>0</v>
      </c>
      <c r="BC8" s="825" t="str">
        <f t="shared" si="17"/>
        <v/>
      </c>
      <c r="BD8" s="826">
        <f t="shared" si="18"/>
        <v>0</v>
      </c>
      <c r="BE8" s="827" t="str">
        <f t="shared" si="19"/>
        <v/>
      </c>
      <c r="BF8" s="828">
        <f>IF(OR($A8="",$F8=0),"",SUM(Errors!C7,Errors!J7))</f>
        <v>0</v>
      </c>
      <c r="BG8" s="793">
        <f>IF(OR($A8="",$F8=0),"",SUM(Errors!D7,Errors!K7))</f>
        <v>0</v>
      </c>
      <c r="BH8" s="793">
        <f>IF(OR($A8="",$F8=0),"",SUM(Errors!E7,Errors!L7))</f>
        <v>0</v>
      </c>
      <c r="BI8" s="793">
        <f>IF(OR($A8="",$F8=0),"",SUM(Errors!F7,Errors!M7))</f>
        <v>0</v>
      </c>
      <c r="BJ8" s="829">
        <f>IF(OR($A8="",$F8=0),"",SUM(Errors!G7,Errors!N7))</f>
        <v>0</v>
      </c>
      <c r="BK8" s="766">
        <f t="shared" si="20"/>
        <v>0</v>
      </c>
      <c r="BL8" s="830" t="str">
        <f t="shared" si="21"/>
        <v/>
      </c>
      <c r="BM8" s="830" t="str">
        <f t="shared" si="22"/>
        <v/>
      </c>
      <c r="BN8" s="817" t="str">
        <f t="shared" si="23"/>
        <v/>
      </c>
      <c r="BO8" s="818">
        <f>IF(OR($A8="",$F8=0),"",SUM(Errors!C77,Errors!J77))</f>
        <v>0</v>
      </c>
      <c r="BP8" s="819">
        <f>IF(OR($A8="",$F8=0),"",SUM(Errors!D77,Errors!K77))</f>
        <v>0</v>
      </c>
      <c r="BQ8" s="819">
        <f>IF(OR($A8="",$F8=0),"",SUM(Errors!E77,Errors!L77))</f>
        <v>0</v>
      </c>
      <c r="BR8" s="819">
        <f>IF(OR($A8="",$F8=0),"",SUM(Errors!F77,Errors!M77))</f>
        <v>0</v>
      </c>
      <c r="BS8" s="819">
        <f>IF(OR($A8="",$F8=0),"",SUM(Errors!G77,Errors!N77))</f>
        <v>0</v>
      </c>
      <c r="BT8" s="288" t="str">
        <f t="shared" si="24"/>
        <v/>
      </c>
    </row>
    <row r="9" spans="1:72" s="108" customFormat="1" ht="19.95" customHeight="1" x14ac:dyDescent="0.3">
      <c r="A9" s="287" t="str">
        <f>IF(ISBLANK(IGRF!$B14),"",IGRF!$B14)</f>
        <v>1618</v>
      </c>
      <c r="B9" s="205" t="str">
        <f>IF(ISBLANK(IGRF!$C14),"",IGRF!$C14)</f>
        <v>Sintripital Force</v>
      </c>
      <c r="C9" s="206">
        <f>IF(A9="","",SUM(LU!O12,LU!O111))</f>
        <v>10</v>
      </c>
      <c r="D9" s="206">
        <f>IF(A9="","",SUM(LU!D12,LU!D111))</f>
        <v>0</v>
      </c>
      <c r="E9" s="207">
        <f>IF(A9="","",SUM(LU!J12,LU!J111))</f>
        <v>0</v>
      </c>
      <c r="F9" s="764">
        <f>IF(A9="","",(SUM(C9:E9)-(SUMPRODUCT(--(Lineups!C$4:C$41=A9),--(Lineups!A$4:A$41="SP"))+SUMPRODUCT(--(Lineups!G$4:G$41=A9),--(Lineups!A$4:A$41="SP"))+SUMPRODUCT(--(Lineups!C$50:C$87=A9),--(Lineups!A$50:A$87="SP"))+SUMPRODUCT(--(Lineups!G$50:G$87=A9),--(Lineups!A$50:A$87="SP")))))</f>
        <v>10</v>
      </c>
      <c r="G9" s="765">
        <f>IF(OR(A9="",F9=0,LU!D$3+LU!D$102=0),"",F9/(LU!D$3+LU!D$102))</f>
        <v>0.21276595744680851</v>
      </c>
      <c r="H9" s="766">
        <f ca="1">IF(OR(C9=0,A9=""),"",SK!D183)</f>
        <v>67</v>
      </c>
      <c r="I9" s="767">
        <f ca="1">IF(OR(A9="",SK!E183="",SK!E183=0),"",H9/SK!E183)</f>
        <v>6.7</v>
      </c>
      <c r="J9" s="786">
        <f ca="1">IF(OR(A9="",C9=0),"",SK!G183)</f>
        <v>1</v>
      </c>
      <c r="K9" s="787">
        <f ca="1">IF(OR(A9="",C9=0),"",SK!H183)</f>
        <v>5</v>
      </c>
      <c r="L9" s="788">
        <f ca="1">IF(OR(A9="",C9=0),"",SK!J183)</f>
        <v>4</v>
      </c>
      <c r="M9" s="788">
        <f ca="1">IF(OR(A9="",C9=0),"",SK!L183)</f>
        <v>0</v>
      </c>
      <c r="N9" s="789">
        <f t="shared" ca="1" si="1"/>
        <v>0.5</v>
      </c>
      <c r="O9" s="790">
        <f ca="1">IF(OR(A9="",C9=0),"",SK!I183)</f>
        <v>59</v>
      </c>
      <c r="P9" s="791">
        <f t="shared" ca="1" si="2"/>
        <v>11.8</v>
      </c>
      <c r="Q9" s="792">
        <f ca="1">IF(OR(A9="",F9=0),"",SUM(LU!Q58,LU!Q157))</f>
        <v>67</v>
      </c>
      <c r="R9" s="793">
        <f ca="1">IF(OR(A9="",F9=0),"",SUM(LU!Q81,LU!Q180))</f>
        <v>12</v>
      </c>
      <c r="S9" s="766">
        <f ca="1">IF(OR(A9="",F9=0),"",SUM(LU!Q35,LU!Q134))</f>
        <v>55</v>
      </c>
      <c r="T9" s="793">
        <f ca="1">IF(OR(A9="",C9=0),"",SUM(LU!O35,LU!O134))</f>
        <v>55</v>
      </c>
      <c r="U9" s="794">
        <f t="shared" ca="1" si="3"/>
        <v>5.5</v>
      </c>
      <c r="V9" s="795" t="str">
        <f>IF(OR(A9="",D9=0),"",SUM(LU!D35,LU!D134))</f>
        <v/>
      </c>
      <c r="W9" s="794" t="str">
        <f t="shared" si="4"/>
        <v/>
      </c>
      <c r="X9" s="795" t="str">
        <f>IF(OR(A9="",E9=0),"",SUM(LU!J35,LU!J134))</f>
        <v/>
      </c>
      <c r="Y9" s="794" t="str">
        <f t="shared" si="5"/>
        <v/>
      </c>
      <c r="Z9" s="791">
        <f t="shared" ca="1" si="25"/>
        <v>5.5</v>
      </c>
      <c r="AA9" s="796">
        <f ca="1">IF(OR(A9="",F9=0,Q$26="-",LU!$D$5=0),"",Q9-Q$26)</f>
        <v>-25.857142857142861</v>
      </c>
      <c r="AB9" s="797">
        <f ca="1">IF(OR(A9="",F9=0,R$26="-",LU!$D$5=0),"",R9-R$26)</f>
        <v>-15.5</v>
      </c>
      <c r="AC9" s="798">
        <f t="shared" ca="1" si="6"/>
        <v>-10.357142857142861</v>
      </c>
      <c r="AD9" s="799">
        <f t="shared" ca="1" si="7"/>
        <v>0.28658008658008693</v>
      </c>
      <c r="AE9" s="799" t="str">
        <f t="shared" si="8"/>
        <v/>
      </c>
      <c r="AF9" s="800" t="str">
        <f t="shared" si="9"/>
        <v/>
      </c>
      <c r="AG9" s="801">
        <f ca="1">IF(OR($A9="",Z9="",Z$26="-",LU!$D$5=0),"",Z9-Z$26)</f>
        <v>1.6362239203128186</v>
      </c>
      <c r="AH9" s="1111">
        <f>IF(OR(A9="",F9=0),"",SUM(PT!U9,PT!U10))</f>
        <v>0</v>
      </c>
      <c r="AI9" s="1112"/>
      <c r="AJ9" s="287" t="str">
        <f t="shared" si="10"/>
        <v>1618</v>
      </c>
      <c r="AK9" s="208" t="str">
        <f t="shared" si="0"/>
        <v>Sintripital Force</v>
      </c>
      <c r="AL9" s="818">
        <f>IF(OR($A9="",$F9=0),"",SUM(Actions!C78,Actions!J78))</f>
        <v>0</v>
      </c>
      <c r="AM9" s="819">
        <f>IF(OR($A9="",$F9=0),"",SUM(Actions!D78,Actions!K78))</f>
        <v>0</v>
      </c>
      <c r="AN9" s="819">
        <f>IF(OR($A9="",$F9=0),"",SUM(Actions!E78,Actions!L78))</f>
        <v>0</v>
      </c>
      <c r="AO9" s="819">
        <f>IF(OR($A9="",$F9=0),"",SUM(Actions!F78,Actions!M78))</f>
        <v>0</v>
      </c>
      <c r="AP9" s="819">
        <f>IF(OR($A9="",$F9=0),"",SUM(Actions!G78,Actions!N78))</f>
        <v>0</v>
      </c>
      <c r="AQ9" s="820">
        <f t="shared" si="11"/>
        <v>0</v>
      </c>
      <c r="AR9" s="792">
        <f>IF(OR($A9="",$F9=0),"",SUM(Actions!C8,Actions!J8))</f>
        <v>0</v>
      </c>
      <c r="AS9" s="793">
        <f>IF(OR($A9="",$F9=0),"",SUM(Actions!D8,Actions!K8))</f>
        <v>0</v>
      </c>
      <c r="AT9" s="793">
        <f>IF(OR($A9="",$F9=0),"",SUM(Actions!E8,Actions!L8))</f>
        <v>0</v>
      </c>
      <c r="AU9" s="793">
        <f>IF(OR($A9="",$F9=0),"",SUM(Actions!F8,Actions!M8))</f>
        <v>0</v>
      </c>
      <c r="AV9" s="793">
        <f>IF(OR($A9="",$F9=0),"",SUM(Actions!G8,Actions!N8))</f>
        <v>0</v>
      </c>
      <c r="AW9" s="766">
        <f t="shared" si="12"/>
        <v>0</v>
      </c>
      <c r="AX9" s="821">
        <f t="shared" si="26"/>
        <v>0</v>
      </c>
      <c r="AY9" s="822">
        <f t="shared" si="13"/>
        <v>0</v>
      </c>
      <c r="AZ9" s="823">
        <f t="shared" si="14"/>
        <v>0</v>
      </c>
      <c r="BA9" s="824" t="str">
        <f t="shared" si="15"/>
        <v/>
      </c>
      <c r="BB9" s="798">
        <f t="shared" si="16"/>
        <v>0</v>
      </c>
      <c r="BC9" s="825" t="str">
        <f t="shared" si="17"/>
        <v/>
      </c>
      <c r="BD9" s="826">
        <f t="shared" si="18"/>
        <v>0</v>
      </c>
      <c r="BE9" s="827" t="str">
        <f t="shared" si="19"/>
        <v/>
      </c>
      <c r="BF9" s="828">
        <f>IF(OR($A9="",$F9=0),"",SUM(Errors!C8,Errors!J8))</f>
        <v>0</v>
      </c>
      <c r="BG9" s="793">
        <f>IF(OR($A9="",$F9=0),"",SUM(Errors!D8,Errors!K8))</f>
        <v>0</v>
      </c>
      <c r="BH9" s="793">
        <f>IF(OR($A9="",$F9=0),"",SUM(Errors!E8,Errors!L8))</f>
        <v>0</v>
      </c>
      <c r="BI9" s="793">
        <f>IF(OR($A9="",$F9=0),"",SUM(Errors!F8,Errors!M8))</f>
        <v>0</v>
      </c>
      <c r="BJ9" s="829">
        <f>IF(OR($A9="",$F9=0),"",SUM(Errors!G8,Errors!N8))</f>
        <v>0</v>
      </c>
      <c r="BK9" s="766">
        <f t="shared" si="20"/>
        <v>0</v>
      </c>
      <c r="BL9" s="830" t="str">
        <f t="shared" si="21"/>
        <v/>
      </c>
      <c r="BM9" s="830" t="str">
        <f t="shared" si="22"/>
        <v/>
      </c>
      <c r="BN9" s="817" t="str">
        <f t="shared" si="23"/>
        <v/>
      </c>
      <c r="BO9" s="818">
        <f>IF(OR($A9="",$F9=0),"",SUM(Errors!C78,Errors!J78))</f>
        <v>0</v>
      </c>
      <c r="BP9" s="819">
        <f>IF(OR($A9="",$F9=0),"",SUM(Errors!D78,Errors!K78))</f>
        <v>0</v>
      </c>
      <c r="BQ9" s="819">
        <f>IF(OR($A9="",$F9=0),"",SUM(Errors!E78,Errors!L78))</f>
        <v>0</v>
      </c>
      <c r="BR9" s="819">
        <f>IF(OR($A9="",$F9=0),"",SUM(Errors!F78,Errors!M78))</f>
        <v>0</v>
      </c>
      <c r="BS9" s="819">
        <f>IF(OR($A9="",$F9=0),"",SUM(Errors!G78,Errors!N78))</f>
        <v>0</v>
      </c>
      <c r="BT9" s="288">
        <f t="shared" si="24"/>
        <v>0</v>
      </c>
    </row>
    <row r="10" spans="1:72" s="108" customFormat="1" ht="19.95" customHeight="1" x14ac:dyDescent="0.3">
      <c r="A10" s="287" t="str">
        <f>IF(ISBLANK(IGRF!$B15),"",IGRF!$B15)</f>
        <v>22</v>
      </c>
      <c r="B10" s="205" t="str">
        <f>IF(ISBLANK(IGRF!$C15),"",IGRF!$C15)</f>
        <v>Sami Automatic</v>
      </c>
      <c r="C10" s="206">
        <f>IF(A10="","",SUM(LU!O13,LU!O112))</f>
        <v>0</v>
      </c>
      <c r="D10" s="206">
        <f>IF(A10="","",SUM(LU!D13,LU!D112))</f>
        <v>0</v>
      </c>
      <c r="E10" s="207">
        <f>IF(A10="","",SUM(LU!J13,LU!J112))</f>
        <v>17</v>
      </c>
      <c r="F10" s="764">
        <f>IF(A10="","",(SUM(C10:E10)-(SUMPRODUCT(--(Lineups!C$4:C$41=A10),--(Lineups!A$4:A$41="SP"))+SUMPRODUCT(--(Lineups!G$4:G$41=A10),--(Lineups!A$4:A$41="SP"))+SUMPRODUCT(--(Lineups!C$50:C$87=A10),--(Lineups!A$50:A$87="SP"))+SUMPRODUCT(--(Lineups!G$50:G$87=A10),--(Lineups!A$50:A$87="SP")))))</f>
        <v>17</v>
      </c>
      <c r="G10" s="765">
        <f>IF(OR(A10="",F10=0,LU!D$3+LU!D$102=0),"",F10/(LU!D$3+LU!D$102))</f>
        <v>0.36170212765957449</v>
      </c>
      <c r="H10" s="766" t="str">
        <f>IF(OR(C10=0,A10=""),"",SK!D186)</f>
        <v/>
      </c>
      <c r="I10" s="767" t="str">
        <f ca="1">IF(OR(A10="",SK!E186="",SK!E186=0),"",H10/SK!E186)</f>
        <v/>
      </c>
      <c r="J10" s="786" t="str">
        <f>IF(OR(A10="",C10=0),"",SK!G186)</f>
        <v/>
      </c>
      <c r="K10" s="787" t="str">
        <f>IF(OR(A10="",C10=0),"",SK!H186)</f>
        <v/>
      </c>
      <c r="L10" s="788" t="str">
        <f>IF(OR(A10="",C10=0),"",SK!J186)</f>
        <v/>
      </c>
      <c r="M10" s="788" t="str">
        <f>IF(OR(A10="",C10=0),"",SK!L186)</f>
        <v/>
      </c>
      <c r="N10" s="789" t="str">
        <f t="shared" si="1"/>
        <v/>
      </c>
      <c r="O10" s="790" t="str">
        <f>IF(OR(A10="",C10=0),"",SK!I186)</f>
        <v/>
      </c>
      <c r="P10" s="791" t="str">
        <f t="shared" si="2"/>
        <v/>
      </c>
      <c r="Q10" s="792">
        <f ca="1">IF(OR(A10="",F10=0),"",SUM(LU!Q59,LU!Q158))</f>
        <v>75</v>
      </c>
      <c r="R10" s="793">
        <f ca="1">IF(OR(A10="",F10=0),"",SUM(LU!Q82,LU!Q181))</f>
        <v>5</v>
      </c>
      <c r="S10" s="766">
        <f ca="1">IF(OR(A10="",F10=0),"",SUM(LU!Q36,LU!Q135))</f>
        <v>70</v>
      </c>
      <c r="T10" s="793" t="str">
        <f>IF(OR(A10="",C10=0),"",SUM(LU!O36,LU!O135))</f>
        <v/>
      </c>
      <c r="U10" s="794" t="str">
        <f t="shared" si="3"/>
        <v/>
      </c>
      <c r="V10" s="795" t="str">
        <f>IF(OR(A10="",D10=0),"",SUM(LU!D36,LU!D135))</f>
        <v/>
      </c>
      <c r="W10" s="794" t="str">
        <f t="shared" si="4"/>
        <v/>
      </c>
      <c r="X10" s="795">
        <f ca="1">IF(OR(A10="",E10=0),"",SUM(LU!J36,LU!J135))</f>
        <v>70</v>
      </c>
      <c r="Y10" s="794">
        <f t="shared" ca="1" si="5"/>
        <v>4.117647058823529</v>
      </c>
      <c r="Z10" s="791">
        <f t="shared" ca="1" si="25"/>
        <v>4.117647058823529</v>
      </c>
      <c r="AA10" s="796">
        <f ca="1">IF(OR(A10="",F10=0,Q$26="-",LU!$D$5=0),"",Q10-Q$26)</f>
        <v>-17.857142857142861</v>
      </c>
      <c r="AB10" s="797">
        <f ca="1">IF(OR(A10="",F10=0,R$26="-",LU!$D$5=0),"",R10-R$26)</f>
        <v>-22.5</v>
      </c>
      <c r="AC10" s="798">
        <f t="shared" ca="1" si="6"/>
        <v>4.6428571428571388</v>
      </c>
      <c r="AD10" s="799" t="str">
        <f t="shared" si="7"/>
        <v/>
      </c>
      <c r="AE10" s="799" t="str">
        <f t="shared" si="8"/>
        <v/>
      </c>
      <c r="AF10" s="800">
        <f t="shared" ca="1" si="9"/>
        <v>-1.0446046526260435</v>
      </c>
      <c r="AG10" s="801">
        <f ca="1">IF(OR($A10="",Z10="",Z$26="-",LU!$D$5=0),"",Z10-Z$26)</f>
        <v>0.2538709791363476</v>
      </c>
      <c r="AH10" s="1111">
        <f>IF(OR(A10="",F10=0),"",SUM(PT!U11,PT!U12))</f>
        <v>2</v>
      </c>
      <c r="AI10" s="1112"/>
      <c r="AJ10" s="287" t="str">
        <f t="shared" si="10"/>
        <v>22</v>
      </c>
      <c r="AK10" s="208" t="str">
        <f t="shared" si="0"/>
        <v>Sami Automatic</v>
      </c>
      <c r="AL10" s="818">
        <f>IF(OR($A10="",$F10=0),"",SUM(Actions!C79,Actions!J79))</f>
        <v>0</v>
      </c>
      <c r="AM10" s="819">
        <f>IF(OR($A10="",$F10=0),"",SUM(Actions!D79,Actions!K79))</f>
        <v>0</v>
      </c>
      <c r="AN10" s="819">
        <f>IF(OR($A10="",$F10=0),"",SUM(Actions!E79,Actions!L79))</f>
        <v>0</v>
      </c>
      <c r="AO10" s="819">
        <f>IF(OR($A10="",$F10=0),"",SUM(Actions!F79,Actions!M79))</f>
        <v>0</v>
      </c>
      <c r="AP10" s="819">
        <f>IF(OR($A10="",$F10=0),"",SUM(Actions!G79,Actions!N79))</f>
        <v>0</v>
      </c>
      <c r="AQ10" s="820">
        <f t="shared" si="11"/>
        <v>0</v>
      </c>
      <c r="AR10" s="792">
        <f>IF(OR($A10="",$F10=0),"",SUM(Actions!C9,Actions!J9))</f>
        <v>0</v>
      </c>
      <c r="AS10" s="793">
        <f>IF(OR($A10="",$F10=0),"",SUM(Actions!D9,Actions!K9))</f>
        <v>0</v>
      </c>
      <c r="AT10" s="793">
        <f>IF(OR($A10="",$F10=0),"",SUM(Actions!E9,Actions!L9))</f>
        <v>0</v>
      </c>
      <c r="AU10" s="793">
        <f>IF(OR($A10="",$F10=0),"",SUM(Actions!F9,Actions!M9))</f>
        <v>0</v>
      </c>
      <c r="AV10" s="793">
        <f>IF(OR($A10="",$F10=0),"",SUM(Actions!G9,Actions!N9))</f>
        <v>0</v>
      </c>
      <c r="AW10" s="766">
        <f t="shared" si="12"/>
        <v>0</v>
      </c>
      <c r="AX10" s="821">
        <f t="shared" si="26"/>
        <v>0</v>
      </c>
      <c r="AY10" s="822">
        <f t="shared" si="13"/>
        <v>0</v>
      </c>
      <c r="AZ10" s="823">
        <f t="shared" si="14"/>
        <v>0</v>
      </c>
      <c r="BA10" s="824" t="str">
        <f t="shared" si="15"/>
        <v/>
      </c>
      <c r="BB10" s="798">
        <f t="shared" si="16"/>
        <v>0</v>
      </c>
      <c r="BC10" s="825" t="str">
        <f t="shared" si="17"/>
        <v/>
      </c>
      <c r="BD10" s="826">
        <f t="shared" si="18"/>
        <v>0</v>
      </c>
      <c r="BE10" s="827" t="str">
        <f t="shared" si="19"/>
        <v/>
      </c>
      <c r="BF10" s="828">
        <f>IF(OR($A10="",$F10=0),"",SUM(Errors!C9,Errors!J9))</f>
        <v>0</v>
      </c>
      <c r="BG10" s="793">
        <f>IF(OR($A10="",$F10=0),"",SUM(Errors!D9,Errors!K9))</f>
        <v>0</v>
      </c>
      <c r="BH10" s="793">
        <f>IF(OR($A10="",$F10=0),"",SUM(Errors!E9,Errors!L9))</f>
        <v>0</v>
      </c>
      <c r="BI10" s="793">
        <f>IF(OR($A10="",$F10=0),"",SUM(Errors!F9,Errors!M9))</f>
        <v>0</v>
      </c>
      <c r="BJ10" s="829">
        <f>IF(OR($A10="",$F10=0),"",SUM(Errors!G9,Errors!N9))</f>
        <v>0</v>
      </c>
      <c r="BK10" s="766">
        <f t="shared" si="20"/>
        <v>0</v>
      </c>
      <c r="BL10" s="830" t="str">
        <f t="shared" si="21"/>
        <v/>
      </c>
      <c r="BM10" s="830" t="str">
        <f t="shared" si="22"/>
        <v/>
      </c>
      <c r="BN10" s="817" t="str">
        <f t="shared" si="23"/>
        <v/>
      </c>
      <c r="BO10" s="818">
        <f>IF(OR($A10="",$F10=0),"",SUM(Errors!C79,Errors!J79))</f>
        <v>0</v>
      </c>
      <c r="BP10" s="819">
        <f>IF(OR($A10="",$F10=0),"",SUM(Errors!D79,Errors!K79))</f>
        <v>0</v>
      </c>
      <c r="BQ10" s="819">
        <f>IF(OR($A10="",$F10=0),"",SUM(Errors!E79,Errors!L79))</f>
        <v>0</v>
      </c>
      <c r="BR10" s="819">
        <f>IF(OR($A10="",$F10=0),"",SUM(Errors!F79,Errors!M79))</f>
        <v>0</v>
      </c>
      <c r="BS10" s="819">
        <f>IF(OR($A10="",$F10=0),"",SUM(Errors!G79,Errors!N79))</f>
        <v>0</v>
      </c>
      <c r="BT10" s="288" t="str">
        <f t="shared" si="24"/>
        <v/>
      </c>
    </row>
    <row r="11" spans="1:72" s="108" customFormat="1" ht="19.95" customHeight="1" x14ac:dyDescent="0.3">
      <c r="A11" s="287" t="str">
        <f>IF(ISBLANK(IGRF!$B16),"",IGRF!$B16)</f>
        <v>23</v>
      </c>
      <c r="B11" s="205" t="str">
        <f>IF(ISBLANK(IGRF!$C16),"",IGRF!$C16)</f>
        <v>LeBrawn Maimes</v>
      </c>
      <c r="C11" s="206">
        <f>IF(A11="","",SUM(LU!O14,LU!O113))</f>
        <v>12</v>
      </c>
      <c r="D11" s="206">
        <f>IF(A11="","",SUM(LU!D14,LU!D113))</f>
        <v>0</v>
      </c>
      <c r="E11" s="207">
        <f>IF(A11="","",SUM(LU!J14,LU!J113))</f>
        <v>0</v>
      </c>
      <c r="F11" s="764">
        <f>IF(A11="","",(SUM(C11:E11)-(SUMPRODUCT(--(Lineups!C$4:C$41=A11),--(Lineups!A$4:A$41="SP"))+SUMPRODUCT(--(Lineups!G$4:G$41=A11),--(Lineups!A$4:A$41="SP"))+SUMPRODUCT(--(Lineups!C$50:C$87=A11),--(Lineups!A$50:A$87="SP"))+SUMPRODUCT(--(Lineups!G$50:G$87=A11),--(Lineups!A$50:A$87="SP")))))</f>
        <v>12</v>
      </c>
      <c r="G11" s="765">
        <f>IF(OR(A11="",F11=0,LU!D$3+LU!D$102=0),"",F11/(LU!D$3+LU!D$102))</f>
        <v>0.25531914893617019</v>
      </c>
      <c r="H11" s="766">
        <f ca="1">IF(OR(C11=0,A11=""),"",SK!D189)</f>
        <v>30</v>
      </c>
      <c r="I11" s="767">
        <f ca="1">IF(OR(A11="",SK!E189="",SK!E189=0),"",H11/SK!E189)</f>
        <v>2.5</v>
      </c>
      <c r="J11" s="786">
        <f ca="1">IF(OR(A11="",C11=0),"",SK!G189)</f>
        <v>1</v>
      </c>
      <c r="K11" s="787">
        <f ca="1">IF(OR(A11="",C11=0),"",SK!H189)</f>
        <v>5</v>
      </c>
      <c r="L11" s="788">
        <f ca="1">IF(OR(A11="",C11=0),"",SK!J189)</f>
        <v>4</v>
      </c>
      <c r="M11" s="788">
        <f ca="1">IF(OR(A11="",C11=0),"",SK!L189)</f>
        <v>2</v>
      </c>
      <c r="N11" s="789">
        <f t="shared" ca="1" si="1"/>
        <v>0.41666666666666669</v>
      </c>
      <c r="O11" s="790">
        <f ca="1">IF(OR(A11="",C11=0),"",SK!I189)</f>
        <v>24</v>
      </c>
      <c r="P11" s="791">
        <f t="shared" ca="1" si="2"/>
        <v>4.8</v>
      </c>
      <c r="Q11" s="792">
        <f ca="1">IF(OR(A11="",F11=0),"",SUM(LU!Q60,LU!Q159))</f>
        <v>30</v>
      </c>
      <c r="R11" s="793">
        <f ca="1">IF(OR(A11="",F11=0),"",SUM(LU!Q83,LU!Q182))</f>
        <v>20</v>
      </c>
      <c r="S11" s="766">
        <f ca="1">IF(OR(A11="",F11=0),"",SUM(LU!Q37,LU!Q136))</f>
        <v>10</v>
      </c>
      <c r="T11" s="793">
        <f ca="1">IF(OR(A11="",C11=0),"",SUM(LU!O37,LU!O136))</f>
        <v>10</v>
      </c>
      <c r="U11" s="794">
        <f t="shared" ca="1" si="3"/>
        <v>0.83333333333333337</v>
      </c>
      <c r="V11" s="795" t="str">
        <f>IF(OR(A11="",D11=0),"",SUM(LU!D37,LU!D136))</f>
        <v/>
      </c>
      <c r="W11" s="794" t="str">
        <f t="shared" si="4"/>
        <v/>
      </c>
      <c r="X11" s="795" t="str">
        <f>IF(OR(A11="",E11=0),"",SUM(LU!J37,LU!J136))</f>
        <v/>
      </c>
      <c r="Y11" s="794" t="str">
        <f t="shared" si="5"/>
        <v/>
      </c>
      <c r="Z11" s="791">
        <f t="shared" ca="1" si="25"/>
        <v>0.83333333333333337</v>
      </c>
      <c r="AA11" s="796">
        <f ca="1">IF(OR(A11="",F11=0,Q$26="-",LU!$D$5=0),"",Q11-Q$26)</f>
        <v>-62.857142857142861</v>
      </c>
      <c r="AB11" s="797">
        <f ca="1">IF(OR(A11="",F11=0,R$26="-",LU!$D$5=0),"",R11-R$26)</f>
        <v>-7.5</v>
      </c>
      <c r="AC11" s="798">
        <f t="shared" ca="1" si="6"/>
        <v>-55.357142857142861</v>
      </c>
      <c r="AD11" s="799">
        <f t="shared" ca="1" si="7"/>
        <v>-4.38008658008658</v>
      </c>
      <c r="AE11" s="799" t="str">
        <f t="shared" si="8"/>
        <v/>
      </c>
      <c r="AF11" s="800" t="str">
        <f t="shared" si="9"/>
        <v/>
      </c>
      <c r="AG11" s="801">
        <f ca="1">IF(OR($A11="",Z11="",Z$26="-",LU!$D$5=0),"",Z11-Z$26)</f>
        <v>-3.0304427463538479</v>
      </c>
      <c r="AH11" s="1111">
        <f>IF(OR(A11="",F11=0),"",SUM(PT!U13,PT!U14))</f>
        <v>2</v>
      </c>
      <c r="AI11" s="1112"/>
      <c r="AJ11" s="287" t="str">
        <f t="shared" si="10"/>
        <v>23</v>
      </c>
      <c r="AK11" s="208" t="str">
        <f t="shared" si="0"/>
        <v>LeBrawn Maimes</v>
      </c>
      <c r="AL11" s="818">
        <f>IF(OR($A11="",$F11=0),"",SUM(Actions!C80,Actions!J80))</f>
        <v>0</v>
      </c>
      <c r="AM11" s="819">
        <f>IF(OR($A11="",$F11=0),"",SUM(Actions!D80,Actions!K80))</f>
        <v>0</v>
      </c>
      <c r="AN11" s="819">
        <f>IF(OR($A11="",$F11=0),"",SUM(Actions!E80,Actions!L80))</f>
        <v>0</v>
      </c>
      <c r="AO11" s="819">
        <f>IF(OR($A11="",$F11=0),"",SUM(Actions!F80,Actions!M80))</f>
        <v>0</v>
      </c>
      <c r="AP11" s="819">
        <f>IF(OR($A11="",$F11=0),"",SUM(Actions!G80,Actions!N80))</f>
        <v>0</v>
      </c>
      <c r="AQ11" s="820">
        <f t="shared" si="11"/>
        <v>0</v>
      </c>
      <c r="AR11" s="792">
        <f>IF(OR($A11="",$F11=0),"",SUM(Actions!C10,Actions!J10))</f>
        <v>0</v>
      </c>
      <c r="AS11" s="793">
        <f>IF(OR($A11="",$F11=0),"",SUM(Actions!D10,Actions!K10))</f>
        <v>0</v>
      </c>
      <c r="AT11" s="793">
        <f>IF(OR($A11="",$F11=0),"",SUM(Actions!E10,Actions!L10))</f>
        <v>0</v>
      </c>
      <c r="AU11" s="793">
        <f>IF(OR($A11="",$F11=0),"",SUM(Actions!F10,Actions!M10))</f>
        <v>0</v>
      </c>
      <c r="AV11" s="793">
        <f>IF(OR($A11="",$F11=0),"",SUM(Actions!G10,Actions!N10))</f>
        <v>0</v>
      </c>
      <c r="AW11" s="766">
        <f t="shared" si="12"/>
        <v>0</v>
      </c>
      <c r="AX11" s="821">
        <f t="shared" si="26"/>
        <v>0</v>
      </c>
      <c r="AY11" s="822">
        <f t="shared" si="13"/>
        <v>0</v>
      </c>
      <c r="AZ11" s="823">
        <f t="shared" si="14"/>
        <v>0</v>
      </c>
      <c r="BA11" s="824" t="str">
        <f t="shared" si="15"/>
        <v/>
      </c>
      <c r="BB11" s="798">
        <f t="shared" si="16"/>
        <v>0</v>
      </c>
      <c r="BC11" s="825" t="str">
        <f t="shared" si="17"/>
        <v/>
      </c>
      <c r="BD11" s="826">
        <f t="shared" si="18"/>
        <v>0</v>
      </c>
      <c r="BE11" s="827" t="str">
        <f t="shared" si="19"/>
        <v/>
      </c>
      <c r="BF11" s="828">
        <f>IF(OR($A11="",$F11=0),"",SUM(Errors!C10,Errors!J10))</f>
        <v>0</v>
      </c>
      <c r="BG11" s="793">
        <f>IF(OR($A11="",$F11=0),"",SUM(Errors!D10,Errors!K10))</f>
        <v>0</v>
      </c>
      <c r="BH11" s="793">
        <f>IF(OR($A11="",$F11=0),"",SUM(Errors!E10,Errors!L10))</f>
        <v>0</v>
      </c>
      <c r="BI11" s="793">
        <f>IF(OR($A11="",$F11=0),"",SUM(Errors!F10,Errors!M10))</f>
        <v>0</v>
      </c>
      <c r="BJ11" s="829">
        <f>IF(OR($A11="",$F11=0),"",SUM(Errors!G10,Errors!N10))</f>
        <v>0</v>
      </c>
      <c r="BK11" s="766">
        <f t="shared" si="20"/>
        <v>0</v>
      </c>
      <c r="BL11" s="830" t="str">
        <f t="shared" si="21"/>
        <v/>
      </c>
      <c r="BM11" s="830" t="str">
        <f t="shared" si="22"/>
        <v/>
      </c>
      <c r="BN11" s="817" t="str">
        <f t="shared" si="23"/>
        <v/>
      </c>
      <c r="BO11" s="818">
        <f>IF(OR($A11="",$F11=0),"",SUM(Errors!C80,Errors!J80))</f>
        <v>0</v>
      </c>
      <c r="BP11" s="819">
        <f>IF(OR($A11="",$F11=0),"",SUM(Errors!D80,Errors!K80))</f>
        <v>0</v>
      </c>
      <c r="BQ11" s="819">
        <f>IF(OR($A11="",$F11=0),"",SUM(Errors!E80,Errors!L80))</f>
        <v>0</v>
      </c>
      <c r="BR11" s="819">
        <f>IF(OR($A11="",$F11=0),"",SUM(Errors!F80,Errors!M80))</f>
        <v>0</v>
      </c>
      <c r="BS11" s="819">
        <f>IF(OR($A11="",$F11=0),"",SUM(Errors!G80,Errors!N80))</f>
        <v>0</v>
      </c>
      <c r="BT11" s="288">
        <f t="shared" si="24"/>
        <v>0</v>
      </c>
    </row>
    <row r="12" spans="1:72" s="108" customFormat="1" ht="19.5" customHeight="1" x14ac:dyDescent="0.3">
      <c r="A12" s="287" t="str">
        <f>IF(ISBLANK(IGRF!$B17),"",IGRF!$B17)</f>
        <v>321</v>
      </c>
      <c r="B12" s="205" t="str">
        <f>IF(ISBLANK(IGRF!$C17),"",IGRF!$C17)</f>
        <v>Missile America</v>
      </c>
      <c r="C12" s="206">
        <f>IF(A12="","",SUM(LU!O15,LU!O114))</f>
        <v>0</v>
      </c>
      <c r="D12" s="206">
        <f>IF(A12="","",SUM(LU!D15,LU!D114))</f>
        <v>0</v>
      </c>
      <c r="E12" s="207">
        <f>IF(A12="","",SUM(LU!J15,LU!J114))</f>
        <v>22</v>
      </c>
      <c r="F12" s="764">
        <f>IF(A12="","",(SUM(C12:E12)-(SUMPRODUCT(--(Lineups!C$4:C$41=A12),--(Lineups!A$4:A$41="SP"))+SUMPRODUCT(--(Lineups!G$4:G$41=A12),--(Lineups!A$4:A$41="SP"))+SUMPRODUCT(--(Lineups!C$50:C$87=A12),--(Lineups!A$50:A$87="SP"))+SUMPRODUCT(--(Lineups!G$50:G$87=A12),--(Lineups!A$50:A$87="SP")))))</f>
        <v>22</v>
      </c>
      <c r="G12" s="765">
        <f>IF(OR(A12="",F12=0,LU!D$3+LU!D$102=0),"",F12/(LU!D$3+LU!D$102))</f>
        <v>0.46808510638297873</v>
      </c>
      <c r="H12" s="766" t="str">
        <f>IF(OR(C12=0,A12=""),"",SK!D192)</f>
        <v/>
      </c>
      <c r="I12" s="767" t="str">
        <f ca="1">IF(OR(A12="",SK!E192="",SK!E192=0),"",H12/SK!E192)</f>
        <v/>
      </c>
      <c r="J12" s="786" t="str">
        <f>IF(OR(A12="",C12=0),"",SK!G192)</f>
        <v/>
      </c>
      <c r="K12" s="787" t="str">
        <f>IF(OR(A12="",C12=0),"",SK!H192)</f>
        <v/>
      </c>
      <c r="L12" s="788" t="str">
        <f>IF(OR(A12="",C12=0),"",SK!J192)</f>
        <v/>
      </c>
      <c r="M12" s="788" t="str">
        <f>IF(OR(A12="",C12=0),"",SK!L192)</f>
        <v/>
      </c>
      <c r="N12" s="789" t="str">
        <f t="shared" si="1"/>
        <v/>
      </c>
      <c r="O12" s="790" t="str">
        <f>IF(OR(A12="",C12=0),"",SK!I192)</f>
        <v/>
      </c>
      <c r="P12" s="791" t="str">
        <f t="shared" si="2"/>
        <v/>
      </c>
      <c r="Q12" s="792">
        <f ca="1">IF(OR(A12="",F12=0),"",SUM(LU!Q61,LU!Q160))</f>
        <v>164</v>
      </c>
      <c r="R12" s="793">
        <f ca="1">IF(OR(A12="",F12=0),"",SUM(LU!Q84,LU!Q183))</f>
        <v>11</v>
      </c>
      <c r="S12" s="766">
        <f ca="1">IF(OR(A12="",F12=0),"",SUM(LU!Q38,LU!Q137))</f>
        <v>153</v>
      </c>
      <c r="T12" s="793" t="str">
        <f>IF(OR(A12="",C12=0),"",SUM(LU!O38,LU!O137))</f>
        <v/>
      </c>
      <c r="U12" s="794" t="str">
        <f t="shared" si="3"/>
        <v/>
      </c>
      <c r="V12" s="795" t="str">
        <f>IF(OR(A12="",D12=0),"",SUM(LU!D38,LU!D137))</f>
        <v/>
      </c>
      <c r="W12" s="794" t="str">
        <f t="shared" si="4"/>
        <v/>
      </c>
      <c r="X12" s="795">
        <f ca="1">IF(OR(A12="",E12=0),"",SUM(LU!J38,LU!J137))</f>
        <v>153</v>
      </c>
      <c r="Y12" s="794">
        <f t="shared" ca="1" si="5"/>
        <v>6.9545454545454541</v>
      </c>
      <c r="Z12" s="791">
        <f t="shared" ca="1" si="25"/>
        <v>6.9545454545454541</v>
      </c>
      <c r="AA12" s="796">
        <f ca="1">IF(OR(A12="",F12=0,Q$26="-",LU!$D$5=0),"",Q12-Q$26)</f>
        <v>71.142857142857139</v>
      </c>
      <c r="AB12" s="797">
        <f ca="1">IF(OR(A12="",F12=0,R$26="-",LU!$D$5=0),"",R12-R$26)</f>
        <v>-16.5</v>
      </c>
      <c r="AC12" s="798">
        <f t="shared" ca="1" si="6"/>
        <v>87.642857142857139</v>
      </c>
      <c r="AD12" s="799" t="str">
        <f t="shared" si="7"/>
        <v/>
      </c>
      <c r="AE12" s="799" t="str">
        <f t="shared" si="8"/>
        <v/>
      </c>
      <c r="AF12" s="800">
        <f t="shared" ca="1" si="9"/>
        <v>1.7922937430958816</v>
      </c>
      <c r="AG12" s="801">
        <f ca="1">IF(OR($A12="",Z12="",Z$26="-",LU!$D$5=0),"",Z12-Z$26)</f>
        <v>3.0907693748582727</v>
      </c>
      <c r="AH12" s="1111">
        <f>IF(OR(A12="",F12=0),"",SUM(PT!U15,PT!U16))</f>
        <v>5</v>
      </c>
      <c r="AI12" s="1112"/>
      <c r="AJ12" s="287" t="str">
        <f t="shared" si="10"/>
        <v>321</v>
      </c>
      <c r="AK12" s="208" t="str">
        <f t="shared" si="0"/>
        <v>Missile America</v>
      </c>
      <c r="AL12" s="818">
        <f>IF(OR($A12="",$F12=0),"",SUM(Actions!C81,Actions!J81))</f>
        <v>0</v>
      </c>
      <c r="AM12" s="819">
        <f>IF(OR($A12="",$F12=0),"",SUM(Actions!D81,Actions!K81))</f>
        <v>0</v>
      </c>
      <c r="AN12" s="819">
        <f>IF(OR($A12="",$F12=0),"",SUM(Actions!E81,Actions!L81))</f>
        <v>0</v>
      </c>
      <c r="AO12" s="819">
        <f>IF(OR($A12="",$F12=0),"",SUM(Actions!F81,Actions!M81))</f>
        <v>0</v>
      </c>
      <c r="AP12" s="819">
        <f>IF(OR($A12="",$F12=0),"",SUM(Actions!G81,Actions!N81))</f>
        <v>0</v>
      </c>
      <c r="AQ12" s="820">
        <f t="shared" si="11"/>
        <v>0</v>
      </c>
      <c r="AR12" s="792">
        <f>IF(OR($A12="",$F12=0),"",SUM(Actions!C11,Actions!J11))</f>
        <v>0</v>
      </c>
      <c r="AS12" s="793">
        <f>IF(OR($A12="",$F12=0),"",SUM(Actions!D11,Actions!K11))</f>
        <v>0</v>
      </c>
      <c r="AT12" s="793">
        <f>IF(OR($A12="",$F12=0),"",SUM(Actions!E11,Actions!L11))</f>
        <v>0</v>
      </c>
      <c r="AU12" s="793">
        <f>IF(OR($A12="",$F12=0),"",SUM(Actions!F11,Actions!M11))</f>
        <v>0</v>
      </c>
      <c r="AV12" s="793">
        <f>IF(OR($A12="",$F12=0),"",SUM(Actions!G11,Actions!N11))</f>
        <v>0</v>
      </c>
      <c r="AW12" s="766">
        <f t="shared" si="12"/>
        <v>0</v>
      </c>
      <c r="AX12" s="821">
        <f t="shared" si="26"/>
        <v>0</v>
      </c>
      <c r="AY12" s="822">
        <f t="shared" si="13"/>
        <v>0</v>
      </c>
      <c r="AZ12" s="823">
        <f t="shared" si="14"/>
        <v>0</v>
      </c>
      <c r="BA12" s="824" t="str">
        <f t="shared" si="15"/>
        <v/>
      </c>
      <c r="BB12" s="798">
        <f t="shared" si="16"/>
        <v>0</v>
      </c>
      <c r="BC12" s="825" t="str">
        <f t="shared" si="17"/>
        <v/>
      </c>
      <c r="BD12" s="826">
        <f t="shared" si="18"/>
        <v>0</v>
      </c>
      <c r="BE12" s="827" t="str">
        <f t="shared" si="19"/>
        <v/>
      </c>
      <c r="BF12" s="828">
        <f>IF(OR($A12="",$F12=0),"",SUM(Errors!C11,Errors!J11))</f>
        <v>0</v>
      </c>
      <c r="BG12" s="793">
        <f>IF(OR($A12="",$F12=0),"",SUM(Errors!D11,Errors!K11))</f>
        <v>0</v>
      </c>
      <c r="BH12" s="793">
        <f>IF(OR($A12="",$F12=0),"",SUM(Errors!E11,Errors!L11))</f>
        <v>0</v>
      </c>
      <c r="BI12" s="793">
        <f>IF(OR($A12="",$F12=0),"",SUM(Errors!F11,Errors!M11))</f>
        <v>0</v>
      </c>
      <c r="BJ12" s="829">
        <f>IF(OR($A12="",$F12=0),"",SUM(Errors!G11,Errors!N11))</f>
        <v>0</v>
      </c>
      <c r="BK12" s="766">
        <f t="shared" si="20"/>
        <v>0</v>
      </c>
      <c r="BL12" s="830" t="str">
        <f t="shared" si="21"/>
        <v/>
      </c>
      <c r="BM12" s="830" t="str">
        <f t="shared" si="22"/>
        <v/>
      </c>
      <c r="BN12" s="817" t="str">
        <f t="shared" si="23"/>
        <v/>
      </c>
      <c r="BO12" s="818">
        <f>IF(OR($A12="",$F12=0),"",SUM(Errors!C81,Errors!J81))</f>
        <v>0</v>
      </c>
      <c r="BP12" s="819">
        <f>IF(OR($A12="",$F12=0),"",SUM(Errors!D81,Errors!K81))</f>
        <v>0</v>
      </c>
      <c r="BQ12" s="819">
        <f>IF(OR($A12="",$F12=0),"",SUM(Errors!E81,Errors!L81))</f>
        <v>0</v>
      </c>
      <c r="BR12" s="819">
        <f>IF(OR($A12="",$F12=0),"",SUM(Errors!F81,Errors!M81))</f>
        <v>0</v>
      </c>
      <c r="BS12" s="819">
        <f>IF(OR($A12="",$F12=0),"",SUM(Errors!G81,Errors!N81))</f>
        <v>0</v>
      </c>
      <c r="BT12" s="288" t="str">
        <f t="shared" si="24"/>
        <v/>
      </c>
    </row>
    <row r="13" spans="1:72" s="108" customFormat="1" ht="19.95" customHeight="1" x14ac:dyDescent="0.3">
      <c r="A13" s="287" t="str">
        <f>IF(ISBLANK(IGRF!$B18),"",IGRF!$B18)</f>
        <v>4</v>
      </c>
      <c r="B13" s="205" t="str">
        <f>IF(ISBLANK(IGRF!$C18),"",IGRF!$C18)</f>
        <v>Belle Tolls</v>
      </c>
      <c r="C13" s="206">
        <f>IF(A13="","",SUM(LU!O16,LU!O115))</f>
        <v>0</v>
      </c>
      <c r="D13" s="206">
        <f>IF(A13="","",SUM(LU!D16,LU!D115))</f>
        <v>0</v>
      </c>
      <c r="E13" s="207">
        <f>IF(A13="","",SUM(LU!J16,LU!J115))</f>
        <v>14</v>
      </c>
      <c r="F13" s="764">
        <f>IF(A13="","",(SUM(C13:E13)-(SUMPRODUCT(--(Lineups!C$4:C$41=A13),--(Lineups!A$4:A$41="SP"))+SUMPRODUCT(--(Lineups!G$4:G$41=A13),--(Lineups!A$4:A$41="SP"))+SUMPRODUCT(--(Lineups!C$50:C$87=A13),--(Lineups!A$50:A$87="SP"))+SUMPRODUCT(--(Lineups!G$50:G$87=A13),--(Lineups!A$50:A$87="SP")))))</f>
        <v>14</v>
      </c>
      <c r="G13" s="765">
        <f>IF(OR(A13="",F13=0,LU!D$3+LU!D$102=0),"",F13/(LU!D$3+LU!D$102))</f>
        <v>0.2978723404255319</v>
      </c>
      <c r="H13" s="766" t="str">
        <f>IF(OR(C13=0,A13=""),"",SK!D195)</f>
        <v/>
      </c>
      <c r="I13" s="767" t="str">
        <f ca="1">IF(OR(A13="",SK!E195="",SK!E195=0),"",H13/SK!E195)</f>
        <v/>
      </c>
      <c r="J13" s="786" t="str">
        <f>IF(OR(A13="",C13=0),"",SK!G195)</f>
        <v/>
      </c>
      <c r="K13" s="787" t="str">
        <f>IF(OR(A13="",C13=0),"",SK!H195)</f>
        <v/>
      </c>
      <c r="L13" s="788" t="str">
        <f>IF(OR(A13="",C13=0),"",SK!J195)</f>
        <v/>
      </c>
      <c r="M13" s="788" t="str">
        <f>IF(OR(A13="",C13=0),"",SK!L195)</f>
        <v/>
      </c>
      <c r="N13" s="789" t="str">
        <f t="shared" si="1"/>
        <v/>
      </c>
      <c r="O13" s="790" t="str">
        <f>IF(OR(A13="",C13=0),"",SK!I195)</f>
        <v/>
      </c>
      <c r="P13" s="791" t="str">
        <f t="shared" si="2"/>
        <v/>
      </c>
      <c r="Q13" s="792">
        <f ca="1">IF(OR(A13="",F13=0),"",SUM(LU!Q62,LU!Q161))</f>
        <v>93</v>
      </c>
      <c r="R13" s="793">
        <f ca="1">IF(OR(A13="",F13=0),"",SUM(LU!Q85,LU!Q184))</f>
        <v>20</v>
      </c>
      <c r="S13" s="766">
        <f ca="1">IF(OR(A13="",F13=0),"",SUM(LU!Q39,LU!Q138))</f>
        <v>73</v>
      </c>
      <c r="T13" s="793" t="str">
        <f>IF(OR(A13="",C13=0),"",SUM(LU!O39,LU!O138))</f>
        <v/>
      </c>
      <c r="U13" s="794" t="str">
        <f t="shared" si="3"/>
        <v/>
      </c>
      <c r="V13" s="795" t="str">
        <f>IF(OR(A13="",D13=0),"",SUM(LU!D39,LU!D138))</f>
        <v/>
      </c>
      <c r="W13" s="794" t="str">
        <f t="shared" si="4"/>
        <v/>
      </c>
      <c r="X13" s="795">
        <f ca="1">IF(OR(A13="",E13=0),"",SUM(LU!J39,LU!J138))</f>
        <v>73</v>
      </c>
      <c r="Y13" s="794">
        <f t="shared" ca="1" si="5"/>
        <v>5.2142857142857144</v>
      </c>
      <c r="Z13" s="791">
        <f t="shared" ca="1" si="25"/>
        <v>5.2142857142857144</v>
      </c>
      <c r="AA13" s="796">
        <f ca="1">IF(OR(A13="",F13=0,Q$26="-",LU!$D$5=0),"",Q13-Q$26)</f>
        <v>0.1428571428571388</v>
      </c>
      <c r="AB13" s="797">
        <f ca="1">IF(OR(A13="",F13=0,R$26="-",LU!$D$5=0),"",R13-R$26)</f>
        <v>-7.5</v>
      </c>
      <c r="AC13" s="798">
        <f t="shared" ca="1" si="6"/>
        <v>7.6428571428571388</v>
      </c>
      <c r="AD13" s="799" t="str">
        <f t="shared" si="7"/>
        <v/>
      </c>
      <c r="AE13" s="799" t="str">
        <f t="shared" si="8"/>
        <v/>
      </c>
      <c r="AF13" s="800">
        <f t="shared" ca="1" si="9"/>
        <v>5.2034002836141902E-2</v>
      </c>
      <c r="AG13" s="801">
        <f ca="1">IF(OR($A13="",Z13="",Z$26="-",LU!$D$5=0),"",Z13-Z$26)</f>
        <v>1.350509634598533</v>
      </c>
      <c r="AH13" s="1111">
        <f>IF(OR(A13="",F13=0),"",SUM(PT!U17,PT!U18))</f>
        <v>2</v>
      </c>
      <c r="AI13" s="1112"/>
      <c r="AJ13" s="287" t="str">
        <f t="shared" si="10"/>
        <v>4</v>
      </c>
      <c r="AK13" s="208" t="str">
        <f t="shared" si="0"/>
        <v>Belle Tolls</v>
      </c>
      <c r="AL13" s="818">
        <f>IF(OR($A13="",$F13=0),"",SUM(Actions!C82,Actions!J82))</f>
        <v>0</v>
      </c>
      <c r="AM13" s="819">
        <f>IF(OR($A13="",$F13=0),"",SUM(Actions!D82,Actions!K82))</f>
        <v>0</v>
      </c>
      <c r="AN13" s="819">
        <f>IF(OR($A13="",$F13=0),"",SUM(Actions!E82,Actions!L82))</f>
        <v>0</v>
      </c>
      <c r="AO13" s="819">
        <f>IF(OR($A13="",$F13=0),"",SUM(Actions!F82,Actions!M82))</f>
        <v>0</v>
      </c>
      <c r="AP13" s="819">
        <f>IF(OR($A13="",$F13=0),"",SUM(Actions!G82,Actions!N82))</f>
        <v>0</v>
      </c>
      <c r="AQ13" s="820">
        <f t="shared" si="11"/>
        <v>0</v>
      </c>
      <c r="AR13" s="792">
        <f>IF(OR($A13="",$F13=0),"",SUM(Actions!C12,Actions!J12))</f>
        <v>0</v>
      </c>
      <c r="AS13" s="793">
        <f>IF(OR($A13="",$F13=0),"",SUM(Actions!D12,Actions!K12))</f>
        <v>0</v>
      </c>
      <c r="AT13" s="793">
        <f>IF(OR($A13="",$F13=0),"",SUM(Actions!E12,Actions!L12))</f>
        <v>0</v>
      </c>
      <c r="AU13" s="793">
        <f>IF(OR($A13="",$F13=0),"",SUM(Actions!F12,Actions!M12))</f>
        <v>0</v>
      </c>
      <c r="AV13" s="793">
        <f>IF(OR($A13="",$F13=0),"",SUM(Actions!G12,Actions!N12))</f>
        <v>0</v>
      </c>
      <c r="AW13" s="766">
        <f t="shared" si="12"/>
        <v>0</v>
      </c>
      <c r="AX13" s="821">
        <f t="shared" si="26"/>
        <v>0</v>
      </c>
      <c r="AY13" s="822">
        <f t="shared" si="13"/>
        <v>0</v>
      </c>
      <c r="AZ13" s="823">
        <f t="shared" si="14"/>
        <v>0</v>
      </c>
      <c r="BA13" s="824" t="str">
        <f t="shared" si="15"/>
        <v/>
      </c>
      <c r="BB13" s="798">
        <f t="shared" si="16"/>
        <v>0</v>
      </c>
      <c r="BC13" s="825" t="str">
        <f t="shared" si="17"/>
        <v/>
      </c>
      <c r="BD13" s="826">
        <f t="shared" si="18"/>
        <v>0</v>
      </c>
      <c r="BE13" s="827" t="str">
        <f t="shared" si="19"/>
        <v/>
      </c>
      <c r="BF13" s="828">
        <f>IF(OR($A13="",$F13=0),"",SUM(Errors!C12,Errors!J12))</f>
        <v>0</v>
      </c>
      <c r="BG13" s="793">
        <f>IF(OR($A13="",$F13=0),"",SUM(Errors!D12,Errors!K12))</f>
        <v>0</v>
      </c>
      <c r="BH13" s="793">
        <f>IF(OR($A13="",$F13=0),"",SUM(Errors!E12,Errors!L12))</f>
        <v>0</v>
      </c>
      <c r="BI13" s="793">
        <f>IF(OR($A13="",$F13=0),"",SUM(Errors!F12,Errors!M12))</f>
        <v>0</v>
      </c>
      <c r="BJ13" s="829">
        <f>IF(OR($A13="",$F13=0),"",SUM(Errors!G12,Errors!N12))</f>
        <v>0</v>
      </c>
      <c r="BK13" s="766">
        <f t="shared" si="20"/>
        <v>0</v>
      </c>
      <c r="BL13" s="830" t="str">
        <f t="shared" si="21"/>
        <v/>
      </c>
      <c r="BM13" s="830" t="str">
        <f t="shared" si="22"/>
        <v/>
      </c>
      <c r="BN13" s="817" t="str">
        <f t="shared" si="23"/>
        <v/>
      </c>
      <c r="BO13" s="818">
        <f>IF(OR($A13="",$F13=0),"",SUM(Errors!C82,Errors!J82))</f>
        <v>0</v>
      </c>
      <c r="BP13" s="819">
        <f>IF(OR($A13="",$F13=0),"",SUM(Errors!D82,Errors!K82))</f>
        <v>0</v>
      </c>
      <c r="BQ13" s="819">
        <f>IF(OR($A13="",$F13=0),"",SUM(Errors!E82,Errors!L82))</f>
        <v>0</v>
      </c>
      <c r="BR13" s="819">
        <f>IF(OR($A13="",$F13=0),"",SUM(Errors!F82,Errors!M82))</f>
        <v>0</v>
      </c>
      <c r="BS13" s="819">
        <f>IF(OR($A13="",$F13=0),"",SUM(Errors!G82,Errors!N82))</f>
        <v>0</v>
      </c>
      <c r="BT13" s="288" t="str">
        <f t="shared" si="24"/>
        <v/>
      </c>
    </row>
    <row r="14" spans="1:72" s="108" customFormat="1" ht="19.5" customHeight="1" x14ac:dyDescent="0.3">
      <c r="A14" s="287" t="str">
        <f>IF(ISBLANK(IGRF!$B19),"",IGRF!$B19)</f>
        <v>505</v>
      </c>
      <c r="B14" s="205" t="str">
        <f>IF(ISBLANK(IGRF!$C19),"",IGRF!$C19)</f>
        <v>Teddy Rupp</v>
      </c>
      <c r="C14" s="206">
        <f>IF(A14="","",SUM(LU!O17,LU!O116))</f>
        <v>0</v>
      </c>
      <c r="D14" s="206">
        <f>IF(A14="","",SUM(LU!D17,LU!D116))</f>
        <v>0</v>
      </c>
      <c r="E14" s="207">
        <f>IF(A14="","",SUM(LU!J17,LU!J116))</f>
        <v>18</v>
      </c>
      <c r="F14" s="764">
        <f>IF(A14="","",(SUM(C14:E14)-(SUMPRODUCT(--(Lineups!C$4:C$41=A14),--(Lineups!A$4:A$41="SP"))+SUMPRODUCT(--(Lineups!G$4:G$41=A14),--(Lineups!A$4:A$41="SP"))+SUMPRODUCT(--(Lineups!C$50:C$87=A14),--(Lineups!A$50:A$87="SP"))+SUMPRODUCT(--(Lineups!G$50:G$87=A14),--(Lineups!A$50:A$87="SP")))))</f>
        <v>18</v>
      </c>
      <c r="G14" s="765">
        <f>IF(OR(A14="",F14=0,LU!D$3+LU!D$102=0),"",F14/(LU!D$3+LU!D$102))</f>
        <v>0.38297872340425532</v>
      </c>
      <c r="H14" s="766" t="str">
        <f>IF(OR(C14=0,A14=""),"",SK!D198)</f>
        <v/>
      </c>
      <c r="I14" s="767" t="str">
        <f ca="1">IF(OR(A14="",SK!E198="",SK!E198=0),"",H14/SK!E198)</f>
        <v/>
      </c>
      <c r="J14" s="786" t="str">
        <f>IF(OR(A14="",C14=0),"",SK!G198)</f>
        <v/>
      </c>
      <c r="K14" s="787" t="str">
        <f>IF(OR(A14="",C14=0),"",SK!H198)</f>
        <v/>
      </c>
      <c r="L14" s="788" t="str">
        <f>IF(OR(A14="",C14=0),"",SK!J198)</f>
        <v/>
      </c>
      <c r="M14" s="788" t="str">
        <f>IF(OR(A14="",C14=0),"",SK!L198)</f>
        <v/>
      </c>
      <c r="N14" s="789" t="str">
        <f t="shared" si="1"/>
        <v/>
      </c>
      <c r="O14" s="790" t="str">
        <f>IF(OR(A14="",C14=0),"",SK!I198)</f>
        <v/>
      </c>
      <c r="P14" s="791" t="str">
        <f t="shared" si="2"/>
        <v/>
      </c>
      <c r="Q14" s="792">
        <f ca="1">IF(OR(A14="",F14=0),"",SUM(LU!Q63,LU!Q162))</f>
        <v>98</v>
      </c>
      <c r="R14" s="793">
        <f ca="1">IF(OR(A14="",F14=0),"",SUM(LU!Q86,LU!Q185))</f>
        <v>39</v>
      </c>
      <c r="S14" s="766">
        <f ca="1">IF(OR(A14="",F14=0),"",SUM(LU!Q40,LU!Q139))</f>
        <v>59</v>
      </c>
      <c r="T14" s="793" t="str">
        <f>IF(OR(A14="",C14=0),"",SUM(LU!O40,LU!O139))</f>
        <v/>
      </c>
      <c r="U14" s="794" t="str">
        <f t="shared" si="3"/>
        <v/>
      </c>
      <c r="V14" s="795" t="str">
        <f>IF(OR(A14="",D14=0),"",SUM(LU!D40,LU!D139))</f>
        <v/>
      </c>
      <c r="W14" s="794" t="str">
        <f t="shared" si="4"/>
        <v/>
      </c>
      <c r="X14" s="795">
        <f ca="1">IF(OR(A14="",E14=0),"",SUM(LU!J40,LU!J139))</f>
        <v>59</v>
      </c>
      <c r="Y14" s="794">
        <f t="shared" ca="1" si="5"/>
        <v>3.2777777777777777</v>
      </c>
      <c r="Z14" s="791">
        <f t="shared" ca="1" si="25"/>
        <v>3.2777777777777777</v>
      </c>
      <c r="AA14" s="796">
        <f ca="1">IF(OR(A14="",F14=0,Q$26="-",LU!$D$5=0),"",Q14-Q$26)</f>
        <v>5.1428571428571388</v>
      </c>
      <c r="AB14" s="797">
        <f ca="1">IF(OR(A14="",F14=0,R$26="-",LU!$D$5=0),"",R14-R$26)</f>
        <v>11.5</v>
      </c>
      <c r="AC14" s="798">
        <f t="shared" ca="1" si="6"/>
        <v>-6.3571428571428612</v>
      </c>
      <c r="AD14" s="799" t="str">
        <f t="shared" si="7"/>
        <v/>
      </c>
      <c r="AE14" s="799" t="str">
        <f t="shared" si="8"/>
        <v/>
      </c>
      <c r="AF14" s="800">
        <f t="shared" ca="1" si="9"/>
        <v>-1.8844739336717948</v>
      </c>
      <c r="AG14" s="801">
        <f ca="1">IF(OR($A14="",Z14="",Z$26="-",LU!$D$5=0),"",Z14-Z$26)</f>
        <v>-0.58599830190940372</v>
      </c>
      <c r="AH14" s="1111">
        <f>IF(OR(A14="",F14=0),"",SUM(PT!U19,PT!U20))</f>
        <v>2</v>
      </c>
      <c r="AI14" s="1112"/>
      <c r="AJ14" s="287" t="str">
        <f t="shared" si="10"/>
        <v>505</v>
      </c>
      <c r="AK14" s="208" t="str">
        <f t="shared" si="0"/>
        <v>Teddy Rupp</v>
      </c>
      <c r="AL14" s="818">
        <f>IF(OR($A14="",$F14=0),"",SUM(Actions!C83,Actions!J83))</f>
        <v>0</v>
      </c>
      <c r="AM14" s="819">
        <f>IF(OR($A14="",$F14=0),"",SUM(Actions!D83,Actions!K83))</f>
        <v>0</v>
      </c>
      <c r="AN14" s="819">
        <f>IF(OR($A14="",$F14=0),"",SUM(Actions!E83,Actions!L83))</f>
        <v>0</v>
      </c>
      <c r="AO14" s="819">
        <f>IF(OR($A14="",$F14=0),"",SUM(Actions!F83,Actions!M83))</f>
        <v>0</v>
      </c>
      <c r="AP14" s="819">
        <f>IF(OR($A14="",$F14=0),"",SUM(Actions!G83,Actions!N83))</f>
        <v>0</v>
      </c>
      <c r="AQ14" s="820">
        <f t="shared" si="11"/>
        <v>0</v>
      </c>
      <c r="AR14" s="792">
        <f>IF(OR($A14="",$F14=0),"",SUM(Actions!C13,Actions!J13))</f>
        <v>0</v>
      </c>
      <c r="AS14" s="793">
        <f>IF(OR($A14="",$F14=0),"",SUM(Actions!D13,Actions!K13))</f>
        <v>0</v>
      </c>
      <c r="AT14" s="793">
        <f>IF(OR($A14="",$F14=0),"",SUM(Actions!E13,Actions!L13))</f>
        <v>0</v>
      </c>
      <c r="AU14" s="793">
        <f>IF(OR($A14="",$F14=0),"",SUM(Actions!F13,Actions!M13))</f>
        <v>0</v>
      </c>
      <c r="AV14" s="793">
        <f>IF(OR($A14="",$F14=0),"",SUM(Actions!G13,Actions!N13))</f>
        <v>0</v>
      </c>
      <c r="AW14" s="766">
        <f t="shared" si="12"/>
        <v>0</v>
      </c>
      <c r="AX14" s="821">
        <f t="shared" si="26"/>
        <v>0</v>
      </c>
      <c r="AY14" s="822">
        <f t="shared" si="13"/>
        <v>0</v>
      </c>
      <c r="AZ14" s="823">
        <f t="shared" si="14"/>
        <v>0</v>
      </c>
      <c r="BA14" s="824" t="str">
        <f t="shared" si="15"/>
        <v/>
      </c>
      <c r="BB14" s="798">
        <f t="shared" si="16"/>
        <v>0</v>
      </c>
      <c r="BC14" s="825" t="str">
        <f t="shared" si="17"/>
        <v/>
      </c>
      <c r="BD14" s="826">
        <f t="shared" si="18"/>
        <v>0</v>
      </c>
      <c r="BE14" s="827" t="str">
        <f t="shared" si="19"/>
        <v/>
      </c>
      <c r="BF14" s="828">
        <f>IF(OR($A14="",$F14=0),"",SUM(Errors!C13,Errors!J13))</f>
        <v>0</v>
      </c>
      <c r="BG14" s="793">
        <f>IF(OR($A14="",$F14=0),"",SUM(Errors!D13,Errors!K13))</f>
        <v>0</v>
      </c>
      <c r="BH14" s="793">
        <f>IF(OR($A14="",$F14=0),"",SUM(Errors!E13,Errors!L13))</f>
        <v>0</v>
      </c>
      <c r="BI14" s="793">
        <f>IF(OR($A14="",$F14=0),"",SUM(Errors!F13,Errors!M13))</f>
        <v>0</v>
      </c>
      <c r="BJ14" s="829">
        <f>IF(OR($A14="",$F14=0),"",SUM(Errors!G13,Errors!N13))</f>
        <v>0</v>
      </c>
      <c r="BK14" s="766">
        <f t="shared" si="20"/>
        <v>0</v>
      </c>
      <c r="BL14" s="830" t="str">
        <f t="shared" si="21"/>
        <v/>
      </c>
      <c r="BM14" s="830" t="str">
        <f t="shared" si="22"/>
        <v/>
      </c>
      <c r="BN14" s="817" t="str">
        <f t="shared" si="23"/>
        <v/>
      </c>
      <c r="BO14" s="818">
        <f>IF(OR($A14="",$F14=0),"",SUM(Errors!C83,Errors!J83))</f>
        <v>0</v>
      </c>
      <c r="BP14" s="819">
        <f>IF(OR($A14="",$F14=0),"",SUM(Errors!D83,Errors!K83))</f>
        <v>0</v>
      </c>
      <c r="BQ14" s="819">
        <f>IF(OR($A14="",$F14=0),"",SUM(Errors!E83,Errors!L83))</f>
        <v>0</v>
      </c>
      <c r="BR14" s="819">
        <f>IF(OR($A14="",$F14=0),"",SUM(Errors!F83,Errors!M83))</f>
        <v>0</v>
      </c>
      <c r="BS14" s="819">
        <f>IF(OR($A14="",$F14=0),"",SUM(Errors!G83,Errors!N83))</f>
        <v>0</v>
      </c>
      <c r="BT14" s="288" t="str">
        <f t="shared" si="24"/>
        <v/>
      </c>
    </row>
    <row r="15" spans="1:72" s="108" customFormat="1" ht="19.95" customHeight="1" x14ac:dyDescent="0.3">
      <c r="A15" s="287" t="str">
        <f>IF(ISBLANK(IGRF!$B20),"",IGRF!$B20)</f>
        <v>53</v>
      </c>
      <c r="B15" s="205" t="str">
        <f>IF(ISBLANK(IGRF!$C20),"",IGRF!$C20)</f>
        <v>Raven Seaward</v>
      </c>
      <c r="C15" s="206">
        <f>IF(A15="","",SUM(LU!O18,LU!O117))</f>
        <v>0</v>
      </c>
      <c r="D15" s="206">
        <f>IF(A15="","",SUM(LU!D18,LU!D117))</f>
        <v>1</v>
      </c>
      <c r="E15" s="207">
        <f>IF(A15="","",SUM(LU!J18,LU!J117))</f>
        <v>18</v>
      </c>
      <c r="F15" s="764">
        <f>IF(A15="","",(SUM(C15:E15)-(SUMPRODUCT(--(Lineups!C$4:C$41=A15),--(Lineups!A$4:A$41="SP"))+SUMPRODUCT(--(Lineups!G$4:G$41=A15),--(Lineups!A$4:A$41="SP"))+SUMPRODUCT(--(Lineups!C$50:C$87=A15),--(Lineups!A$50:A$87="SP"))+SUMPRODUCT(--(Lineups!G$50:G$87=A15),--(Lineups!A$50:A$87="SP")))))</f>
        <v>19</v>
      </c>
      <c r="G15" s="765">
        <f>IF(OR(A15="",F15=0,LU!D$3+LU!D$102=0),"",F15/(LU!D$3+LU!D$102))</f>
        <v>0.40425531914893614</v>
      </c>
      <c r="H15" s="766" t="str">
        <f>IF(OR(C15=0,A15=""),"",SK!D201)</f>
        <v/>
      </c>
      <c r="I15" s="767" t="str">
        <f ca="1">IF(OR(A15="",SK!E201="",SK!E201=0),"",H15/SK!E201)</f>
        <v/>
      </c>
      <c r="J15" s="786" t="str">
        <f>IF(OR(A15="",C15=0),"",SK!G201)</f>
        <v/>
      </c>
      <c r="K15" s="787" t="str">
        <f>IF(OR(A15="",C15=0),"",SK!H201)</f>
        <v/>
      </c>
      <c r="L15" s="788" t="str">
        <f>IF(OR(A15="",C15=0),"",SK!J201)</f>
        <v/>
      </c>
      <c r="M15" s="788" t="str">
        <f>IF(OR(A15="",C15=0),"",SK!L201)</f>
        <v/>
      </c>
      <c r="N15" s="789" t="str">
        <f t="shared" si="1"/>
        <v/>
      </c>
      <c r="O15" s="790" t="str">
        <f>IF(OR(A15="",C15=0),"",SK!I201)</f>
        <v/>
      </c>
      <c r="P15" s="791" t="str">
        <f t="shared" si="2"/>
        <v/>
      </c>
      <c r="Q15" s="792">
        <f ca="1">IF(OR(A15="",F15=0),"",SUM(LU!Q64,LU!Q163))</f>
        <v>110</v>
      </c>
      <c r="R15" s="793">
        <f ca="1">IF(OR(A15="",F15=0),"",SUM(LU!Q87,LU!Q186))</f>
        <v>29</v>
      </c>
      <c r="S15" s="766">
        <f ca="1">IF(OR(A15="",F15=0),"",SUM(LU!Q41,LU!Q140))</f>
        <v>81</v>
      </c>
      <c r="T15" s="793" t="str">
        <f>IF(OR(A15="",C15=0),"",SUM(LU!O41,LU!O140))</f>
        <v/>
      </c>
      <c r="U15" s="794" t="str">
        <f t="shared" si="3"/>
        <v/>
      </c>
      <c r="V15" s="795">
        <f ca="1">IF(OR(A15="",D15=0),"",SUM(LU!D41,LU!D140))</f>
        <v>9</v>
      </c>
      <c r="W15" s="794">
        <f t="shared" ca="1" si="4"/>
        <v>9</v>
      </c>
      <c r="X15" s="795">
        <f ca="1">IF(OR(A15="",E15=0),"",SUM(LU!J41,LU!J140))</f>
        <v>72</v>
      </c>
      <c r="Y15" s="794">
        <f t="shared" ca="1" si="5"/>
        <v>4</v>
      </c>
      <c r="Z15" s="791">
        <f t="shared" ca="1" si="25"/>
        <v>4.2631578947368425</v>
      </c>
      <c r="AA15" s="796">
        <f ca="1">IF(OR(A15="",F15=0,Q$26="-",LU!$D$5=0),"",Q15-Q$26)</f>
        <v>17.142857142857139</v>
      </c>
      <c r="AB15" s="797">
        <f ca="1">IF(OR(A15="",F15=0,R$26="-",LU!$D$5=0),"",R15-R$26)</f>
        <v>1.5</v>
      </c>
      <c r="AC15" s="798">
        <f t="shared" ca="1" si="6"/>
        <v>15.642857142857139</v>
      </c>
      <c r="AD15" s="799" t="str">
        <f t="shared" si="7"/>
        <v/>
      </c>
      <c r="AE15" s="799">
        <f t="shared" ca="1" si="8"/>
        <v>3.3082107843137258</v>
      </c>
      <c r="AF15" s="800">
        <f t="shared" ca="1" si="9"/>
        <v>-1.1622517114495725</v>
      </c>
      <c r="AG15" s="801">
        <f ca="1">IF(OR($A15="",Z15="",Z$26="-",LU!$D$5=0),"",Z15-Z$26)</f>
        <v>0.39938181504966108</v>
      </c>
      <c r="AH15" s="1111">
        <f>IF(OR(A15="",F15=0),"",SUM(PT!U21,PT!U22))</f>
        <v>0</v>
      </c>
      <c r="AI15" s="1112"/>
      <c r="AJ15" s="287" t="str">
        <f t="shared" si="10"/>
        <v>53</v>
      </c>
      <c r="AK15" s="208" t="str">
        <f t="shared" si="0"/>
        <v>Raven Seaward</v>
      </c>
      <c r="AL15" s="818">
        <f>IF(OR($A15="",$F15=0),"",SUM(Actions!C84,Actions!J84))</f>
        <v>0</v>
      </c>
      <c r="AM15" s="819">
        <f>IF(OR($A15="",$F15=0),"",SUM(Actions!D84,Actions!K84))</f>
        <v>0</v>
      </c>
      <c r="AN15" s="819">
        <f>IF(OR($A15="",$F15=0),"",SUM(Actions!E84,Actions!L84))</f>
        <v>0</v>
      </c>
      <c r="AO15" s="819">
        <f>IF(OR($A15="",$F15=0),"",SUM(Actions!F84,Actions!M84))</f>
        <v>0</v>
      </c>
      <c r="AP15" s="819">
        <f>IF(OR($A15="",$F15=0),"",SUM(Actions!G84,Actions!N84))</f>
        <v>0</v>
      </c>
      <c r="AQ15" s="820">
        <f t="shared" si="11"/>
        <v>0</v>
      </c>
      <c r="AR15" s="792">
        <f>IF(OR($A15="",$F15=0),"",SUM(Actions!C14,Actions!J14))</f>
        <v>0</v>
      </c>
      <c r="AS15" s="793">
        <f>IF(OR($A15="",$F15=0),"",SUM(Actions!D14,Actions!K14))</f>
        <v>0</v>
      </c>
      <c r="AT15" s="793">
        <f>IF(OR($A15="",$F15=0),"",SUM(Actions!E14,Actions!L14))</f>
        <v>0</v>
      </c>
      <c r="AU15" s="793">
        <f>IF(OR($A15="",$F15=0),"",SUM(Actions!F14,Actions!M14))</f>
        <v>0</v>
      </c>
      <c r="AV15" s="793">
        <f>IF(OR($A15="",$F15=0),"",SUM(Actions!G14,Actions!N14))</f>
        <v>0</v>
      </c>
      <c r="AW15" s="766">
        <f t="shared" si="12"/>
        <v>0</v>
      </c>
      <c r="AX15" s="821">
        <f t="shared" si="26"/>
        <v>0</v>
      </c>
      <c r="AY15" s="822">
        <f t="shared" si="13"/>
        <v>0</v>
      </c>
      <c r="AZ15" s="823">
        <f t="shared" si="14"/>
        <v>0</v>
      </c>
      <c r="BA15" s="824" t="str">
        <f t="shared" si="15"/>
        <v/>
      </c>
      <c r="BB15" s="798">
        <f t="shared" si="16"/>
        <v>0</v>
      </c>
      <c r="BC15" s="825" t="str">
        <f t="shared" si="17"/>
        <v/>
      </c>
      <c r="BD15" s="826">
        <f t="shared" si="18"/>
        <v>0</v>
      </c>
      <c r="BE15" s="827" t="str">
        <f t="shared" si="19"/>
        <v/>
      </c>
      <c r="BF15" s="828">
        <f>IF(OR($A15="",$F15=0),"",SUM(Errors!C14,Errors!J14))</f>
        <v>0</v>
      </c>
      <c r="BG15" s="793">
        <f>IF(OR($A15="",$F15=0),"",SUM(Errors!D14,Errors!K14))</f>
        <v>0</v>
      </c>
      <c r="BH15" s="793">
        <f>IF(OR($A15="",$F15=0),"",SUM(Errors!E14,Errors!L14))</f>
        <v>0</v>
      </c>
      <c r="BI15" s="793">
        <f>IF(OR($A15="",$F15=0),"",SUM(Errors!F14,Errors!M14))</f>
        <v>0</v>
      </c>
      <c r="BJ15" s="829">
        <f>IF(OR($A15="",$F15=0),"",SUM(Errors!G14,Errors!N14))</f>
        <v>0</v>
      </c>
      <c r="BK15" s="766">
        <f t="shared" si="20"/>
        <v>0</v>
      </c>
      <c r="BL15" s="830" t="str">
        <f t="shared" si="21"/>
        <v/>
      </c>
      <c r="BM15" s="830" t="str">
        <f t="shared" si="22"/>
        <v/>
      </c>
      <c r="BN15" s="817" t="str">
        <f t="shared" si="23"/>
        <v/>
      </c>
      <c r="BO15" s="818">
        <f>IF(OR($A15="",$F15=0),"",SUM(Errors!C84,Errors!J84))</f>
        <v>0</v>
      </c>
      <c r="BP15" s="819">
        <f>IF(OR($A15="",$F15=0),"",SUM(Errors!D84,Errors!K84))</f>
        <v>0</v>
      </c>
      <c r="BQ15" s="819">
        <f>IF(OR($A15="",$F15=0),"",SUM(Errors!E84,Errors!L84))</f>
        <v>0</v>
      </c>
      <c r="BR15" s="819">
        <f>IF(OR($A15="",$F15=0),"",SUM(Errors!F84,Errors!M84))</f>
        <v>0</v>
      </c>
      <c r="BS15" s="819">
        <f>IF(OR($A15="",$F15=0),"",SUM(Errors!G84,Errors!N84))</f>
        <v>0</v>
      </c>
      <c r="BT15" s="288" t="str">
        <f t="shared" si="24"/>
        <v/>
      </c>
    </row>
    <row r="16" spans="1:72" s="108" customFormat="1" ht="19.95" customHeight="1" x14ac:dyDescent="0.3">
      <c r="A16" s="287" t="str">
        <f>IF(ISBLANK(IGRF!$B21),"",IGRF!$B21)</f>
        <v>761</v>
      </c>
      <c r="B16" s="205" t="str">
        <f>IF(ISBLANK(IGRF!$C21),"",IGRF!$C21)</f>
        <v>Rawkhell SqWelch</v>
      </c>
      <c r="C16" s="206">
        <f>IF(A16="","",SUM(LU!O19,LU!O118))</f>
        <v>11</v>
      </c>
      <c r="D16" s="206">
        <f>IF(A16="","",SUM(LU!D19,LU!D118))</f>
        <v>0</v>
      </c>
      <c r="E16" s="207">
        <f>IF(A16="","",SUM(LU!J19,LU!J118))</f>
        <v>1</v>
      </c>
      <c r="F16" s="764">
        <f>IF(A16="","",(SUM(C16:E16)-(SUMPRODUCT(--(Lineups!C$4:C$41=A16),--(Lineups!A$4:A$41="SP"))+SUMPRODUCT(--(Lineups!G$4:G$41=A16),--(Lineups!A$4:A$41="SP"))+SUMPRODUCT(--(Lineups!C$50:C$87=A16),--(Lineups!A$50:A$87="SP"))+SUMPRODUCT(--(Lineups!G$50:G$87=A16),--(Lineups!A$50:A$87="SP")))))</f>
        <v>11</v>
      </c>
      <c r="G16" s="765">
        <f>IF(OR(A16="",F16=0,LU!D$3+LU!D$102=0),"",F16/(LU!D$3+LU!D$102))</f>
        <v>0.23404255319148937</v>
      </c>
      <c r="H16" s="766">
        <f ca="1">IF(OR(C16=0,A16=""),"",SK!D204)</f>
        <v>77</v>
      </c>
      <c r="I16" s="767">
        <f ca="1">IF(OR(A16="",SK!E204="",SK!E204=0),"",H16/SK!E204)</f>
        <v>7</v>
      </c>
      <c r="J16" s="786">
        <f ca="1">IF(OR(A16="",C16=0),"",SK!G204)</f>
        <v>3</v>
      </c>
      <c r="K16" s="787">
        <f ca="1">IF(OR(A16="",C16=0),"",SK!H204)</f>
        <v>7</v>
      </c>
      <c r="L16" s="788">
        <f ca="1">IF(OR(A16="",C16=0),"",SK!J204)</f>
        <v>5</v>
      </c>
      <c r="M16" s="788">
        <f ca="1">IF(OR(A16="",C16=0),"",SK!L204)</f>
        <v>2</v>
      </c>
      <c r="N16" s="789">
        <f t="shared" ca="1" si="1"/>
        <v>0.63636363636363635</v>
      </c>
      <c r="O16" s="790">
        <f ca="1">IF(OR(A16="",C16=0),"",SK!I204)</f>
        <v>52</v>
      </c>
      <c r="P16" s="791">
        <f t="shared" ca="1" si="2"/>
        <v>7.4285714285714288</v>
      </c>
      <c r="Q16" s="792">
        <f ca="1">IF(OR(A16="",F16=0),"",SUM(LU!Q65,LU!Q164))</f>
        <v>88</v>
      </c>
      <c r="R16" s="793">
        <f ca="1">IF(OR(A16="",F16=0),"",SUM(LU!Q88,LU!Q187))</f>
        <v>21</v>
      </c>
      <c r="S16" s="766">
        <f ca="1">IF(OR(A16="",F16=0),"",SUM(LU!Q42,LU!Q141))</f>
        <v>67</v>
      </c>
      <c r="T16" s="793">
        <f ca="1">IF(OR(A16="",C16=0),"",SUM(LU!O42,LU!O141))</f>
        <v>56</v>
      </c>
      <c r="U16" s="794">
        <f t="shared" ca="1" si="3"/>
        <v>5.0909090909090908</v>
      </c>
      <c r="V16" s="795" t="str">
        <f>IF(OR(A16="",D16=0),"",SUM(LU!D42,LU!D141))</f>
        <v/>
      </c>
      <c r="W16" s="794" t="str">
        <f t="shared" si="4"/>
        <v/>
      </c>
      <c r="X16" s="795">
        <f ca="1">IF(OR(A16="",E16=0),"",SUM(LU!J42,LU!J141))</f>
        <v>11</v>
      </c>
      <c r="Y16" s="794">
        <f t="shared" ca="1" si="5"/>
        <v>11</v>
      </c>
      <c r="Z16" s="791">
        <f t="shared" ca="1" si="25"/>
        <v>6.0909090909090908</v>
      </c>
      <c r="AA16" s="796">
        <f ca="1">IF(OR(A16="",F16=0,Q$26="-",LU!$D$5=0),"",Q16-Q$26)</f>
        <v>-4.8571428571428612</v>
      </c>
      <c r="AB16" s="797">
        <f ca="1">IF(OR(A16="",F16=0,R$26="-",LU!$D$5=0),"",R16-R$26)</f>
        <v>-6.5</v>
      </c>
      <c r="AC16" s="798">
        <f t="shared" ca="1" si="6"/>
        <v>1.6428571428571388</v>
      </c>
      <c r="AD16" s="799">
        <f t="shared" ca="1" si="7"/>
        <v>-0.12251082251082224</v>
      </c>
      <c r="AE16" s="799" t="str">
        <f t="shared" si="8"/>
        <v/>
      </c>
      <c r="AF16" s="800">
        <f t="shared" ca="1" si="9"/>
        <v>5.8377482885504275</v>
      </c>
      <c r="AG16" s="801">
        <f ca="1">IF(OR($A16="",Z16="",Z$26="-",LU!$D$5=0),"",Z16-Z$26)</f>
        <v>2.2271330112219094</v>
      </c>
      <c r="AH16" s="1111">
        <f>IF(OR(A16="",F16=0),"",SUM(PT!U23,PT!U24))</f>
        <v>2</v>
      </c>
      <c r="AI16" s="1112"/>
      <c r="AJ16" s="287" t="str">
        <f t="shared" si="10"/>
        <v>761</v>
      </c>
      <c r="AK16" s="208" t="str">
        <f t="shared" si="0"/>
        <v>Rawkhell SqWelch</v>
      </c>
      <c r="AL16" s="818">
        <f>IF(OR($A16="",$F16=0),"",SUM(Actions!C85,Actions!J85))</f>
        <v>0</v>
      </c>
      <c r="AM16" s="819">
        <f>IF(OR($A16="",$F16=0),"",SUM(Actions!D85,Actions!K85))</f>
        <v>0</v>
      </c>
      <c r="AN16" s="819">
        <f>IF(OR($A16="",$F16=0),"",SUM(Actions!E85,Actions!L85))</f>
        <v>0</v>
      </c>
      <c r="AO16" s="819">
        <f>IF(OR($A16="",$F16=0),"",SUM(Actions!F85,Actions!M85))</f>
        <v>0</v>
      </c>
      <c r="AP16" s="819">
        <f>IF(OR($A16="",$F16=0),"",SUM(Actions!G85,Actions!N85))</f>
        <v>0</v>
      </c>
      <c r="AQ16" s="820">
        <f t="shared" si="11"/>
        <v>0</v>
      </c>
      <c r="AR16" s="792">
        <f>IF(OR($A16="",$F16=0),"",SUM(Actions!C15,Actions!J15))</f>
        <v>0</v>
      </c>
      <c r="AS16" s="793">
        <f>IF(OR($A16="",$F16=0),"",SUM(Actions!D15,Actions!K15))</f>
        <v>0</v>
      </c>
      <c r="AT16" s="793">
        <f>IF(OR($A16="",$F16=0),"",SUM(Actions!E15,Actions!L15))</f>
        <v>0</v>
      </c>
      <c r="AU16" s="793">
        <f>IF(OR($A16="",$F16=0),"",SUM(Actions!F15,Actions!M15))</f>
        <v>0</v>
      </c>
      <c r="AV16" s="793">
        <f>IF(OR($A16="",$F16=0),"",SUM(Actions!G15,Actions!N15))</f>
        <v>0</v>
      </c>
      <c r="AW16" s="766">
        <f t="shared" si="12"/>
        <v>0</v>
      </c>
      <c r="AX16" s="821">
        <f t="shared" si="26"/>
        <v>0</v>
      </c>
      <c r="AY16" s="822">
        <f t="shared" si="13"/>
        <v>0</v>
      </c>
      <c r="AZ16" s="823">
        <f t="shared" si="14"/>
        <v>0</v>
      </c>
      <c r="BA16" s="824" t="str">
        <f t="shared" si="15"/>
        <v/>
      </c>
      <c r="BB16" s="798">
        <f t="shared" si="16"/>
        <v>0</v>
      </c>
      <c r="BC16" s="825" t="str">
        <f t="shared" si="17"/>
        <v/>
      </c>
      <c r="BD16" s="826">
        <f t="shared" si="18"/>
        <v>0</v>
      </c>
      <c r="BE16" s="827" t="str">
        <f t="shared" si="19"/>
        <v/>
      </c>
      <c r="BF16" s="828">
        <f>IF(OR($A16="",$F16=0),"",SUM(Errors!C15,Errors!J15))</f>
        <v>0</v>
      </c>
      <c r="BG16" s="793">
        <f>IF(OR($A16="",$F16=0),"",SUM(Errors!D15,Errors!K15))</f>
        <v>0</v>
      </c>
      <c r="BH16" s="793">
        <f>IF(OR($A16="",$F16=0),"",SUM(Errors!E15,Errors!L15))</f>
        <v>0</v>
      </c>
      <c r="BI16" s="793">
        <f>IF(OR($A16="",$F16=0),"",SUM(Errors!F15,Errors!M15))</f>
        <v>0</v>
      </c>
      <c r="BJ16" s="829">
        <f>IF(OR($A16="",$F16=0),"",SUM(Errors!G15,Errors!N15))</f>
        <v>0</v>
      </c>
      <c r="BK16" s="766">
        <f t="shared" si="20"/>
        <v>0</v>
      </c>
      <c r="BL16" s="830" t="str">
        <f t="shared" si="21"/>
        <v/>
      </c>
      <c r="BM16" s="830" t="str">
        <f t="shared" si="22"/>
        <v/>
      </c>
      <c r="BN16" s="817" t="str">
        <f t="shared" si="23"/>
        <v/>
      </c>
      <c r="BO16" s="818">
        <f>IF(OR($A16="",$F16=0),"",SUM(Errors!C85,Errors!J85))</f>
        <v>0</v>
      </c>
      <c r="BP16" s="819">
        <f>IF(OR($A16="",$F16=0),"",SUM(Errors!D85,Errors!K85))</f>
        <v>0</v>
      </c>
      <c r="BQ16" s="819">
        <f>IF(OR($A16="",$F16=0),"",SUM(Errors!E85,Errors!L85))</f>
        <v>0</v>
      </c>
      <c r="BR16" s="819">
        <f>IF(OR($A16="",$F16=0),"",SUM(Errors!F85,Errors!M85))</f>
        <v>0</v>
      </c>
      <c r="BS16" s="819">
        <f>IF(OR($A16="",$F16=0),"",SUM(Errors!G85,Errors!N85))</f>
        <v>0</v>
      </c>
      <c r="BT16" s="288">
        <f t="shared" si="24"/>
        <v>0</v>
      </c>
    </row>
    <row r="17" spans="1:72" s="108" customFormat="1" ht="19.5" customHeight="1" x14ac:dyDescent="0.3">
      <c r="A17" s="287" t="str">
        <f>IF(ISBLANK(IGRF!$B22),"",IGRF!$B22)</f>
        <v>808</v>
      </c>
      <c r="B17" s="205" t="str">
        <f>IF(ISBLANK(IGRF!$C22),"",IGRF!$C22)</f>
        <v>Kendle Bjelland</v>
      </c>
      <c r="C17" s="206">
        <f>IF(A17="","",SUM(LU!O20,LU!O119))</f>
        <v>0</v>
      </c>
      <c r="D17" s="206">
        <f>IF(A17="","",SUM(LU!D20,LU!D119))</f>
        <v>0</v>
      </c>
      <c r="E17" s="207">
        <f>IF(A17="","",SUM(LU!J20,LU!J119))</f>
        <v>13</v>
      </c>
      <c r="F17" s="764">
        <f>IF(A17="","",(SUM(C17:E17)-(SUMPRODUCT(--(Lineups!C$4:C$41=A17),--(Lineups!A$4:A$41="SP"))+SUMPRODUCT(--(Lineups!G$4:G$41=A17),--(Lineups!A$4:A$41="SP"))+SUMPRODUCT(--(Lineups!C$50:C$87=A17),--(Lineups!A$50:A$87="SP"))+SUMPRODUCT(--(Lineups!G$50:G$87=A17),--(Lineups!A$50:A$87="SP")))))</f>
        <v>13</v>
      </c>
      <c r="G17" s="765">
        <f>IF(OR(A17="",F17=0,LU!D$3+LU!D$102=0),"",F17/(LU!D$3+LU!D$102))</f>
        <v>0.27659574468085107</v>
      </c>
      <c r="H17" s="766" t="str">
        <f>IF(OR(C17=0,A17=""),"",SK!D207)</f>
        <v/>
      </c>
      <c r="I17" s="767" t="str">
        <f ca="1">IF(OR(A17="",SK!E207="",SK!E207=0),"",H17/SK!E207)</f>
        <v/>
      </c>
      <c r="J17" s="786" t="str">
        <f>IF(OR(A17="",C17=0),"",SK!G207)</f>
        <v/>
      </c>
      <c r="K17" s="787" t="str">
        <f>IF(OR(A17="",C17=0),"",SK!H207)</f>
        <v/>
      </c>
      <c r="L17" s="788" t="str">
        <f>IF(OR(A17="",C17=0),"",SK!J207)</f>
        <v/>
      </c>
      <c r="M17" s="788" t="str">
        <f>IF(OR(A17="",C17=0),"",SK!L207)</f>
        <v/>
      </c>
      <c r="N17" s="789" t="str">
        <f t="shared" si="1"/>
        <v/>
      </c>
      <c r="O17" s="790" t="str">
        <f>IF(OR(A17="",C17=0),"",SK!I207)</f>
        <v/>
      </c>
      <c r="P17" s="791" t="str">
        <f t="shared" si="2"/>
        <v/>
      </c>
      <c r="Q17" s="792">
        <f ca="1">IF(OR(A17="",F17=0),"",SUM(LU!Q66,LU!Q165))</f>
        <v>69</v>
      </c>
      <c r="R17" s="793">
        <f ca="1">IF(OR(A17="",F17=0),"",SUM(LU!Q89,LU!Q188))</f>
        <v>42</v>
      </c>
      <c r="S17" s="766">
        <f ca="1">IF(OR(A17="",F17=0),"",SUM(LU!Q43,LU!Q142))</f>
        <v>27</v>
      </c>
      <c r="T17" s="793" t="str">
        <f>IF(OR(A17="",C17=0),"",SUM(LU!O43,LU!O142))</f>
        <v/>
      </c>
      <c r="U17" s="794" t="str">
        <f t="shared" si="3"/>
        <v/>
      </c>
      <c r="V17" s="795" t="str">
        <f>IF(OR(A17="",D17=0),"",SUM(LU!D43,LU!D142))</f>
        <v/>
      </c>
      <c r="W17" s="794" t="str">
        <f t="shared" si="4"/>
        <v/>
      </c>
      <c r="X17" s="795">
        <f ca="1">IF(OR(A17="",E17=0),"",SUM(LU!J43,LU!J142))</f>
        <v>27</v>
      </c>
      <c r="Y17" s="794">
        <f t="shared" ca="1" si="5"/>
        <v>2.0769230769230771</v>
      </c>
      <c r="Z17" s="791">
        <f t="shared" ca="1" si="25"/>
        <v>2.0769230769230771</v>
      </c>
      <c r="AA17" s="796">
        <f ca="1">IF(OR(A17="",F17=0,Q$26="-",LU!$D$5=0),"",Q17-Q$26)</f>
        <v>-23.857142857142861</v>
      </c>
      <c r="AB17" s="797">
        <f ca="1">IF(OR(A17="",F17=0,R$26="-",LU!$D$5=0),"",R17-R$26)</f>
        <v>14.5</v>
      </c>
      <c r="AC17" s="798">
        <f t="shared" ca="1" si="6"/>
        <v>-38.357142857142861</v>
      </c>
      <c r="AD17" s="799" t="str">
        <f t="shared" si="7"/>
        <v/>
      </c>
      <c r="AE17" s="799" t="str">
        <f t="shared" si="8"/>
        <v/>
      </c>
      <c r="AF17" s="800">
        <f t="shared" ca="1" si="9"/>
        <v>-3.0853286345264954</v>
      </c>
      <c r="AG17" s="801">
        <f ca="1">IF(OR($A17="",Z17="",Z$26="-",LU!$D$5=0),"",Z17-Z$26)</f>
        <v>-1.7868530027641043</v>
      </c>
      <c r="AH17" s="1111">
        <f>IF(OR(A17="",F17=0),"",SUM(PT!U25,PT!U26))</f>
        <v>2</v>
      </c>
      <c r="AI17" s="1112"/>
      <c r="AJ17" s="287" t="str">
        <f t="shared" si="10"/>
        <v>808</v>
      </c>
      <c r="AK17" s="208" t="str">
        <f t="shared" si="0"/>
        <v>Kendle Bjelland</v>
      </c>
      <c r="AL17" s="818">
        <f>IF(OR($A17="",$F17=0),"",SUM(Actions!C86,Actions!J86))</f>
        <v>0</v>
      </c>
      <c r="AM17" s="819">
        <f>IF(OR($A17="",$F17=0),"",SUM(Actions!D86,Actions!K86))</f>
        <v>0</v>
      </c>
      <c r="AN17" s="819">
        <f>IF(OR($A17="",$F17=0),"",SUM(Actions!E86,Actions!L86))</f>
        <v>0</v>
      </c>
      <c r="AO17" s="819">
        <f>IF(OR($A17="",$F17=0),"",SUM(Actions!F86,Actions!M86))</f>
        <v>0</v>
      </c>
      <c r="AP17" s="819">
        <f>IF(OR($A17="",$F17=0),"",SUM(Actions!G86,Actions!N86))</f>
        <v>0</v>
      </c>
      <c r="AQ17" s="820">
        <f t="shared" si="11"/>
        <v>0</v>
      </c>
      <c r="AR17" s="792">
        <f>IF(OR($A17="",$F17=0),"",SUM(Actions!C16,Actions!J16))</f>
        <v>0</v>
      </c>
      <c r="AS17" s="793">
        <f>IF(OR($A17="",$F17=0),"",SUM(Actions!D16,Actions!K16))</f>
        <v>0</v>
      </c>
      <c r="AT17" s="793">
        <f>IF(OR($A17="",$F17=0),"",SUM(Actions!E16,Actions!L16))</f>
        <v>0</v>
      </c>
      <c r="AU17" s="793">
        <f>IF(OR($A17="",$F17=0),"",SUM(Actions!F16,Actions!M16))</f>
        <v>0</v>
      </c>
      <c r="AV17" s="793">
        <f>IF(OR($A17="",$F17=0),"",SUM(Actions!G16,Actions!N16))</f>
        <v>0</v>
      </c>
      <c r="AW17" s="766">
        <f t="shared" si="12"/>
        <v>0</v>
      </c>
      <c r="AX17" s="821">
        <f t="shared" si="26"/>
        <v>0</v>
      </c>
      <c r="AY17" s="822">
        <f t="shared" si="13"/>
        <v>0</v>
      </c>
      <c r="AZ17" s="823">
        <f t="shared" si="14"/>
        <v>0</v>
      </c>
      <c r="BA17" s="824" t="str">
        <f t="shared" si="15"/>
        <v/>
      </c>
      <c r="BB17" s="798">
        <f t="shared" si="16"/>
        <v>0</v>
      </c>
      <c r="BC17" s="825" t="str">
        <f t="shared" si="17"/>
        <v/>
      </c>
      <c r="BD17" s="826">
        <f t="shared" si="18"/>
        <v>0</v>
      </c>
      <c r="BE17" s="827" t="str">
        <f t="shared" si="19"/>
        <v/>
      </c>
      <c r="BF17" s="828">
        <f>IF(OR($A17="",$F17=0),"",SUM(Errors!C16,Errors!J16))</f>
        <v>0</v>
      </c>
      <c r="BG17" s="793">
        <f>IF(OR($A17="",$F17=0),"",SUM(Errors!D16,Errors!K16))</f>
        <v>0</v>
      </c>
      <c r="BH17" s="793">
        <f>IF(OR($A17="",$F17=0),"",SUM(Errors!E16,Errors!L16))</f>
        <v>0</v>
      </c>
      <c r="BI17" s="793">
        <f>IF(OR($A17="",$F17=0),"",SUM(Errors!F16,Errors!M16))</f>
        <v>0</v>
      </c>
      <c r="BJ17" s="829">
        <f>IF(OR($A17="",$F17=0),"",SUM(Errors!G16,Errors!N16))</f>
        <v>0</v>
      </c>
      <c r="BK17" s="766">
        <f t="shared" si="20"/>
        <v>0</v>
      </c>
      <c r="BL17" s="830" t="str">
        <f t="shared" si="21"/>
        <v/>
      </c>
      <c r="BM17" s="830" t="str">
        <f t="shared" si="22"/>
        <v/>
      </c>
      <c r="BN17" s="817" t="str">
        <f t="shared" si="23"/>
        <v/>
      </c>
      <c r="BO17" s="818">
        <f>IF(OR($A17="",$F17=0),"",SUM(Errors!C86,Errors!J86))</f>
        <v>0</v>
      </c>
      <c r="BP17" s="819">
        <f>IF(OR($A17="",$F17=0),"",SUM(Errors!D86,Errors!K86))</f>
        <v>0</v>
      </c>
      <c r="BQ17" s="819">
        <f>IF(OR($A17="",$F17=0),"",SUM(Errors!E86,Errors!L86))</f>
        <v>0</v>
      </c>
      <c r="BR17" s="819">
        <f>IF(OR($A17="",$F17=0),"",SUM(Errors!F86,Errors!M86))</f>
        <v>0</v>
      </c>
      <c r="BS17" s="819">
        <f>IF(OR($A17="",$F17=0),"",SUM(Errors!G86,Errors!N86))</f>
        <v>0</v>
      </c>
      <c r="BT17" s="288" t="str">
        <f t="shared" si="24"/>
        <v/>
      </c>
    </row>
    <row r="18" spans="1:72" s="108" customFormat="1" ht="19.95" customHeight="1" x14ac:dyDescent="0.3">
      <c r="A18" s="287" t="str">
        <f>IF(ISBLANK(IGRF!$B23),"",IGRF!$B23)</f>
        <v>9</v>
      </c>
      <c r="B18" s="205" t="str">
        <f>IF(ISBLANK(IGRF!$C23),"",IGRF!$C23)</f>
        <v>P. Wilhelm</v>
      </c>
      <c r="C18" s="206">
        <f>IF(A18="","",SUM(LU!O21,LU!O120))</f>
        <v>0</v>
      </c>
      <c r="D18" s="206">
        <f>IF(A18="","",SUM(LU!D21,LU!D120))</f>
        <v>8</v>
      </c>
      <c r="E18" s="207">
        <f>IF(A18="","",SUM(LU!J21,LU!J120))</f>
        <v>13</v>
      </c>
      <c r="F18" s="764">
        <f>IF(A18="","",(SUM(C18:E18)-(SUMPRODUCT(--(Lineups!C$4:C$41=A18),--(Lineups!A$4:A$41="SP"))+SUMPRODUCT(--(Lineups!G$4:G$41=A18),--(Lineups!A$4:A$41="SP"))+SUMPRODUCT(--(Lineups!C$50:C$87=A18),--(Lineups!A$50:A$87="SP"))+SUMPRODUCT(--(Lineups!G$50:G$87=A18),--(Lineups!A$50:A$87="SP")))))</f>
        <v>21</v>
      </c>
      <c r="G18" s="765">
        <f>IF(OR(A18="",F18=0,LU!D$3+LU!D$102=0),"",F18/(LU!D$3+LU!D$102))</f>
        <v>0.44680851063829785</v>
      </c>
      <c r="H18" s="766" t="str">
        <f>IF(OR(C18=0,A18=""),"",SK!D210)</f>
        <v/>
      </c>
      <c r="I18" s="767" t="str">
        <f ca="1">IF(OR(A18="",SK!E210="",SK!E210=0),"",H18/SK!E210)</f>
        <v/>
      </c>
      <c r="J18" s="786" t="str">
        <f>IF(OR(A18="",C18=0),"",SK!G210)</f>
        <v/>
      </c>
      <c r="K18" s="787" t="str">
        <f>IF(OR(A18="",C18=0),"",SK!H210)</f>
        <v/>
      </c>
      <c r="L18" s="788" t="str">
        <f>IF(OR(A18="",C18=0),"",SK!J210)</f>
        <v/>
      </c>
      <c r="M18" s="788" t="str">
        <f>IF(OR(A18="",C18=0),"",SK!L210)</f>
        <v/>
      </c>
      <c r="N18" s="789" t="str">
        <f t="shared" si="1"/>
        <v/>
      </c>
      <c r="O18" s="790" t="str">
        <f>IF(OR(A18="",C18=0),"",SK!I210)</f>
        <v/>
      </c>
      <c r="P18" s="791" t="str">
        <f t="shared" si="2"/>
        <v/>
      </c>
      <c r="Q18" s="792">
        <f ca="1">IF(OR(A18="",F18=0),"",SUM(LU!Q67,LU!Q166))</f>
        <v>129</v>
      </c>
      <c r="R18" s="793">
        <f ca="1">IF(OR(A18="",F18=0),"",SUM(LU!Q90,LU!Q189))</f>
        <v>40</v>
      </c>
      <c r="S18" s="766">
        <f ca="1">IF(OR(A18="",F18=0),"",SUM(LU!Q44,LU!Q143))</f>
        <v>89</v>
      </c>
      <c r="T18" s="793" t="str">
        <f>IF(OR(A18="",C18=0),"",SUM(LU!O44,LU!O143))</f>
        <v/>
      </c>
      <c r="U18" s="794" t="str">
        <f t="shared" si="3"/>
        <v/>
      </c>
      <c r="V18" s="795">
        <f ca="1">IF(OR(A18="",D18=0),"",SUM(LU!D44,LU!D143))</f>
        <v>75</v>
      </c>
      <c r="W18" s="794">
        <f t="shared" ca="1" si="4"/>
        <v>9.375</v>
      </c>
      <c r="X18" s="795">
        <f ca="1">IF(OR(A18="",E18=0),"",SUM(LU!J44,LU!J143))</f>
        <v>14</v>
      </c>
      <c r="Y18" s="794">
        <f t="shared" ca="1" si="5"/>
        <v>1.0769230769230769</v>
      </c>
      <c r="Z18" s="791">
        <f t="shared" ca="1" si="25"/>
        <v>4.2380952380952381</v>
      </c>
      <c r="AA18" s="796">
        <f ca="1">IF(OR(A18="",F18=0,Q$26="-",LU!$D$5=0),"",Q18-Q$26)</f>
        <v>36.142857142857139</v>
      </c>
      <c r="AB18" s="797">
        <f ca="1">IF(OR(A18="",F18=0,R$26="-",LU!$D$5=0),"",R18-R$26)</f>
        <v>12.5</v>
      </c>
      <c r="AC18" s="798">
        <f t="shared" ca="1" si="6"/>
        <v>23.642857142857139</v>
      </c>
      <c r="AD18" s="799" t="str">
        <f t="shared" si="7"/>
        <v/>
      </c>
      <c r="AE18" s="799">
        <f t="shared" ca="1" si="8"/>
        <v>3.6832107843137258</v>
      </c>
      <c r="AF18" s="800">
        <f t="shared" ca="1" si="9"/>
        <v>-4.0853286345264959</v>
      </c>
      <c r="AG18" s="801">
        <f ca="1">IF(OR($A18="",Z18="",Z$26="-",LU!$D$5=0),"",Z18-Z$26)</f>
        <v>0.37431915840805674</v>
      </c>
      <c r="AH18" s="1111">
        <f>IF(OR(A18="",F18=0),"",SUM(PT!U27,PT!U28))</f>
        <v>3</v>
      </c>
      <c r="AI18" s="1112"/>
      <c r="AJ18" s="287" t="str">
        <f t="shared" si="10"/>
        <v>9</v>
      </c>
      <c r="AK18" s="208" t="str">
        <f t="shared" si="0"/>
        <v>P. Wilhelm</v>
      </c>
      <c r="AL18" s="818">
        <f>IF(OR($A18="",$F18=0),"",SUM(Actions!C87,Actions!J87))</f>
        <v>0</v>
      </c>
      <c r="AM18" s="819">
        <f>IF(OR($A18="",$F18=0),"",SUM(Actions!D87,Actions!K87))</f>
        <v>0</v>
      </c>
      <c r="AN18" s="819">
        <f>IF(OR($A18="",$F18=0),"",SUM(Actions!E87,Actions!L87))</f>
        <v>0</v>
      </c>
      <c r="AO18" s="819">
        <f>IF(OR($A18="",$F18=0),"",SUM(Actions!F87,Actions!M87))</f>
        <v>0</v>
      </c>
      <c r="AP18" s="819">
        <f>IF(OR($A18="",$F18=0),"",SUM(Actions!G87,Actions!N87))</f>
        <v>0</v>
      </c>
      <c r="AQ18" s="820">
        <f t="shared" si="11"/>
        <v>0</v>
      </c>
      <c r="AR18" s="792">
        <f>IF(OR($A18="",$F18=0),"",SUM(Actions!C17,Actions!J17))</f>
        <v>0</v>
      </c>
      <c r="AS18" s="793">
        <f>IF(OR($A18="",$F18=0),"",SUM(Actions!D17,Actions!K17))</f>
        <v>0</v>
      </c>
      <c r="AT18" s="793">
        <f>IF(OR($A18="",$F18=0),"",SUM(Actions!E17,Actions!L17))</f>
        <v>0</v>
      </c>
      <c r="AU18" s="793">
        <f>IF(OR($A18="",$F18=0),"",SUM(Actions!F17,Actions!M17))</f>
        <v>0</v>
      </c>
      <c r="AV18" s="793">
        <f>IF(OR($A18="",$F18=0),"",SUM(Actions!G17,Actions!N17))</f>
        <v>0</v>
      </c>
      <c r="AW18" s="766">
        <f t="shared" si="12"/>
        <v>0</v>
      </c>
      <c r="AX18" s="821">
        <f t="shared" si="26"/>
        <v>0</v>
      </c>
      <c r="AY18" s="822">
        <f t="shared" si="13"/>
        <v>0</v>
      </c>
      <c r="AZ18" s="823">
        <f t="shared" si="14"/>
        <v>0</v>
      </c>
      <c r="BA18" s="824" t="str">
        <f t="shared" si="15"/>
        <v/>
      </c>
      <c r="BB18" s="798">
        <f t="shared" si="16"/>
        <v>0</v>
      </c>
      <c r="BC18" s="825" t="str">
        <f t="shared" si="17"/>
        <v/>
      </c>
      <c r="BD18" s="826">
        <f t="shared" si="18"/>
        <v>0</v>
      </c>
      <c r="BE18" s="827" t="str">
        <f t="shared" si="19"/>
        <v/>
      </c>
      <c r="BF18" s="828">
        <f>IF(OR($A18="",$F18=0),"",SUM(Errors!C17,Errors!J17))</f>
        <v>0</v>
      </c>
      <c r="BG18" s="793">
        <f>IF(OR($A18="",$F18=0),"",SUM(Errors!D17,Errors!K17))</f>
        <v>0</v>
      </c>
      <c r="BH18" s="793">
        <f>IF(OR($A18="",$F18=0),"",SUM(Errors!E17,Errors!L17))</f>
        <v>0</v>
      </c>
      <c r="BI18" s="793">
        <f>IF(OR($A18="",$F18=0),"",SUM(Errors!F17,Errors!M17))</f>
        <v>0</v>
      </c>
      <c r="BJ18" s="829">
        <f>IF(OR($A18="",$F18=0),"",SUM(Errors!G17,Errors!N17))</f>
        <v>0</v>
      </c>
      <c r="BK18" s="766">
        <f t="shared" si="20"/>
        <v>0</v>
      </c>
      <c r="BL18" s="830" t="str">
        <f t="shared" si="21"/>
        <v/>
      </c>
      <c r="BM18" s="830" t="str">
        <f t="shared" si="22"/>
        <v/>
      </c>
      <c r="BN18" s="817" t="str">
        <f t="shared" si="23"/>
        <v/>
      </c>
      <c r="BO18" s="818">
        <f>IF(OR($A18="",$F18=0),"",SUM(Errors!C87,Errors!J87))</f>
        <v>0</v>
      </c>
      <c r="BP18" s="819">
        <f>IF(OR($A18="",$F18=0),"",SUM(Errors!D87,Errors!K87))</f>
        <v>0</v>
      </c>
      <c r="BQ18" s="819">
        <f>IF(OR($A18="",$F18=0),"",SUM(Errors!E87,Errors!L87))</f>
        <v>0</v>
      </c>
      <c r="BR18" s="819">
        <f>IF(OR($A18="",$F18=0),"",SUM(Errors!F87,Errors!M87))</f>
        <v>0</v>
      </c>
      <c r="BS18" s="819">
        <f>IF(OR($A18="",$F18=0),"",SUM(Errors!G87,Errors!N87))</f>
        <v>0</v>
      </c>
      <c r="BT18" s="288" t="str">
        <f t="shared" si="24"/>
        <v/>
      </c>
    </row>
    <row r="19" spans="1:72" s="108" customFormat="1" ht="19.95" customHeight="1" x14ac:dyDescent="0.3">
      <c r="A19" s="287" t="str">
        <f>IF(ISBLANK(IGRF!$B24),"",IGRF!$B24)</f>
        <v>911</v>
      </c>
      <c r="B19" s="205" t="str">
        <f>IF(ISBLANK(IGRF!$C24),"",IGRF!$C24)</f>
        <v>Luna Negra</v>
      </c>
      <c r="C19" s="206">
        <f>IF(A19="","",SUM(LU!O22,LU!O121))</f>
        <v>14</v>
      </c>
      <c r="D19" s="206">
        <f>IF(A19="","",SUM(LU!D22,LU!D121))</f>
        <v>0</v>
      </c>
      <c r="E19" s="207">
        <f>IF(A19="","",SUM(LU!J22,LU!J121))</f>
        <v>0</v>
      </c>
      <c r="F19" s="764">
        <f>IF(A19="","",(SUM(C19:E19)-(SUMPRODUCT(--(Lineups!C$4:C$41=A19),--(Lineups!A$4:A$41="SP"))+SUMPRODUCT(--(Lineups!G$4:G$41=A19),--(Lineups!A$4:A$41="SP"))+SUMPRODUCT(--(Lineups!C$50:C$87=A19),--(Lineups!A$50:A$87="SP"))+SUMPRODUCT(--(Lineups!G$50:G$87=A19),--(Lineups!A$50:A$87="SP")))))</f>
        <v>14</v>
      </c>
      <c r="G19" s="765">
        <f>IF(OR(A19="",F19=0,LU!D$3+LU!D$102=0),"",F19/(LU!D$3+LU!D$102))</f>
        <v>0.2978723404255319</v>
      </c>
      <c r="H19" s="766">
        <f ca="1">IF(OR(C19=0,A19=""),"",SK!D213)</f>
        <v>75</v>
      </c>
      <c r="I19" s="767">
        <f ca="1">IF(OR(A19="",SK!E213="",SK!E213=0),"",H19/SK!E213)</f>
        <v>5.3571428571428568</v>
      </c>
      <c r="J19" s="786">
        <f ca="1">IF(OR(A19="",C19=0),"",SK!G213)</f>
        <v>3</v>
      </c>
      <c r="K19" s="787">
        <f ca="1">IF(OR(A19="",C19=0),"",SK!H213)</f>
        <v>7</v>
      </c>
      <c r="L19" s="788">
        <f ca="1">IF(OR(A19="",C19=0),"",SK!J213)</f>
        <v>6</v>
      </c>
      <c r="M19" s="788">
        <f ca="1">IF(OR(A19="",C19=0),"",SK!L213)</f>
        <v>3</v>
      </c>
      <c r="N19" s="789">
        <f t="shared" ca="1" si="1"/>
        <v>0.5</v>
      </c>
      <c r="O19" s="790">
        <f ca="1">IF(OR(A19="",C19=0),"",SK!I213)</f>
        <v>70</v>
      </c>
      <c r="P19" s="791">
        <f t="shared" ca="1" si="2"/>
        <v>10</v>
      </c>
      <c r="Q19" s="792">
        <f ca="1">IF(OR(A19="",F19=0),"",SUM(LU!Q68,LU!Q167))</f>
        <v>75</v>
      </c>
      <c r="R19" s="793">
        <f ca="1">IF(OR(A19="",F19=0),"",SUM(LU!Q91,LU!Q190))</f>
        <v>24</v>
      </c>
      <c r="S19" s="766">
        <f ca="1">IF(OR(A19="",F19=0),"",SUM(LU!Q45,LU!Q144))</f>
        <v>51</v>
      </c>
      <c r="T19" s="793">
        <f ca="1">IF(OR(A19="",C19=0),"",SUM(LU!O45,LU!O144))</f>
        <v>51</v>
      </c>
      <c r="U19" s="794">
        <f t="shared" ca="1" si="3"/>
        <v>3.6428571428571428</v>
      </c>
      <c r="V19" s="795" t="str">
        <f>IF(OR(A19="",D19=0),"",SUM(LU!D45,LU!D144))</f>
        <v/>
      </c>
      <c r="W19" s="794" t="str">
        <f t="shared" si="4"/>
        <v/>
      </c>
      <c r="X19" s="795" t="str">
        <f>IF(OR(A19="",E19=0),"",SUM(LU!J45,LU!J144))</f>
        <v/>
      </c>
      <c r="Y19" s="794" t="str">
        <f t="shared" si="5"/>
        <v/>
      </c>
      <c r="Z19" s="791">
        <f t="shared" ca="1" si="25"/>
        <v>3.6428571428571428</v>
      </c>
      <c r="AA19" s="796">
        <f ca="1">IF(OR(A19="",F19=0,Q$26="-",LU!$D$5=0),"",Q19-Q$26)</f>
        <v>-17.857142857142861</v>
      </c>
      <c r="AB19" s="797">
        <f ca="1">IF(OR(A19="",F19=0,R$26="-",LU!$D$5=0),"",R19-R$26)</f>
        <v>-3.5</v>
      </c>
      <c r="AC19" s="798">
        <f t="shared" ca="1" si="6"/>
        <v>-14.357142857142861</v>
      </c>
      <c r="AD19" s="799">
        <f t="shared" ca="1" si="7"/>
        <v>-1.5705627705627703</v>
      </c>
      <c r="AE19" s="799" t="str">
        <f t="shared" si="8"/>
        <v/>
      </c>
      <c r="AF19" s="800" t="str">
        <f t="shared" si="9"/>
        <v/>
      </c>
      <c r="AG19" s="801">
        <f ca="1">IF(OR($A19="",Z19="",Z$26="-",LU!$D$5=0),"",Z19-Z$26)</f>
        <v>-0.2209189368300386</v>
      </c>
      <c r="AH19" s="1111">
        <f>IF(OR(A19="",F19=0),"",SUM(PT!U29,PT!U30))</f>
        <v>3</v>
      </c>
      <c r="AI19" s="1112"/>
      <c r="AJ19" s="287" t="str">
        <f t="shared" si="10"/>
        <v>911</v>
      </c>
      <c r="AK19" s="208" t="str">
        <f t="shared" si="0"/>
        <v>Luna Negra</v>
      </c>
      <c r="AL19" s="818">
        <f>IF(OR($A19="",$F19=0),"",SUM(Actions!C88,Actions!J88))</f>
        <v>0</v>
      </c>
      <c r="AM19" s="819">
        <f>IF(OR($A19="",$F19=0),"",SUM(Actions!D88,Actions!K88))</f>
        <v>0</v>
      </c>
      <c r="AN19" s="819">
        <f>IF(OR($A19="",$F19=0),"",SUM(Actions!E88,Actions!L88))</f>
        <v>0</v>
      </c>
      <c r="AO19" s="819">
        <f>IF(OR($A19="",$F19=0),"",SUM(Actions!F88,Actions!M88))</f>
        <v>0</v>
      </c>
      <c r="AP19" s="819">
        <f>IF(OR($A19="",$F19=0),"",SUM(Actions!G88,Actions!N88))</f>
        <v>0</v>
      </c>
      <c r="AQ19" s="820">
        <f t="shared" si="11"/>
        <v>0</v>
      </c>
      <c r="AR19" s="792">
        <f>IF(OR($A19="",$F19=0),"",SUM(Actions!C18,Actions!J18))</f>
        <v>0</v>
      </c>
      <c r="AS19" s="793">
        <f>IF(OR($A19="",$F19=0),"",SUM(Actions!D18,Actions!K18))</f>
        <v>0</v>
      </c>
      <c r="AT19" s="793">
        <f>IF(OR($A19="",$F19=0),"",SUM(Actions!E18,Actions!L18))</f>
        <v>0</v>
      </c>
      <c r="AU19" s="793">
        <f>IF(OR($A19="",$F19=0),"",SUM(Actions!F18,Actions!M18))</f>
        <v>0</v>
      </c>
      <c r="AV19" s="793">
        <f>IF(OR($A19="",$F19=0),"",SUM(Actions!G18,Actions!N18))</f>
        <v>0</v>
      </c>
      <c r="AW19" s="766">
        <f t="shared" si="12"/>
        <v>0</v>
      </c>
      <c r="AX19" s="821">
        <f t="shared" si="26"/>
        <v>0</v>
      </c>
      <c r="AY19" s="822">
        <f t="shared" si="13"/>
        <v>0</v>
      </c>
      <c r="AZ19" s="823">
        <f t="shared" si="14"/>
        <v>0</v>
      </c>
      <c r="BA19" s="824" t="str">
        <f t="shared" si="15"/>
        <v/>
      </c>
      <c r="BB19" s="798">
        <f t="shared" si="16"/>
        <v>0</v>
      </c>
      <c r="BC19" s="825" t="str">
        <f t="shared" si="17"/>
        <v/>
      </c>
      <c r="BD19" s="826">
        <f t="shared" si="18"/>
        <v>0</v>
      </c>
      <c r="BE19" s="827" t="str">
        <f t="shared" si="19"/>
        <v/>
      </c>
      <c r="BF19" s="828">
        <f>IF(OR($A19="",$F19=0),"",SUM(Errors!C18,Errors!J18))</f>
        <v>0</v>
      </c>
      <c r="BG19" s="793">
        <f>IF(OR($A19="",$F19=0),"",SUM(Errors!D18,Errors!K18))</f>
        <v>0</v>
      </c>
      <c r="BH19" s="793">
        <f>IF(OR($A19="",$F19=0),"",SUM(Errors!E18,Errors!L18))</f>
        <v>0</v>
      </c>
      <c r="BI19" s="793">
        <f>IF(OR($A19="",$F19=0),"",SUM(Errors!F18,Errors!M18))</f>
        <v>0</v>
      </c>
      <c r="BJ19" s="829">
        <f>IF(OR($A19="",$F19=0),"",SUM(Errors!G18,Errors!N18))</f>
        <v>0</v>
      </c>
      <c r="BK19" s="766">
        <f t="shared" si="20"/>
        <v>0</v>
      </c>
      <c r="BL19" s="830" t="str">
        <f t="shared" si="21"/>
        <v/>
      </c>
      <c r="BM19" s="830" t="str">
        <f t="shared" si="22"/>
        <v/>
      </c>
      <c r="BN19" s="817" t="str">
        <f t="shared" si="23"/>
        <v/>
      </c>
      <c r="BO19" s="818">
        <f>IF(OR($A19="",$F19=0),"",SUM(Errors!C88,Errors!J88))</f>
        <v>0</v>
      </c>
      <c r="BP19" s="819">
        <f>IF(OR($A19="",$F19=0),"",SUM(Errors!D88,Errors!K88))</f>
        <v>0</v>
      </c>
      <c r="BQ19" s="819">
        <f>IF(OR($A19="",$F19=0),"",SUM(Errors!E88,Errors!L88))</f>
        <v>0</v>
      </c>
      <c r="BR19" s="819">
        <f>IF(OR($A19="",$F19=0),"",SUM(Errors!F88,Errors!M88))</f>
        <v>0</v>
      </c>
      <c r="BS19" s="819">
        <f>IF(OR($A19="",$F19=0),"",SUM(Errors!G88,Errors!N88))</f>
        <v>0</v>
      </c>
      <c r="BT19" s="288">
        <f t="shared" si="24"/>
        <v>0</v>
      </c>
    </row>
    <row r="20" spans="1:72" s="108" customFormat="1" ht="19.95" customHeight="1" x14ac:dyDescent="0.3">
      <c r="A20" s="287" t="str">
        <f>IF(ISBLANK(IGRF!$B25),"",IGRF!$B25)</f>
        <v>0</v>
      </c>
      <c r="B20" s="205" t="str">
        <f>IF(ISBLANK(IGRF!$C25),"",IGRF!$C25)</f>
        <v>Enurgizer Bunny</v>
      </c>
      <c r="C20" s="206">
        <f>IF(A20="","",SUM(LU!O23,LU!O122))</f>
        <v>0</v>
      </c>
      <c r="D20" s="206">
        <f>IF(A20="","",SUM(LU!D23,LU!D122))</f>
        <v>0</v>
      </c>
      <c r="E20" s="207">
        <f>IF(A20="","",SUM(LU!J23,LU!J122))</f>
        <v>0</v>
      </c>
      <c r="F20" s="764">
        <f>IF(A20="","",(SUM(C20:E20)-(SUMPRODUCT(--(Lineups!C$4:C$41=A20),--(Lineups!A$4:A$41="SP"))+SUMPRODUCT(--(Lineups!G$4:G$41=A20),--(Lineups!A$4:A$41="SP"))+SUMPRODUCT(--(Lineups!C$50:C$87=A20),--(Lineups!A$50:A$87="SP"))+SUMPRODUCT(--(Lineups!G$50:G$87=A20),--(Lineups!A$50:A$87="SP")))))</f>
        <v>0</v>
      </c>
      <c r="G20" s="765" t="str">
        <f>IF(OR(A20="",F20=0,LU!D$3+LU!D$102=0),"",F20/(LU!D$3+LU!D$102))</f>
        <v/>
      </c>
      <c r="H20" s="766" t="str">
        <f>IF(OR(C20=0,A20=""),"",SK!D216)</f>
        <v/>
      </c>
      <c r="I20" s="767" t="str">
        <f ca="1">IF(OR(A20="",SK!E216="",SK!E216=0),"",H20/SK!E216)</f>
        <v/>
      </c>
      <c r="J20" s="786" t="str">
        <f>IF(OR(A20="",C20=0),"",SK!G216)</f>
        <v/>
      </c>
      <c r="K20" s="787" t="str">
        <f>IF(OR(A20="",C20=0),"",SK!H216)</f>
        <v/>
      </c>
      <c r="L20" s="788" t="str">
        <f>IF(OR(A20="",C20=0),"",SK!J216)</f>
        <v/>
      </c>
      <c r="M20" s="788" t="str">
        <f>IF(OR(A20="",C20=0),"",SK!L216)</f>
        <v/>
      </c>
      <c r="N20" s="789" t="str">
        <f t="shared" si="1"/>
        <v/>
      </c>
      <c r="O20" s="790" t="str">
        <f>IF(OR(A20="",C20=0),"",SK!I216)</f>
        <v/>
      </c>
      <c r="P20" s="791" t="str">
        <f t="shared" si="2"/>
        <v/>
      </c>
      <c r="Q20" s="792" t="str">
        <f>IF(OR(A20="",F20=0),"",SUM(LU!Q69,LU!Q168))</f>
        <v/>
      </c>
      <c r="R20" s="793" t="str">
        <f>IF(OR(A20="",F20=0),"",SUM(LU!Q92,LU!Q191))</f>
        <v/>
      </c>
      <c r="S20" s="766" t="str">
        <f>IF(OR(A20="",F20=0),"",SUM(LU!Q46,LU!Q145))</f>
        <v/>
      </c>
      <c r="T20" s="793" t="str">
        <f>IF(OR(A20="",C20=0),"",SUM(LU!O46,LU!O145))</f>
        <v/>
      </c>
      <c r="U20" s="794" t="str">
        <f t="shared" si="3"/>
        <v/>
      </c>
      <c r="V20" s="795" t="str">
        <f>IF(OR(A20="",D20=0),"",SUM(LU!D46,LU!D145))</f>
        <v/>
      </c>
      <c r="W20" s="794" t="str">
        <f t="shared" si="4"/>
        <v/>
      </c>
      <c r="X20" s="795" t="str">
        <f>IF(OR(A20="",E20=0),"",SUM(LU!J46,LU!J145))</f>
        <v/>
      </c>
      <c r="Y20" s="794" t="str">
        <f t="shared" si="5"/>
        <v/>
      </c>
      <c r="Z20" s="791" t="str">
        <f t="shared" si="25"/>
        <v/>
      </c>
      <c r="AA20" s="796" t="str">
        <f ca="1">IF(OR(A20="",F20=0,Q$26="-",LU!$D$5=0),"",Q20-Q$26)</f>
        <v/>
      </c>
      <c r="AB20" s="797" t="str">
        <f ca="1">IF(OR(A20="",F20=0,R$26="-",LU!$D$5=0),"",R20-R$26)</f>
        <v/>
      </c>
      <c r="AC20" s="798" t="str">
        <f t="shared" ca="1" si="6"/>
        <v/>
      </c>
      <c r="AD20" s="799" t="str">
        <f t="shared" si="7"/>
        <v/>
      </c>
      <c r="AE20" s="799" t="str">
        <f t="shared" si="8"/>
        <v/>
      </c>
      <c r="AF20" s="800" t="str">
        <f t="shared" si="9"/>
        <v/>
      </c>
      <c r="AG20" s="801" t="str">
        <f ca="1">IF(OR($A20="",Z20="",Z$26="-",LU!$D$5=0),"",Z20-Z$26)</f>
        <v/>
      </c>
      <c r="AH20" s="1111" t="str">
        <f>IF(OR(A20="",F20=0),"",SUM(PT!U31,PT!U32))</f>
        <v/>
      </c>
      <c r="AI20" s="1112"/>
      <c r="AJ20" s="287" t="str">
        <f t="shared" si="10"/>
        <v>0</v>
      </c>
      <c r="AK20" s="208" t="str">
        <f t="shared" si="0"/>
        <v>Enurgizer Bunny</v>
      </c>
      <c r="AL20" s="818" t="str">
        <f>IF(OR($A20="",$F20=0),"",SUM(Actions!C89,Actions!J89))</f>
        <v/>
      </c>
      <c r="AM20" s="819" t="str">
        <f>IF(OR($A20="",$F20=0),"",SUM(Actions!D89,Actions!K89))</f>
        <v/>
      </c>
      <c r="AN20" s="819" t="str">
        <f>IF(OR($A20="",$F20=0),"",SUM(Actions!E89,Actions!L89))</f>
        <v/>
      </c>
      <c r="AO20" s="819" t="str">
        <f>IF(OR($A20="",$F20=0),"",SUM(Actions!F89,Actions!M89))</f>
        <v/>
      </c>
      <c r="AP20" s="819" t="str">
        <f>IF(OR($A20="",$F20=0),"",SUM(Actions!G89,Actions!N89))</f>
        <v/>
      </c>
      <c r="AQ20" s="820" t="str">
        <f t="shared" si="11"/>
        <v/>
      </c>
      <c r="AR20" s="792" t="str">
        <f>IF(OR($A20="",$F20=0),"",SUM(Actions!C19,Actions!J19))</f>
        <v/>
      </c>
      <c r="AS20" s="793" t="str">
        <f>IF(OR($A20="",$F20=0),"",SUM(Actions!D19,Actions!K19))</f>
        <v/>
      </c>
      <c r="AT20" s="793" t="str">
        <f>IF(OR($A20="",$F20=0),"",SUM(Actions!E19,Actions!L19))</f>
        <v/>
      </c>
      <c r="AU20" s="793" t="str">
        <f>IF(OR($A20="",$F20=0),"",SUM(Actions!F19,Actions!M19))</f>
        <v/>
      </c>
      <c r="AV20" s="793" t="str">
        <f>IF(OR($A20="",$F20=0),"",SUM(Actions!G19,Actions!N19))</f>
        <v/>
      </c>
      <c r="AW20" s="766" t="str">
        <f t="shared" si="12"/>
        <v/>
      </c>
      <c r="AX20" s="821" t="str">
        <f t="shared" si="26"/>
        <v/>
      </c>
      <c r="AY20" s="822" t="str">
        <f t="shared" si="13"/>
        <v/>
      </c>
      <c r="AZ20" s="823" t="str">
        <f t="shared" si="14"/>
        <v/>
      </c>
      <c r="BA20" s="824" t="str">
        <f t="shared" si="15"/>
        <v/>
      </c>
      <c r="BB20" s="798" t="str">
        <f t="shared" si="16"/>
        <v/>
      </c>
      <c r="BC20" s="825" t="str">
        <f t="shared" si="17"/>
        <v/>
      </c>
      <c r="BD20" s="826" t="str">
        <f t="shared" si="18"/>
        <v/>
      </c>
      <c r="BE20" s="827" t="str">
        <f t="shared" si="19"/>
        <v/>
      </c>
      <c r="BF20" s="828" t="str">
        <f>IF(OR($A20="",$F20=0),"",SUM(Errors!C19,Errors!J19))</f>
        <v/>
      </c>
      <c r="BG20" s="793" t="str">
        <f>IF(OR($A20="",$F20=0),"",SUM(Errors!D19,Errors!K19))</f>
        <v/>
      </c>
      <c r="BH20" s="793" t="str">
        <f>IF(OR($A20="",$F20=0),"",SUM(Errors!E19,Errors!L19))</f>
        <v/>
      </c>
      <c r="BI20" s="793" t="str">
        <f>IF(OR($A20="",$F20=0),"",SUM(Errors!F19,Errors!M19))</f>
        <v/>
      </c>
      <c r="BJ20" s="829" t="str">
        <f>IF(OR($A20="",$F20=0),"",SUM(Errors!G19,Errors!N19))</f>
        <v/>
      </c>
      <c r="BK20" s="766" t="str">
        <f t="shared" si="20"/>
        <v/>
      </c>
      <c r="BL20" s="830" t="str">
        <f t="shared" si="21"/>
        <v/>
      </c>
      <c r="BM20" s="830" t="str">
        <f t="shared" si="22"/>
        <v/>
      </c>
      <c r="BN20" s="817" t="str">
        <f t="shared" si="23"/>
        <v/>
      </c>
      <c r="BO20" s="818" t="str">
        <f>IF(OR($A20="",$F20=0),"",SUM(Errors!C89,Errors!J89))</f>
        <v/>
      </c>
      <c r="BP20" s="819" t="str">
        <f>IF(OR($A20="",$F20=0),"",SUM(Errors!D89,Errors!K89))</f>
        <v/>
      </c>
      <c r="BQ20" s="819" t="str">
        <f>IF(OR($A20="",$F20=0),"",SUM(Errors!E89,Errors!L89))</f>
        <v/>
      </c>
      <c r="BR20" s="819" t="str">
        <f>IF(OR($A20="",$F20=0),"",SUM(Errors!F89,Errors!M89))</f>
        <v/>
      </c>
      <c r="BS20" s="819" t="str">
        <f>IF(OR($A20="",$F20=0),"",SUM(Errors!G89,Errors!N89))</f>
        <v/>
      </c>
      <c r="BT20" s="288" t="str">
        <f t="shared" si="24"/>
        <v/>
      </c>
    </row>
    <row r="21" spans="1:72" s="108" customFormat="1" ht="19.5" customHeight="1" x14ac:dyDescent="0.3">
      <c r="A21" s="287" t="str">
        <f>IF(ISBLANK(IGRF!$B26),"",IGRF!$B26)</f>
        <v>88</v>
      </c>
      <c r="B21" s="205" t="str">
        <f>IF(ISBLANK(IGRF!$C26),"",IGRF!$C26)</f>
        <v>Ophelia Melons</v>
      </c>
      <c r="C21" s="206">
        <f>IF(A21="","",SUM(LU!O24,LU!O123))</f>
        <v>0</v>
      </c>
      <c r="D21" s="206">
        <f>IF(A21="","",SUM(LU!D24,LU!D123))</f>
        <v>0</v>
      </c>
      <c r="E21" s="207">
        <f>IF(A21="","",SUM(LU!J24,LU!J123))</f>
        <v>0</v>
      </c>
      <c r="F21" s="764">
        <f>IF(A21="","",(SUM(C21:E21)-(SUMPRODUCT(--(Lineups!C$4:C$41=A21),--(Lineups!A$4:A$41="SP"))+SUMPRODUCT(--(Lineups!G$4:G$41=A21),--(Lineups!A$4:A$41="SP"))+SUMPRODUCT(--(Lineups!C$50:C$87=A21),--(Lineups!A$50:A$87="SP"))+SUMPRODUCT(--(Lineups!G$50:G$87=A21),--(Lineups!A$50:A$87="SP")))))</f>
        <v>0</v>
      </c>
      <c r="G21" s="765" t="str">
        <f>IF(OR(A21="",F21=0,LU!D$3+LU!D$102=0),"",F21/(LU!D$3+LU!D$102))</f>
        <v/>
      </c>
      <c r="H21" s="766" t="str">
        <f>IF(OR(C21=0,A21=""),"",SK!D219)</f>
        <v/>
      </c>
      <c r="I21" s="767" t="str">
        <f ca="1">IF(OR(A21="",SK!E219="",SK!E219=0),"",H21/SK!E219)</f>
        <v/>
      </c>
      <c r="J21" s="786" t="str">
        <f>IF(OR(A21="",C21=0),"",SK!G219)</f>
        <v/>
      </c>
      <c r="K21" s="787" t="str">
        <f>IF(OR(A21="",C21=0),"",SK!H219)</f>
        <v/>
      </c>
      <c r="L21" s="788" t="str">
        <f>IF(OR(A21="",C21=0),"",SK!J219)</f>
        <v/>
      </c>
      <c r="M21" s="788" t="str">
        <f>IF(OR(A21="",C21=0),"",SK!L219)</f>
        <v/>
      </c>
      <c r="N21" s="789" t="str">
        <f t="shared" si="1"/>
        <v/>
      </c>
      <c r="O21" s="790" t="str">
        <f>IF(OR(A21="",C21=0),"",SK!I219)</f>
        <v/>
      </c>
      <c r="P21" s="791" t="str">
        <f t="shared" si="2"/>
        <v/>
      </c>
      <c r="Q21" s="792" t="str">
        <f>IF(OR(A21="",F21=0),"",SUM(LU!Q70,LU!Q169))</f>
        <v/>
      </c>
      <c r="R21" s="793" t="str">
        <f>IF(OR(A21="",F21=0),"",SUM(LU!Q93,LU!Q192))</f>
        <v/>
      </c>
      <c r="S21" s="766" t="str">
        <f>IF(OR(A21="",F21=0),"",SUM(LU!Q47,LU!Q146))</f>
        <v/>
      </c>
      <c r="T21" s="793" t="str">
        <f>IF(OR(A21="",C21=0),"",SUM(LU!O47,LU!O146))</f>
        <v/>
      </c>
      <c r="U21" s="794" t="str">
        <f t="shared" si="3"/>
        <v/>
      </c>
      <c r="V21" s="795" t="str">
        <f>IF(OR(A21="",D21=0),"",SUM(LU!D47,LU!D146))</f>
        <v/>
      </c>
      <c r="W21" s="794" t="str">
        <f t="shared" si="4"/>
        <v/>
      </c>
      <c r="X21" s="795" t="str">
        <f>IF(OR(A21="",E21=0),"",SUM(LU!J47,LU!J146))</f>
        <v/>
      </c>
      <c r="Y21" s="794" t="str">
        <f t="shared" si="5"/>
        <v/>
      </c>
      <c r="Z21" s="791" t="str">
        <f t="shared" si="25"/>
        <v/>
      </c>
      <c r="AA21" s="796" t="str">
        <f ca="1">IF(OR(A21="",F21=0,Q$26="-",LU!$D$5=0),"",Q21-Q$26)</f>
        <v/>
      </c>
      <c r="AB21" s="797" t="str">
        <f ca="1">IF(OR(A21="",F21=0,R$26="-",LU!$D$5=0),"",R21-R$26)</f>
        <v/>
      </c>
      <c r="AC21" s="798" t="str">
        <f t="shared" ca="1" si="6"/>
        <v/>
      </c>
      <c r="AD21" s="799" t="str">
        <f t="shared" si="7"/>
        <v/>
      </c>
      <c r="AE21" s="799" t="str">
        <f t="shared" si="8"/>
        <v/>
      </c>
      <c r="AF21" s="800" t="str">
        <f t="shared" si="9"/>
        <v/>
      </c>
      <c r="AG21" s="801" t="str">
        <f ca="1">IF(OR($A21="",Z21="",Z$26="-",LU!$D$5=0),"",Z21-Z$26)</f>
        <v/>
      </c>
      <c r="AH21" s="1111" t="str">
        <f>IF(OR(A21="",F21=0),"",SUM(PT!U33,PT!U34))</f>
        <v/>
      </c>
      <c r="AI21" s="1112"/>
      <c r="AJ21" s="287" t="str">
        <f t="shared" si="10"/>
        <v>88</v>
      </c>
      <c r="AK21" s="208" t="str">
        <f t="shared" si="0"/>
        <v>Ophelia Melons</v>
      </c>
      <c r="AL21" s="818" t="str">
        <f>IF(OR($A21="",$F21=0),"",SUM(Actions!C90,Actions!J90))</f>
        <v/>
      </c>
      <c r="AM21" s="819" t="str">
        <f>IF(OR($A21="",$F21=0),"",SUM(Actions!D90,Actions!K90))</f>
        <v/>
      </c>
      <c r="AN21" s="819" t="str">
        <f>IF(OR($A21="",$F21=0),"",SUM(Actions!E90,Actions!L90))</f>
        <v/>
      </c>
      <c r="AO21" s="819" t="str">
        <f>IF(OR($A21="",$F21=0),"",SUM(Actions!F90,Actions!M90))</f>
        <v/>
      </c>
      <c r="AP21" s="819" t="str">
        <f>IF(OR($A21="",$F21=0),"",SUM(Actions!G90,Actions!N90))</f>
        <v/>
      </c>
      <c r="AQ21" s="820" t="str">
        <f t="shared" si="11"/>
        <v/>
      </c>
      <c r="AR21" s="792" t="str">
        <f>IF(OR($A21="",$F21=0),"",SUM(Actions!C20,Actions!J20))</f>
        <v/>
      </c>
      <c r="AS21" s="793" t="str">
        <f>IF(OR($A21="",$F21=0),"",SUM(Actions!D20,Actions!K20))</f>
        <v/>
      </c>
      <c r="AT21" s="793" t="str">
        <f>IF(OR($A21="",$F21=0),"",SUM(Actions!E20,Actions!L20))</f>
        <v/>
      </c>
      <c r="AU21" s="793" t="str">
        <f>IF(OR($A21="",$F21=0),"",SUM(Actions!F20,Actions!M20))</f>
        <v/>
      </c>
      <c r="AV21" s="793" t="str">
        <f>IF(OR($A21="",$F21=0),"",SUM(Actions!G20,Actions!N20))</f>
        <v/>
      </c>
      <c r="AW21" s="766" t="str">
        <f t="shared" si="12"/>
        <v/>
      </c>
      <c r="AX21" s="821" t="str">
        <f t="shared" si="26"/>
        <v/>
      </c>
      <c r="AY21" s="822" t="str">
        <f t="shared" si="13"/>
        <v/>
      </c>
      <c r="AZ21" s="823" t="str">
        <f t="shared" si="14"/>
        <v/>
      </c>
      <c r="BA21" s="824" t="str">
        <f t="shared" si="15"/>
        <v/>
      </c>
      <c r="BB21" s="798" t="str">
        <f t="shared" si="16"/>
        <v/>
      </c>
      <c r="BC21" s="825" t="str">
        <f t="shared" si="17"/>
        <v/>
      </c>
      <c r="BD21" s="826" t="str">
        <f t="shared" si="18"/>
        <v/>
      </c>
      <c r="BE21" s="827" t="str">
        <f t="shared" si="19"/>
        <v/>
      </c>
      <c r="BF21" s="828" t="str">
        <f>IF(OR($A21="",$F21=0),"",SUM(Errors!C20,Errors!J20))</f>
        <v/>
      </c>
      <c r="BG21" s="793" t="str">
        <f>IF(OR($A21="",$F21=0),"",SUM(Errors!D20,Errors!K20))</f>
        <v/>
      </c>
      <c r="BH21" s="793" t="str">
        <f>IF(OR($A21="",$F21=0),"",SUM(Errors!E20,Errors!L20))</f>
        <v/>
      </c>
      <c r="BI21" s="793" t="str">
        <f>IF(OR($A21="",$F21=0),"",SUM(Errors!F20,Errors!M20))</f>
        <v/>
      </c>
      <c r="BJ21" s="829" t="str">
        <f>IF(OR($A21="",$F21=0),"",SUM(Errors!G20,Errors!N20))</f>
        <v/>
      </c>
      <c r="BK21" s="766" t="str">
        <f t="shared" si="20"/>
        <v/>
      </c>
      <c r="BL21" s="830" t="str">
        <f t="shared" si="21"/>
        <v/>
      </c>
      <c r="BM21" s="830" t="str">
        <f t="shared" si="22"/>
        <v/>
      </c>
      <c r="BN21" s="817" t="str">
        <f t="shared" si="23"/>
        <v/>
      </c>
      <c r="BO21" s="818" t="str">
        <f>IF(OR($A21="",$F21=0),"",SUM(Errors!C90,Errors!J90))</f>
        <v/>
      </c>
      <c r="BP21" s="819" t="str">
        <f>IF(OR($A21="",$F21=0),"",SUM(Errors!D90,Errors!K90))</f>
        <v/>
      </c>
      <c r="BQ21" s="819" t="str">
        <f>IF(OR($A21="",$F21=0),"",SUM(Errors!E90,Errors!L90))</f>
        <v/>
      </c>
      <c r="BR21" s="819" t="str">
        <f>IF(OR($A21="",$F21=0),"",SUM(Errors!F90,Errors!M90))</f>
        <v/>
      </c>
      <c r="BS21" s="819" t="str">
        <f>IF(OR($A21="",$F21=0),"",SUM(Errors!G90,Errors!N90))</f>
        <v/>
      </c>
      <c r="BT21" s="288" t="str">
        <f t="shared" si="24"/>
        <v/>
      </c>
    </row>
    <row r="22" spans="1:72" s="108" customFormat="1" ht="19.5" customHeight="1" x14ac:dyDescent="0.3">
      <c r="A22" s="287" t="str">
        <f>IF(ISBLANK(IGRF!$B27),"",IGRF!$B27)</f>
        <v/>
      </c>
      <c r="B22" s="205" t="str">
        <f>IF(ISBLANK(IGRF!$C27),"",IGRF!$C27)</f>
        <v/>
      </c>
      <c r="C22" s="206" t="str">
        <f>IF(A22="","",SUM(LU!O25,LU!O124))</f>
        <v/>
      </c>
      <c r="D22" s="206" t="str">
        <f>IF(A22="","",SUM(LU!D25,LU!D124))</f>
        <v/>
      </c>
      <c r="E22" s="207" t="str">
        <f>IF(A22="","",SUM(LU!J25,LU!J124))</f>
        <v/>
      </c>
      <c r="F22" s="764" t="str">
        <f>IF(A22="","",(SUM(C22:E22)-(SUMPRODUCT(--(Lineups!C$4:C$41=A22),--(Lineups!A$4:A$41="SP"))+SUMPRODUCT(--(Lineups!G$4:G$41=A22),--(Lineups!A$4:A$41="SP"))+SUMPRODUCT(--(Lineups!C$50:C$87=A22),--(Lineups!A$50:A$87="SP"))+SUMPRODUCT(--(Lineups!G$50:G$87=A22),--(Lineups!A$50:A$87="SP")))))</f>
        <v/>
      </c>
      <c r="G22" s="765" t="str">
        <f>IF(OR(A22="",F22=0,LU!D$3+LU!D$102=0),"",F22/(LU!D$3+LU!D$102))</f>
        <v/>
      </c>
      <c r="H22" s="766" t="str">
        <f>IF(OR(C22=0,A22=""),"",SK!D222)</f>
        <v/>
      </c>
      <c r="I22" s="767" t="str">
        <f>IF(OR(A22="",SK!E222="",SK!E222=0),"",H22/SK!E222)</f>
        <v/>
      </c>
      <c r="J22" s="786" t="str">
        <f>IF(OR(A22="",C22=0),"",SK!G222)</f>
        <v/>
      </c>
      <c r="K22" s="787" t="str">
        <f>IF(OR(A22="",C22=0),"",SK!H222)</f>
        <v/>
      </c>
      <c r="L22" s="788" t="str">
        <f>IF(OR(A22="",C22=0),"",SK!J222)</f>
        <v/>
      </c>
      <c r="M22" s="788" t="str">
        <f>IF(OR(A22="",C22=0),"",SK!L222)</f>
        <v/>
      </c>
      <c r="N22" s="789" t="str">
        <f t="shared" si="1"/>
        <v/>
      </c>
      <c r="O22" s="790" t="str">
        <f>IF(OR(A22="",C22=0),"",SK!I222)</f>
        <v/>
      </c>
      <c r="P22" s="791" t="str">
        <f t="shared" si="2"/>
        <v/>
      </c>
      <c r="Q22" s="792" t="str">
        <f>IF(OR(A22="",F22=0),"",SUM(LU!Q71,LU!Q170))</f>
        <v/>
      </c>
      <c r="R22" s="793" t="str">
        <f>IF(OR(A22="",F22=0),"",SUM(LU!Q94,LU!Q193))</f>
        <v/>
      </c>
      <c r="S22" s="766" t="str">
        <f>IF(OR(A22="",F22=0),"",SUM(LU!Q48,LU!Q147))</f>
        <v/>
      </c>
      <c r="T22" s="793" t="str">
        <f>IF(OR(A22="",C22=0),"",SUM(LU!O48,LU!O147))</f>
        <v/>
      </c>
      <c r="U22" s="794" t="str">
        <f t="shared" si="3"/>
        <v/>
      </c>
      <c r="V22" s="795" t="str">
        <f>IF(OR(A22="",D22=0),"",SUM(LU!D48,LU!D147))</f>
        <v/>
      </c>
      <c r="W22" s="794" t="str">
        <f t="shared" si="4"/>
        <v/>
      </c>
      <c r="X22" s="795" t="str">
        <f>IF(OR(A22="",E22=0),"",SUM(LU!J48,LU!J147))</f>
        <v/>
      </c>
      <c r="Y22" s="794" t="str">
        <f t="shared" si="5"/>
        <v/>
      </c>
      <c r="Z22" s="791" t="str">
        <f t="shared" si="25"/>
        <v/>
      </c>
      <c r="AA22" s="796" t="str">
        <f ca="1">IF(OR(A22="",F22=0,Q$26="-",LU!$D$5=0),"",Q22-Q$26)</f>
        <v/>
      </c>
      <c r="AB22" s="797" t="str">
        <f ca="1">IF(OR(A22="",F22=0,R$26="-",LU!$D$5=0),"",R22-R$26)</f>
        <v/>
      </c>
      <c r="AC22" s="798" t="str">
        <f t="shared" ca="1" si="6"/>
        <v/>
      </c>
      <c r="AD22" s="799" t="str">
        <f t="shared" si="7"/>
        <v/>
      </c>
      <c r="AE22" s="799" t="str">
        <f t="shared" si="8"/>
        <v/>
      </c>
      <c r="AF22" s="800" t="str">
        <f t="shared" si="9"/>
        <v/>
      </c>
      <c r="AG22" s="801" t="str">
        <f ca="1">IF(OR($A22="",Z22="",Z$26="-",LU!$D$5=0),"",Z22-Z$26)</f>
        <v/>
      </c>
      <c r="AH22" s="1111" t="str">
        <f>IF(OR(A22="",F22=0),"",SUM(PT!U35,PT!U36))</f>
        <v/>
      </c>
      <c r="AI22" s="1112"/>
      <c r="AJ22" s="287" t="str">
        <f t="shared" si="10"/>
        <v/>
      </c>
      <c r="AK22" s="208" t="str">
        <f t="shared" si="0"/>
        <v/>
      </c>
      <c r="AL22" s="818" t="str">
        <f>IF(OR($A22="",$F22=0),"",SUM(Actions!C91,Actions!J91))</f>
        <v/>
      </c>
      <c r="AM22" s="819" t="str">
        <f>IF(OR($A22="",$F22=0),"",SUM(Actions!D91,Actions!K91))</f>
        <v/>
      </c>
      <c r="AN22" s="819" t="str">
        <f>IF(OR($A22="",$F22=0),"",SUM(Actions!E91,Actions!L91))</f>
        <v/>
      </c>
      <c r="AO22" s="819" t="str">
        <f>IF(OR($A22="",$F22=0),"",SUM(Actions!F91,Actions!M91))</f>
        <v/>
      </c>
      <c r="AP22" s="819" t="str">
        <f>IF(OR($A22="",$F22=0),"",SUM(Actions!G91,Actions!N91))</f>
        <v/>
      </c>
      <c r="AQ22" s="820" t="str">
        <f t="shared" si="11"/>
        <v/>
      </c>
      <c r="AR22" s="792" t="str">
        <f>IF(OR($A22="",$F22=0),"",SUM(Actions!C21,Actions!J21))</f>
        <v/>
      </c>
      <c r="AS22" s="793" t="str">
        <f>IF(OR($A22="",$F22=0),"",SUM(Actions!D21,Actions!K21))</f>
        <v/>
      </c>
      <c r="AT22" s="793" t="str">
        <f>IF(OR($A22="",$F22=0),"",SUM(Actions!E21,Actions!L21))</f>
        <v/>
      </c>
      <c r="AU22" s="793" t="str">
        <f>IF(OR($A22="",$F22=0),"",SUM(Actions!F21,Actions!M21))</f>
        <v/>
      </c>
      <c r="AV22" s="793" t="str">
        <f>IF(OR($A22="",$F22=0),"",SUM(Actions!G21,Actions!N21))</f>
        <v/>
      </c>
      <c r="AW22" s="766" t="str">
        <f t="shared" si="12"/>
        <v/>
      </c>
      <c r="AX22" s="821" t="str">
        <f t="shared" si="26"/>
        <v/>
      </c>
      <c r="AY22" s="822" t="str">
        <f t="shared" si="13"/>
        <v/>
      </c>
      <c r="AZ22" s="823" t="str">
        <f t="shared" si="14"/>
        <v/>
      </c>
      <c r="BA22" s="824" t="str">
        <f t="shared" si="15"/>
        <v/>
      </c>
      <c r="BB22" s="798" t="str">
        <f t="shared" si="16"/>
        <v/>
      </c>
      <c r="BC22" s="825" t="str">
        <f t="shared" si="17"/>
        <v/>
      </c>
      <c r="BD22" s="826" t="str">
        <f t="shared" si="18"/>
        <v/>
      </c>
      <c r="BE22" s="827" t="str">
        <f t="shared" si="19"/>
        <v/>
      </c>
      <c r="BF22" s="828" t="str">
        <f>IF(OR($A22="",$F22=0),"",SUM(Errors!C21,Errors!J21))</f>
        <v/>
      </c>
      <c r="BG22" s="793" t="str">
        <f>IF(OR($A22="",$F22=0),"",SUM(Errors!D21,Errors!K21))</f>
        <v/>
      </c>
      <c r="BH22" s="793" t="str">
        <f>IF(OR($A22="",$F22=0),"",SUM(Errors!E21,Errors!L21))</f>
        <v/>
      </c>
      <c r="BI22" s="793" t="str">
        <f>IF(OR($A22="",$F22=0),"",SUM(Errors!F21,Errors!M21))</f>
        <v/>
      </c>
      <c r="BJ22" s="829" t="str">
        <f>IF(OR($A22="",$F22=0),"",SUM(Errors!G21,Errors!N21))</f>
        <v/>
      </c>
      <c r="BK22" s="766" t="str">
        <f t="shared" si="20"/>
        <v/>
      </c>
      <c r="BL22" s="830" t="str">
        <f t="shared" si="21"/>
        <v/>
      </c>
      <c r="BM22" s="830" t="str">
        <f t="shared" si="22"/>
        <v/>
      </c>
      <c r="BN22" s="817" t="str">
        <f t="shared" si="23"/>
        <v/>
      </c>
      <c r="BO22" s="818" t="str">
        <f>IF(OR($A22="",$F22=0),"",SUM(Errors!C91,Errors!J91))</f>
        <v/>
      </c>
      <c r="BP22" s="819" t="str">
        <f>IF(OR($A22="",$F22=0),"",SUM(Errors!D91,Errors!K91))</f>
        <v/>
      </c>
      <c r="BQ22" s="819" t="str">
        <f>IF(OR($A22="",$F22=0),"",SUM(Errors!E91,Errors!L91))</f>
        <v/>
      </c>
      <c r="BR22" s="819" t="str">
        <f>IF(OR($A22="",$F22=0),"",SUM(Errors!F91,Errors!M91))</f>
        <v/>
      </c>
      <c r="BS22" s="819" t="str">
        <f>IF(OR($A22="",$F22=0),"",SUM(Errors!G91,Errors!N91))</f>
        <v/>
      </c>
      <c r="BT22" s="288" t="str">
        <f t="shared" si="24"/>
        <v/>
      </c>
    </row>
    <row r="23" spans="1:72" s="108" customFormat="1" ht="19.5" customHeight="1" x14ac:dyDescent="0.3">
      <c r="A23" s="287" t="str">
        <f>IF(ISBLANK(IGRF!$B28),"",IGRF!$B28)</f>
        <v/>
      </c>
      <c r="B23" s="205" t="str">
        <f>IF(ISBLANK(IGRF!$C28),"",IGRF!$C28)</f>
        <v/>
      </c>
      <c r="C23" s="206" t="str">
        <f>IF(A23="","",SUM(LU!O26,LU!O125))</f>
        <v/>
      </c>
      <c r="D23" s="206" t="str">
        <f>IF(A23="","",SUM(LU!D26,LU!D125))</f>
        <v/>
      </c>
      <c r="E23" s="207" t="str">
        <f>IF(A23="","",SUM(LU!J26,LU!J125))</f>
        <v/>
      </c>
      <c r="F23" s="764" t="str">
        <f>IF(A23="","",(SUM(C23:E23)-(SUMPRODUCT(--(Lineups!C$4:C$41=A23),--(Lineups!A$4:A$41="SP"))+SUMPRODUCT(--(Lineups!G$4:G$41=A23),--(Lineups!A$4:A$41="SP"))+SUMPRODUCT(--(Lineups!C$50:C$87=A23),--(Lineups!A$50:A$87="SP"))+SUMPRODUCT(--(Lineups!G$50:G$87=A23),--(Lineups!A$50:A$87="SP")))))</f>
        <v/>
      </c>
      <c r="G23" s="765" t="str">
        <f>IF(OR(A23="",F23=0,LU!D$3+LU!D$102=0),"",F23/(LU!D$3+LU!D$102))</f>
        <v/>
      </c>
      <c r="H23" s="766" t="str">
        <f>IF(OR(C23=0,A23=""),"",SK!D225)</f>
        <v/>
      </c>
      <c r="I23" s="767" t="str">
        <f>IF(OR(A23="",SK!E225="",SK!E225=0),"",H23/SK!E225)</f>
        <v/>
      </c>
      <c r="J23" s="786" t="str">
        <f>IF(OR(A23="",C23=0),"",SK!G225)</f>
        <v/>
      </c>
      <c r="K23" s="787" t="str">
        <f>IF(OR(A23="",C23=0),"",SK!H225)</f>
        <v/>
      </c>
      <c r="L23" s="788" t="str">
        <f>IF(OR(A23="",C23=0),"",SK!J225)</f>
        <v/>
      </c>
      <c r="M23" s="788" t="str">
        <f>IF(OR(A23="",C23=0),"",SK!L225)</f>
        <v/>
      </c>
      <c r="N23" s="789" t="str">
        <f t="shared" si="1"/>
        <v/>
      </c>
      <c r="O23" s="790" t="str">
        <f>IF(OR(A23="",C23=0),"",SK!I225)</f>
        <v/>
      </c>
      <c r="P23" s="791" t="str">
        <f t="shared" si="2"/>
        <v/>
      </c>
      <c r="Q23" s="792" t="str">
        <f>IF(OR(A23="",F23=0),"",SUM(LU!Q72,LU!Q171))</f>
        <v/>
      </c>
      <c r="R23" s="793" t="str">
        <f>IF(OR(A23="",F23=0),"",SUM(LU!Q95,LU!Q194))</f>
        <v/>
      </c>
      <c r="S23" s="766" t="str">
        <f>IF(OR(A23="",F23=0),"",SUM(LU!Q49,LU!Q148))</f>
        <v/>
      </c>
      <c r="T23" s="793" t="str">
        <f>IF(OR(A23="",C23=0),"",SUM(LU!O49,LU!O148))</f>
        <v/>
      </c>
      <c r="U23" s="794" t="str">
        <f t="shared" si="3"/>
        <v/>
      </c>
      <c r="V23" s="795" t="str">
        <f>IF(OR(A23="",D23=0),"",SUM(LU!D49,LU!D148))</f>
        <v/>
      </c>
      <c r="W23" s="794" t="str">
        <f t="shared" si="4"/>
        <v/>
      </c>
      <c r="X23" s="795" t="str">
        <f>IF(OR(A23="",E23=0),"",SUM(LU!J49,LU!J148))</f>
        <v/>
      </c>
      <c r="Y23" s="794" t="str">
        <f t="shared" si="5"/>
        <v/>
      </c>
      <c r="Z23" s="791" t="str">
        <f t="shared" si="25"/>
        <v/>
      </c>
      <c r="AA23" s="796" t="str">
        <f ca="1">IF(OR(A23="",F23=0,Q$26="-",LU!$D$5=0),"",Q23-Q$26)</f>
        <v/>
      </c>
      <c r="AB23" s="797" t="str">
        <f ca="1">IF(OR(A23="",F23=0,R$26="-",LU!$D$5=0),"",R23-R$26)</f>
        <v/>
      </c>
      <c r="AC23" s="798" t="str">
        <f t="shared" ca="1" si="6"/>
        <v/>
      </c>
      <c r="AD23" s="799" t="str">
        <f t="shared" si="7"/>
        <v/>
      </c>
      <c r="AE23" s="799" t="str">
        <f t="shared" si="8"/>
        <v/>
      </c>
      <c r="AF23" s="800" t="str">
        <f t="shared" si="9"/>
        <v/>
      </c>
      <c r="AG23" s="801" t="str">
        <f ca="1">IF(OR($A23="",Z23="",Z$26="-",LU!$D$5=0),"",Z23-Z$26)</f>
        <v/>
      </c>
      <c r="AH23" s="1111" t="str">
        <f>IF(OR(A23="",F23=0),"",SUM(PT!U37,PT!U38))</f>
        <v/>
      </c>
      <c r="AI23" s="1112"/>
      <c r="AJ23" s="287" t="str">
        <f t="shared" si="10"/>
        <v/>
      </c>
      <c r="AK23" s="208" t="str">
        <f t="shared" si="0"/>
        <v/>
      </c>
      <c r="AL23" s="818" t="str">
        <f>IF(OR($A23="",$F23=0),"",SUM(Actions!C92,Actions!J92))</f>
        <v/>
      </c>
      <c r="AM23" s="819" t="str">
        <f>IF(OR($A23="",$F23=0),"",SUM(Actions!D92,Actions!K92))</f>
        <v/>
      </c>
      <c r="AN23" s="819" t="str">
        <f>IF(OR($A23="",$F23=0),"",SUM(Actions!E92,Actions!L92))</f>
        <v/>
      </c>
      <c r="AO23" s="819" t="str">
        <f>IF(OR($A23="",$F23=0),"",SUM(Actions!F92,Actions!M92))</f>
        <v/>
      </c>
      <c r="AP23" s="819" t="str">
        <f>IF(OR($A23="",$F23=0),"",SUM(Actions!G92,Actions!N92))</f>
        <v/>
      </c>
      <c r="AQ23" s="820" t="str">
        <f t="shared" si="11"/>
        <v/>
      </c>
      <c r="AR23" s="792" t="str">
        <f>IF(OR($A23="",$F23=0),"",SUM(Actions!C22,Actions!J22))</f>
        <v/>
      </c>
      <c r="AS23" s="793" t="str">
        <f>IF(OR($A23="",$F23=0),"",SUM(Actions!D22,Actions!K22))</f>
        <v/>
      </c>
      <c r="AT23" s="793" t="str">
        <f>IF(OR($A23="",$F23=0),"",SUM(Actions!E22,Actions!L22))</f>
        <v/>
      </c>
      <c r="AU23" s="793" t="str">
        <f>IF(OR($A23="",$F23=0),"",SUM(Actions!F22,Actions!M22))</f>
        <v/>
      </c>
      <c r="AV23" s="793" t="str">
        <f>IF(OR($A23="",$F23=0),"",SUM(Actions!G22,Actions!N22))</f>
        <v/>
      </c>
      <c r="AW23" s="766" t="str">
        <f t="shared" si="12"/>
        <v/>
      </c>
      <c r="AX23" s="821" t="str">
        <f t="shared" si="26"/>
        <v/>
      </c>
      <c r="AY23" s="822" t="str">
        <f t="shared" si="13"/>
        <v/>
      </c>
      <c r="AZ23" s="823" t="str">
        <f t="shared" si="14"/>
        <v/>
      </c>
      <c r="BA23" s="824" t="str">
        <f t="shared" si="15"/>
        <v/>
      </c>
      <c r="BB23" s="798" t="str">
        <f t="shared" si="16"/>
        <v/>
      </c>
      <c r="BC23" s="825" t="str">
        <f t="shared" si="17"/>
        <v/>
      </c>
      <c r="BD23" s="826" t="str">
        <f t="shared" si="18"/>
        <v/>
      </c>
      <c r="BE23" s="827" t="str">
        <f t="shared" si="19"/>
        <v/>
      </c>
      <c r="BF23" s="828" t="str">
        <f>IF(OR($A23="",$F23=0),"",SUM(Errors!C22,Errors!J22))</f>
        <v/>
      </c>
      <c r="BG23" s="793" t="str">
        <f>IF(OR($A23="",$F23=0),"",SUM(Errors!D22,Errors!K22))</f>
        <v/>
      </c>
      <c r="BH23" s="793" t="str">
        <f>IF(OR($A23="",$F23=0),"",SUM(Errors!E22,Errors!L22))</f>
        <v/>
      </c>
      <c r="BI23" s="793" t="str">
        <f>IF(OR($A23="",$F23=0),"",SUM(Errors!F22,Errors!M22))</f>
        <v/>
      </c>
      <c r="BJ23" s="829" t="str">
        <f>IF(OR($A23="",$F23=0),"",SUM(Errors!G22,Errors!N22))</f>
        <v/>
      </c>
      <c r="BK23" s="766" t="str">
        <f t="shared" si="20"/>
        <v/>
      </c>
      <c r="BL23" s="830" t="str">
        <f t="shared" si="21"/>
        <v/>
      </c>
      <c r="BM23" s="830" t="str">
        <f t="shared" si="22"/>
        <v/>
      </c>
      <c r="BN23" s="817" t="str">
        <f t="shared" si="23"/>
        <v/>
      </c>
      <c r="BO23" s="818" t="str">
        <f>IF(OR($A23="",$F23=0),"",SUM(Errors!C92,Errors!J92))</f>
        <v/>
      </c>
      <c r="BP23" s="819" t="str">
        <f>IF(OR($A23="",$F23=0),"",SUM(Errors!D92,Errors!K92))</f>
        <v/>
      </c>
      <c r="BQ23" s="819" t="str">
        <f>IF(OR($A23="",$F23=0),"",SUM(Errors!E92,Errors!L92))</f>
        <v/>
      </c>
      <c r="BR23" s="819" t="str">
        <f>IF(OR($A23="",$F23=0),"",SUM(Errors!F92,Errors!M92))</f>
        <v/>
      </c>
      <c r="BS23" s="819" t="str">
        <f>IF(OR($A23="",$F23=0),"",SUM(Errors!G92,Errors!N92))</f>
        <v/>
      </c>
      <c r="BT23" s="288" t="str">
        <f t="shared" si="24"/>
        <v/>
      </c>
    </row>
    <row r="24" spans="1:72" s="108" customFormat="1" ht="19.95" customHeight="1" x14ac:dyDescent="0.3">
      <c r="A24" s="287" t="str">
        <f>IF(ISBLANK(IGRF!$B29),"",IGRF!$B29)</f>
        <v/>
      </c>
      <c r="B24" s="205" t="str">
        <f>IF(ISBLANK(IGRF!$C29),"",IGRF!$C29)</f>
        <v/>
      </c>
      <c r="C24" s="206" t="str">
        <f>IF(A24="","",SUM(LU!O27,LU!O126))</f>
        <v/>
      </c>
      <c r="D24" s="206" t="str">
        <f>IF(A24="","",SUM(LU!D27,LU!D126))</f>
        <v/>
      </c>
      <c r="E24" s="207" t="str">
        <f>IF(A24="","",SUM(LU!J27,LU!J126))</f>
        <v/>
      </c>
      <c r="F24" s="764" t="str">
        <f>IF(A24="","",(SUM(C24:E24)-(SUMPRODUCT(--(Lineups!C$4:C$41=A24),--(Lineups!A$4:A$41="SP"))+SUMPRODUCT(--(Lineups!G$4:G$41=A24),--(Lineups!A$4:A$41="SP"))+SUMPRODUCT(--(Lineups!C$50:C$87=A24),--(Lineups!A$50:A$87="SP"))+SUMPRODUCT(--(Lineups!G$50:G$87=A24),--(Lineups!A$50:A$87="SP")))))</f>
        <v/>
      </c>
      <c r="G24" s="765" t="str">
        <f>IF(OR(A24="",F24=0,LU!D$3+LU!D$102=0),"",F24/(LU!D$3+LU!D$102))</f>
        <v/>
      </c>
      <c r="H24" s="766" t="str">
        <f>IF(OR(C24=0,A24=""),"",SK!D228)</f>
        <v/>
      </c>
      <c r="I24" s="767" t="str">
        <f>IF(OR(A24="",SK!E228="",SK!E228=0),"",H24/SK!E228)</f>
        <v/>
      </c>
      <c r="J24" s="786" t="str">
        <f>IF(OR(A24="",C24=0),"",SK!G228)</f>
        <v/>
      </c>
      <c r="K24" s="787" t="str">
        <f>IF(OR(A24="",C24=0),"",SK!H228)</f>
        <v/>
      </c>
      <c r="L24" s="788" t="str">
        <f>IF(OR(A24="",C24=0),"",SK!J228)</f>
        <v/>
      </c>
      <c r="M24" s="788" t="str">
        <f>IF(OR(A24="",C24=0),"",SK!L228)</f>
        <v/>
      </c>
      <c r="N24" s="789" t="str">
        <f t="shared" si="1"/>
        <v/>
      </c>
      <c r="O24" s="790" t="str">
        <f>IF(OR(A24="",C24=0),"",SK!I228)</f>
        <v/>
      </c>
      <c r="P24" s="791" t="str">
        <f t="shared" si="2"/>
        <v/>
      </c>
      <c r="Q24" s="792" t="str">
        <f>IF(OR(A24="",F24=0),"",SUM(LU!Q73,LU!Q172))</f>
        <v/>
      </c>
      <c r="R24" s="793" t="str">
        <f>IF(OR(A24="",F24=0),"",SUM(LU!Q96,LU!Q195))</f>
        <v/>
      </c>
      <c r="S24" s="766" t="str">
        <f>IF(OR(A24="",F24=0),"",SUM(LU!Q50,LU!Q149))</f>
        <v/>
      </c>
      <c r="T24" s="793" t="str">
        <f>IF(OR(A24="",C24=0),"",SUM(LU!O50,LU!O149))</f>
        <v/>
      </c>
      <c r="U24" s="794" t="str">
        <f t="shared" si="3"/>
        <v/>
      </c>
      <c r="V24" s="795" t="str">
        <f>IF(OR(A24="",D24=0),"",SUM(LU!D50,LU!D149))</f>
        <v/>
      </c>
      <c r="W24" s="794" t="str">
        <f t="shared" si="4"/>
        <v/>
      </c>
      <c r="X24" s="795" t="str">
        <f>IF(OR(A24="",E24=0),"",SUM(LU!J50,LU!J149))</f>
        <v/>
      </c>
      <c r="Y24" s="794" t="str">
        <f t="shared" si="5"/>
        <v/>
      </c>
      <c r="Z24" s="791" t="str">
        <f t="shared" si="25"/>
        <v/>
      </c>
      <c r="AA24" s="796" t="str">
        <f ca="1">IF(OR(A24="",F24=0,Q$26="-",LU!$D$5=0),"",Q24-Q$26)</f>
        <v/>
      </c>
      <c r="AB24" s="797" t="str">
        <f ca="1">IF(OR(A24="",F24=0,R$26="-",LU!$D$5=0),"",R24-R$26)</f>
        <v/>
      </c>
      <c r="AC24" s="798" t="str">
        <f t="shared" ca="1" si="6"/>
        <v/>
      </c>
      <c r="AD24" s="799" t="str">
        <f t="shared" si="7"/>
        <v/>
      </c>
      <c r="AE24" s="799" t="str">
        <f t="shared" si="8"/>
        <v/>
      </c>
      <c r="AF24" s="800" t="str">
        <f t="shared" si="9"/>
        <v/>
      </c>
      <c r="AG24" s="801" t="str">
        <f ca="1">IF(OR($A24="",Z24="",Z$26="-",LU!$D$5=0),"",Z24-Z$26)</f>
        <v/>
      </c>
      <c r="AH24" s="1111" t="str">
        <f>IF(OR(A24="",F24=0),"",SUM(PT!U39,PT!U40))</f>
        <v/>
      </c>
      <c r="AI24" s="1112"/>
      <c r="AJ24" s="287" t="str">
        <f t="shared" si="10"/>
        <v/>
      </c>
      <c r="AK24" s="208" t="str">
        <f t="shared" si="0"/>
        <v/>
      </c>
      <c r="AL24" s="818" t="str">
        <f>IF(OR($A24="",$F24=0),"",SUM(Actions!C93,Actions!J93))</f>
        <v/>
      </c>
      <c r="AM24" s="819" t="str">
        <f>IF(OR($A24="",$F24=0),"",SUM(Actions!D93,Actions!K93))</f>
        <v/>
      </c>
      <c r="AN24" s="819" t="str">
        <f>IF(OR($A24="",$F24=0),"",SUM(Actions!E93,Actions!L93))</f>
        <v/>
      </c>
      <c r="AO24" s="819" t="str">
        <f>IF(OR($A24="",$F24=0),"",SUM(Actions!F93,Actions!M93))</f>
        <v/>
      </c>
      <c r="AP24" s="819" t="str">
        <f>IF(OR($A24="",$F24=0),"",SUM(Actions!G93,Actions!N93))</f>
        <v/>
      </c>
      <c r="AQ24" s="820" t="str">
        <f t="shared" si="11"/>
        <v/>
      </c>
      <c r="AR24" s="792" t="str">
        <f>IF(OR($A24="",$F24=0),"",SUM(Actions!C23,Actions!J23))</f>
        <v/>
      </c>
      <c r="AS24" s="793" t="str">
        <f>IF(OR($A24="",$F24=0),"",SUM(Actions!D23,Actions!K23))</f>
        <v/>
      </c>
      <c r="AT24" s="793" t="str">
        <f>IF(OR($A24="",$F24=0),"",SUM(Actions!E23,Actions!L23))</f>
        <v/>
      </c>
      <c r="AU24" s="793" t="str">
        <f>IF(OR($A24="",$F24=0),"",SUM(Actions!F23,Actions!M23))</f>
        <v/>
      </c>
      <c r="AV24" s="793" t="str">
        <f>IF(OR($A24="",$F24=0),"",SUM(Actions!G23,Actions!N23))</f>
        <v/>
      </c>
      <c r="AW24" s="766" t="str">
        <f t="shared" si="12"/>
        <v/>
      </c>
      <c r="AX24" s="821" t="str">
        <f t="shared" si="26"/>
        <v/>
      </c>
      <c r="AY24" s="822" t="str">
        <f t="shared" si="13"/>
        <v/>
      </c>
      <c r="AZ24" s="823" t="str">
        <f t="shared" si="14"/>
        <v/>
      </c>
      <c r="BA24" s="824" t="str">
        <f t="shared" si="15"/>
        <v/>
      </c>
      <c r="BB24" s="798" t="str">
        <f t="shared" si="16"/>
        <v/>
      </c>
      <c r="BC24" s="825" t="str">
        <f t="shared" si="17"/>
        <v/>
      </c>
      <c r="BD24" s="826" t="str">
        <f t="shared" si="18"/>
        <v/>
      </c>
      <c r="BE24" s="827" t="str">
        <f t="shared" si="19"/>
        <v/>
      </c>
      <c r="BF24" s="828" t="str">
        <f>IF(OR($A24="",$F24=0),"",SUM(Errors!C23,Errors!J23))</f>
        <v/>
      </c>
      <c r="BG24" s="793" t="str">
        <f>IF(OR($A24="",$F24=0),"",SUM(Errors!D23,Errors!K23))</f>
        <v/>
      </c>
      <c r="BH24" s="793" t="str">
        <f>IF(OR($A24="",$F24=0),"",SUM(Errors!E23,Errors!L23))</f>
        <v/>
      </c>
      <c r="BI24" s="793" t="str">
        <f>IF(OR($A24="",$F24=0),"",SUM(Errors!F23,Errors!M23))</f>
        <v/>
      </c>
      <c r="BJ24" s="829" t="str">
        <f>IF(OR($A24="",$F24=0),"",SUM(Errors!G23,Errors!N23))</f>
        <v/>
      </c>
      <c r="BK24" s="766" t="str">
        <f t="shared" si="20"/>
        <v/>
      </c>
      <c r="BL24" s="830" t="str">
        <f t="shared" si="21"/>
        <v/>
      </c>
      <c r="BM24" s="830" t="str">
        <f t="shared" si="22"/>
        <v/>
      </c>
      <c r="BN24" s="817" t="str">
        <f t="shared" si="23"/>
        <v/>
      </c>
      <c r="BO24" s="818" t="str">
        <f>IF(OR($A24="",$F24=0),"",SUM(Errors!C93,Errors!J93))</f>
        <v/>
      </c>
      <c r="BP24" s="819" t="str">
        <f>IF(OR($A24="",$F24=0),"",SUM(Errors!D93,Errors!K93))</f>
        <v/>
      </c>
      <c r="BQ24" s="819" t="str">
        <f>IF(OR($A24="",$F24=0),"",SUM(Errors!E93,Errors!L93))</f>
        <v/>
      </c>
      <c r="BR24" s="819" t="str">
        <f>IF(OR($A24="",$F24=0),"",SUM(Errors!F93,Errors!M93))</f>
        <v/>
      </c>
      <c r="BS24" s="819" t="str">
        <f>IF(OR($A24="",$F24=0),"",SUM(Errors!G93,Errors!N93))</f>
        <v/>
      </c>
      <c r="BT24" s="288" t="str">
        <f t="shared" si="24"/>
        <v/>
      </c>
    </row>
    <row r="25" spans="1:72" s="108" customFormat="1" ht="19.5" customHeight="1" thickBot="1" x14ac:dyDescent="0.35">
      <c r="A25" s="287" t="str">
        <f>IF(ISBLANK(IGRF!$B30),"",IGRF!$B30)</f>
        <v/>
      </c>
      <c r="B25" s="205" t="str">
        <f>IF(ISBLANK(IGRF!$C30),"",IGRF!$C30)</f>
        <v/>
      </c>
      <c r="C25" s="206" t="str">
        <f>IF(A25="","",SUM(LU!O28,LU!O127))</f>
        <v/>
      </c>
      <c r="D25" s="206" t="str">
        <f>IF(A25="","",SUM(LU!D28,LU!D127))</f>
        <v/>
      </c>
      <c r="E25" s="206" t="str">
        <f>IF(A25="","",SUM(LU!J28,LU!J127))</f>
        <v/>
      </c>
      <c r="F25" s="768" t="str">
        <f>IF(A25="","",(SUM(C25:E25)-(SUMPRODUCT(--(Lineups!C$4:C$41=A25),--(Lineups!A$4:A$41="SP"))+SUMPRODUCT(--(Lineups!G$4:G$41=A25),--(Lineups!A$4:A$41="SP"))+SUMPRODUCT(--(Lineups!C$50:C$87=A25),--(Lineups!A$50:A$87="SP"))+SUMPRODUCT(--(Lineups!G$50:G$87=A25),--(Lineups!A$50:A$87="SP")))))</f>
        <v/>
      </c>
      <c r="G25" s="769" t="str">
        <f>IF(OR(A25="",F25=0,LU!D$3+LU!D$102=0),"",F25/(LU!D$3+LU!D$102))</f>
        <v/>
      </c>
      <c r="H25" s="766" t="str">
        <f>IF(OR(C25=0,A25=""),"",SK!D231)</f>
        <v/>
      </c>
      <c r="I25" s="767" t="str">
        <f>IF(OR(A25="",SK!E231="",SK!E231=0),"",H25/SK!E231)</f>
        <v/>
      </c>
      <c r="J25" s="786" t="str">
        <f>IF(OR(A25="",C25=0),"",SK!G231)</f>
        <v/>
      </c>
      <c r="K25" s="787" t="str">
        <f>IF(OR(A25="",C25=0),"",SK!H231)</f>
        <v/>
      </c>
      <c r="L25" s="788" t="str">
        <f>IF(OR(A25="",C25=0),"",SK!J231)</f>
        <v/>
      </c>
      <c r="M25" s="788" t="str">
        <f>IF(OR(A25="",C25=0),"",SK!L231)</f>
        <v/>
      </c>
      <c r="N25" s="789" t="str">
        <f t="shared" si="1"/>
        <v/>
      </c>
      <c r="O25" s="802" t="str">
        <f>IF(OR(A25="",C25=0),"",SK!I231)</f>
        <v/>
      </c>
      <c r="P25" s="803" t="str">
        <f t="shared" si="2"/>
        <v/>
      </c>
      <c r="Q25" s="792" t="str">
        <f>IF(OR(A25="",F25=0),"",SUM(LU!Q74,LU!Q173))</f>
        <v/>
      </c>
      <c r="R25" s="793" t="str">
        <f>IF(OR(A25="",F25=0),"",SUM(LU!Q97,LU!Q196))</f>
        <v/>
      </c>
      <c r="S25" s="766" t="str">
        <f>IF(OR(A25="",F25=0),"",SUM(LU!Q51,LU!Q150))</f>
        <v/>
      </c>
      <c r="T25" s="793" t="str">
        <f>IF(OR(A25="",C25=0),"",SUM(LU!O51,LU!O150))</f>
        <v/>
      </c>
      <c r="U25" s="794" t="str">
        <f t="shared" si="3"/>
        <v/>
      </c>
      <c r="V25" s="795" t="str">
        <f>IF(OR(A25="",D25=0),"",SUM(LU!D51,LU!D150))</f>
        <v/>
      </c>
      <c r="W25" s="794" t="str">
        <f t="shared" si="4"/>
        <v/>
      </c>
      <c r="X25" s="795" t="str">
        <f>IF(OR(A25="",E25=0),"",SUM(LU!J51,LU!J150))</f>
        <v/>
      </c>
      <c r="Y25" s="794" t="str">
        <f t="shared" si="5"/>
        <v/>
      </c>
      <c r="Z25" s="804" t="str">
        <f t="shared" si="25"/>
        <v/>
      </c>
      <c r="AA25" s="796" t="str">
        <f ca="1">IF(OR(A25="",F25=0,Q$26="-",LU!$D$5=0),"",Q25-Q$26)</f>
        <v/>
      </c>
      <c r="AB25" s="797" t="str">
        <f ca="1">IF(OR(A25="",F25=0,R$26="-",LU!$D$5=0),"",R25-R$26)</f>
        <v/>
      </c>
      <c r="AC25" s="798" t="str">
        <f t="shared" ca="1" si="6"/>
        <v/>
      </c>
      <c r="AD25" s="799" t="str">
        <f t="shared" si="7"/>
        <v/>
      </c>
      <c r="AE25" s="799" t="str">
        <f t="shared" si="8"/>
        <v/>
      </c>
      <c r="AF25" s="800" t="str">
        <f t="shared" si="9"/>
        <v/>
      </c>
      <c r="AG25" s="801" t="str">
        <f ca="1">IF(OR($A25="",Z25="",Z$26="-",LU!$D$5=0),"",Z25-Z$26)</f>
        <v/>
      </c>
      <c r="AH25" s="1113" t="str">
        <f>IF(OR(A25="",F25=0),"",SUM(PT!U41,PT!U42))</f>
        <v/>
      </c>
      <c r="AI25" s="1114"/>
      <c r="AJ25" s="287" t="str">
        <f t="shared" si="10"/>
        <v/>
      </c>
      <c r="AK25" s="208" t="str">
        <f t="shared" si="0"/>
        <v/>
      </c>
      <c r="AL25" s="818" t="str">
        <f>IF(OR($A25="",$F25=0),"",SUM(Actions!C94,Actions!J94))</f>
        <v/>
      </c>
      <c r="AM25" s="819" t="str">
        <f>IF(OR($A25="",$F25=0),"",SUM(Actions!D94,Actions!K94))</f>
        <v/>
      </c>
      <c r="AN25" s="819" t="str">
        <f>IF(OR($A25="",$F25=0),"",SUM(Actions!E94,Actions!L94))</f>
        <v/>
      </c>
      <c r="AO25" s="819" t="str">
        <f>IF(OR($A25="",$F25=0),"",SUM(Actions!F94,Actions!M94))</f>
        <v/>
      </c>
      <c r="AP25" s="819" t="str">
        <f>IF(OR($A25="",$F25=0),"",SUM(Actions!G94,Actions!N94))</f>
        <v/>
      </c>
      <c r="AQ25" s="820" t="str">
        <f t="shared" si="11"/>
        <v/>
      </c>
      <c r="AR25" s="792" t="str">
        <f>IF(OR($A25="",$F25=0),"",SUM(Actions!C24,Actions!J24))</f>
        <v/>
      </c>
      <c r="AS25" s="793" t="str">
        <f>IF(OR($A25="",$F25=0),"",SUM(Actions!D24,Actions!K24))</f>
        <v/>
      </c>
      <c r="AT25" s="793" t="str">
        <f>IF(OR($A25="",$F25=0),"",SUM(Actions!E24,Actions!L24))</f>
        <v/>
      </c>
      <c r="AU25" s="793" t="str">
        <f>IF(OR($A25="",$F25=0),"",SUM(Actions!F24,Actions!M24))</f>
        <v/>
      </c>
      <c r="AV25" s="793" t="str">
        <f>IF(OR($A25="",$F25=0),"",SUM(Actions!G24,Actions!N24))</f>
        <v/>
      </c>
      <c r="AW25" s="766" t="str">
        <f t="shared" si="12"/>
        <v/>
      </c>
      <c r="AX25" s="821" t="str">
        <f t="shared" si="26"/>
        <v/>
      </c>
      <c r="AY25" s="822" t="str">
        <f t="shared" si="13"/>
        <v/>
      </c>
      <c r="AZ25" s="823" t="str">
        <f t="shared" si="14"/>
        <v/>
      </c>
      <c r="BA25" s="824" t="str">
        <f t="shared" si="15"/>
        <v/>
      </c>
      <c r="BB25" s="798" t="str">
        <f t="shared" si="16"/>
        <v/>
      </c>
      <c r="BC25" s="825" t="str">
        <f t="shared" si="17"/>
        <v/>
      </c>
      <c r="BD25" s="826" t="str">
        <f t="shared" si="18"/>
        <v/>
      </c>
      <c r="BE25" s="827" t="str">
        <f t="shared" si="19"/>
        <v/>
      </c>
      <c r="BF25" s="828" t="str">
        <f>IF(OR($A25="",$F25=0),"",SUM(Errors!C24,Errors!J24))</f>
        <v/>
      </c>
      <c r="BG25" s="793" t="str">
        <f>IF(OR($A25="",$F25=0),"",SUM(Errors!D24,Errors!K24))</f>
        <v/>
      </c>
      <c r="BH25" s="793" t="str">
        <f>IF(OR($A25="",$F25=0),"",SUM(Errors!E24,Errors!L24))</f>
        <v/>
      </c>
      <c r="BI25" s="793" t="str">
        <f>IF(OR($A25="",$F25=0),"",SUM(Errors!F24,Errors!M24))</f>
        <v/>
      </c>
      <c r="BJ25" s="829" t="str">
        <f>IF(OR($A25="",$F25=0),"",SUM(Errors!G24,Errors!N24))</f>
        <v/>
      </c>
      <c r="BK25" s="766" t="str">
        <f t="shared" si="20"/>
        <v/>
      </c>
      <c r="BL25" s="830" t="str">
        <f t="shared" si="21"/>
        <v/>
      </c>
      <c r="BM25" s="830" t="str">
        <f t="shared" si="22"/>
        <v/>
      </c>
      <c r="BN25" s="817" t="str">
        <f t="shared" si="23"/>
        <v/>
      </c>
      <c r="BO25" s="831" t="str">
        <f>IF(OR($A25="",$F25=0),"",SUM(Errors!C94,Errors!J94))</f>
        <v/>
      </c>
      <c r="BP25" s="832" t="str">
        <f>IF(OR($A25="",$F25=0),"",SUM(Errors!D94,Errors!K94))</f>
        <v/>
      </c>
      <c r="BQ25" s="832" t="str">
        <f>IF(OR($A25="",$F25=0),"",SUM(Errors!E94,Errors!L94))</f>
        <v/>
      </c>
      <c r="BR25" s="832" t="str">
        <f>IF(OR($A25="",$F25=0),"",SUM(Errors!F94,Errors!M94))</f>
        <v/>
      </c>
      <c r="BS25" s="832" t="str">
        <f>IF(OR($A25="",$F25=0),"",SUM(Errors!G94,Errors!N94))</f>
        <v/>
      </c>
      <c r="BT25" s="289" t="str">
        <f t="shared" si="24"/>
        <v/>
      </c>
    </row>
    <row r="26" spans="1:72" s="6" customFormat="1" ht="21.75" customHeight="1" thickBot="1" x14ac:dyDescent="0.3">
      <c r="A26" s="1128" t="s">
        <v>164</v>
      </c>
      <c r="B26" s="1128"/>
      <c r="C26" s="310">
        <f>SUM(C6:C25)</f>
        <v>48</v>
      </c>
      <c r="D26" s="310">
        <f>SUM(D6:D25)</f>
        <v>47</v>
      </c>
      <c r="E26" s="310">
        <f>SUM(E6:E25)</f>
        <v>142</v>
      </c>
      <c r="F26" s="310">
        <f>SUM(F6:F25)</f>
        <v>235</v>
      </c>
      <c r="G26" s="311">
        <f>IF(COUNT(G6:G25)=0,"-",SUM(G6:G25)/COUNT(G6:G25))</f>
        <v>0.3571428571428571</v>
      </c>
      <c r="H26" s="310">
        <f ca="1">SUM(H6:H25)</f>
        <v>260</v>
      </c>
      <c r="I26" s="312">
        <f ca="1">IF(LU!D3+LU!D102=0,"-",H26/(LU!D3+LU!D102))</f>
        <v>5.5319148936170217</v>
      </c>
      <c r="J26" s="313">
        <f ca="1">SUM(J6:J25)</f>
        <v>8</v>
      </c>
      <c r="K26" s="310">
        <f ca="1">SUM(K6:K25)</f>
        <v>24</v>
      </c>
      <c r="L26" s="310">
        <f ca="1">SUM(L6:L25)</f>
        <v>19</v>
      </c>
      <c r="M26" s="310">
        <f ca="1">SUM(M6:M25)</f>
        <v>7</v>
      </c>
      <c r="N26" s="314">
        <f ca="1">IF(C26=0,"-",K26/C26)</f>
        <v>0.5</v>
      </c>
      <c r="O26" s="310">
        <f ca="1">SUM(O6:O25)</f>
        <v>205</v>
      </c>
      <c r="P26" s="315">
        <f t="shared" ref="P26:Z26" ca="1" si="27">IF(COUNT(P6:P25)=0,"-",SUM(P6:P25)/COUNT(P6:P25))</f>
        <v>8.507142857142858</v>
      </c>
      <c r="Q26" s="316">
        <f t="shared" ca="1" si="27"/>
        <v>92.857142857142861</v>
      </c>
      <c r="R26" s="317">
        <f t="shared" ca="1" si="27"/>
        <v>27.5</v>
      </c>
      <c r="S26" s="318">
        <f t="shared" ca="1" si="27"/>
        <v>65.357142857142861</v>
      </c>
      <c r="T26" s="318">
        <f t="shared" ca="1" si="27"/>
        <v>36.6</v>
      </c>
      <c r="U26" s="318">
        <f t="shared" ca="1" si="27"/>
        <v>5.2134199134199131</v>
      </c>
      <c r="V26" s="318">
        <f t="shared" ca="1" si="27"/>
        <v>43</v>
      </c>
      <c r="W26" s="318">
        <f t="shared" ca="1" si="27"/>
        <v>5.6917892156862742</v>
      </c>
      <c r="X26" s="318">
        <f t="shared" ca="1" si="27"/>
        <v>50.909090909090907</v>
      </c>
      <c r="Y26" s="318">
        <f t="shared" ca="1" si="27"/>
        <v>5.1622517114495725</v>
      </c>
      <c r="Z26" s="318">
        <f t="shared" ca="1" si="27"/>
        <v>3.8637760796871814</v>
      </c>
      <c r="AA26" s="319" t="s">
        <v>165</v>
      </c>
      <c r="AB26" s="320" t="s">
        <v>165</v>
      </c>
      <c r="AC26" s="320" t="s">
        <v>165</v>
      </c>
      <c r="AD26" s="319" t="s">
        <v>165</v>
      </c>
      <c r="AE26" s="320" t="s">
        <v>165</v>
      </c>
      <c r="AF26" s="320" t="s">
        <v>165</v>
      </c>
      <c r="AG26" s="321" t="s">
        <v>165</v>
      </c>
      <c r="AH26" s="1109">
        <f>SUM(AH6:AI25)</f>
        <v>31</v>
      </c>
      <c r="AI26" s="1110"/>
      <c r="AJ26" s="1128" t="s">
        <v>164</v>
      </c>
      <c r="AK26" s="1128"/>
      <c r="AL26" s="313">
        <f t="shared" ref="AL26:AY26" si="28">SUM(AL6:AL25)</f>
        <v>0</v>
      </c>
      <c r="AM26" s="310">
        <f t="shared" si="28"/>
        <v>0</v>
      </c>
      <c r="AN26" s="310">
        <f t="shared" si="28"/>
        <v>0</v>
      </c>
      <c r="AO26" s="310">
        <f t="shared" si="28"/>
        <v>0</v>
      </c>
      <c r="AP26" s="310">
        <f t="shared" si="28"/>
        <v>0</v>
      </c>
      <c r="AQ26" s="322">
        <f t="shared" si="28"/>
        <v>0</v>
      </c>
      <c r="AR26" s="323">
        <f t="shared" si="28"/>
        <v>0</v>
      </c>
      <c r="AS26" s="310">
        <f t="shared" si="28"/>
        <v>0</v>
      </c>
      <c r="AT26" s="310">
        <f t="shared" si="28"/>
        <v>0</v>
      </c>
      <c r="AU26" s="310">
        <f t="shared" si="28"/>
        <v>0</v>
      </c>
      <c r="AV26" s="310">
        <f t="shared" si="28"/>
        <v>0</v>
      </c>
      <c r="AW26" s="310">
        <f t="shared" si="28"/>
        <v>0</v>
      </c>
      <c r="AX26" s="310">
        <f t="shared" si="28"/>
        <v>0</v>
      </c>
      <c r="AY26" s="322">
        <f t="shared" si="28"/>
        <v>0</v>
      </c>
      <c r="AZ26" s="324">
        <f>IF(F26=0,"-",AQ26/F26)</f>
        <v>0</v>
      </c>
      <c r="BA26" s="325" t="str">
        <f>IF(COUNT(BA6:BA25)=0,"-",SUM(BA6:BA25)/COUNT(BA6:BA25))</f>
        <v>-</v>
      </c>
      <c r="BB26" s="326">
        <f>IF(F26=0,"-",AW26/F26)</f>
        <v>0</v>
      </c>
      <c r="BC26" s="325" t="str">
        <f>IF(COUNT(BC6:BC25)=0,"-",SUM(BC6:BC25)/COUNT(BC6:BC25))</f>
        <v>-</v>
      </c>
      <c r="BD26" s="326">
        <f>IF(F26=0,"-",AX26/F26)</f>
        <v>0</v>
      </c>
      <c r="BE26" s="325" t="str">
        <f>IF(COUNT(BE6:BE25)=0,"-",SUM(BE6:BE25)/COUNT(BE6:BE25))</f>
        <v>-</v>
      </c>
      <c r="BF26" s="316">
        <f t="shared" ref="BF26:BK26" si="29">SUM(BF6:BF25)</f>
        <v>0</v>
      </c>
      <c r="BG26" s="310">
        <f t="shared" si="29"/>
        <v>0</v>
      </c>
      <c r="BH26" s="310">
        <f t="shared" si="29"/>
        <v>0</v>
      </c>
      <c r="BI26" s="310">
        <f t="shared" si="29"/>
        <v>0</v>
      </c>
      <c r="BJ26" s="310">
        <f t="shared" si="29"/>
        <v>0</v>
      </c>
      <c r="BK26" s="310">
        <f t="shared" si="29"/>
        <v>0</v>
      </c>
      <c r="BL26" s="314" t="str">
        <f>IF(SUM(AT26,AU26,BH26,BG26)=0,"-",SUM(AT26,AU26,BH26)/SUM(AT26,AU26,BH26,BG26))</f>
        <v>-</v>
      </c>
      <c r="BM26" s="314" t="str">
        <f>IF(SUM(AT26,AU26,BG26,BH26)=0,"-",SUM(AT26,AU26)/SUM(AT26,AU26,BG26,BH26))</f>
        <v>-</v>
      </c>
      <c r="BN26" s="327" t="str">
        <f>IF(SUM(AR26:AS26,BF26,BJ26)=0,"-",SUM(AR26,AS26)/(SUM(AR26,AS26,BF26,BJ26)))</f>
        <v>-</v>
      </c>
      <c r="BO26" s="313">
        <f t="shared" ref="BO26:BT26" si="30">SUM(BO6:BO25)</f>
        <v>0</v>
      </c>
      <c r="BP26" s="310">
        <f t="shared" si="30"/>
        <v>0</v>
      </c>
      <c r="BQ26" s="310">
        <f t="shared" si="30"/>
        <v>0</v>
      </c>
      <c r="BR26" s="310">
        <f t="shared" si="30"/>
        <v>0</v>
      </c>
      <c r="BS26" s="310">
        <f t="shared" si="30"/>
        <v>0</v>
      </c>
      <c r="BT26" s="322">
        <f t="shared" si="30"/>
        <v>0</v>
      </c>
    </row>
    <row r="27" spans="1:72" ht="63.75" customHeight="1" thickBot="1" x14ac:dyDescent="0.35">
      <c r="A27" s="291" t="s">
        <v>187</v>
      </c>
      <c r="B27" s="292" t="str">
        <f>Score!$T$1</f>
        <v>Houston Roller Derby / All-Stars</v>
      </c>
      <c r="C27" s="293" t="s">
        <v>104</v>
      </c>
      <c r="D27" s="294" t="s">
        <v>105</v>
      </c>
      <c r="E27" s="294" t="s">
        <v>106</v>
      </c>
      <c r="F27" s="187" t="s">
        <v>107</v>
      </c>
      <c r="G27" s="188" t="s">
        <v>108</v>
      </c>
      <c r="H27" s="189" t="s">
        <v>96</v>
      </c>
      <c r="I27" s="190" t="s">
        <v>109</v>
      </c>
      <c r="J27" s="295" t="s">
        <v>259</v>
      </c>
      <c r="K27" s="296" t="s">
        <v>260</v>
      </c>
      <c r="L27" s="296" t="s">
        <v>110</v>
      </c>
      <c r="M27" s="296" t="s">
        <v>111</v>
      </c>
      <c r="N27" s="296" t="s">
        <v>112</v>
      </c>
      <c r="O27" s="296" t="s">
        <v>113</v>
      </c>
      <c r="P27" s="297" t="s">
        <v>114</v>
      </c>
      <c r="Q27" s="293" t="s">
        <v>115</v>
      </c>
      <c r="R27" s="296" t="s">
        <v>116</v>
      </c>
      <c r="S27" s="189" t="s">
        <v>117</v>
      </c>
      <c r="T27" s="293" t="s">
        <v>118</v>
      </c>
      <c r="U27" s="298" t="s">
        <v>119</v>
      </c>
      <c r="V27" s="299" t="s">
        <v>120</v>
      </c>
      <c r="W27" s="300" t="s">
        <v>121</v>
      </c>
      <c r="X27" s="301" t="s">
        <v>122</v>
      </c>
      <c r="Y27" s="300" t="s">
        <v>123</v>
      </c>
      <c r="Z27" s="191" t="s">
        <v>124</v>
      </c>
      <c r="AA27" s="302" t="s">
        <v>125</v>
      </c>
      <c r="AB27" s="302" t="s">
        <v>126</v>
      </c>
      <c r="AC27" s="192" t="s">
        <v>127</v>
      </c>
      <c r="AD27" s="303" t="s">
        <v>128</v>
      </c>
      <c r="AE27" s="303" t="s">
        <v>129</v>
      </c>
      <c r="AF27" s="303" t="s">
        <v>130</v>
      </c>
      <c r="AG27" s="193" t="s">
        <v>166</v>
      </c>
      <c r="AH27" s="1115" t="s">
        <v>608</v>
      </c>
      <c r="AI27" s="1116"/>
      <c r="AJ27" s="304" t="s">
        <v>187</v>
      </c>
      <c r="AK27" s="305" t="str">
        <f t="shared" ref="AK27:AK47" si="31">B27</f>
        <v>Houston Roller Derby / All-Stars</v>
      </c>
      <c r="AL27" s="295" t="s">
        <v>132</v>
      </c>
      <c r="AM27" s="296" t="s">
        <v>133</v>
      </c>
      <c r="AN27" s="296" t="s">
        <v>134</v>
      </c>
      <c r="AO27" s="296" t="s">
        <v>135</v>
      </c>
      <c r="AP27" s="296" t="s">
        <v>136</v>
      </c>
      <c r="AQ27" s="306" t="s">
        <v>137</v>
      </c>
      <c r="AR27" s="295" t="s">
        <v>138</v>
      </c>
      <c r="AS27" s="296" t="s">
        <v>139</v>
      </c>
      <c r="AT27" s="296" t="s">
        <v>140</v>
      </c>
      <c r="AU27" s="296" t="s">
        <v>167</v>
      </c>
      <c r="AV27" s="296" t="s">
        <v>142</v>
      </c>
      <c r="AW27" s="296" t="s">
        <v>143</v>
      </c>
      <c r="AX27" s="194" t="s">
        <v>107</v>
      </c>
      <c r="AY27" s="195" t="s">
        <v>144</v>
      </c>
      <c r="AZ27" s="307" t="s">
        <v>168</v>
      </c>
      <c r="BA27" s="308" t="s">
        <v>146</v>
      </c>
      <c r="BB27" s="309" t="s">
        <v>147</v>
      </c>
      <c r="BC27" s="308" t="s">
        <v>148</v>
      </c>
      <c r="BD27" s="196" t="s">
        <v>149</v>
      </c>
      <c r="BE27" s="197" t="s">
        <v>150</v>
      </c>
      <c r="BF27" s="295" t="s">
        <v>151</v>
      </c>
      <c r="BG27" s="296" t="s">
        <v>152</v>
      </c>
      <c r="BH27" s="296" t="s">
        <v>153</v>
      </c>
      <c r="BI27" s="296" t="s">
        <v>154</v>
      </c>
      <c r="BJ27" s="294" t="s">
        <v>169</v>
      </c>
      <c r="BK27" s="194" t="s">
        <v>107</v>
      </c>
      <c r="BL27" s="198" t="s">
        <v>156</v>
      </c>
      <c r="BM27" s="199" t="s">
        <v>157</v>
      </c>
      <c r="BN27" s="200" t="s">
        <v>158</v>
      </c>
      <c r="BO27" s="377" t="s">
        <v>159</v>
      </c>
      <c r="BP27" s="378" t="s">
        <v>160</v>
      </c>
      <c r="BQ27" s="378" t="s">
        <v>161</v>
      </c>
      <c r="BR27" s="378" t="s">
        <v>162</v>
      </c>
      <c r="BS27" s="378" t="s">
        <v>163</v>
      </c>
      <c r="BT27" s="201" t="s">
        <v>107</v>
      </c>
    </row>
    <row r="28" spans="1:72" s="108" customFormat="1" ht="19.95" customHeight="1" x14ac:dyDescent="0.3">
      <c r="A28" s="286" t="str">
        <f>IF(ISBLANK(IGRF!$H11),"",IGRF!$H11)</f>
        <v>112</v>
      </c>
      <c r="B28" s="202" t="str">
        <f>IF(ISBLANK(IGRF!$I11),"",IGRF!$I11)</f>
        <v>Singapore Rogue</v>
      </c>
      <c r="C28" s="203">
        <f>IF(A28="","",SUM(LU!AH9,LU!AH108))</f>
        <v>0</v>
      </c>
      <c r="D28" s="203">
        <f>IF(A28="","",SUM(LU!W9,LU!W108))</f>
        <v>2</v>
      </c>
      <c r="E28" s="203">
        <f>IF(A28="","",SUM(LU!AC9,LU!AC108))</f>
        <v>19</v>
      </c>
      <c r="F28" s="768">
        <f>IF(A28="","",(SUM(C28:E28)-(SUMPRODUCT(--(Lineups!AC$4:AC$41=A28),--(Lineups!AA$4:AA$41="SP"))+SUMPRODUCT(--(Lineups!AG$4:AG$41=A28),--(Lineups!AA$4:AA$41="SP"))+SUMPRODUCT(--(Lineups!AC$50:AC$87=A28),--(Lineups!AA$50:AA$87="SP"))+SUMPRODUCT(--(Lineups!AG$50:AG$87=A28),--(Lineups!AA$50:AA$87="SP")))))</f>
        <v>21</v>
      </c>
      <c r="G28" s="761">
        <f>IF(OR(A28="",F28=0,LU!D$3+LU!D$102=0),"",F28/(LU!D$3+LU!D$102))</f>
        <v>0.44680851063829785</v>
      </c>
      <c r="H28" s="762" t="str">
        <f>IF(OR(C28=0,A28=""),"",SK!T174)</f>
        <v/>
      </c>
      <c r="I28" s="763" t="str">
        <f ca="1">IF(OR(A28="",SK!U174="",SK!U174=0),"",H28/SK!U174)</f>
        <v/>
      </c>
      <c r="J28" s="770" t="str">
        <f>IF(OR(C28=0,A28=""),"",SK!W174)</f>
        <v/>
      </c>
      <c r="K28" s="771" t="str">
        <f>IF(OR(C28=0,A28=""),"",SK!X174)</f>
        <v/>
      </c>
      <c r="L28" s="772" t="str">
        <f>IF(OR(C28=0,A28=""),"",SK!Z174)</f>
        <v/>
      </c>
      <c r="M28" s="772" t="str">
        <f>IF(OR(C28=0,A28=""),"",SK!AB174)</f>
        <v/>
      </c>
      <c r="N28" s="773" t="str">
        <f t="shared" ref="N28:N47" si="32">IF(OR(A28="",C28=0),"",K28/C28)</f>
        <v/>
      </c>
      <c r="O28" s="774" t="str">
        <f>IF(OR(A28="",C28=0),"",SK!Y174)</f>
        <v/>
      </c>
      <c r="P28" s="775" t="str">
        <f t="shared" ref="P28:P47" si="33">IF(OR(A28="",C28=0,K28=0),"",O28/K28)</f>
        <v/>
      </c>
      <c r="Q28" s="776">
        <f ca="1">IF(OR(A28="",F28=0),"",SUM(LU!AJ55,LU!AJ154))</f>
        <v>47</v>
      </c>
      <c r="R28" s="777">
        <f ca="1">IF(OR(A28="",F28=0),"",SUM(LU!AJ78,LU!AJ177))</f>
        <v>75</v>
      </c>
      <c r="S28" s="762">
        <f ca="1">IF(OR(A28="",F28=0),"",SUM(LU!AJ32,LU!AJ131))</f>
        <v>-28</v>
      </c>
      <c r="T28" s="777" t="str">
        <f>IF(OR(A28="",C28=0),"",SUM(LU!AH32,LU!AH131))</f>
        <v/>
      </c>
      <c r="U28" s="778" t="str">
        <f t="shared" ref="U28:U47" si="34">IF(OR(A28="",C28=0),"",T28/C28)</f>
        <v/>
      </c>
      <c r="V28" s="779">
        <f ca="1">IF(OR(A28="",D28=0),"",SUM(LU!W32,LU!W131))</f>
        <v>10</v>
      </c>
      <c r="W28" s="778">
        <f t="shared" ref="W28:W47" ca="1" si="35">IF(OR(A28="",D28=0),"",V28/D28)</f>
        <v>5</v>
      </c>
      <c r="X28" s="779">
        <f ca="1">IF(OR(A28="",E28=0),"",SUM(LU!AC32,LU!AC131))</f>
        <v>-38</v>
      </c>
      <c r="Y28" s="778">
        <f t="shared" ref="Y28:Y47" ca="1" si="36">IF(OR(A28="",E28=0),"",X28/E28)</f>
        <v>-2</v>
      </c>
      <c r="Z28" s="775">
        <f t="shared" ref="Z28:Z47" ca="1" si="37">IF(OR(A28="",F28="",F28=0),"",S28/F28)</f>
        <v>-1.3333333333333333</v>
      </c>
      <c r="AA28" s="780">
        <f ca="1">IF(OR(A28="",F28=0,Q$48="-",LU!$W$5=0),"",Q28-Q$48)</f>
        <v>19.5</v>
      </c>
      <c r="AB28" s="781">
        <f ca="1">IF(OR(A28="",F28=0,R$48="-",LU!$W$5=0),"",R28-R$48)</f>
        <v>-12.5</v>
      </c>
      <c r="AC28" s="782">
        <f t="shared" ref="AC28:AC47" ca="1" si="38">IF(OR(A28="",F28=0,AA28=""),"",AA28-AB28)</f>
        <v>32</v>
      </c>
      <c r="AD28" s="783" t="str">
        <f t="shared" ref="AD28:AD47" si="39">IF(OR($A28="",C28=0),"",U28-U$48)</f>
        <v/>
      </c>
      <c r="AE28" s="783">
        <f t="shared" ref="AE28:AE47" ca="1" si="40">IF(OR($A28="",D28=0),"",W28-W$48)</f>
        <v>6.3698412698412703</v>
      </c>
      <c r="AF28" s="784">
        <f t="shared" ref="AF28:AF47" ca="1" si="41">IF(OR($A28="",E28=0),"",Y28-Y$48)</f>
        <v>1.6421331048888601</v>
      </c>
      <c r="AG28" s="785">
        <f ca="1">IF(OR($A28="",Z28="",Z$48="-",LU!$W$5=0),"",Z28-Z$48)</f>
        <v>2.6322947927870963</v>
      </c>
      <c r="AH28" s="1117">
        <f>IF(OR(A28="",F28=0),"",SUM(PT!U56,PT!U57))</f>
        <v>3</v>
      </c>
      <c r="AI28" s="1118"/>
      <c r="AJ28" s="286" t="str">
        <f t="shared" ref="AJ28:AJ47" si="42">A28</f>
        <v>112</v>
      </c>
      <c r="AK28" s="204" t="str">
        <f t="shared" si="31"/>
        <v>Singapore Rogue</v>
      </c>
      <c r="AL28" s="805">
        <f>IF(OR($A28="",$F28=0),"",SUM(Actions!C26,Actions!J26))</f>
        <v>0</v>
      </c>
      <c r="AM28" s="806">
        <f>IF(OR($A28="",$F28=0),"",SUM(Actions!D26,Actions!K26))</f>
        <v>0</v>
      </c>
      <c r="AN28" s="806">
        <f>IF(OR($A28="",$F28=0),"",SUM(Actions!E26,Actions!L26))</f>
        <v>0</v>
      </c>
      <c r="AO28" s="806">
        <f>IF(OR($A28="",$F28=0),"",SUM(Actions!F26,Actions!M26))</f>
        <v>0</v>
      </c>
      <c r="AP28" s="806">
        <f>IF(OR($A28="",$F28=0),"",SUM(Actions!G26,Actions!N26))</f>
        <v>0</v>
      </c>
      <c r="AQ28" s="807">
        <f t="shared" ref="AQ28:AQ47" si="43">IF(OR(F28=0,A28=""),"",SUM(AL28:AP28))</f>
        <v>0</v>
      </c>
      <c r="AR28" s="776">
        <f>IF(OR($A28="",$F28=0),"",SUM(Actions!C54,Actions!J54))</f>
        <v>0</v>
      </c>
      <c r="AS28" s="777">
        <f>IF(OR($A28="",$F28=0),"",SUM(Actions!D54,Actions!K54))</f>
        <v>0</v>
      </c>
      <c r="AT28" s="777">
        <f>IF(OR($A28="",$F28=0),"",SUM(Actions!E54,Actions!L54))</f>
        <v>0</v>
      </c>
      <c r="AU28" s="777">
        <f>IF(OR($A28="",$F28=0),"",SUM(Actions!F54,Actions!M54))</f>
        <v>0</v>
      </c>
      <c r="AV28" s="777">
        <f>IF(OR($A28="",$F28=0),"",SUM(Actions!G54,Actions!N54))</f>
        <v>0</v>
      </c>
      <c r="AW28" s="762">
        <f t="shared" ref="AW28:AW47" si="44">IF(OR(A28="",F28=0),"",SUM(AR28:AV28))</f>
        <v>0</v>
      </c>
      <c r="AX28" s="808">
        <f t="shared" ref="AX28:AX47" si="45">IF(OR(A28="",F28=0),"",SUM(AQ28,AW28))</f>
        <v>0</v>
      </c>
      <c r="AY28" s="809">
        <f t="shared" ref="AY28:AY47" si="46">IF(OR(A28="",F28=0),"",SUM(AM28,AU28))</f>
        <v>0</v>
      </c>
      <c r="AZ28" s="810">
        <f t="shared" ref="AZ28:AZ47" si="47">IF(OR(A28="",F28=0),"",AQ28/F28)</f>
        <v>0</v>
      </c>
      <c r="BA28" s="811" t="str">
        <f t="shared" ref="BA28:BA47" si="48">IF(OR(A28="",F28=0,AQ$48=0),"",AQ28/AQ$48)</f>
        <v/>
      </c>
      <c r="BB28" s="782">
        <f t="shared" ref="BB28:BB47" si="49">IF(OR(A28="",F28=0),"",AW28/F28)</f>
        <v>0</v>
      </c>
      <c r="BC28" s="812" t="str">
        <f t="shared" ref="BC28:BC47" si="50">IF(OR(A28="",F28=0,AW$48=0),"",AW28/AW$48)</f>
        <v/>
      </c>
      <c r="BD28" s="813">
        <f t="shared" ref="BD28:BD47" si="51">IF(OR(A28="",F28=0),"",AX28/F28)</f>
        <v>0</v>
      </c>
      <c r="BE28" s="761" t="str">
        <f t="shared" ref="BE28:BE47" si="52">IF(OR(A28="",F28=0,AX$48=0),"",AX28/AX$48)</f>
        <v/>
      </c>
      <c r="BF28" s="814">
        <f>IF(OR($A28="",$F28=0),"",SUM(Errors!C26,Errors!J26))</f>
        <v>0</v>
      </c>
      <c r="BG28" s="777">
        <f>IF(OR($A28="",$F28=0),"",SUM(Errors!D26,Errors!K26))</f>
        <v>0</v>
      </c>
      <c r="BH28" s="777">
        <f>IF(OR($A28="",$F28=0),"",SUM(Errors!E26,Errors!L26))</f>
        <v>0</v>
      </c>
      <c r="BI28" s="777">
        <f>IF(OR($A28="",$F28=0),"",SUM(Errors!F26,Errors!M26))</f>
        <v>0</v>
      </c>
      <c r="BJ28" s="815">
        <f>IF(OR($A28="",$F28=0),"",SUM(Errors!G26,Errors!N26))</f>
        <v>0</v>
      </c>
      <c r="BK28" s="762">
        <f t="shared" ref="BK28:BK47" si="53">IF(OR(A28="",F28=0),"",SUM(BF28:BJ28))</f>
        <v>0</v>
      </c>
      <c r="BL28" s="816" t="str">
        <f t="shared" ref="BL28:BL47" si="54">IF(OR(A28="",F28=0),"",IF(SUM(AT28,AU28,BH28,BG28)=0,"",SUM(AT28,AU28,BH28)/SUM(AT28,AU28,BH28,BG28)))</f>
        <v/>
      </c>
      <c r="BM28" s="816" t="str">
        <f t="shared" ref="BM28:BM47" si="55">IF(OR(A28="",F28=0),"",IF(SUM(AT28,AU28,BG28,BH28)=0,"",SUM(AT28,AU28)/SUM(AT28,AU28,BG28,BH28)))</f>
        <v/>
      </c>
      <c r="BN28" s="817" t="str">
        <f t="shared" ref="BN28:BN47" si="56">IF(OR(A28="",F28=0,SUM(AR28:AS28,BF28,BJ28)=0),"",SUM(AR28,AS28)/(SUM(AR28,AS28,BF28,BJ28)))</f>
        <v/>
      </c>
      <c r="BO28" s="805">
        <f>IF(OR($A28="",$F28=0),"",SUM(Errors!C54,Errors!J54))</f>
        <v>0</v>
      </c>
      <c r="BP28" s="806">
        <f>IF(OR($A28="",$F28=0),"",SUM(Errors!D54,Errors!K54))</f>
        <v>0</v>
      </c>
      <c r="BQ28" s="806">
        <f>IF(OR($A28="",$F28=0),"",SUM(Errors!E54,Errors!L54))</f>
        <v>0</v>
      </c>
      <c r="BR28" s="806">
        <f>IF(OR($A28="",$F28=0),"",SUM(Errors!F54,Errors!M54))</f>
        <v>0</v>
      </c>
      <c r="BS28" s="806">
        <f>IF(OR($A28="",$F28=0),"",SUM(Errors!G54,Errors!N54))</f>
        <v>0</v>
      </c>
      <c r="BT28" s="290" t="str">
        <f t="shared" ref="BT28:BT47" si="57">IF(OR(A28="",C28=0),"",SUM(BO28:BS28))</f>
        <v/>
      </c>
    </row>
    <row r="29" spans="1:72" s="108" customFormat="1" ht="19.95" customHeight="1" x14ac:dyDescent="0.3">
      <c r="A29" s="287" t="str">
        <f>IF(ISBLANK(IGRF!$H12),"",IGRF!$H12)</f>
        <v>1542</v>
      </c>
      <c r="B29" s="205" t="str">
        <f>IF(ISBLANK(IGRF!$I12),"",IGRF!$I12)</f>
        <v>Mary Queen of Skates</v>
      </c>
      <c r="C29" s="206">
        <f>IF(A29="","",SUM(LU!AH10,LU!AH109))</f>
        <v>0</v>
      </c>
      <c r="D29" s="206">
        <f>IF(A29="","",SUM(LU!W10,LU!W109))</f>
        <v>0</v>
      </c>
      <c r="E29" s="207">
        <f>IF(A29="","",SUM(LU!AC10,LU!AC109))</f>
        <v>7</v>
      </c>
      <c r="F29" s="764">
        <f>IF(A29="","",(SUM(C29:E29)-(SUMPRODUCT(--(Lineups!AC$4:AC$41=A29),--(Lineups!AA$4:AA$41="SP"))+SUMPRODUCT(--(Lineups!AG$4:AG$41=A29),--(Lineups!AA$4:AA$41="SP"))+SUMPRODUCT(--(Lineups!AC$50:AC$87=A29),--(Lineups!AA$50:AA$87="SP"))+SUMPRODUCT(--(Lineups!AG$50:AG$87=A29),--(Lineups!AA$50:AA$87="SP")))))</f>
        <v>7</v>
      </c>
      <c r="G29" s="765">
        <f>IF(OR(A29="",F29=0,LU!D$3+LU!D$102=0),"",F29/(LU!D$3+LU!D$102))</f>
        <v>0.14893617021276595</v>
      </c>
      <c r="H29" s="766" t="str">
        <f>IF(OR(C29=0,A29=""),"",SK!T177)</f>
        <v/>
      </c>
      <c r="I29" s="767" t="str">
        <f ca="1">IF(OR(A29="",SK!U177="",SK!U177=0),"",H29/SK!U177)</f>
        <v/>
      </c>
      <c r="J29" s="786" t="str">
        <f>IF(OR(C29=0,A29=""),"",SK!W177)</f>
        <v/>
      </c>
      <c r="K29" s="787" t="str">
        <f>IF(OR(C29=0,A29=""),"",SK!X177)</f>
        <v/>
      </c>
      <c r="L29" s="788" t="str">
        <f>IF(OR(C29=0,A29=""),"",SK!Z177)</f>
        <v/>
      </c>
      <c r="M29" s="788" t="str">
        <f>IF(OR(C29=0,A29=""),"",SK!AB177)</f>
        <v/>
      </c>
      <c r="N29" s="789" t="str">
        <f t="shared" si="32"/>
        <v/>
      </c>
      <c r="O29" s="790" t="str">
        <f>IF(OR(A29="",C29=0),"",SK!Y177)</f>
        <v/>
      </c>
      <c r="P29" s="791" t="str">
        <f t="shared" si="33"/>
        <v/>
      </c>
      <c r="Q29" s="792">
        <f ca="1">IF(OR(A29="",F29=0),"",SUM(LU!AJ56,LU!AJ155))</f>
        <v>0</v>
      </c>
      <c r="R29" s="793">
        <f ca="1">IF(OR(A29="",F29=0),"",SUM(LU!AJ79,LU!AJ178))</f>
        <v>52</v>
      </c>
      <c r="S29" s="766">
        <f ca="1">IF(OR(A29="",F29=0),"",SUM(LU!AJ33,LU!AJ132))</f>
        <v>-52</v>
      </c>
      <c r="T29" s="793" t="str">
        <f>IF(OR(A29="",C29=0),"",SUM(LU!AH33,LU!AH132))</f>
        <v/>
      </c>
      <c r="U29" s="794" t="str">
        <f t="shared" si="34"/>
        <v/>
      </c>
      <c r="V29" s="795" t="str">
        <f>IF(OR(A29="",D29=0),"",SUM(LU!W33,LU!W132))</f>
        <v/>
      </c>
      <c r="W29" s="794" t="str">
        <f t="shared" si="35"/>
        <v/>
      </c>
      <c r="X29" s="795">
        <f ca="1">IF(OR(A29="",E29=0),"",SUM(LU!AC33,LU!AC132))</f>
        <v>-52</v>
      </c>
      <c r="Y29" s="794">
        <f t="shared" ca="1" si="36"/>
        <v>-7.4285714285714288</v>
      </c>
      <c r="Z29" s="791">
        <f t="shared" ca="1" si="37"/>
        <v>-7.4285714285714288</v>
      </c>
      <c r="AA29" s="796">
        <f ca="1">IF(OR(A29="",F29=0,Q$48="-",LU!$W$5=0),"",Q29-Q$48)</f>
        <v>-27.5</v>
      </c>
      <c r="AB29" s="797">
        <f ca="1">IF(OR(A29="",F29=0,R$48="-",LU!$W$5=0),"",R29-R$48)</f>
        <v>-35.5</v>
      </c>
      <c r="AC29" s="798">
        <f t="shared" ca="1" si="38"/>
        <v>8</v>
      </c>
      <c r="AD29" s="799" t="str">
        <f t="shared" si="39"/>
        <v/>
      </c>
      <c r="AE29" s="799" t="str">
        <f t="shared" si="40"/>
        <v/>
      </c>
      <c r="AF29" s="800">
        <f t="shared" ca="1" si="41"/>
        <v>-3.7864383236825687</v>
      </c>
      <c r="AG29" s="801">
        <f ca="1">IF(OR($A29="",Z29="",Z$48="-",LU!$W$5=0),"",Z29-Z$48)</f>
        <v>-3.4629433024509995</v>
      </c>
      <c r="AH29" s="1111">
        <f>IF(OR(A29="",F29=0),"",SUM(PT!U58,PT!U59))</f>
        <v>1</v>
      </c>
      <c r="AI29" s="1112"/>
      <c r="AJ29" s="287" t="str">
        <f t="shared" si="42"/>
        <v>1542</v>
      </c>
      <c r="AK29" s="208" t="str">
        <f t="shared" si="31"/>
        <v>Mary Queen of Skates</v>
      </c>
      <c r="AL29" s="818">
        <f>IF(OR($A29="",$F29=0),"",SUM(Actions!C27,Actions!J27))</f>
        <v>0</v>
      </c>
      <c r="AM29" s="819">
        <f>IF(OR($A29="",$F29=0),"",SUM(Actions!D27,Actions!K27))</f>
        <v>0</v>
      </c>
      <c r="AN29" s="819">
        <f>IF(OR($A29="",$F29=0),"",SUM(Actions!E27,Actions!L27))</f>
        <v>0</v>
      </c>
      <c r="AO29" s="819">
        <f>IF(OR($A29="",$F29=0),"",SUM(Actions!F27,Actions!M27))</f>
        <v>0</v>
      </c>
      <c r="AP29" s="819">
        <f>IF(OR($A29="",$F29=0),"",SUM(Actions!G27,Actions!N27))</f>
        <v>0</v>
      </c>
      <c r="AQ29" s="820">
        <f t="shared" si="43"/>
        <v>0</v>
      </c>
      <c r="AR29" s="792">
        <f>IF(OR($A29="",$F29=0),"",SUM(Actions!C55,Actions!J55))</f>
        <v>0</v>
      </c>
      <c r="AS29" s="793">
        <f>IF(OR($A29="",$F29=0),"",SUM(Actions!D55,Actions!K55))</f>
        <v>0</v>
      </c>
      <c r="AT29" s="793">
        <f>IF(OR($A29="",$F29=0),"",SUM(Actions!E55,Actions!L55))</f>
        <v>0</v>
      </c>
      <c r="AU29" s="793">
        <f>IF(OR($A29="",$F29=0),"",SUM(Actions!F55,Actions!M55))</f>
        <v>0</v>
      </c>
      <c r="AV29" s="793">
        <f>IF(OR($A29="",$F29=0),"",SUM(Actions!G55,Actions!N55))</f>
        <v>0</v>
      </c>
      <c r="AW29" s="766">
        <f t="shared" si="44"/>
        <v>0</v>
      </c>
      <c r="AX29" s="821">
        <f t="shared" si="45"/>
        <v>0</v>
      </c>
      <c r="AY29" s="822">
        <f t="shared" si="46"/>
        <v>0</v>
      </c>
      <c r="AZ29" s="823">
        <f t="shared" si="47"/>
        <v>0</v>
      </c>
      <c r="BA29" s="824" t="str">
        <f t="shared" si="48"/>
        <v/>
      </c>
      <c r="BB29" s="798">
        <f t="shared" si="49"/>
        <v>0</v>
      </c>
      <c r="BC29" s="825" t="str">
        <f t="shared" si="50"/>
        <v/>
      </c>
      <c r="BD29" s="826">
        <f t="shared" si="51"/>
        <v>0</v>
      </c>
      <c r="BE29" s="827" t="str">
        <f t="shared" si="52"/>
        <v/>
      </c>
      <c r="BF29" s="828">
        <f>IF(OR($A29="",$F29=0),"",SUM(Errors!C27,Errors!J27))</f>
        <v>0</v>
      </c>
      <c r="BG29" s="793">
        <f>IF(OR($A29="",$F29=0),"",SUM(Errors!D27,Errors!K27))</f>
        <v>0</v>
      </c>
      <c r="BH29" s="793">
        <f>IF(OR($A29="",$F29=0),"",SUM(Errors!E27,Errors!L27))</f>
        <v>0</v>
      </c>
      <c r="BI29" s="793">
        <f>IF(OR($A29="",$F29=0),"",SUM(Errors!F27,Errors!M27))</f>
        <v>0</v>
      </c>
      <c r="BJ29" s="829">
        <f>IF(OR($A29="",$F29=0),"",SUM(Errors!G27,Errors!N27))</f>
        <v>0</v>
      </c>
      <c r="BK29" s="766">
        <f t="shared" si="53"/>
        <v>0</v>
      </c>
      <c r="BL29" s="830" t="str">
        <f t="shared" si="54"/>
        <v/>
      </c>
      <c r="BM29" s="830" t="str">
        <f t="shared" si="55"/>
        <v/>
      </c>
      <c r="BN29" s="817" t="str">
        <f t="shared" si="56"/>
        <v/>
      </c>
      <c r="BO29" s="818">
        <f>IF(OR($A29="",$F29=0),"",SUM(Errors!C55,Errors!J55))</f>
        <v>0</v>
      </c>
      <c r="BP29" s="819">
        <f>IF(OR($A29="",$F29=0),"",SUM(Errors!D55,Errors!K55))</f>
        <v>0</v>
      </c>
      <c r="BQ29" s="819">
        <f>IF(OR($A29="",$F29=0),"",SUM(Errors!E55,Errors!L55))</f>
        <v>0</v>
      </c>
      <c r="BR29" s="819">
        <f>IF(OR($A29="",$F29=0),"",SUM(Errors!F55,Errors!M55))</f>
        <v>0</v>
      </c>
      <c r="BS29" s="819">
        <f>IF(OR($A29="",$F29=0),"",SUM(Errors!G55,Errors!N55))</f>
        <v>0</v>
      </c>
      <c r="BT29" s="288" t="str">
        <f t="shared" si="57"/>
        <v/>
      </c>
    </row>
    <row r="30" spans="1:72" s="108" customFormat="1" ht="19.95" customHeight="1" x14ac:dyDescent="0.3">
      <c r="A30" s="287" t="str">
        <f>IF(ISBLANK(IGRF!$H13),"",IGRF!$H13)</f>
        <v>16</v>
      </c>
      <c r="B30" s="205" t="str">
        <f>IF(ISBLANK(IGRF!$I13),"",IGRF!$I13)</f>
        <v>Mistilla</v>
      </c>
      <c r="C30" s="206">
        <f>IF(A30="","",SUM(LU!AH11,LU!AH110))</f>
        <v>0</v>
      </c>
      <c r="D30" s="206">
        <f>IF(A30="","",SUM(LU!W11,LU!W110))</f>
        <v>18</v>
      </c>
      <c r="E30" s="207">
        <f>IF(A30="","",SUM(LU!AC11,LU!AC110))</f>
        <v>4</v>
      </c>
      <c r="F30" s="764">
        <f>IF(A30="","",(SUM(C30:E30)-(SUMPRODUCT(--(Lineups!AC$4:AC$41=A30),--(Lineups!AA$4:AA$41="SP"))+SUMPRODUCT(--(Lineups!AG$4:AG$41=A30),--(Lineups!AA$4:AA$41="SP"))+SUMPRODUCT(--(Lineups!AC$50:AC$87=A30),--(Lineups!AA$50:AA$87="SP"))+SUMPRODUCT(--(Lineups!AG$50:AG$87=A30),--(Lineups!AA$50:AA$87="SP")))))</f>
        <v>22</v>
      </c>
      <c r="G30" s="765">
        <f>IF(OR(A30="",F30=0,LU!D$3+LU!D$102=0),"",F30/(LU!D$3+LU!D$102))</f>
        <v>0.46808510638297873</v>
      </c>
      <c r="H30" s="766" t="str">
        <f>IF(OR(C30=0,A30=""),"",SK!T180)</f>
        <v/>
      </c>
      <c r="I30" s="767" t="str">
        <f ca="1">IF(OR(A30="",SK!U180="",SK!U180=0),"",H30/SK!U180)</f>
        <v/>
      </c>
      <c r="J30" s="786" t="str">
        <f>IF(OR(C30=0,A30=""),"",SK!W180)</f>
        <v/>
      </c>
      <c r="K30" s="787" t="str">
        <f>IF(OR(C30=0,A30=""),"",SK!X180)</f>
        <v/>
      </c>
      <c r="L30" s="788" t="str">
        <f>IF(OR(C30=0,A30=""),"",SK!Z180)</f>
        <v/>
      </c>
      <c r="M30" s="788" t="str">
        <f>IF(OR(C30=0,A30=""),"",SK!AB180)</f>
        <v/>
      </c>
      <c r="N30" s="789" t="str">
        <f t="shared" si="32"/>
        <v/>
      </c>
      <c r="O30" s="790" t="str">
        <f>IF(OR(A30="",C30=0),"",SK!Y180)</f>
        <v/>
      </c>
      <c r="P30" s="791" t="str">
        <f t="shared" si="33"/>
        <v/>
      </c>
      <c r="Q30" s="792">
        <f ca="1">IF(OR(A30="",F30=0),"",SUM(LU!AJ57,LU!AJ156))</f>
        <v>24</v>
      </c>
      <c r="R30" s="793">
        <f ca="1">IF(OR(A30="",F30=0),"",SUM(LU!AJ80,LU!AJ179))</f>
        <v>124</v>
      </c>
      <c r="S30" s="766">
        <f ca="1">IF(OR(A30="",F30=0),"",SUM(LU!AJ34,LU!AJ133))</f>
        <v>-100</v>
      </c>
      <c r="T30" s="793" t="str">
        <f>IF(OR(A30="",C30=0),"",SUM(LU!AH34,LU!AH133))</f>
        <v/>
      </c>
      <c r="U30" s="794" t="str">
        <f t="shared" si="34"/>
        <v/>
      </c>
      <c r="V30" s="795">
        <f ca="1">IF(OR(A30="",D30=0),"",SUM(LU!W34,LU!W133))</f>
        <v>-59</v>
      </c>
      <c r="W30" s="794">
        <f t="shared" ca="1" si="35"/>
        <v>-3.2777777777777777</v>
      </c>
      <c r="X30" s="795">
        <f ca="1">IF(OR(A30="",E30=0),"",SUM(LU!AC34,LU!AC133))</f>
        <v>-41</v>
      </c>
      <c r="Y30" s="794">
        <f t="shared" ca="1" si="36"/>
        <v>-10.25</v>
      </c>
      <c r="Z30" s="791">
        <f t="shared" ca="1" si="37"/>
        <v>-4.5454545454545459</v>
      </c>
      <c r="AA30" s="796">
        <f ca="1">IF(OR(A30="",F30=0,Q$48="-",LU!$W$5=0),"",Q30-Q$48)</f>
        <v>-3.5</v>
      </c>
      <c r="AB30" s="797">
        <f ca="1">IF(OR(A30="",F30=0,R$48="-",LU!$W$5=0),"",R30-R$48)</f>
        <v>36.5</v>
      </c>
      <c r="AC30" s="798">
        <f t="shared" ca="1" si="38"/>
        <v>-40</v>
      </c>
      <c r="AD30" s="799" t="str">
        <f t="shared" si="39"/>
        <v/>
      </c>
      <c r="AE30" s="799">
        <f t="shared" ca="1" si="40"/>
        <v>-1.9079365079365078</v>
      </c>
      <c r="AF30" s="800">
        <f t="shared" ca="1" si="41"/>
        <v>-6.6078668951111403</v>
      </c>
      <c r="AG30" s="801">
        <f ca="1">IF(OR($A30="",Z30="",Z$48="-",LU!$W$5=0),"",Z30-Z$48)</f>
        <v>-0.57982641933411649</v>
      </c>
      <c r="AH30" s="1111">
        <f>IF(OR(A30="",F30=0),"",SUM(PT!U60,PT!U61))</f>
        <v>3</v>
      </c>
      <c r="AI30" s="1112"/>
      <c r="AJ30" s="287" t="str">
        <f t="shared" si="42"/>
        <v>16</v>
      </c>
      <c r="AK30" s="208" t="str">
        <f t="shared" si="31"/>
        <v>Mistilla</v>
      </c>
      <c r="AL30" s="818">
        <f>IF(OR($A30="",$F30=0),"",SUM(Actions!C28,Actions!J28))</f>
        <v>0</v>
      </c>
      <c r="AM30" s="819">
        <f>IF(OR($A30="",$F30=0),"",SUM(Actions!D28,Actions!K28))</f>
        <v>0</v>
      </c>
      <c r="AN30" s="819">
        <f>IF(OR($A30="",$F30=0),"",SUM(Actions!E28,Actions!L28))</f>
        <v>0</v>
      </c>
      <c r="AO30" s="819">
        <f>IF(OR($A30="",$F30=0),"",SUM(Actions!F28,Actions!M28))</f>
        <v>0</v>
      </c>
      <c r="AP30" s="819">
        <f>IF(OR($A30="",$F30=0),"",SUM(Actions!G28,Actions!N28))</f>
        <v>0</v>
      </c>
      <c r="AQ30" s="820">
        <f t="shared" si="43"/>
        <v>0</v>
      </c>
      <c r="AR30" s="792">
        <f>IF(OR($A30="",$F30=0),"",SUM(Actions!C56,Actions!J56))</f>
        <v>0</v>
      </c>
      <c r="AS30" s="793">
        <f>IF(OR($A30="",$F30=0),"",SUM(Actions!D56,Actions!K56))</f>
        <v>0</v>
      </c>
      <c r="AT30" s="793">
        <f>IF(OR($A30="",$F30=0),"",SUM(Actions!E56,Actions!L56))</f>
        <v>0</v>
      </c>
      <c r="AU30" s="793">
        <f>IF(OR($A30="",$F30=0),"",SUM(Actions!F56,Actions!M56))</f>
        <v>0</v>
      </c>
      <c r="AV30" s="793">
        <f>IF(OR($A30="",$F30=0),"",SUM(Actions!G56,Actions!N56))</f>
        <v>0</v>
      </c>
      <c r="AW30" s="766">
        <f t="shared" si="44"/>
        <v>0</v>
      </c>
      <c r="AX30" s="821">
        <f t="shared" si="45"/>
        <v>0</v>
      </c>
      <c r="AY30" s="822">
        <f t="shared" si="46"/>
        <v>0</v>
      </c>
      <c r="AZ30" s="823">
        <f t="shared" si="47"/>
        <v>0</v>
      </c>
      <c r="BA30" s="824" t="str">
        <f t="shared" si="48"/>
        <v/>
      </c>
      <c r="BB30" s="798">
        <f t="shared" si="49"/>
        <v>0</v>
      </c>
      <c r="BC30" s="825" t="str">
        <f t="shared" si="50"/>
        <v/>
      </c>
      <c r="BD30" s="826">
        <f t="shared" si="51"/>
        <v>0</v>
      </c>
      <c r="BE30" s="827" t="str">
        <f t="shared" si="52"/>
        <v/>
      </c>
      <c r="BF30" s="828">
        <f>IF(OR($A30="",$F30=0),"",SUM(Errors!C28,Errors!J28))</f>
        <v>0</v>
      </c>
      <c r="BG30" s="793">
        <f>IF(OR($A30="",$F30=0),"",SUM(Errors!D28,Errors!K28))</f>
        <v>0</v>
      </c>
      <c r="BH30" s="793">
        <f>IF(OR($A30="",$F30=0),"",SUM(Errors!E28,Errors!L28))</f>
        <v>0</v>
      </c>
      <c r="BI30" s="793">
        <f>IF(OR($A30="",$F30=0),"",SUM(Errors!F28,Errors!M28))</f>
        <v>0</v>
      </c>
      <c r="BJ30" s="829">
        <f>IF(OR($A30="",$F30=0),"",SUM(Errors!G28,Errors!N28))</f>
        <v>0</v>
      </c>
      <c r="BK30" s="766">
        <f t="shared" si="53"/>
        <v>0</v>
      </c>
      <c r="BL30" s="830" t="str">
        <f t="shared" si="54"/>
        <v/>
      </c>
      <c r="BM30" s="830" t="str">
        <f t="shared" si="55"/>
        <v/>
      </c>
      <c r="BN30" s="817" t="str">
        <f t="shared" si="56"/>
        <v/>
      </c>
      <c r="BO30" s="818">
        <f>IF(OR($A30="",$F30=0),"",SUM(Errors!C56,Errors!J56))</f>
        <v>0</v>
      </c>
      <c r="BP30" s="819">
        <f>IF(OR($A30="",$F30=0),"",SUM(Errors!D56,Errors!K56))</f>
        <v>0</v>
      </c>
      <c r="BQ30" s="819">
        <f>IF(OR($A30="",$F30=0),"",SUM(Errors!E56,Errors!L56))</f>
        <v>0</v>
      </c>
      <c r="BR30" s="819">
        <f>IF(OR($A30="",$F30=0),"",SUM(Errors!F56,Errors!M56))</f>
        <v>0</v>
      </c>
      <c r="BS30" s="819">
        <f>IF(OR($A30="",$F30=0),"",SUM(Errors!G56,Errors!N56))</f>
        <v>0</v>
      </c>
      <c r="BT30" s="288" t="str">
        <f t="shared" si="57"/>
        <v/>
      </c>
    </row>
    <row r="31" spans="1:72" s="108" customFormat="1" ht="19.95" customHeight="1" x14ac:dyDescent="0.3">
      <c r="A31" s="287" t="str">
        <f>IF(ISBLANK(IGRF!$H14),"",IGRF!$H14)</f>
        <v>19</v>
      </c>
      <c r="B31" s="205" t="str">
        <f>IF(ISBLANK(IGRF!$I14),"",IGRF!$I14)</f>
        <v>Betty Watchett</v>
      </c>
      <c r="C31" s="206">
        <f>IF(A31="","",SUM(LU!AH12,LU!AH111))</f>
        <v>0</v>
      </c>
      <c r="D31" s="206">
        <f>IF(A31="","",SUM(LU!W12,LU!W111))</f>
        <v>21</v>
      </c>
      <c r="E31" s="207">
        <f>IF(A31="","",SUM(LU!AC12,LU!AC111))</f>
        <v>1</v>
      </c>
      <c r="F31" s="764">
        <f>IF(A31="","",(SUM(C31:E31)-(SUMPRODUCT(--(Lineups!AC$4:AC$41=A31),--(Lineups!AA$4:AA$41="SP"))+SUMPRODUCT(--(Lineups!AG$4:AG$41=A31),--(Lineups!AA$4:AA$41="SP"))+SUMPRODUCT(--(Lineups!AC$50:AC$87=A31),--(Lineups!AA$50:AA$87="SP"))+SUMPRODUCT(--(Lineups!AG$50:AG$87=A31),--(Lineups!AA$50:AA$87="SP")))))</f>
        <v>22</v>
      </c>
      <c r="G31" s="765">
        <f>IF(OR(A31="",F31=0,LU!D$3+LU!D$102=0),"",F31/(LU!D$3+LU!D$102))</f>
        <v>0.46808510638297873</v>
      </c>
      <c r="H31" s="766" t="str">
        <f>IF(OR(C31=0,A31=""),"",SK!T183)</f>
        <v/>
      </c>
      <c r="I31" s="767" t="str">
        <f ca="1">IF(OR(A31="",SK!U183="",SK!U183=0),"",H31/SK!U183)</f>
        <v/>
      </c>
      <c r="J31" s="786" t="str">
        <f>IF(OR(C31=0,A31=""),"",SK!W183)</f>
        <v/>
      </c>
      <c r="K31" s="787" t="str">
        <f>IF(OR(C31=0,A31=""),"",SK!X183)</f>
        <v/>
      </c>
      <c r="L31" s="788" t="str">
        <f>IF(OR(C31=0,A31=""),"",SK!Z183)</f>
        <v/>
      </c>
      <c r="M31" s="788" t="str">
        <f>IF(OR(C31=0,A31=""),"",SK!AB183)</f>
        <v/>
      </c>
      <c r="N31" s="789" t="str">
        <f t="shared" si="32"/>
        <v/>
      </c>
      <c r="O31" s="790" t="str">
        <f>IF(OR(A31="",C31=0),"",SK!Y183)</f>
        <v/>
      </c>
      <c r="P31" s="791" t="str">
        <f t="shared" si="33"/>
        <v/>
      </c>
      <c r="Q31" s="792">
        <f ca="1">IF(OR(A31="",F31=0),"",SUM(LU!AJ58,LU!AJ157))</f>
        <v>40</v>
      </c>
      <c r="R31" s="793">
        <f ca="1">IF(OR(A31="",F31=0),"",SUM(LU!AJ81,LU!AJ180))</f>
        <v>111</v>
      </c>
      <c r="S31" s="766">
        <f ca="1">IF(OR(A31="",F31=0),"",SUM(LU!AJ35,LU!AJ134))</f>
        <v>-71</v>
      </c>
      <c r="T31" s="793" t="str">
        <f>IF(OR(A31="",C31=0),"",SUM(LU!AH35,LU!AH134))</f>
        <v/>
      </c>
      <c r="U31" s="794" t="str">
        <f t="shared" si="34"/>
        <v/>
      </c>
      <c r="V31" s="795">
        <f ca="1">IF(OR(A31="",D31=0),"",SUM(LU!W35,LU!W134))</f>
        <v>-75</v>
      </c>
      <c r="W31" s="794">
        <f t="shared" ca="1" si="35"/>
        <v>-3.5714285714285716</v>
      </c>
      <c r="X31" s="795">
        <f ca="1">IF(OR(A31="",E31=0),"",SUM(LU!AC35,LU!AC134))</f>
        <v>4</v>
      </c>
      <c r="Y31" s="794">
        <f t="shared" ca="1" si="36"/>
        <v>4</v>
      </c>
      <c r="Z31" s="791">
        <f t="shared" ca="1" si="37"/>
        <v>-3.2272727272727271</v>
      </c>
      <c r="AA31" s="796">
        <f ca="1">IF(OR(A31="",F31=0,Q$48="-",LU!$W$5=0),"",Q31-Q$48)</f>
        <v>12.5</v>
      </c>
      <c r="AB31" s="797">
        <f ca="1">IF(OR(A31="",F31=0,R$48="-",LU!$W$5=0),"",R31-R$48)</f>
        <v>23.5</v>
      </c>
      <c r="AC31" s="798">
        <f t="shared" ca="1" si="38"/>
        <v>-11</v>
      </c>
      <c r="AD31" s="799" t="str">
        <f t="shared" si="39"/>
        <v/>
      </c>
      <c r="AE31" s="799">
        <f t="shared" ca="1" si="40"/>
        <v>-2.2015873015873018</v>
      </c>
      <c r="AF31" s="800">
        <f t="shared" ca="1" si="41"/>
        <v>7.6421331048888597</v>
      </c>
      <c r="AG31" s="801">
        <f ca="1">IF(OR($A31="",Z31="",Z$48="-",LU!$W$5=0),"",Z31-Z$48)</f>
        <v>0.73835539884770229</v>
      </c>
      <c r="AH31" s="1111">
        <f>IF(OR(A31="",F31=0),"",SUM(PT!U62,PT!U63))</f>
        <v>5</v>
      </c>
      <c r="AI31" s="1112"/>
      <c r="AJ31" s="287" t="str">
        <f t="shared" si="42"/>
        <v>19</v>
      </c>
      <c r="AK31" s="208" t="str">
        <f t="shared" si="31"/>
        <v>Betty Watchett</v>
      </c>
      <c r="AL31" s="818">
        <f>IF(OR($A31="",$F31=0),"",SUM(Actions!C29,Actions!J29))</f>
        <v>0</v>
      </c>
      <c r="AM31" s="819">
        <f>IF(OR($A31="",$F31=0),"",SUM(Actions!D29,Actions!K29))</f>
        <v>0</v>
      </c>
      <c r="AN31" s="819">
        <f>IF(OR($A31="",$F31=0),"",SUM(Actions!E29,Actions!L29))</f>
        <v>0</v>
      </c>
      <c r="AO31" s="819">
        <f>IF(OR($A31="",$F31=0),"",SUM(Actions!F29,Actions!M29))</f>
        <v>0</v>
      </c>
      <c r="AP31" s="819">
        <f>IF(OR($A31="",$F31=0),"",SUM(Actions!G29,Actions!N29))</f>
        <v>0</v>
      </c>
      <c r="AQ31" s="820">
        <f t="shared" si="43"/>
        <v>0</v>
      </c>
      <c r="AR31" s="792">
        <f>IF(OR($A31="",$F31=0),"",SUM(Actions!C57,Actions!J57))</f>
        <v>0</v>
      </c>
      <c r="AS31" s="793">
        <f>IF(OR($A31="",$F31=0),"",SUM(Actions!D57,Actions!K57))</f>
        <v>0</v>
      </c>
      <c r="AT31" s="793">
        <f>IF(OR($A31="",$F31=0),"",SUM(Actions!E57,Actions!L57))</f>
        <v>0</v>
      </c>
      <c r="AU31" s="793">
        <f>IF(OR($A31="",$F31=0),"",SUM(Actions!F57,Actions!M57))</f>
        <v>0</v>
      </c>
      <c r="AV31" s="793">
        <f>IF(OR($A31="",$F31=0),"",SUM(Actions!G57,Actions!N57))</f>
        <v>0</v>
      </c>
      <c r="AW31" s="766">
        <f t="shared" si="44"/>
        <v>0</v>
      </c>
      <c r="AX31" s="821">
        <f t="shared" si="45"/>
        <v>0</v>
      </c>
      <c r="AY31" s="822">
        <f t="shared" si="46"/>
        <v>0</v>
      </c>
      <c r="AZ31" s="823">
        <f t="shared" si="47"/>
        <v>0</v>
      </c>
      <c r="BA31" s="824" t="str">
        <f t="shared" si="48"/>
        <v/>
      </c>
      <c r="BB31" s="798">
        <f t="shared" si="49"/>
        <v>0</v>
      </c>
      <c r="BC31" s="825" t="str">
        <f t="shared" si="50"/>
        <v/>
      </c>
      <c r="BD31" s="826">
        <f t="shared" si="51"/>
        <v>0</v>
      </c>
      <c r="BE31" s="827" t="str">
        <f t="shared" si="52"/>
        <v/>
      </c>
      <c r="BF31" s="828">
        <f>IF(OR($A31="",$F31=0),"",SUM(Errors!C29,Errors!J29))</f>
        <v>0</v>
      </c>
      <c r="BG31" s="793">
        <f>IF(OR($A31="",$F31=0),"",SUM(Errors!D29,Errors!K29))</f>
        <v>0</v>
      </c>
      <c r="BH31" s="793">
        <f>IF(OR($A31="",$F31=0),"",SUM(Errors!E29,Errors!L29))</f>
        <v>0</v>
      </c>
      <c r="BI31" s="793">
        <f>IF(OR($A31="",$F31=0),"",SUM(Errors!F29,Errors!M29))</f>
        <v>0</v>
      </c>
      <c r="BJ31" s="829">
        <f>IF(OR($A31="",$F31=0),"",SUM(Errors!G29,Errors!N29))</f>
        <v>0</v>
      </c>
      <c r="BK31" s="766">
        <f t="shared" si="53"/>
        <v>0</v>
      </c>
      <c r="BL31" s="830" t="str">
        <f t="shared" si="54"/>
        <v/>
      </c>
      <c r="BM31" s="830" t="str">
        <f t="shared" si="55"/>
        <v/>
      </c>
      <c r="BN31" s="817" t="str">
        <f t="shared" si="56"/>
        <v/>
      </c>
      <c r="BO31" s="818">
        <f>IF(OR($A31="",$F31=0),"",SUM(Errors!C57,Errors!J57))</f>
        <v>0</v>
      </c>
      <c r="BP31" s="819">
        <f>IF(OR($A31="",$F31=0),"",SUM(Errors!D57,Errors!K57))</f>
        <v>0</v>
      </c>
      <c r="BQ31" s="819">
        <f>IF(OR($A31="",$F31=0),"",SUM(Errors!E57,Errors!L57))</f>
        <v>0</v>
      </c>
      <c r="BR31" s="819">
        <f>IF(OR($A31="",$F31=0),"",SUM(Errors!F57,Errors!M57))</f>
        <v>0</v>
      </c>
      <c r="BS31" s="819">
        <f>IF(OR($A31="",$F31=0),"",SUM(Errors!G57,Errors!N57))</f>
        <v>0</v>
      </c>
      <c r="BT31" s="288" t="str">
        <f t="shared" si="57"/>
        <v/>
      </c>
    </row>
    <row r="32" spans="1:72" s="108" customFormat="1" ht="19.95" customHeight="1" x14ac:dyDescent="0.3">
      <c r="A32" s="287" t="str">
        <f>IF(ISBLANK(IGRF!$H15),"",IGRF!$H15)</f>
        <v>2000</v>
      </c>
      <c r="B32" s="205" t="str">
        <f>IF(ISBLANK(IGRF!$I15),"",IGRF!$I15)</f>
        <v>Lisa Lava</v>
      </c>
      <c r="C32" s="206">
        <f>IF(A32="","",SUM(LU!AH13,LU!AH112))</f>
        <v>0</v>
      </c>
      <c r="D32" s="206">
        <f>IF(A32="","",SUM(LU!W13,LU!W112))</f>
        <v>0</v>
      </c>
      <c r="E32" s="207">
        <f>IF(A32="","",SUM(LU!AC13,LU!AC112))</f>
        <v>16</v>
      </c>
      <c r="F32" s="764">
        <f>IF(A32="","",(SUM(C32:E32)-(SUMPRODUCT(--(Lineups!AC$4:AC$41=A32),--(Lineups!AA$4:AA$41="SP"))+SUMPRODUCT(--(Lineups!AG$4:AG$41=A32),--(Lineups!AA$4:AA$41="SP"))+SUMPRODUCT(--(Lineups!AC$50:AC$87=A32),--(Lineups!AA$50:AA$87="SP"))+SUMPRODUCT(--(Lineups!AG$50:AG$87=A32),--(Lineups!AA$50:AA$87="SP")))))</f>
        <v>16</v>
      </c>
      <c r="G32" s="765">
        <f>IF(OR(A32="",F32=0,LU!D$3+LU!D$102=0),"",F32/(LU!D$3+LU!D$102))</f>
        <v>0.34042553191489361</v>
      </c>
      <c r="H32" s="766" t="str">
        <f>IF(OR(C32=0,A32=""),"",SK!T186)</f>
        <v/>
      </c>
      <c r="I32" s="767" t="str">
        <f ca="1">IF(OR(A32="",SK!U186="",SK!U186=0),"",H32/SK!U186)</f>
        <v/>
      </c>
      <c r="J32" s="786" t="str">
        <f>IF(OR(C32=0,A32=""),"",SK!W186)</f>
        <v/>
      </c>
      <c r="K32" s="787" t="str">
        <f>IF(OR(C32=0,A32=""),"",SK!X186)</f>
        <v/>
      </c>
      <c r="L32" s="788" t="str">
        <f>IF(OR(C32=0,A32=""),"",SK!Z186)</f>
        <v/>
      </c>
      <c r="M32" s="788" t="str">
        <f>IF(OR(C32=0,A32=""),"",SK!AB186)</f>
        <v/>
      </c>
      <c r="N32" s="789" t="str">
        <f t="shared" si="32"/>
        <v/>
      </c>
      <c r="O32" s="790" t="str">
        <f>IF(OR(A32="",C32=0),"",SK!Y186)</f>
        <v/>
      </c>
      <c r="P32" s="791" t="str">
        <f t="shared" si="33"/>
        <v/>
      </c>
      <c r="Q32" s="792">
        <f ca="1">IF(OR(A32="",F32=0),"",SUM(LU!AJ59,LU!AJ158))</f>
        <v>20</v>
      </c>
      <c r="R32" s="793">
        <f ca="1">IF(OR(A32="",F32=0),"",SUM(LU!AJ82,LU!AJ181))</f>
        <v>87</v>
      </c>
      <c r="S32" s="766">
        <f ca="1">IF(OR(A32="",F32=0),"",SUM(LU!AJ36,LU!AJ135))</f>
        <v>-67</v>
      </c>
      <c r="T32" s="793" t="str">
        <f>IF(OR(A32="",C32=0),"",SUM(LU!AH36,LU!AH135))</f>
        <v/>
      </c>
      <c r="U32" s="794" t="str">
        <f t="shared" si="34"/>
        <v/>
      </c>
      <c r="V32" s="795" t="str">
        <f>IF(OR(A32="",D32=0),"",SUM(LU!W36,LU!W135))</f>
        <v/>
      </c>
      <c r="W32" s="794" t="str">
        <f t="shared" si="35"/>
        <v/>
      </c>
      <c r="X32" s="795">
        <f ca="1">IF(OR(A32="",E32=0),"",SUM(LU!AC36,LU!AC135))</f>
        <v>-67</v>
      </c>
      <c r="Y32" s="794">
        <f t="shared" ca="1" si="36"/>
        <v>-4.1875</v>
      </c>
      <c r="Z32" s="791">
        <f t="shared" ca="1" si="37"/>
        <v>-4.1875</v>
      </c>
      <c r="AA32" s="796">
        <f ca="1">IF(OR(A32="",F32=0,Q$48="-",LU!$W$5=0),"",Q32-Q$48)</f>
        <v>-7.5</v>
      </c>
      <c r="AB32" s="797">
        <f ca="1">IF(OR(A32="",F32=0,R$48="-",LU!$W$5=0),"",R32-R$48)</f>
        <v>-0.5</v>
      </c>
      <c r="AC32" s="798">
        <f t="shared" ca="1" si="38"/>
        <v>-7</v>
      </c>
      <c r="AD32" s="799" t="str">
        <f t="shared" si="39"/>
        <v/>
      </c>
      <c r="AE32" s="799" t="str">
        <f t="shared" si="40"/>
        <v/>
      </c>
      <c r="AF32" s="800">
        <f t="shared" ca="1" si="41"/>
        <v>-0.54536689511113989</v>
      </c>
      <c r="AG32" s="801">
        <f ca="1">IF(OR($A32="",Z32="",Z$48="-",LU!$W$5=0),"",Z32-Z$48)</f>
        <v>-0.22187187387957064</v>
      </c>
      <c r="AH32" s="1111">
        <f>IF(OR(A32="",F32=0),"",SUM(PT!U64,PT!U65))</f>
        <v>0</v>
      </c>
      <c r="AI32" s="1112"/>
      <c r="AJ32" s="287" t="str">
        <f t="shared" si="42"/>
        <v>2000</v>
      </c>
      <c r="AK32" s="208" t="str">
        <f t="shared" si="31"/>
        <v>Lisa Lava</v>
      </c>
      <c r="AL32" s="818">
        <f>IF(OR($A32="",$F32=0),"",SUM(Actions!C30,Actions!J30))</f>
        <v>0</v>
      </c>
      <c r="AM32" s="819">
        <f>IF(OR($A32="",$F32=0),"",SUM(Actions!D30,Actions!K30))</f>
        <v>0</v>
      </c>
      <c r="AN32" s="819">
        <f>IF(OR($A32="",$F32=0),"",SUM(Actions!E30,Actions!L30))</f>
        <v>0</v>
      </c>
      <c r="AO32" s="819">
        <f>IF(OR($A32="",$F32=0),"",SUM(Actions!F30,Actions!M30))</f>
        <v>0</v>
      </c>
      <c r="AP32" s="819">
        <f>IF(OR($A32="",$F32=0),"",SUM(Actions!G30,Actions!N30))</f>
        <v>0</v>
      </c>
      <c r="AQ32" s="820">
        <f t="shared" si="43"/>
        <v>0</v>
      </c>
      <c r="AR32" s="792">
        <f>IF(OR($A32="",$F32=0),"",SUM(Actions!C58,Actions!J58))</f>
        <v>0</v>
      </c>
      <c r="AS32" s="793">
        <f>IF(OR($A32="",$F32=0),"",SUM(Actions!D58,Actions!K58))</f>
        <v>0</v>
      </c>
      <c r="AT32" s="793">
        <f>IF(OR($A32="",$F32=0),"",SUM(Actions!E58,Actions!L58))</f>
        <v>0</v>
      </c>
      <c r="AU32" s="793">
        <f>IF(OR($A32="",$F32=0),"",SUM(Actions!F58,Actions!M58))</f>
        <v>0</v>
      </c>
      <c r="AV32" s="793">
        <f>IF(OR($A32="",$F32=0),"",SUM(Actions!G58,Actions!N58))</f>
        <v>0</v>
      </c>
      <c r="AW32" s="766">
        <f t="shared" si="44"/>
        <v>0</v>
      </c>
      <c r="AX32" s="821">
        <f t="shared" si="45"/>
        <v>0</v>
      </c>
      <c r="AY32" s="822">
        <f t="shared" si="46"/>
        <v>0</v>
      </c>
      <c r="AZ32" s="823">
        <f t="shared" si="47"/>
        <v>0</v>
      </c>
      <c r="BA32" s="824" t="str">
        <f t="shared" si="48"/>
        <v/>
      </c>
      <c r="BB32" s="798">
        <f t="shared" si="49"/>
        <v>0</v>
      </c>
      <c r="BC32" s="825" t="str">
        <f t="shared" si="50"/>
        <v/>
      </c>
      <c r="BD32" s="826">
        <f t="shared" si="51"/>
        <v>0</v>
      </c>
      <c r="BE32" s="827" t="str">
        <f t="shared" si="52"/>
        <v/>
      </c>
      <c r="BF32" s="828">
        <f>IF(OR($A32="",$F32=0),"",SUM(Errors!C30,Errors!J30))</f>
        <v>0</v>
      </c>
      <c r="BG32" s="793">
        <f>IF(OR($A32="",$F32=0),"",SUM(Errors!D30,Errors!K30))</f>
        <v>0</v>
      </c>
      <c r="BH32" s="793">
        <f>IF(OR($A32="",$F32=0),"",SUM(Errors!E30,Errors!L30))</f>
        <v>0</v>
      </c>
      <c r="BI32" s="793">
        <f>IF(OR($A32="",$F32=0),"",SUM(Errors!F30,Errors!M30))</f>
        <v>0</v>
      </c>
      <c r="BJ32" s="829">
        <f>IF(OR($A32="",$F32=0),"",SUM(Errors!G30,Errors!N30))</f>
        <v>0</v>
      </c>
      <c r="BK32" s="766">
        <f t="shared" si="53"/>
        <v>0</v>
      </c>
      <c r="BL32" s="830" t="str">
        <f t="shared" si="54"/>
        <v/>
      </c>
      <c r="BM32" s="830" t="str">
        <f t="shared" si="55"/>
        <v/>
      </c>
      <c r="BN32" s="817" t="str">
        <f t="shared" si="56"/>
        <v/>
      </c>
      <c r="BO32" s="818">
        <f>IF(OR($A32="",$F32=0),"",SUM(Errors!C58,Errors!J58))</f>
        <v>0</v>
      </c>
      <c r="BP32" s="819">
        <f>IF(OR($A32="",$F32=0),"",SUM(Errors!D58,Errors!K58))</f>
        <v>0</v>
      </c>
      <c r="BQ32" s="819">
        <f>IF(OR($A32="",$F32=0),"",SUM(Errors!E58,Errors!L58))</f>
        <v>0</v>
      </c>
      <c r="BR32" s="819">
        <f>IF(OR($A32="",$F32=0),"",SUM(Errors!F58,Errors!M58))</f>
        <v>0</v>
      </c>
      <c r="BS32" s="819">
        <f>IF(OR($A32="",$F32=0),"",SUM(Errors!G58,Errors!N58))</f>
        <v>0</v>
      </c>
      <c r="BT32" s="288" t="str">
        <f t="shared" si="57"/>
        <v/>
      </c>
    </row>
    <row r="33" spans="1:72" s="108" customFormat="1" ht="19.95" customHeight="1" x14ac:dyDescent="0.3">
      <c r="A33" s="287" t="str">
        <f>IF(ISBLANK(IGRF!$H16),"",IGRF!$H16)</f>
        <v>201</v>
      </c>
      <c r="B33" s="205" t="str">
        <f>IF(ISBLANK(IGRF!$I16),"",IGRF!$I16)</f>
        <v>Dutch Destroyer</v>
      </c>
      <c r="C33" s="206">
        <f>IF(A33="","",SUM(LU!AH14,LU!AH113))</f>
        <v>0</v>
      </c>
      <c r="D33" s="206">
        <f>IF(A33="","",SUM(LU!W14,LU!W113))</f>
        <v>0</v>
      </c>
      <c r="E33" s="207">
        <f>IF(A33="","",SUM(LU!AC14,LU!AC113))</f>
        <v>9</v>
      </c>
      <c r="F33" s="764">
        <f>IF(A33="","",(SUM(C33:E33)-(SUMPRODUCT(--(Lineups!AC$4:AC$41=A33),--(Lineups!AA$4:AA$41="SP"))+SUMPRODUCT(--(Lineups!AG$4:AG$41=A33),--(Lineups!AA$4:AA$41="SP"))+SUMPRODUCT(--(Lineups!AC$50:AC$87=A33),--(Lineups!AA$50:AA$87="SP"))+SUMPRODUCT(--(Lineups!AG$50:AG$87=A33),--(Lineups!AA$50:AA$87="SP")))))</f>
        <v>9</v>
      </c>
      <c r="G33" s="765">
        <f>IF(OR(A33="",F33=0,LU!D$3+LU!D$102=0),"",F33/(LU!D$3+LU!D$102))</f>
        <v>0.19148936170212766</v>
      </c>
      <c r="H33" s="766" t="str">
        <f>IF(OR(C33=0,A33=""),"",SK!T189)</f>
        <v/>
      </c>
      <c r="I33" s="767" t="str">
        <f ca="1">IF(OR(A33="",SK!U189="",SK!U189=0),"",H33/SK!U189)</f>
        <v/>
      </c>
      <c r="J33" s="786" t="str">
        <f>IF(OR(C33=0,A33=""),"",SK!W189)</f>
        <v/>
      </c>
      <c r="K33" s="787" t="str">
        <f>IF(OR(C33=0,A33=""),"",SK!X189)</f>
        <v/>
      </c>
      <c r="L33" s="788" t="str">
        <f>IF(OR(C33=0,A33=""),"",SK!Z189)</f>
        <v/>
      </c>
      <c r="M33" s="788" t="str">
        <f>IF(OR(C33=0,A33=""),"",SK!AB189)</f>
        <v/>
      </c>
      <c r="N33" s="789" t="str">
        <f t="shared" si="32"/>
        <v/>
      </c>
      <c r="O33" s="790" t="str">
        <f>IF(OR(A33="",C33=0),"",SK!Y189)</f>
        <v/>
      </c>
      <c r="P33" s="791" t="str">
        <f t="shared" si="33"/>
        <v/>
      </c>
      <c r="Q33" s="792">
        <f ca="1">IF(OR(A33="",F33=0),"",SUM(LU!AJ60,LU!AJ159))</f>
        <v>9</v>
      </c>
      <c r="R33" s="793">
        <f ca="1">IF(OR(A33="",F33=0),"",SUM(LU!AJ83,LU!AJ182))</f>
        <v>68</v>
      </c>
      <c r="S33" s="766">
        <f ca="1">IF(OR(A33="",F33=0),"",SUM(LU!AJ37,LU!AJ136))</f>
        <v>-59</v>
      </c>
      <c r="T33" s="793" t="str">
        <f>IF(OR(A33="",C33=0),"",SUM(LU!AH37,LU!AH136))</f>
        <v/>
      </c>
      <c r="U33" s="794" t="str">
        <f t="shared" si="34"/>
        <v/>
      </c>
      <c r="V33" s="795" t="str">
        <f>IF(OR(A33="",D33=0),"",SUM(LU!W37,LU!W136))</f>
        <v/>
      </c>
      <c r="W33" s="794" t="str">
        <f t="shared" si="35"/>
        <v/>
      </c>
      <c r="X33" s="795">
        <f ca="1">IF(OR(A33="",E33=0),"",SUM(LU!AC37,LU!AC136))</f>
        <v>-59</v>
      </c>
      <c r="Y33" s="794">
        <f t="shared" ca="1" si="36"/>
        <v>-6.5555555555555554</v>
      </c>
      <c r="Z33" s="791">
        <f t="shared" ca="1" si="37"/>
        <v>-6.5555555555555554</v>
      </c>
      <c r="AA33" s="796">
        <f ca="1">IF(OR(A33="",F33=0,Q$48="-",LU!$W$5=0),"",Q33-Q$48)</f>
        <v>-18.5</v>
      </c>
      <c r="AB33" s="797">
        <f ca="1">IF(OR(A33="",F33=0,R$48="-",LU!$W$5=0),"",R33-R$48)</f>
        <v>-19.5</v>
      </c>
      <c r="AC33" s="798">
        <f t="shared" ca="1" si="38"/>
        <v>1</v>
      </c>
      <c r="AD33" s="799" t="str">
        <f t="shared" si="39"/>
        <v/>
      </c>
      <c r="AE33" s="799" t="str">
        <f t="shared" si="40"/>
        <v/>
      </c>
      <c r="AF33" s="800">
        <f t="shared" ca="1" si="41"/>
        <v>-2.9134224506666953</v>
      </c>
      <c r="AG33" s="801">
        <f ca="1">IF(OR($A33="",Z33="",Z$48="-",LU!$W$5=0),"",Z33-Z$48)</f>
        <v>-2.589927429435126</v>
      </c>
      <c r="AH33" s="1111">
        <f>IF(OR(A33="",F33=0),"",SUM(PT!U66,PT!U67))</f>
        <v>1</v>
      </c>
      <c r="AI33" s="1112"/>
      <c r="AJ33" s="287" t="str">
        <f t="shared" si="42"/>
        <v>201</v>
      </c>
      <c r="AK33" s="208" t="str">
        <f t="shared" si="31"/>
        <v>Dutch Destroyer</v>
      </c>
      <c r="AL33" s="818">
        <f>IF(OR($A33="",$F33=0),"",SUM(Actions!C31,Actions!J31))</f>
        <v>0</v>
      </c>
      <c r="AM33" s="819">
        <f>IF(OR($A33="",$F33=0),"",SUM(Actions!D31,Actions!K31))</f>
        <v>0</v>
      </c>
      <c r="AN33" s="819">
        <f>IF(OR($A33="",$F33=0),"",SUM(Actions!E31,Actions!L31))</f>
        <v>0</v>
      </c>
      <c r="AO33" s="819">
        <f>IF(OR($A33="",$F33=0),"",SUM(Actions!F31,Actions!M31))</f>
        <v>0</v>
      </c>
      <c r="AP33" s="819">
        <f>IF(OR($A33="",$F33=0),"",SUM(Actions!G31,Actions!N31))</f>
        <v>0</v>
      </c>
      <c r="AQ33" s="820">
        <f t="shared" si="43"/>
        <v>0</v>
      </c>
      <c r="AR33" s="792">
        <f>IF(OR($A33="",$F33=0),"",SUM(Actions!C59,Actions!J59))</f>
        <v>0</v>
      </c>
      <c r="AS33" s="793">
        <f>IF(OR($A33="",$F33=0),"",SUM(Actions!D59,Actions!K59))</f>
        <v>0</v>
      </c>
      <c r="AT33" s="793">
        <f>IF(OR($A33="",$F33=0),"",SUM(Actions!E59,Actions!L59))</f>
        <v>0</v>
      </c>
      <c r="AU33" s="793">
        <f>IF(OR($A33="",$F33=0),"",SUM(Actions!F59,Actions!M59))</f>
        <v>0</v>
      </c>
      <c r="AV33" s="793">
        <f>IF(OR($A33="",$F33=0),"",SUM(Actions!G59,Actions!N59))</f>
        <v>0</v>
      </c>
      <c r="AW33" s="766">
        <f t="shared" si="44"/>
        <v>0</v>
      </c>
      <c r="AX33" s="821">
        <f t="shared" si="45"/>
        <v>0</v>
      </c>
      <c r="AY33" s="822">
        <f t="shared" si="46"/>
        <v>0</v>
      </c>
      <c r="AZ33" s="823">
        <f t="shared" si="47"/>
        <v>0</v>
      </c>
      <c r="BA33" s="824" t="str">
        <f t="shared" si="48"/>
        <v/>
      </c>
      <c r="BB33" s="798">
        <f t="shared" si="49"/>
        <v>0</v>
      </c>
      <c r="BC33" s="825" t="str">
        <f t="shared" si="50"/>
        <v/>
      </c>
      <c r="BD33" s="826">
        <f t="shared" si="51"/>
        <v>0</v>
      </c>
      <c r="BE33" s="827" t="str">
        <f t="shared" si="52"/>
        <v/>
      </c>
      <c r="BF33" s="828">
        <f>IF(OR($A33="",$F33=0),"",SUM(Errors!C31,Errors!J31))</f>
        <v>0</v>
      </c>
      <c r="BG33" s="793">
        <f>IF(OR($A33="",$F33=0),"",SUM(Errors!D31,Errors!K31))</f>
        <v>0</v>
      </c>
      <c r="BH33" s="793">
        <f>IF(OR($A33="",$F33=0),"",SUM(Errors!E31,Errors!L31))</f>
        <v>0</v>
      </c>
      <c r="BI33" s="793">
        <f>IF(OR($A33="",$F33=0),"",SUM(Errors!F31,Errors!M31))</f>
        <v>0</v>
      </c>
      <c r="BJ33" s="829">
        <f>IF(OR($A33="",$F33=0),"",SUM(Errors!G31,Errors!N31))</f>
        <v>0</v>
      </c>
      <c r="BK33" s="766">
        <f t="shared" si="53"/>
        <v>0</v>
      </c>
      <c r="BL33" s="830" t="str">
        <f t="shared" si="54"/>
        <v/>
      </c>
      <c r="BM33" s="830" t="str">
        <f t="shared" si="55"/>
        <v/>
      </c>
      <c r="BN33" s="817" t="str">
        <f t="shared" si="56"/>
        <v/>
      </c>
      <c r="BO33" s="818">
        <f>IF(OR($A33="",$F33=0),"",SUM(Errors!C59,Errors!J59))</f>
        <v>0</v>
      </c>
      <c r="BP33" s="819">
        <f>IF(OR($A33="",$F33=0),"",SUM(Errors!D59,Errors!K59))</f>
        <v>0</v>
      </c>
      <c r="BQ33" s="819">
        <f>IF(OR($A33="",$F33=0),"",SUM(Errors!E59,Errors!L59))</f>
        <v>0</v>
      </c>
      <c r="BR33" s="819">
        <f>IF(OR($A33="",$F33=0),"",SUM(Errors!F59,Errors!M59))</f>
        <v>0</v>
      </c>
      <c r="BS33" s="819">
        <f>IF(OR($A33="",$F33=0),"",SUM(Errors!G59,Errors!N59))</f>
        <v>0</v>
      </c>
      <c r="BT33" s="288" t="str">
        <f t="shared" si="57"/>
        <v/>
      </c>
    </row>
    <row r="34" spans="1:72" s="108" customFormat="1" ht="19.95" customHeight="1" x14ac:dyDescent="0.3">
      <c r="A34" s="287" t="str">
        <f>IF(ISBLANK(IGRF!$H17),"",IGRF!$H17)</f>
        <v>21</v>
      </c>
      <c r="B34" s="205" t="str">
        <f>IF(ISBLANK(IGRF!$I17),"",IGRF!$I17)</f>
        <v>Jekyll &amp; Heidi</v>
      </c>
      <c r="C34" s="206">
        <f>IF(A34="","",SUM(LU!AH15,LU!AH114))</f>
        <v>0</v>
      </c>
      <c r="D34" s="206">
        <f>IF(A34="","",SUM(LU!W15,LU!W114))</f>
        <v>1</v>
      </c>
      <c r="E34" s="207">
        <f>IF(A34="","",SUM(LU!AC15,LU!AC114))</f>
        <v>24</v>
      </c>
      <c r="F34" s="764">
        <f>IF(A34="","",(SUM(C34:E34)-(SUMPRODUCT(--(Lineups!AC$4:AC$41=A34),--(Lineups!AA$4:AA$41="SP"))+SUMPRODUCT(--(Lineups!AG$4:AG$41=A34),--(Lineups!AA$4:AA$41="SP"))+SUMPRODUCT(--(Lineups!AC$50:AC$87=A34),--(Lineups!AA$50:AA$87="SP"))+SUMPRODUCT(--(Lineups!AG$50:AG$87=A34),--(Lineups!AA$50:AA$87="SP")))))</f>
        <v>25</v>
      </c>
      <c r="G34" s="765">
        <f>IF(OR(A34="",F34=0,LU!D$3+LU!D$102=0),"",F34/(LU!D$3+LU!D$102))</f>
        <v>0.53191489361702127</v>
      </c>
      <c r="H34" s="766" t="str">
        <f>IF(OR(C34=0,A34=""),"",SK!T192)</f>
        <v/>
      </c>
      <c r="I34" s="767" t="str">
        <f ca="1">IF(OR(A34="",SK!U192="",SK!U192=0),"",H34/SK!U192)</f>
        <v/>
      </c>
      <c r="J34" s="786" t="str">
        <f>IF(OR(C34=0,A34=""),"",SK!W192)</f>
        <v/>
      </c>
      <c r="K34" s="787" t="str">
        <f>IF(OR(C34=0,A34=""),"",SK!X192)</f>
        <v/>
      </c>
      <c r="L34" s="788" t="str">
        <f>IF(OR(C34=0,A34=""),"",SK!Z192)</f>
        <v/>
      </c>
      <c r="M34" s="788" t="str">
        <f>IF(OR(C34=0,A34=""),"",SK!AB192)</f>
        <v/>
      </c>
      <c r="N34" s="789" t="str">
        <f t="shared" si="32"/>
        <v/>
      </c>
      <c r="O34" s="790" t="str">
        <f>IF(OR(A34="",C34=0),"",SK!Y192)</f>
        <v/>
      </c>
      <c r="P34" s="791" t="str">
        <f t="shared" si="33"/>
        <v/>
      </c>
      <c r="Q34" s="792">
        <f ca="1">IF(OR(A34="",F34=0),"",SUM(LU!AJ61,LU!AJ160))</f>
        <v>39</v>
      </c>
      <c r="R34" s="793">
        <f ca="1">IF(OR(A34="",F34=0),"",SUM(LU!AJ84,LU!AJ183))</f>
        <v>154</v>
      </c>
      <c r="S34" s="766">
        <f ca="1">IF(OR(A34="",F34=0),"",SUM(LU!AJ38,LU!AJ137))</f>
        <v>-115</v>
      </c>
      <c r="T34" s="793" t="str">
        <f>IF(OR(A34="",C34=0),"",SUM(LU!AH38,LU!AH137))</f>
        <v/>
      </c>
      <c r="U34" s="794" t="str">
        <f t="shared" si="34"/>
        <v/>
      </c>
      <c r="V34" s="795">
        <f ca="1">IF(OR(A34="",D34=0),"",SUM(LU!W38,LU!W137))</f>
        <v>2</v>
      </c>
      <c r="W34" s="794">
        <f t="shared" ca="1" si="35"/>
        <v>2</v>
      </c>
      <c r="X34" s="795">
        <f ca="1">IF(OR(A34="",E34=0),"",SUM(LU!AC38,LU!AC137))</f>
        <v>-117</v>
      </c>
      <c r="Y34" s="794">
        <f t="shared" ca="1" si="36"/>
        <v>-4.875</v>
      </c>
      <c r="Z34" s="791">
        <f t="shared" ca="1" si="37"/>
        <v>-4.5999999999999996</v>
      </c>
      <c r="AA34" s="796">
        <f ca="1">IF(OR(A34="",F34=0,Q$48="-",LU!$W$5=0),"",Q34-Q$48)</f>
        <v>11.5</v>
      </c>
      <c r="AB34" s="797">
        <f ca="1">IF(OR(A34="",F34=0,R$48="-",LU!$W$5=0),"",R34-R$48)</f>
        <v>66.5</v>
      </c>
      <c r="AC34" s="798">
        <f t="shared" ca="1" si="38"/>
        <v>-55</v>
      </c>
      <c r="AD34" s="799" t="str">
        <f t="shared" si="39"/>
        <v/>
      </c>
      <c r="AE34" s="799">
        <f t="shared" ca="1" si="40"/>
        <v>3.3698412698412699</v>
      </c>
      <c r="AF34" s="800">
        <f t="shared" ca="1" si="41"/>
        <v>-1.2328668951111399</v>
      </c>
      <c r="AG34" s="801">
        <f ca="1">IF(OR($A34="",Z34="",Z$48="-",LU!$W$5=0),"",Z34-Z$48)</f>
        <v>-0.63437187387957028</v>
      </c>
      <c r="AH34" s="1111">
        <f>IF(OR(A34="",F34=0),"",SUM(PT!U68,PT!U69))</f>
        <v>5</v>
      </c>
      <c r="AI34" s="1112"/>
      <c r="AJ34" s="287" t="str">
        <f t="shared" si="42"/>
        <v>21</v>
      </c>
      <c r="AK34" s="208" t="str">
        <f t="shared" si="31"/>
        <v>Jekyll &amp; Heidi</v>
      </c>
      <c r="AL34" s="818">
        <f>IF(OR($A34="",$F34=0),"",SUM(Actions!C32,Actions!J32))</f>
        <v>0</v>
      </c>
      <c r="AM34" s="819">
        <f>IF(OR($A34="",$F34=0),"",SUM(Actions!D32,Actions!K32))</f>
        <v>0</v>
      </c>
      <c r="AN34" s="819">
        <f>IF(OR($A34="",$F34=0),"",SUM(Actions!E32,Actions!L32))</f>
        <v>0</v>
      </c>
      <c r="AO34" s="819">
        <f>IF(OR($A34="",$F34=0),"",SUM(Actions!F32,Actions!M32))</f>
        <v>0</v>
      </c>
      <c r="AP34" s="819">
        <f>IF(OR($A34="",$F34=0),"",SUM(Actions!G32,Actions!N32))</f>
        <v>0</v>
      </c>
      <c r="AQ34" s="820">
        <f t="shared" si="43"/>
        <v>0</v>
      </c>
      <c r="AR34" s="792">
        <f>IF(OR($A34="",$F34=0),"",SUM(Actions!C60,Actions!J60))</f>
        <v>0</v>
      </c>
      <c r="AS34" s="793">
        <f>IF(OR($A34="",$F34=0),"",SUM(Actions!D60,Actions!K60))</f>
        <v>0</v>
      </c>
      <c r="AT34" s="793">
        <f>IF(OR($A34="",$F34=0),"",SUM(Actions!E60,Actions!L60))</f>
        <v>0</v>
      </c>
      <c r="AU34" s="793">
        <f>IF(OR($A34="",$F34=0),"",SUM(Actions!F60,Actions!M60))</f>
        <v>0</v>
      </c>
      <c r="AV34" s="793">
        <f>IF(OR($A34="",$F34=0),"",SUM(Actions!G60,Actions!N60))</f>
        <v>0</v>
      </c>
      <c r="AW34" s="766">
        <f t="shared" si="44"/>
        <v>0</v>
      </c>
      <c r="AX34" s="821">
        <f t="shared" si="45"/>
        <v>0</v>
      </c>
      <c r="AY34" s="822">
        <f t="shared" si="46"/>
        <v>0</v>
      </c>
      <c r="AZ34" s="823">
        <f t="shared" si="47"/>
        <v>0</v>
      </c>
      <c r="BA34" s="824" t="str">
        <f t="shared" si="48"/>
        <v/>
      </c>
      <c r="BB34" s="798">
        <f t="shared" si="49"/>
        <v>0</v>
      </c>
      <c r="BC34" s="825" t="str">
        <f t="shared" si="50"/>
        <v/>
      </c>
      <c r="BD34" s="826">
        <f t="shared" si="51"/>
        <v>0</v>
      </c>
      <c r="BE34" s="827" t="str">
        <f t="shared" si="52"/>
        <v/>
      </c>
      <c r="BF34" s="828">
        <f>IF(OR($A34="",$F34=0),"",SUM(Errors!C32,Errors!J32))</f>
        <v>0</v>
      </c>
      <c r="BG34" s="793">
        <f>IF(OR($A34="",$F34=0),"",SUM(Errors!D32,Errors!K32))</f>
        <v>0</v>
      </c>
      <c r="BH34" s="793">
        <f>IF(OR($A34="",$F34=0),"",SUM(Errors!E32,Errors!L32))</f>
        <v>0</v>
      </c>
      <c r="BI34" s="793">
        <f>IF(OR($A34="",$F34=0),"",SUM(Errors!F32,Errors!M32))</f>
        <v>0</v>
      </c>
      <c r="BJ34" s="829">
        <f>IF(OR($A34="",$F34=0),"",SUM(Errors!G32,Errors!N32))</f>
        <v>0</v>
      </c>
      <c r="BK34" s="766">
        <f t="shared" si="53"/>
        <v>0</v>
      </c>
      <c r="BL34" s="830" t="str">
        <f t="shared" si="54"/>
        <v/>
      </c>
      <c r="BM34" s="830" t="str">
        <f t="shared" si="55"/>
        <v/>
      </c>
      <c r="BN34" s="817" t="str">
        <f t="shared" si="56"/>
        <v/>
      </c>
      <c r="BO34" s="818">
        <f>IF(OR($A34="",$F34=0),"",SUM(Errors!C60,Errors!J60))</f>
        <v>0</v>
      </c>
      <c r="BP34" s="819">
        <f>IF(OR($A34="",$F34=0),"",SUM(Errors!D60,Errors!K60))</f>
        <v>0</v>
      </c>
      <c r="BQ34" s="819">
        <f>IF(OR($A34="",$F34=0),"",SUM(Errors!E60,Errors!L60))</f>
        <v>0</v>
      </c>
      <c r="BR34" s="819">
        <f>IF(OR($A34="",$F34=0),"",SUM(Errors!F60,Errors!M60))</f>
        <v>0</v>
      </c>
      <c r="BS34" s="819">
        <f>IF(OR($A34="",$F34=0),"",SUM(Errors!G60,Errors!N60))</f>
        <v>0</v>
      </c>
      <c r="BT34" s="288" t="str">
        <f t="shared" si="57"/>
        <v/>
      </c>
    </row>
    <row r="35" spans="1:72" s="108" customFormat="1" ht="19.95" customHeight="1" x14ac:dyDescent="0.3">
      <c r="A35" s="287" t="str">
        <f>IF(ISBLANK(IGRF!$H18),"",IGRF!$H18)</f>
        <v>22</v>
      </c>
      <c r="B35" s="205" t="str">
        <f>IF(ISBLANK(IGRF!$I18),"",IGRF!$I18)</f>
        <v>Freight Train</v>
      </c>
      <c r="C35" s="206">
        <f>IF(A35="","",SUM(LU!AH16,LU!AH115))</f>
        <v>19</v>
      </c>
      <c r="D35" s="206">
        <f>IF(A35="","",SUM(LU!W16,LU!W115))</f>
        <v>0</v>
      </c>
      <c r="E35" s="207">
        <f>IF(A35="","",SUM(LU!AC16,LU!AC115))</f>
        <v>0</v>
      </c>
      <c r="F35" s="764">
        <f>IF(A35="","",(SUM(C35:E35)-(SUMPRODUCT(--(Lineups!AC$4:AC$41=A35),--(Lineups!AA$4:AA$41="SP"))+SUMPRODUCT(--(Lineups!AG$4:AG$41=A35),--(Lineups!AA$4:AA$41="SP"))+SUMPRODUCT(--(Lineups!AC$50:AC$87=A35),--(Lineups!AA$50:AA$87="SP"))+SUMPRODUCT(--(Lineups!AG$50:AG$87=A35),--(Lineups!AA$50:AA$87="SP")))))</f>
        <v>19</v>
      </c>
      <c r="G35" s="765">
        <f>IF(OR(A35="",F35=0,LU!D$3+LU!D$102=0),"",F35/(LU!D$3+LU!D$102))</f>
        <v>0.40425531914893614</v>
      </c>
      <c r="H35" s="766">
        <f ca="1">IF(OR(C35=0,A35=""),"",SK!T195)</f>
        <v>36</v>
      </c>
      <c r="I35" s="767">
        <f ca="1">IF(OR(A35="",SK!U195="",SK!U195=0),"",H35/SK!U195)</f>
        <v>1.8947368421052631</v>
      </c>
      <c r="J35" s="786">
        <f ca="1">IF(OR(C35=0,A35=""),"",SK!W195)</f>
        <v>0</v>
      </c>
      <c r="K35" s="787">
        <f ca="1">IF(OR(C35=0,A35=""),"",SK!X195)</f>
        <v>10</v>
      </c>
      <c r="L35" s="788">
        <f ca="1">IF(OR(C35=0,A35=""),"",SK!Z195)</f>
        <v>9</v>
      </c>
      <c r="M35" s="788">
        <f ca="1">IF(OR(C35=0,A35=""),"",SK!AB195)</f>
        <v>0</v>
      </c>
      <c r="N35" s="789">
        <f t="shared" ca="1" si="32"/>
        <v>0.52631578947368418</v>
      </c>
      <c r="O35" s="790">
        <f ca="1">IF(OR(A35="",C35=0),"",SK!Y195)</f>
        <v>28</v>
      </c>
      <c r="P35" s="791">
        <f t="shared" ca="1" si="33"/>
        <v>2.8</v>
      </c>
      <c r="Q35" s="792">
        <f ca="1">IF(OR(A35="",F35=0),"",SUM(LU!AJ62,LU!AJ161))</f>
        <v>36</v>
      </c>
      <c r="R35" s="793">
        <f ca="1">IF(OR(A35="",F35=0),"",SUM(LU!AJ85,LU!AJ184))</f>
        <v>60</v>
      </c>
      <c r="S35" s="766">
        <f ca="1">IF(OR(A35="",F35=0),"",SUM(LU!AJ39,LU!AJ138))</f>
        <v>-24</v>
      </c>
      <c r="T35" s="793">
        <f ca="1">IF(OR(A35="",C35=0),"",SUM(LU!AH39,LU!AH138))</f>
        <v>-24</v>
      </c>
      <c r="U35" s="794">
        <f t="shared" ca="1" si="34"/>
        <v>-1.263157894736842</v>
      </c>
      <c r="V35" s="795" t="str">
        <f>IF(OR(A35="",D35=0),"",SUM(LU!W39,LU!W138))</f>
        <v/>
      </c>
      <c r="W35" s="794" t="str">
        <f t="shared" si="35"/>
        <v/>
      </c>
      <c r="X35" s="795" t="str">
        <f>IF(OR(A35="",E35=0),"",SUM(LU!AC39,LU!AC138))</f>
        <v/>
      </c>
      <c r="Y35" s="794" t="str">
        <f t="shared" si="36"/>
        <v/>
      </c>
      <c r="Z35" s="791">
        <f t="shared" ca="1" si="37"/>
        <v>-1.263157894736842</v>
      </c>
      <c r="AA35" s="796">
        <f ca="1">IF(OR(A35="",F35=0,Q$48="-",LU!$W$5=0),"",Q35-Q$48)</f>
        <v>8.5</v>
      </c>
      <c r="AB35" s="797">
        <f ca="1">IF(OR(A35="",F35=0,R$48="-",LU!$W$5=0),"",R35-R$48)</f>
        <v>-27.5</v>
      </c>
      <c r="AC35" s="798">
        <f t="shared" ca="1" si="38"/>
        <v>36</v>
      </c>
      <c r="AD35" s="799">
        <f t="shared" ca="1" si="39"/>
        <v>4.6012426900584789</v>
      </c>
      <c r="AE35" s="799" t="str">
        <f t="shared" si="40"/>
        <v/>
      </c>
      <c r="AF35" s="800" t="str">
        <f t="shared" si="41"/>
        <v/>
      </c>
      <c r="AG35" s="801">
        <f ca="1">IF(OR($A35="",Z35="",Z$48="-",LU!$W$5=0),"",Z35-Z$48)</f>
        <v>2.7024702313835873</v>
      </c>
      <c r="AH35" s="1111">
        <f>IF(OR(A35="",F35=0),"",SUM(PT!U70,PT!U71))</f>
        <v>2</v>
      </c>
      <c r="AI35" s="1112"/>
      <c r="AJ35" s="287" t="str">
        <f t="shared" si="42"/>
        <v>22</v>
      </c>
      <c r="AK35" s="208" t="str">
        <f t="shared" si="31"/>
        <v>Freight Train</v>
      </c>
      <c r="AL35" s="818">
        <f>IF(OR($A35="",$F35=0),"",SUM(Actions!C33,Actions!J33))</f>
        <v>0</v>
      </c>
      <c r="AM35" s="819">
        <f>IF(OR($A35="",$F35=0),"",SUM(Actions!D33,Actions!K33))</f>
        <v>0</v>
      </c>
      <c r="AN35" s="819">
        <f>IF(OR($A35="",$F35=0),"",SUM(Actions!E33,Actions!L33))</f>
        <v>0</v>
      </c>
      <c r="AO35" s="819">
        <f>IF(OR($A35="",$F35=0),"",SUM(Actions!F33,Actions!M33))</f>
        <v>0</v>
      </c>
      <c r="AP35" s="819">
        <f>IF(OR($A35="",$F35=0),"",SUM(Actions!G33,Actions!N33))</f>
        <v>0</v>
      </c>
      <c r="AQ35" s="820">
        <f t="shared" si="43"/>
        <v>0</v>
      </c>
      <c r="AR35" s="792">
        <f>IF(OR($A35="",$F35=0),"",SUM(Actions!C61,Actions!J61))</f>
        <v>0</v>
      </c>
      <c r="AS35" s="793">
        <f>IF(OR($A35="",$F35=0),"",SUM(Actions!D61,Actions!K61))</f>
        <v>0</v>
      </c>
      <c r="AT35" s="793">
        <f>IF(OR($A35="",$F35=0),"",SUM(Actions!E61,Actions!L61))</f>
        <v>0</v>
      </c>
      <c r="AU35" s="793">
        <f>IF(OR($A35="",$F35=0),"",SUM(Actions!F61,Actions!M61))</f>
        <v>0</v>
      </c>
      <c r="AV35" s="793">
        <f>IF(OR($A35="",$F35=0),"",SUM(Actions!G61,Actions!N61))</f>
        <v>0</v>
      </c>
      <c r="AW35" s="766">
        <f t="shared" si="44"/>
        <v>0</v>
      </c>
      <c r="AX35" s="821">
        <f t="shared" si="45"/>
        <v>0</v>
      </c>
      <c r="AY35" s="822">
        <f t="shared" si="46"/>
        <v>0</v>
      </c>
      <c r="AZ35" s="823">
        <f t="shared" si="47"/>
        <v>0</v>
      </c>
      <c r="BA35" s="824" t="str">
        <f t="shared" si="48"/>
        <v/>
      </c>
      <c r="BB35" s="798">
        <f t="shared" si="49"/>
        <v>0</v>
      </c>
      <c r="BC35" s="825" t="str">
        <f t="shared" si="50"/>
        <v/>
      </c>
      <c r="BD35" s="826">
        <f t="shared" si="51"/>
        <v>0</v>
      </c>
      <c r="BE35" s="827" t="str">
        <f t="shared" si="52"/>
        <v/>
      </c>
      <c r="BF35" s="828">
        <f>IF(OR($A35="",$F35=0),"",SUM(Errors!C33,Errors!J33))</f>
        <v>0</v>
      </c>
      <c r="BG35" s="793">
        <f>IF(OR($A35="",$F35=0),"",SUM(Errors!D33,Errors!K33))</f>
        <v>0</v>
      </c>
      <c r="BH35" s="793">
        <f>IF(OR($A35="",$F35=0),"",SUM(Errors!E33,Errors!L33))</f>
        <v>0</v>
      </c>
      <c r="BI35" s="793">
        <f>IF(OR($A35="",$F35=0),"",SUM(Errors!F33,Errors!M33))</f>
        <v>0</v>
      </c>
      <c r="BJ35" s="829">
        <f>IF(OR($A35="",$F35=0),"",SUM(Errors!G33,Errors!N33))</f>
        <v>0</v>
      </c>
      <c r="BK35" s="766">
        <f t="shared" si="53"/>
        <v>0</v>
      </c>
      <c r="BL35" s="830" t="str">
        <f t="shared" si="54"/>
        <v/>
      </c>
      <c r="BM35" s="830" t="str">
        <f t="shared" si="55"/>
        <v/>
      </c>
      <c r="BN35" s="817" t="str">
        <f t="shared" si="56"/>
        <v/>
      </c>
      <c r="BO35" s="818">
        <f>IF(OR($A35="",$F35=0),"",SUM(Errors!C61,Errors!J61))</f>
        <v>0</v>
      </c>
      <c r="BP35" s="819">
        <f>IF(OR($A35="",$F35=0),"",SUM(Errors!D61,Errors!K61))</f>
        <v>0</v>
      </c>
      <c r="BQ35" s="819">
        <f>IF(OR($A35="",$F35=0),"",SUM(Errors!E61,Errors!L61))</f>
        <v>0</v>
      </c>
      <c r="BR35" s="819">
        <f>IF(OR($A35="",$F35=0),"",SUM(Errors!F61,Errors!M61))</f>
        <v>0</v>
      </c>
      <c r="BS35" s="819">
        <f>IF(OR($A35="",$F35=0),"",SUM(Errors!G61,Errors!N61))</f>
        <v>0</v>
      </c>
      <c r="BT35" s="288">
        <f t="shared" si="57"/>
        <v>0</v>
      </c>
    </row>
    <row r="36" spans="1:72" s="108" customFormat="1" ht="19.95" customHeight="1" x14ac:dyDescent="0.3">
      <c r="A36" s="287" t="str">
        <f>IF(ISBLANK(IGRF!$H19),"",IGRF!$H19)</f>
        <v>312</v>
      </c>
      <c r="B36" s="205" t="str">
        <f>IF(ISBLANK(IGRF!$I19),"",IGRF!$I19)</f>
        <v>2x Force</v>
      </c>
      <c r="C36" s="206">
        <f>IF(A36="","",SUM(LU!AH17,LU!AH116))</f>
        <v>0</v>
      </c>
      <c r="D36" s="206">
        <f>IF(A36="","",SUM(LU!W17,LU!W116))</f>
        <v>0</v>
      </c>
      <c r="E36" s="207">
        <f>IF(A36="","",SUM(LU!AC17,LU!AC116))</f>
        <v>23</v>
      </c>
      <c r="F36" s="764">
        <f>IF(A36="","",(SUM(C36:E36)-(SUMPRODUCT(--(Lineups!AC$4:AC$41=A36),--(Lineups!AA$4:AA$41="SP"))+SUMPRODUCT(--(Lineups!AG$4:AG$41=A36),--(Lineups!AA$4:AA$41="SP"))+SUMPRODUCT(--(Lineups!AC$50:AC$87=A36),--(Lineups!AA$50:AA$87="SP"))+SUMPRODUCT(--(Lineups!AG$50:AG$87=A36),--(Lineups!AA$50:AA$87="SP")))))</f>
        <v>23</v>
      </c>
      <c r="G36" s="765">
        <f>IF(OR(A36="",F36=0,LU!D$3+LU!D$102=0),"",F36/(LU!D$3+LU!D$102))</f>
        <v>0.48936170212765956</v>
      </c>
      <c r="H36" s="766" t="str">
        <f>IF(OR(C36=0,A36=""),"",SK!T198)</f>
        <v/>
      </c>
      <c r="I36" s="767" t="str">
        <f ca="1">IF(OR(A36="",SK!U198="",SK!U198=0),"",H36/SK!U198)</f>
        <v/>
      </c>
      <c r="J36" s="786" t="str">
        <f>IF(OR(C36=0,A36=""),"",SK!W198)</f>
        <v/>
      </c>
      <c r="K36" s="787" t="str">
        <f>IF(OR(C36=0,A36=""),"",SK!X198)</f>
        <v/>
      </c>
      <c r="L36" s="788" t="str">
        <f>IF(OR(C36=0,A36=""),"",SK!Z198)</f>
        <v/>
      </c>
      <c r="M36" s="788" t="str">
        <f>IF(OR(C36=0,A36=""),"",SK!AB198)</f>
        <v/>
      </c>
      <c r="N36" s="789" t="str">
        <f t="shared" si="32"/>
        <v/>
      </c>
      <c r="O36" s="790" t="str">
        <f>IF(OR(A36="",C36=0),"",SK!Y198)</f>
        <v/>
      </c>
      <c r="P36" s="791" t="str">
        <f t="shared" si="33"/>
        <v/>
      </c>
      <c r="Q36" s="792">
        <f ca="1">IF(OR(A36="",F36=0),"",SUM(LU!AJ63,LU!AJ162))</f>
        <v>52</v>
      </c>
      <c r="R36" s="793">
        <f ca="1">IF(OR(A36="",F36=0),"",SUM(LU!AJ86,LU!AJ185))</f>
        <v>87</v>
      </c>
      <c r="S36" s="766">
        <f ca="1">IF(OR(A36="",F36=0),"",SUM(LU!AJ40,LU!AJ139))</f>
        <v>-35</v>
      </c>
      <c r="T36" s="793" t="str">
        <f>IF(OR(A36="",C36=0),"",SUM(LU!AH40,LU!AH139))</f>
        <v/>
      </c>
      <c r="U36" s="794" t="str">
        <f t="shared" si="34"/>
        <v/>
      </c>
      <c r="V36" s="795" t="str">
        <f>IF(OR(A36="",D36=0),"",SUM(LU!W40,LU!W139))</f>
        <v/>
      </c>
      <c r="W36" s="794" t="str">
        <f t="shared" si="35"/>
        <v/>
      </c>
      <c r="X36" s="795">
        <f ca="1">IF(OR(A36="",E36=0),"",SUM(LU!AC40,LU!AC139))</f>
        <v>-35</v>
      </c>
      <c r="Y36" s="794">
        <f t="shared" ca="1" si="36"/>
        <v>-1.5217391304347827</v>
      </c>
      <c r="Z36" s="791">
        <f t="shared" ca="1" si="37"/>
        <v>-1.5217391304347827</v>
      </c>
      <c r="AA36" s="796">
        <f ca="1">IF(OR(A36="",F36=0,Q$48="-",LU!$W$5=0),"",Q36-Q$48)</f>
        <v>24.5</v>
      </c>
      <c r="AB36" s="797">
        <f ca="1">IF(OR(A36="",F36=0,R$48="-",LU!$W$5=0),"",R36-R$48)</f>
        <v>-0.5</v>
      </c>
      <c r="AC36" s="798">
        <f t="shared" ca="1" si="38"/>
        <v>25</v>
      </c>
      <c r="AD36" s="799" t="str">
        <f t="shared" si="39"/>
        <v/>
      </c>
      <c r="AE36" s="799" t="str">
        <f t="shared" si="40"/>
        <v/>
      </c>
      <c r="AF36" s="800">
        <f t="shared" ca="1" si="41"/>
        <v>2.1203939744540774</v>
      </c>
      <c r="AG36" s="801">
        <f ca="1">IF(OR($A36="",Z36="",Z$48="-",LU!$W$5=0),"",Z36-Z$48)</f>
        <v>2.4438889956856467</v>
      </c>
      <c r="AH36" s="1111">
        <f>IF(OR(A36="",F36=0),"",SUM(PT!U72,PT!U73))</f>
        <v>2</v>
      </c>
      <c r="AI36" s="1112"/>
      <c r="AJ36" s="287" t="str">
        <f t="shared" si="42"/>
        <v>312</v>
      </c>
      <c r="AK36" s="208" t="str">
        <f t="shared" si="31"/>
        <v>2x Force</v>
      </c>
      <c r="AL36" s="818">
        <f>IF(OR($A36="",$F36=0),"",SUM(Actions!C34,Actions!J34))</f>
        <v>0</v>
      </c>
      <c r="AM36" s="819">
        <f>IF(OR($A36="",$F36=0),"",SUM(Actions!D34,Actions!K34))</f>
        <v>0</v>
      </c>
      <c r="AN36" s="819">
        <f>IF(OR($A36="",$F36=0),"",SUM(Actions!E34,Actions!L34))</f>
        <v>0</v>
      </c>
      <c r="AO36" s="819">
        <f>IF(OR($A36="",$F36=0),"",SUM(Actions!F34,Actions!M34))</f>
        <v>0</v>
      </c>
      <c r="AP36" s="819">
        <f>IF(OR($A36="",$F36=0),"",SUM(Actions!G34,Actions!N34))</f>
        <v>0</v>
      </c>
      <c r="AQ36" s="820">
        <f t="shared" si="43"/>
        <v>0</v>
      </c>
      <c r="AR36" s="792">
        <f>IF(OR($A36="",$F36=0),"",SUM(Actions!C62,Actions!J62))</f>
        <v>0</v>
      </c>
      <c r="AS36" s="793">
        <f>IF(OR($A36="",$F36=0),"",SUM(Actions!D62,Actions!K62))</f>
        <v>0</v>
      </c>
      <c r="AT36" s="793">
        <f>IF(OR($A36="",$F36=0),"",SUM(Actions!E62,Actions!L62))</f>
        <v>0</v>
      </c>
      <c r="AU36" s="793">
        <f>IF(OR($A36="",$F36=0),"",SUM(Actions!F62,Actions!M62))</f>
        <v>0</v>
      </c>
      <c r="AV36" s="793">
        <f>IF(OR($A36="",$F36=0),"",SUM(Actions!G62,Actions!N62))</f>
        <v>0</v>
      </c>
      <c r="AW36" s="766">
        <f t="shared" si="44"/>
        <v>0</v>
      </c>
      <c r="AX36" s="821">
        <f t="shared" si="45"/>
        <v>0</v>
      </c>
      <c r="AY36" s="822">
        <f t="shared" si="46"/>
        <v>0</v>
      </c>
      <c r="AZ36" s="823">
        <f t="shared" si="47"/>
        <v>0</v>
      </c>
      <c r="BA36" s="824" t="str">
        <f t="shared" si="48"/>
        <v/>
      </c>
      <c r="BB36" s="798">
        <f t="shared" si="49"/>
        <v>0</v>
      </c>
      <c r="BC36" s="825" t="str">
        <f t="shared" si="50"/>
        <v/>
      </c>
      <c r="BD36" s="826">
        <f t="shared" si="51"/>
        <v>0</v>
      </c>
      <c r="BE36" s="827" t="str">
        <f t="shared" si="52"/>
        <v/>
      </c>
      <c r="BF36" s="828">
        <f>IF(OR($A36="",$F36=0),"",SUM(Errors!C34,Errors!J34))</f>
        <v>0</v>
      </c>
      <c r="BG36" s="793">
        <f>IF(OR($A36="",$F36=0),"",SUM(Errors!D34,Errors!K34))</f>
        <v>0</v>
      </c>
      <c r="BH36" s="793">
        <f>IF(OR($A36="",$F36=0),"",SUM(Errors!E34,Errors!L34))</f>
        <v>0</v>
      </c>
      <c r="BI36" s="793">
        <f>IF(OR($A36="",$F36=0),"",SUM(Errors!F34,Errors!M34))</f>
        <v>0</v>
      </c>
      <c r="BJ36" s="829">
        <f>IF(OR($A36="",$F36=0),"",SUM(Errors!G34,Errors!N34))</f>
        <v>0</v>
      </c>
      <c r="BK36" s="766">
        <f t="shared" si="53"/>
        <v>0</v>
      </c>
      <c r="BL36" s="830" t="str">
        <f t="shared" si="54"/>
        <v/>
      </c>
      <c r="BM36" s="830" t="str">
        <f t="shared" si="55"/>
        <v/>
      </c>
      <c r="BN36" s="817" t="str">
        <f t="shared" si="56"/>
        <v/>
      </c>
      <c r="BO36" s="818">
        <f>IF(OR($A36="",$F36=0),"",SUM(Errors!C62,Errors!J62))</f>
        <v>0</v>
      </c>
      <c r="BP36" s="819">
        <f>IF(OR($A36="",$F36=0),"",SUM(Errors!D62,Errors!K62))</f>
        <v>0</v>
      </c>
      <c r="BQ36" s="819">
        <f>IF(OR($A36="",$F36=0),"",SUM(Errors!E62,Errors!L62))</f>
        <v>0</v>
      </c>
      <c r="BR36" s="819">
        <f>IF(OR($A36="",$F36=0),"",SUM(Errors!F62,Errors!M62))</f>
        <v>0</v>
      </c>
      <c r="BS36" s="819">
        <f>IF(OR($A36="",$F36=0),"",SUM(Errors!G62,Errors!N62))</f>
        <v>0</v>
      </c>
      <c r="BT36" s="288" t="str">
        <f t="shared" si="57"/>
        <v/>
      </c>
    </row>
    <row r="37" spans="1:72" s="108" customFormat="1" ht="19.95" customHeight="1" x14ac:dyDescent="0.3">
      <c r="A37" s="287" t="str">
        <f>IF(ISBLANK(IGRF!$H20),"",IGRF!$H20)</f>
        <v>51</v>
      </c>
      <c r="B37" s="205" t="str">
        <f>IF(ISBLANK(IGRF!$I20),"",IGRF!$I20)</f>
        <v>Bustin’ Beaver</v>
      </c>
      <c r="C37" s="206">
        <f>IF(A37="","",SUM(LU!AH18,LU!AH117))</f>
        <v>2</v>
      </c>
      <c r="D37" s="206">
        <f>IF(A37="","",SUM(LU!W18,LU!W117))</f>
        <v>3</v>
      </c>
      <c r="E37" s="207">
        <f>IF(A37="","",SUM(LU!AC18,LU!AC117))</f>
        <v>3</v>
      </c>
      <c r="F37" s="764">
        <f>IF(A37="","",(SUM(C37:E37)-(SUMPRODUCT(--(Lineups!AC$4:AC$41=A37),--(Lineups!AA$4:AA$41="SP"))+SUMPRODUCT(--(Lineups!AG$4:AG$41=A37),--(Lineups!AA$4:AA$41="SP"))+SUMPRODUCT(--(Lineups!AC$50:AC$87=A37),--(Lineups!AA$50:AA$87="SP"))+SUMPRODUCT(--(Lineups!AG$50:AG$87=A37),--(Lineups!AA$50:AA$87="SP")))))</f>
        <v>8</v>
      </c>
      <c r="G37" s="765">
        <f>IF(OR(A37="",F37=0,LU!D$3+LU!D$102=0),"",F37/(LU!D$3+LU!D$102))</f>
        <v>0.1702127659574468</v>
      </c>
      <c r="H37" s="766">
        <f ca="1">IF(OR(C37=0,A37=""),"",SK!T201)</f>
        <v>0</v>
      </c>
      <c r="I37" s="767">
        <f ca="1">IF(OR(A37="",SK!U201="",SK!U201=0),"",H37/SK!U201)</f>
        <v>0</v>
      </c>
      <c r="J37" s="786">
        <f ca="1">IF(OR(C37=0,A37=""),"",SK!W201)</f>
        <v>1</v>
      </c>
      <c r="K37" s="787">
        <f ca="1">IF(OR(C37=0,A37=""),"",SK!X201)</f>
        <v>1</v>
      </c>
      <c r="L37" s="788">
        <f ca="1">IF(OR(C37=0,A37=""),"",SK!Z201)</f>
        <v>0</v>
      </c>
      <c r="M37" s="788">
        <f ca="1">IF(OR(C37=0,A37=""),"",SK!AB201)</f>
        <v>1</v>
      </c>
      <c r="N37" s="789">
        <f t="shared" ca="1" si="32"/>
        <v>0.5</v>
      </c>
      <c r="O37" s="790">
        <f ca="1">IF(OR(A37="",C37=0),"",SK!Y201)</f>
        <v>-25</v>
      </c>
      <c r="P37" s="791">
        <f t="shared" ca="1" si="33"/>
        <v>-25</v>
      </c>
      <c r="Q37" s="792">
        <f ca="1">IF(OR(A37="",F37=0),"",SUM(LU!AJ64,LU!AJ163))</f>
        <v>13</v>
      </c>
      <c r="R37" s="793">
        <f ca="1">IF(OR(A37="",F37=0),"",SUM(LU!AJ87,LU!AJ186))</f>
        <v>63</v>
      </c>
      <c r="S37" s="766">
        <f ca="1">IF(OR(A37="",F37=0),"",SUM(LU!AJ41,LU!AJ140))</f>
        <v>-50</v>
      </c>
      <c r="T37" s="793">
        <f ca="1">IF(OR(A37="",C37=0),"",SUM(LU!AH41,LU!AH140))</f>
        <v>-31</v>
      </c>
      <c r="U37" s="794">
        <f t="shared" ca="1" si="34"/>
        <v>-15.5</v>
      </c>
      <c r="V37" s="795">
        <f ca="1">IF(OR(A37="",D37=0),"",SUM(LU!W41,LU!W140))</f>
        <v>-21</v>
      </c>
      <c r="W37" s="794">
        <f t="shared" ca="1" si="35"/>
        <v>-7</v>
      </c>
      <c r="X37" s="795">
        <f ca="1">IF(OR(A37="",E37=0),"",SUM(LU!AC41,LU!AC140))</f>
        <v>2</v>
      </c>
      <c r="Y37" s="794">
        <f t="shared" ca="1" si="36"/>
        <v>0.66666666666666663</v>
      </c>
      <c r="Z37" s="791">
        <f t="shared" ca="1" si="37"/>
        <v>-6.25</v>
      </c>
      <c r="AA37" s="796">
        <f ca="1">IF(OR(A37="",F37=0,Q$48="-",LU!$W$5=0),"",Q37-Q$48)</f>
        <v>-14.5</v>
      </c>
      <c r="AB37" s="797">
        <f ca="1">IF(OR(A37="",F37=0,R$48="-",LU!$W$5=0),"",R37-R$48)</f>
        <v>-24.5</v>
      </c>
      <c r="AC37" s="798">
        <f t="shared" ca="1" si="38"/>
        <v>10</v>
      </c>
      <c r="AD37" s="799">
        <f t="shared" ca="1" si="39"/>
        <v>-9.6355994152046787</v>
      </c>
      <c r="AE37" s="799">
        <f t="shared" ca="1" si="40"/>
        <v>-5.6301587301587297</v>
      </c>
      <c r="AF37" s="800">
        <f t="shared" ca="1" si="41"/>
        <v>4.3087997715555266</v>
      </c>
      <c r="AG37" s="801">
        <f ca="1">IF(OR($A37="",Z37="",Z$48="-",LU!$W$5=0),"",Z37-Z$48)</f>
        <v>-2.2843718738795706</v>
      </c>
      <c r="AH37" s="1111">
        <f>IF(OR(A37="",F37=0),"",SUM(PT!U74,PT!U75))</f>
        <v>2</v>
      </c>
      <c r="AI37" s="1112"/>
      <c r="AJ37" s="287" t="str">
        <f t="shared" si="42"/>
        <v>51</v>
      </c>
      <c r="AK37" s="208" t="str">
        <f t="shared" si="31"/>
        <v>Bustin’ Beaver</v>
      </c>
      <c r="AL37" s="818">
        <f>IF(OR($A37="",$F37=0),"",SUM(Actions!C35,Actions!J35))</f>
        <v>0</v>
      </c>
      <c r="AM37" s="819">
        <f>IF(OR($A37="",$F37=0),"",SUM(Actions!D35,Actions!K35))</f>
        <v>0</v>
      </c>
      <c r="AN37" s="819">
        <f>IF(OR($A37="",$F37=0),"",SUM(Actions!E35,Actions!L35))</f>
        <v>0</v>
      </c>
      <c r="AO37" s="819">
        <f>IF(OR($A37="",$F37=0),"",SUM(Actions!F35,Actions!M35))</f>
        <v>0</v>
      </c>
      <c r="AP37" s="819">
        <f>IF(OR($A37="",$F37=0),"",SUM(Actions!G35,Actions!N35))</f>
        <v>0</v>
      </c>
      <c r="AQ37" s="820">
        <f t="shared" si="43"/>
        <v>0</v>
      </c>
      <c r="AR37" s="792">
        <f>IF(OR($A37="",$F37=0),"",SUM(Actions!C63,Actions!J63))</f>
        <v>0</v>
      </c>
      <c r="AS37" s="793">
        <f>IF(OR($A37="",$F37=0),"",SUM(Actions!D63,Actions!K63))</f>
        <v>0</v>
      </c>
      <c r="AT37" s="793">
        <f>IF(OR($A37="",$F37=0),"",SUM(Actions!E63,Actions!L63))</f>
        <v>0</v>
      </c>
      <c r="AU37" s="793">
        <f>IF(OR($A37="",$F37=0),"",SUM(Actions!F63,Actions!M63))</f>
        <v>0</v>
      </c>
      <c r="AV37" s="793">
        <f>IF(OR($A37="",$F37=0),"",SUM(Actions!G63,Actions!N63))</f>
        <v>0</v>
      </c>
      <c r="AW37" s="766">
        <f t="shared" si="44"/>
        <v>0</v>
      </c>
      <c r="AX37" s="821">
        <f t="shared" si="45"/>
        <v>0</v>
      </c>
      <c r="AY37" s="822">
        <f t="shared" si="46"/>
        <v>0</v>
      </c>
      <c r="AZ37" s="823">
        <f t="shared" si="47"/>
        <v>0</v>
      </c>
      <c r="BA37" s="824" t="str">
        <f t="shared" si="48"/>
        <v/>
      </c>
      <c r="BB37" s="798">
        <f t="shared" si="49"/>
        <v>0</v>
      </c>
      <c r="BC37" s="825" t="str">
        <f t="shared" si="50"/>
        <v/>
      </c>
      <c r="BD37" s="826">
        <f t="shared" si="51"/>
        <v>0</v>
      </c>
      <c r="BE37" s="827" t="str">
        <f t="shared" si="52"/>
        <v/>
      </c>
      <c r="BF37" s="828">
        <f>IF(OR($A37="",$F37=0),"",SUM(Errors!C35,Errors!J35))</f>
        <v>0</v>
      </c>
      <c r="BG37" s="793">
        <f>IF(OR($A37="",$F37=0),"",SUM(Errors!D35,Errors!K35))</f>
        <v>0</v>
      </c>
      <c r="BH37" s="793">
        <f>IF(OR($A37="",$F37=0),"",SUM(Errors!E35,Errors!L35))</f>
        <v>0</v>
      </c>
      <c r="BI37" s="793">
        <f>IF(OR($A37="",$F37=0),"",SUM(Errors!F35,Errors!M35))</f>
        <v>0</v>
      </c>
      <c r="BJ37" s="829">
        <f>IF(OR($A37="",$F37=0),"",SUM(Errors!G35,Errors!N35))</f>
        <v>0</v>
      </c>
      <c r="BK37" s="766">
        <f t="shared" si="53"/>
        <v>0</v>
      </c>
      <c r="BL37" s="830" t="str">
        <f t="shared" si="54"/>
        <v/>
      </c>
      <c r="BM37" s="830" t="str">
        <f t="shared" si="55"/>
        <v/>
      </c>
      <c r="BN37" s="817" t="str">
        <f t="shared" si="56"/>
        <v/>
      </c>
      <c r="BO37" s="818">
        <f>IF(OR($A37="",$F37=0),"",SUM(Errors!C63,Errors!J63))</f>
        <v>0</v>
      </c>
      <c r="BP37" s="819">
        <f>IF(OR($A37="",$F37=0),"",SUM(Errors!D63,Errors!K63))</f>
        <v>0</v>
      </c>
      <c r="BQ37" s="819">
        <f>IF(OR($A37="",$F37=0),"",SUM(Errors!E63,Errors!L63))</f>
        <v>0</v>
      </c>
      <c r="BR37" s="819">
        <f>IF(OR($A37="",$F37=0),"",SUM(Errors!F63,Errors!M63))</f>
        <v>0</v>
      </c>
      <c r="BS37" s="819">
        <f>IF(OR($A37="",$F37=0),"",SUM(Errors!G63,Errors!N63))</f>
        <v>0</v>
      </c>
      <c r="BT37" s="288">
        <f t="shared" si="57"/>
        <v>0</v>
      </c>
    </row>
    <row r="38" spans="1:72" s="108" customFormat="1" ht="19.5" customHeight="1" x14ac:dyDescent="0.3">
      <c r="A38" s="287" t="str">
        <f>IF(ISBLANK(IGRF!$H21),"",IGRF!$H21)</f>
        <v>5309</v>
      </c>
      <c r="B38" s="205" t="str">
        <f>IF(ISBLANK(IGRF!$I21),"",IGRF!$I21)</f>
        <v>Toxic Assets</v>
      </c>
      <c r="C38" s="206">
        <f>IF(A38="","",SUM(LU!AH19,LU!AH118))</f>
        <v>0</v>
      </c>
      <c r="D38" s="206">
        <f>IF(A38="","",SUM(LU!W19,LU!W118))</f>
        <v>0</v>
      </c>
      <c r="E38" s="207">
        <f>IF(A38="","",SUM(LU!AC19,LU!AC118))</f>
        <v>17</v>
      </c>
      <c r="F38" s="764">
        <f>IF(A38="","",(SUM(C38:E38)-(SUMPRODUCT(--(Lineups!AC$4:AC$41=A38),--(Lineups!AA$4:AA$41="SP"))+SUMPRODUCT(--(Lineups!AG$4:AG$41=A38),--(Lineups!AA$4:AA$41="SP"))+SUMPRODUCT(--(Lineups!AC$50:AC$87=A38),--(Lineups!AA$50:AA$87="SP"))+SUMPRODUCT(--(Lineups!AG$50:AG$87=A38),--(Lineups!AA$50:AA$87="SP")))))</f>
        <v>17</v>
      </c>
      <c r="G38" s="765">
        <f>IF(OR(A38="",F38=0,LU!D$3+LU!D$102=0),"",F38/(LU!D$3+LU!D$102))</f>
        <v>0.36170212765957449</v>
      </c>
      <c r="H38" s="766" t="str">
        <f>IF(OR(C38=0,A38=""),"",SK!T204)</f>
        <v/>
      </c>
      <c r="I38" s="767" t="str">
        <f ca="1">IF(OR(A38="",SK!U204="",SK!U204=0),"",H38/SK!U204)</f>
        <v/>
      </c>
      <c r="J38" s="786" t="str">
        <f>IF(OR(C38=0,A38=""),"",SK!W204)</f>
        <v/>
      </c>
      <c r="K38" s="787" t="str">
        <f>IF(OR(C38=0,A38=""),"",SK!X204)</f>
        <v/>
      </c>
      <c r="L38" s="788" t="str">
        <f>IF(OR(C38=0,A38=""),"",SK!Z204)</f>
        <v/>
      </c>
      <c r="M38" s="788" t="str">
        <f>IF(OR(C38=0,A38=""),"",SK!AB204)</f>
        <v/>
      </c>
      <c r="N38" s="789" t="str">
        <f t="shared" si="32"/>
        <v/>
      </c>
      <c r="O38" s="790" t="str">
        <f>IF(OR(A38="",C38=0),"",SK!Y204)</f>
        <v/>
      </c>
      <c r="P38" s="791" t="str">
        <f t="shared" si="33"/>
        <v/>
      </c>
      <c r="Q38" s="792">
        <f ca="1">IF(OR(A38="",F38=0),"",SUM(LU!AJ65,LU!AJ164))</f>
        <v>18</v>
      </c>
      <c r="R38" s="793">
        <f ca="1">IF(OR(A38="",F38=0),"",SUM(LU!AJ88,LU!AJ187))</f>
        <v>110</v>
      </c>
      <c r="S38" s="766">
        <f ca="1">IF(OR(A38="",F38=0),"",SUM(LU!AJ42,LU!AJ141))</f>
        <v>-92</v>
      </c>
      <c r="T38" s="793" t="str">
        <f>IF(OR(A38="",C38=0),"",SUM(LU!AH42,LU!AH141))</f>
        <v/>
      </c>
      <c r="U38" s="794" t="str">
        <f t="shared" si="34"/>
        <v/>
      </c>
      <c r="V38" s="795" t="str">
        <f>IF(OR(A38="",D38=0),"",SUM(LU!W42,LU!W141))</f>
        <v/>
      </c>
      <c r="W38" s="794" t="str">
        <f t="shared" si="35"/>
        <v/>
      </c>
      <c r="X38" s="795">
        <f ca="1">IF(OR(A38="",E38=0),"",SUM(LU!AC42,LU!AC141))</f>
        <v>-92</v>
      </c>
      <c r="Y38" s="794">
        <f t="shared" ca="1" si="36"/>
        <v>-5.4117647058823533</v>
      </c>
      <c r="Z38" s="791">
        <f t="shared" ca="1" si="37"/>
        <v>-5.4117647058823533</v>
      </c>
      <c r="AA38" s="796">
        <f ca="1">IF(OR(A38="",F38=0,Q$48="-",LU!$W$5=0),"",Q38-Q$48)</f>
        <v>-9.5</v>
      </c>
      <c r="AB38" s="797">
        <f ca="1">IF(OR(A38="",F38=0,R$48="-",LU!$W$5=0),"",R38-R$48)</f>
        <v>22.5</v>
      </c>
      <c r="AC38" s="798">
        <f t="shared" ca="1" si="38"/>
        <v>-32</v>
      </c>
      <c r="AD38" s="799" t="str">
        <f t="shared" si="39"/>
        <v/>
      </c>
      <c r="AE38" s="799" t="str">
        <f t="shared" si="40"/>
        <v/>
      </c>
      <c r="AF38" s="800">
        <f t="shared" ca="1" si="41"/>
        <v>-1.7696316009934931</v>
      </c>
      <c r="AG38" s="801">
        <f ca="1">IF(OR($A38="",Z38="",Z$48="-",LU!$W$5=0),"",Z38-Z$48)</f>
        <v>-1.4461365797619239</v>
      </c>
      <c r="AH38" s="1111">
        <f>IF(OR(A38="",F38=0),"",SUM(PT!U76,PT!U77))</f>
        <v>0</v>
      </c>
      <c r="AI38" s="1112"/>
      <c r="AJ38" s="287" t="str">
        <f t="shared" si="42"/>
        <v>5309</v>
      </c>
      <c r="AK38" s="208" t="str">
        <f t="shared" si="31"/>
        <v>Toxic Assets</v>
      </c>
      <c r="AL38" s="818">
        <f>IF(OR($A38="",$F38=0),"",SUM(Actions!C36,Actions!J36))</f>
        <v>0</v>
      </c>
      <c r="AM38" s="819">
        <f>IF(OR($A38="",$F38=0),"",SUM(Actions!D36,Actions!K36))</f>
        <v>0</v>
      </c>
      <c r="AN38" s="819">
        <f>IF(OR($A38="",$F38=0),"",SUM(Actions!E36,Actions!L36))</f>
        <v>0</v>
      </c>
      <c r="AO38" s="819">
        <f>IF(OR($A38="",$F38=0),"",SUM(Actions!F36,Actions!M36))</f>
        <v>0</v>
      </c>
      <c r="AP38" s="819">
        <f>IF(OR($A38="",$F38=0),"",SUM(Actions!G36,Actions!N36))</f>
        <v>0</v>
      </c>
      <c r="AQ38" s="820">
        <f t="shared" si="43"/>
        <v>0</v>
      </c>
      <c r="AR38" s="792">
        <f>IF(OR($A38="",$F38=0),"",SUM(Actions!C64,Actions!J64))</f>
        <v>0</v>
      </c>
      <c r="AS38" s="793">
        <f>IF(OR($A38="",$F38=0),"",SUM(Actions!D64,Actions!K64))</f>
        <v>0</v>
      </c>
      <c r="AT38" s="793">
        <f>IF(OR($A38="",$F38=0),"",SUM(Actions!E64,Actions!L64))</f>
        <v>0</v>
      </c>
      <c r="AU38" s="793">
        <f>IF(OR($A38="",$F38=0),"",SUM(Actions!F64,Actions!M64))</f>
        <v>0</v>
      </c>
      <c r="AV38" s="793">
        <f>IF(OR($A38="",$F38=0),"",SUM(Actions!G64,Actions!N64))</f>
        <v>0</v>
      </c>
      <c r="AW38" s="766">
        <f t="shared" si="44"/>
        <v>0</v>
      </c>
      <c r="AX38" s="821">
        <f t="shared" si="45"/>
        <v>0</v>
      </c>
      <c r="AY38" s="822">
        <f t="shared" si="46"/>
        <v>0</v>
      </c>
      <c r="AZ38" s="823">
        <f t="shared" si="47"/>
        <v>0</v>
      </c>
      <c r="BA38" s="824" t="str">
        <f t="shared" si="48"/>
        <v/>
      </c>
      <c r="BB38" s="798">
        <f t="shared" si="49"/>
        <v>0</v>
      </c>
      <c r="BC38" s="825" t="str">
        <f t="shared" si="50"/>
        <v/>
      </c>
      <c r="BD38" s="826">
        <f t="shared" si="51"/>
        <v>0</v>
      </c>
      <c r="BE38" s="827" t="str">
        <f t="shared" si="52"/>
        <v/>
      </c>
      <c r="BF38" s="828">
        <f>IF(OR($A38="",$F38=0),"",SUM(Errors!C36,Errors!J36))</f>
        <v>0</v>
      </c>
      <c r="BG38" s="793">
        <f>IF(OR($A38="",$F38=0),"",SUM(Errors!D36,Errors!K36))</f>
        <v>0</v>
      </c>
      <c r="BH38" s="793">
        <f>IF(OR($A38="",$F38=0),"",SUM(Errors!E36,Errors!L36))</f>
        <v>0</v>
      </c>
      <c r="BI38" s="793">
        <f>IF(OR($A38="",$F38=0),"",SUM(Errors!F36,Errors!M36))</f>
        <v>0</v>
      </c>
      <c r="BJ38" s="829">
        <f>IF(OR($A38="",$F38=0),"",SUM(Errors!G36,Errors!N36))</f>
        <v>0</v>
      </c>
      <c r="BK38" s="766">
        <f t="shared" si="53"/>
        <v>0</v>
      </c>
      <c r="BL38" s="830" t="str">
        <f t="shared" si="54"/>
        <v/>
      </c>
      <c r="BM38" s="830" t="str">
        <f t="shared" si="55"/>
        <v/>
      </c>
      <c r="BN38" s="817" t="str">
        <f t="shared" si="56"/>
        <v/>
      </c>
      <c r="BO38" s="818">
        <f>IF(OR($A38="",$F38=0),"",SUM(Errors!C64,Errors!J64))</f>
        <v>0</v>
      </c>
      <c r="BP38" s="819">
        <f>IF(OR($A38="",$F38=0),"",SUM(Errors!D64,Errors!K64))</f>
        <v>0</v>
      </c>
      <c r="BQ38" s="819">
        <f>IF(OR($A38="",$F38=0),"",SUM(Errors!E64,Errors!L64))</f>
        <v>0</v>
      </c>
      <c r="BR38" s="819">
        <f>IF(OR($A38="",$F38=0),"",SUM(Errors!F64,Errors!M64))</f>
        <v>0</v>
      </c>
      <c r="BS38" s="819">
        <f>IF(OR($A38="",$F38=0),"",SUM(Errors!G64,Errors!N64))</f>
        <v>0</v>
      </c>
      <c r="BT38" s="288" t="str">
        <f t="shared" si="57"/>
        <v/>
      </c>
    </row>
    <row r="39" spans="1:72" s="108" customFormat="1" ht="19.95" customHeight="1" x14ac:dyDescent="0.3">
      <c r="A39" s="287" t="str">
        <f>IF(ISBLANK(IGRF!$H22),"",IGRF!$H22)</f>
        <v>69</v>
      </c>
      <c r="B39" s="205" t="str">
        <f>IF(ISBLANK(IGRF!$I22),"",IGRF!$I22)</f>
        <v>Death By Chocolate</v>
      </c>
      <c r="C39" s="206">
        <f>IF(A39="","",SUM(LU!AH20,LU!AH119))</f>
        <v>16</v>
      </c>
      <c r="D39" s="206">
        <f>IF(A39="","",SUM(LU!W20,LU!W119))</f>
        <v>0</v>
      </c>
      <c r="E39" s="207">
        <f>IF(A39="","",SUM(LU!AC20,LU!AC119))</f>
        <v>0</v>
      </c>
      <c r="F39" s="764">
        <f>IF(A39="","",(SUM(C39:E39)-(SUMPRODUCT(--(Lineups!AC$4:AC$41=A39),--(Lineups!AA$4:AA$41="SP"))+SUMPRODUCT(--(Lineups!AG$4:AG$41=A39),--(Lineups!AA$4:AA$41="SP"))+SUMPRODUCT(--(Lineups!AC$50:AC$87=A39),--(Lineups!AA$50:AA$87="SP"))+SUMPRODUCT(--(Lineups!AG$50:AG$87=A39),--(Lineups!AA$50:AA$87="SP")))))</f>
        <v>16</v>
      </c>
      <c r="G39" s="765">
        <f>IF(OR(A39="",F39=0,LU!D$3+LU!D$102=0),"",F39/(LU!D$3+LU!D$102))</f>
        <v>0.34042553191489361</v>
      </c>
      <c r="H39" s="766">
        <f ca="1">IF(OR(C39=0,A39=""),"",SK!T207)</f>
        <v>15</v>
      </c>
      <c r="I39" s="767">
        <f ca="1">IF(OR(A39="",SK!U207="",SK!U207=0),"",H39/SK!U207)</f>
        <v>0.9375</v>
      </c>
      <c r="J39" s="786">
        <f ca="1">IF(OR(C39=0,A39=""),"",SK!W207)</f>
        <v>1</v>
      </c>
      <c r="K39" s="787">
        <f ca="1">IF(OR(C39=0,A39=""),"",SK!X207)</f>
        <v>8</v>
      </c>
      <c r="L39" s="788">
        <f ca="1">IF(OR(C39=0,A39=""),"",SK!Z207)</f>
        <v>8</v>
      </c>
      <c r="M39" s="788">
        <f ca="1">IF(OR(C39=0,A39=""),"",SK!AB207)</f>
        <v>4</v>
      </c>
      <c r="N39" s="789">
        <f t="shared" ca="1" si="32"/>
        <v>0.5</v>
      </c>
      <c r="O39" s="790">
        <f ca="1">IF(OR(A39="",C39=0),"",SK!Y207)</f>
        <v>7</v>
      </c>
      <c r="P39" s="791">
        <f t="shared" ca="1" si="33"/>
        <v>0.875</v>
      </c>
      <c r="Q39" s="792">
        <f ca="1">IF(OR(A39="",F39=0),"",SUM(LU!AJ66,LU!AJ165))</f>
        <v>15</v>
      </c>
      <c r="R39" s="793">
        <f ca="1">IF(OR(A39="",F39=0),"",SUM(LU!AJ89,LU!AJ188))</f>
        <v>99</v>
      </c>
      <c r="S39" s="766">
        <f ca="1">IF(OR(A39="",F39=0),"",SUM(LU!AJ43,LU!AJ142))</f>
        <v>-84</v>
      </c>
      <c r="T39" s="793">
        <f ca="1">IF(OR(A39="",C39=0),"",SUM(LU!AH43,LU!AH142))</f>
        <v>-84</v>
      </c>
      <c r="U39" s="794">
        <f t="shared" ca="1" si="34"/>
        <v>-5.25</v>
      </c>
      <c r="V39" s="795" t="str">
        <f>IF(OR(A39="",D39=0),"",SUM(LU!W43,LU!W142))</f>
        <v/>
      </c>
      <c r="W39" s="794" t="str">
        <f t="shared" si="35"/>
        <v/>
      </c>
      <c r="X39" s="795" t="str">
        <f>IF(OR(A39="",E39=0),"",SUM(LU!AC43,LU!AC142))</f>
        <v/>
      </c>
      <c r="Y39" s="794" t="str">
        <f t="shared" si="36"/>
        <v/>
      </c>
      <c r="Z39" s="791">
        <f t="shared" ca="1" si="37"/>
        <v>-5.25</v>
      </c>
      <c r="AA39" s="796">
        <f ca="1">IF(OR(A39="",F39=0,Q$48="-",LU!$W$5=0),"",Q39-Q$48)</f>
        <v>-12.5</v>
      </c>
      <c r="AB39" s="797">
        <f ca="1">IF(OR(A39="",F39=0,R$48="-",LU!$W$5=0),"",R39-R$48)</f>
        <v>11.5</v>
      </c>
      <c r="AC39" s="798">
        <f t="shared" ca="1" si="38"/>
        <v>-24</v>
      </c>
      <c r="AD39" s="799">
        <f t="shared" ca="1" si="39"/>
        <v>0.61440058479532134</v>
      </c>
      <c r="AE39" s="799" t="str">
        <f t="shared" si="40"/>
        <v/>
      </c>
      <c r="AF39" s="800" t="str">
        <f t="shared" si="41"/>
        <v/>
      </c>
      <c r="AG39" s="801">
        <f ca="1">IF(OR($A39="",Z39="",Z$48="-",LU!$W$5=0),"",Z39-Z$48)</f>
        <v>-1.2843718738795706</v>
      </c>
      <c r="AH39" s="1111">
        <f>IF(OR(A39="",F39=0),"",SUM(PT!U78,PT!U79))</f>
        <v>3</v>
      </c>
      <c r="AI39" s="1112"/>
      <c r="AJ39" s="287" t="str">
        <f t="shared" si="42"/>
        <v>69</v>
      </c>
      <c r="AK39" s="208" t="str">
        <f t="shared" si="31"/>
        <v>Death By Chocolate</v>
      </c>
      <c r="AL39" s="818">
        <f>IF(OR($A39="",$F39=0),"",SUM(Actions!C37,Actions!J37))</f>
        <v>0</v>
      </c>
      <c r="AM39" s="819">
        <f>IF(OR($A39="",$F39=0),"",SUM(Actions!D37,Actions!K37))</f>
        <v>0</v>
      </c>
      <c r="AN39" s="819">
        <f>IF(OR($A39="",$F39=0),"",SUM(Actions!E37,Actions!L37))</f>
        <v>0</v>
      </c>
      <c r="AO39" s="819">
        <f>IF(OR($A39="",$F39=0),"",SUM(Actions!F37,Actions!M37))</f>
        <v>0</v>
      </c>
      <c r="AP39" s="819">
        <f>IF(OR($A39="",$F39=0),"",SUM(Actions!G37,Actions!N37))</f>
        <v>0</v>
      </c>
      <c r="AQ39" s="820">
        <f t="shared" si="43"/>
        <v>0</v>
      </c>
      <c r="AR39" s="792">
        <f>IF(OR($A39="",$F39=0),"",SUM(Actions!C65,Actions!J65))</f>
        <v>0</v>
      </c>
      <c r="AS39" s="793">
        <f>IF(OR($A39="",$F39=0),"",SUM(Actions!D65,Actions!K65))</f>
        <v>0</v>
      </c>
      <c r="AT39" s="793">
        <f>IF(OR($A39="",$F39=0),"",SUM(Actions!E65,Actions!L65))</f>
        <v>0</v>
      </c>
      <c r="AU39" s="793">
        <f>IF(OR($A39="",$F39=0),"",SUM(Actions!F65,Actions!M65))</f>
        <v>0</v>
      </c>
      <c r="AV39" s="793">
        <f>IF(OR($A39="",$F39=0),"",SUM(Actions!G65,Actions!N65))</f>
        <v>0</v>
      </c>
      <c r="AW39" s="766">
        <f t="shared" si="44"/>
        <v>0</v>
      </c>
      <c r="AX39" s="821">
        <f t="shared" si="45"/>
        <v>0</v>
      </c>
      <c r="AY39" s="822">
        <f t="shared" si="46"/>
        <v>0</v>
      </c>
      <c r="AZ39" s="823">
        <f t="shared" si="47"/>
        <v>0</v>
      </c>
      <c r="BA39" s="824" t="str">
        <f t="shared" si="48"/>
        <v/>
      </c>
      <c r="BB39" s="798">
        <f t="shared" si="49"/>
        <v>0</v>
      </c>
      <c r="BC39" s="825" t="str">
        <f t="shared" si="50"/>
        <v/>
      </c>
      <c r="BD39" s="826">
        <f t="shared" si="51"/>
        <v>0</v>
      </c>
      <c r="BE39" s="827" t="str">
        <f t="shared" si="52"/>
        <v/>
      </c>
      <c r="BF39" s="828">
        <f>IF(OR($A39="",$F39=0),"",SUM(Errors!C37,Errors!J37))</f>
        <v>0</v>
      </c>
      <c r="BG39" s="793">
        <f>IF(OR($A39="",$F39=0),"",SUM(Errors!D37,Errors!K37))</f>
        <v>0</v>
      </c>
      <c r="BH39" s="793">
        <f>IF(OR($A39="",$F39=0),"",SUM(Errors!E37,Errors!L37))</f>
        <v>0</v>
      </c>
      <c r="BI39" s="793">
        <f>IF(OR($A39="",$F39=0),"",SUM(Errors!F37,Errors!M37))</f>
        <v>0</v>
      </c>
      <c r="BJ39" s="829">
        <f>IF(OR($A39="",$F39=0),"",SUM(Errors!G37,Errors!N37))</f>
        <v>0</v>
      </c>
      <c r="BK39" s="766">
        <f t="shared" si="53"/>
        <v>0</v>
      </c>
      <c r="BL39" s="830" t="str">
        <f t="shared" si="54"/>
        <v/>
      </c>
      <c r="BM39" s="830" t="str">
        <f t="shared" si="55"/>
        <v/>
      </c>
      <c r="BN39" s="817" t="str">
        <f t="shared" si="56"/>
        <v/>
      </c>
      <c r="BO39" s="818">
        <f>IF(OR($A39="",$F39=0),"",SUM(Errors!C65,Errors!J65))</f>
        <v>0</v>
      </c>
      <c r="BP39" s="819">
        <f>IF(OR($A39="",$F39=0),"",SUM(Errors!D65,Errors!K65))</f>
        <v>0</v>
      </c>
      <c r="BQ39" s="819">
        <f>IF(OR($A39="",$F39=0),"",SUM(Errors!E65,Errors!L65))</f>
        <v>0</v>
      </c>
      <c r="BR39" s="819">
        <f>IF(OR($A39="",$F39=0),"",SUM(Errors!F65,Errors!M65))</f>
        <v>0</v>
      </c>
      <c r="BS39" s="819">
        <f>IF(OR($A39="",$F39=0),"",SUM(Errors!G65,Errors!N65))</f>
        <v>0</v>
      </c>
      <c r="BT39" s="288">
        <f t="shared" si="57"/>
        <v>0</v>
      </c>
    </row>
    <row r="40" spans="1:72" s="108" customFormat="1" ht="19.95" customHeight="1" x14ac:dyDescent="0.3">
      <c r="A40" s="287" t="str">
        <f>IF(ISBLANK(IGRF!$H23),"",IGRF!$H23)</f>
        <v>9</v>
      </c>
      <c r="B40" s="205" t="str">
        <f>IF(ISBLANK(IGRF!$I23),"",IGRF!$I23)</f>
        <v>Big Bad Voodoo Dollie</v>
      </c>
      <c r="C40" s="206">
        <f>IF(A40="","",SUM(LU!AH21,LU!AH120))</f>
        <v>9</v>
      </c>
      <c r="D40" s="206">
        <f>IF(A40="","",SUM(LU!W21,LU!W120))</f>
        <v>0</v>
      </c>
      <c r="E40" s="207">
        <f>IF(A40="","",SUM(LU!AC21,LU!AC120))</f>
        <v>0</v>
      </c>
      <c r="F40" s="764">
        <f>IF(A40="","",(SUM(C40:E40)-(SUMPRODUCT(--(Lineups!AC$4:AC$41=A40),--(Lineups!AA$4:AA$41="SP"))+SUMPRODUCT(--(Lineups!AG$4:AG$41=A40),--(Lineups!AA$4:AA$41="SP"))+SUMPRODUCT(--(Lineups!AC$50:AC$87=A40),--(Lineups!AA$50:AA$87="SP"))+SUMPRODUCT(--(Lineups!AG$50:AG$87=A40),--(Lineups!AA$50:AA$87="SP")))))</f>
        <v>9</v>
      </c>
      <c r="G40" s="765">
        <f>IF(OR(A40="",F40=0,LU!D$3+LU!D$102=0),"",F40/(LU!D$3+LU!D$102))</f>
        <v>0.19148936170212766</v>
      </c>
      <c r="H40" s="766">
        <f ca="1">IF(OR(C40=0,A40=""),"",SK!T210)</f>
        <v>26</v>
      </c>
      <c r="I40" s="767">
        <f ca="1">IF(OR(A40="",SK!U210="",SK!U210=0),"",H40/SK!U210)</f>
        <v>2.8888888888888888</v>
      </c>
      <c r="J40" s="786">
        <f ca="1">IF(OR(C40=0,A40=""),"",SK!W210)</f>
        <v>0</v>
      </c>
      <c r="K40" s="787">
        <f ca="1">IF(OR(C40=0,A40=""),"",SK!X210)</f>
        <v>4</v>
      </c>
      <c r="L40" s="788">
        <f ca="1">IF(OR(C40=0,A40=""),"",SK!Z210)</f>
        <v>4</v>
      </c>
      <c r="M40" s="788">
        <f ca="1">IF(OR(C40=0,A40=""),"",SK!AB210)</f>
        <v>1</v>
      </c>
      <c r="N40" s="789">
        <f t="shared" ca="1" si="32"/>
        <v>0.44444444444444442</v>
      </c>
      <c r="O40" s="790">
        <f ca="1">IF(OR(A40="",C40=0),"",SK!Y210)</f>
        <v>12</v>
      </c>
      <c r="P40" s="791">
        <f t="shared" ca="1" si="33"/>
        <v>3</v>
      </c>
      <c r="Q40" s="792">
        <f ca="1">IF(OR(A40="",F40=0),"",SUM(LU!AJ67,LU!AJ166))</f>
        <v>26</v>
      </c>
      <c r="R40" s="793">
        <f ca="1">IF(OR(A40="",F40=0),"",SUM(LU!AJ90,LU!AJ189))</f>
        <v>39</v>
      </c>
      <c r="S40" s="766">
        <f ca="1">IF(OR(A40="",F40=0),"",SUM(LU!AJ44,LU!AJ143))</f>
        <v>-13</v>
      </c>
      <c r="T40" s="793">
        <f ca="1">IF(OR(A40="",C40=0),"",SUM(LU!AH44,LU!AH143))</f>
        <v>-13</v>
      </c>
      <c r="U40" s="794">
        <f t="shared" ca="1" si="34"/>
        <v>-1.4444444444444444</v>
      </c>
      <c r="V40" s="795" t="str">
        <f>IF(OR(A40="",D40=0),"",SUM(LU!W44,LU!W143))</f>
        <v/>
      </c>
      <c r="W40" s="794" t="str">
        <f t="shared" si="35"/>
        <v/>
      </c>
      <c r="X40" s="795" t="str">
        <f>IF(OR(A40="",E40=0),"",SUM(LU!AC44,LU!AC143))</f>
        <v/>
      </c>
      <c r="Y40" s="794" t="str">
        <f t="shared" si="36"/>
        <v/>
      </c>
      <c r="Z40" s="791">
        <f t="shared" ca="1" si="37"/>
        <v>-1.4444444444444444</v>
      </c>
      <c r="AA40" s="796">
        <f ca="1">IF(OR(A40="",F40=0,Q$48="-",LU!$W$5=0),"",Q40-Q$48)</f>
        <v>-1.5</v>
      </c>
      <c r="AB40" s="797">
        <f ca="1">IF(OR(A40="",F40=0,R$48="-",LU!$W$5=0),"",R40-R$48)</f>
        <v>-48.5</v>
      </c>
      <c r="AC40" s="798">
        <f t="shared" ca="1" si="38"/>
        <v>47</v>
      </c>
      <c r="AD40" s="799">
        <f t="shared" ca="1" si="39"/>
        <v>4.4199561403508767</v>
      </c>
      <c r="AE40" s="799" t="str">
        <f t="shared" si="40"/>
        <v/>
      </c>
      <c r="AF40" s="800" t="str">
        <f t="shared" si="41"/>
        <v/>
      </c>
      <c r="AG40" s="801">
        <f ca="1">IF(OR($A40="",Z40="",Z$48="-",LU!$W$5=0),"",Z40-Z$48)</f>
        <v>2.5211836816759847</v>
      </c>
      <c r="AH40" s="1111">
        <f>IF(OR(A40="",F40=0),"",SUM(PT!U80,PT!U81))</f>
        <v>0</v>
      </c>
      <c r="AI40" s="1112"/>
      <c r="AJ40" s="287" t="str">
        <f t="shared" si="42"/>
        <v>9</v>
      </c>
      <c r="AK40" s="208" t="str">
        <f t="shared" si="31"/>
        <v>Big Bad Voodoo Dollie</v>
      </c>
      <c r="AL40" s="818">
        <f>IF(OR($A40="",$F40=0),"",SUM(Actions!C38,Actions!J38))</f>
        <v>0</v>
      </c>
      <c r="AM40" s="819">
        <f>IF(OR($A40="",$F40=0),"",SUM(Actions!D38,Actions!K38))</f>
        <v>0</v>
      </c>
      <c r="AN40" s="819">
        <f>IF(OR($A40="",$F40=0),"",SUM(Actions!E38,Actions!L38))</f>
        <v>0</v>
      </c>
      <c r="AO40" s="819">
        <f>IF(OR($A40="",$F40=0),"",SUM(Actions!F38,Actions!M38))</f>
        <v>0</v>
      </c>
      <c r="AP40" s="819">
        <f>IF(OR($A40="",$F40=0),"",SUM(Actions!G38,Actions!N38))</f>
        <v>0</v>
      </c>
      <c r="AQ40" s="820">
        <f t="shared" si="43"/>
        <v>0</v>
      </c>
      <c r="AR40" s="792">
        <f>IF(OR($A40="",$F40=0),"",SUM(Actions!C66,Actions!J66))</f>
        <v>0</v>
      </c>
      <c r="AS40" s="793">
        <f>IF(OR($A40="",$F40=0),"",SUM(Actions!D66,Actions!K66))</f>
        <v>0</v>
      </c>
      <c r="AT40" s="793">
        <f>IF(OR($A40="",$F40=0),"",SUM(Actions!E66,Actions!L66))</f>
        <v>0</v>
      </c>
      <c r="AU40" s="793">
        <f>IF(OR($A40="",$F40=0),"",SUM(Actions!F66,Actions!M66))</f>
        <v>0</v>
      </c>
      <c r="AV40" s="793">
        <f>IF(OR($A40="",$F40=0),"",SUM(Actions!G66,Actions!N66))</f>
        <v>0</v>
      </c>
      <c r="AW40" s="766">
        <f t="shared" si="44"/>
        <v>0</v>
      </c>
      <c r="AX40" s="821">
        <f t="shared" si="45"/>
        <v>0</v>
      </c>
      <c r="AY40" s="822">
        <f t="shared" si="46"/>
        <v>0</v>
      </c>
      <c r="AZ40" s="823">
        <f t="shared" si="47"/>
        <v>0</v>
      </c>
      <c r="BA40" s="824" t="str">
        <f t="shared" si="48"/>
        <v/>
      </c>
      <c r="BB40" s="798">
        <f t="shared" si="49"/>
        <v>0</v>
      </c>
      <c r="BC40" s="825" t="str">
        <f t="shared" si="50"/>
        <v/>
      </c>
      <c r="BD40" s="826">
        <f t="shared" si="51"/>
        <v>0</v>
      </c>
      <c r="BE40" s="827" t="str">
        <f t="shared" si="52"/>
        <v/>
      </c>
      <c r="BF40" s="828">
        <f>IF(OR($A40="",$F40=0),"",SUM(Errors!C38,Errors!J38))</f>
        <v>0</v>
      </c>
      <c r="BG40" s="793">
        <f>IF(OR($A40="",$F40=0),"",SUM(Errors!D38,Errors!K38))</f>
        <v>0</v>
      </c>
      <c r="BH40" s="793">
        <f>IF(OR($A40="",$F40=0),"",SUM(Errors!E38,Errors!L38))</f>
        <v>0</v>
      </c>
      <c r="BI40" s="793">
        <f>IF(OR($A40="",$F40=0),"",SUM(Errors!F38,Errors!M38))</f>
        <v>0</v>
      </c>
      <c r="BJ40" s="829">
        <f>IF(OR($A40="",$F40=0),"",SUM(Errors!G38,Errors!N38))</f>
        <v>0</v>
      </c>
      <c r="BK40" s="766">
        <f t="shared" si="53"/>
        <v>0</v>
      </c>
      <c r="BL40" s="830" t="str">
        <f t="shared" si="54"/>
        <v/>
      </c>
      <c r="BM40" s="830" t="str">
        <f t="shared" si="55"/>
        <v/>
      </c>
      <c r="BN40" s="817" t="str">
        <f t="shared" si="56"/>
        <v/>
      </c>
      <c r="BO40" s="818">
        <f>IF(OR($A40="",$F40=0),"",SUM(Errors!C66,Errors!J66))</f>
        <v>0</v>
      </c>
      <c r="BP40" s="819">
        <f>IF(OR($A40="",$F40=0),"",SUM(Errors!D66,Errors!K66))</f>
        <v>0</v>
      </c>
      <c r="BQ40" s="819">
        <f>IF(OR($A40="",$F40=0),"",SUM(Errors!E66,Errors!L66))</f>
        <v>0</v>
      </c>
      <c r="BR40" s="819">
        <f>IF(OR($A40="",$F40=0),"",SUM(Errors!F66,Errors!M66))</f>
        <v>0</v>
      </c>
      <c r="BS40" s="819">
        <f>IF(OR($A40="",$F40=0),"",SUM(Errors!G66,Errors!N66))</f>
        <v>0</v>
      </c>
      <c r="BT40" s="288">
        <f t="shared" si="57"/>
        <v>0</v>
      </c>
    </row>
    <row r="41" spans="1:72" s="108" customFormat="1" ht="19.95" customHeight="1" x14ac:dyDescent="0.3">
      <c r="A41" s="287" t="str">
        <f>IF(ISBLANK(IGRF!$H24),"",IGRF!$H24)</f>
        <v>93</v>
      </c>
      <c r="B41" s="205" t="str">
        <f>IF(ISBLANK(IGRF!$I24),"",IGRF!$I24)</f>
        <v>Erma Gerd</v>
      </c>
      <c r="C41" s="206">
        <f>IF(A41="","",SUM(LU!AH22,LU!AH121))</f>
        <v>0</v>
      </c>
      <c r="D41" s="206">
        <f>IF(A41="","",SUM(LU!W22,LU!W121))</f>
        <v>0</v>
      </c>
      <c r="E41" s="207">
        <f>IF(A41="","",SUM(LU!AC22,LU!AC121))</f>
        <v>20</v>
      </c>
      <c r="F41" s="764">
        <f>IF(A41="","",(SUM(C41:E41)-(SUMPRODUCT(--(Lineups!AC$4:AC$41=A41),--(Lineups!AA$4:AA$41="SP"))+SUMPRODUCT(--(Lineups!AG$4:AG$41=A41),--(Lineups!AA$4:AA$41="SP"))+SUMPRODUCT(--(Lineups!AC$50:AC$87=A41),--(Lineups!AA$50:AA$87="SP"))+SUMPRODUCT(--(Lineups!AG$50:AG$87=A41),--(Lineups!AA$50:AA$87="SP")))))</f>
        <v>20</v>
      </c>
      <c r="G41" s="765">
        <f>IF(OR(A41="",F41=0,LU!D$3+LU!D$102=0),"",F41/(LU!D$3+LU!D$102))</f>
        <v>0.42553191489361702</v>
      </c>
      <c r="H41" s="766" t="str">
        <f>IF(OR(C41=0,A41=""),"",SK!T213)</f>
        <v/>
      </c>
      <c r="I41" s="767" t="str">
        <f ca="1">IF(OR(A41="",SK!U213="",SK!U213=0),"",H41/SK!U213)</f>
        <v/>
      </c>
      <c r="J41" s="786" t="str">
        <f>IF(OR(C41=0,A41=""),"",SK!W213)</f>
        <v/>
      </c>
      <c r="K41" s="787" t="str">
        <f>IF(OR(C41=0,A41=""),"",SK!X213)</f>
        <v/>
      </c>
      <c r="L41" s="788" t="str">
        <f>IF(OR(C41=0,A41=""),"",SK!Z213)</f>
        <v/>
      </c>
      <c r="M41" s="788" t="str">
        <f>IF(OR(C41=0,A41=""),"",SK!AB213)</f>
        <v/>
      </c>
      <c r="N41" s="789" t="str">
        <f t="shared" si="32"/>
        <v/>
      </c>
      <c r="O41" s="790" t="str">
        <f>IF(OR(A41="",C41=0),"",SK!Y213)</f>
        <v/>
      </c>
      <c r="P41" s="791" t="str">
        <f t="shared" si="33"/>
        <v/>
      </c>
      <c r="Q41" s="792">
        <f ca="1">IF(OR(A41="",F41=0),"",SUM(LU!AJ68,LU!AJ167))</f>
        <v>46</v>
      </c>
      <c r="R41" s="793">
        <f ca="1">IF(OR(A41="",F41=0),"",SUM(LU!AJ91,LU!AJ190))</f>
        <v>96</v>
      </c>
      <c r="S41" s="766">
        <f ca="1">IF(OR(A41="",F41=0),"",SUM(LU!AJ45,LU!AJ144))</f>
        <v>-50</v>
      </c>
      <c r="T41" s="793" t="str">
        <f>IF(OR(A41="",C41=0),"",SUM(LU!AH45,LU!AH144))</f>
        <v/>
      </c>
      <c r="U41" s="794" t="str">
        <f t="shared" si="34"/>
        <v/>
      </c>
      <c r="V41" s="795" t="str">
        <f>IF(OR(A41="",D41=0),"",SUM(LU!W45,LU!W144))</f>
        <v/>
      </c>
      <c r="W41" s="794" t="str">
        <f t="shared" si="35"/>
        <v/>
      </c>
      <c r="X41" s="795">
        <f ca="1">IF(OR(A41="",E41=0),"",SUM(LU!AC45,LU!AC144))</f>
        <v>-50</v>
      </c>
      <c r="Y41" s="794">
        <f t="shared" ca="1" si="36"/>
        <v>-2.5</v>
      </c>
      <c r="Z41" s="791">
        <f t="shared" ca="1" si="37"/>
        <v>-2.5</v>
      </c>
      <c r="AA41" s="796">
        <f ca="1">IF(OR(A41="",F41=0,Q$48="-",LU!$W$5=0),"",Q41-Q$48)</f>
        <v>18.5</v>
      </c>
      <c r="AB41" s="797">
        <f ca="1">IF(OR(A41="",F41=0,R$48="-",LU!$W$5=0),"",R41-R$48)</f>
        <v>8.5</v>
      </c>
      <c r="AC41" s="798">
        <f t="shared" ca="1" si="38"/>
        <v>10</v>
      </c>
      <c r="AD41" s="799" t="str">
        <f t="shared" si="39"/>
        <v/>
      </c>
      <c r="AE41" s="799" t="str">
        <f t="shared" si="40"/>
        <v/>
      </c>
      <c r="AF41" s="800">
        <f t="shared" ca="1" si="41"/>
        <v>1.1421331048888601</v>
      </c>
      <c r="AG41" s="801">
        <f ca="1">IF(OR($A41="",Z41="",Z$48="-",LU!$W$5=0),"",Z41-Z$48)</f>
        <v>1.4656281261204294</v>
      </c>
      <c r="AH41" s="1111">
        <f>IF(OR(A41="",F41=0),"",SUM(PT!U82,PT!U83))</f>
        <v>3</v>
      </c>
      <c r="AI41" s="1112"/>
      <c r="AJ41" s="287" t="str">
        <f t="shared" si="42"/>
        <v>93</v>
      </c>
      <c r="AK41" s="208" t="str">
        <f t="shared" si="31"/>
        <v>Erma Gerd</v>
      </c>
      <c r="AL41" s="818">
        <f>IF(OR($A41="",$F41=0),"",SUM(Actions!C39,Actions!J39))</f>
        <v>0</v>
      </c>
      <c r="AM41" s="819">
        <f>IF(OR($A41="",$F41=0),"",SUM(Actions!D39,Actions!K39))</f>
        <v>0</v>
      </c>
      <c r="AN41" s="819">
        <f>IF(OR($A41="",$F41=0),"",SUM(Actions!E39,Actions!L39))</f>
        <v>0</v>
      </c>
      <c r="AO41" s="819">
        <f>IF(OR($A41="",$F41=0),"",SUM(Actions!F39,Actions!M39))</f>
        <v>0</v>
      </c>
      <c r="AP41" s="819">
        <f>IF(OR($A41="",$F41=0),"",SUM(Actions!G39,Actions!N39))</f>
        <v>0</v>
      </c>
      <c r="AQ41" s="820">
        <f t="shared" si="43"/>
        <v>0</v>
      </c>
      <c r="AR41" s="792">
        <f>IF(OR($A41="",$F41=0),"",SUM(Actions!C67,Actions!J67))</f>
        <v>0</v>
      </c>
      <c r="AS41" s="793">
        <f>IF(OR($A41="",$F41=0),"",SUM(Actions!D67,Actions!K67))</f>
        <v>0</v>
      </c>
      <c r="AT41" s="793">
        <f>IF(OR($A41="",$F41=0),"",SUM(Actions!E67,Actions!L67))</f>
        <v>0</v>
      </c>
      <c r="AU41" s="793">
        <f>IF(OR($A41="",$F41=0),"",SUM(Actions!F67,Actions!M67))</f>
        <v>0</v>
      </c>
      <c r="AV41" s="793">
        <f>IF(OR($A41="",$F41=0),"",SUM(Actions!G67,Actions!N67))</f>
        <v>0</v>
      </c>
      <c r="AW41" s="766">
        <f t="shared" si="44"/>
        <v>0</v>
      </c>
      <c r="AX41" s="821">
        <f t="shared" si="45"/>
        <v>0</v>
      </c>
      <c r="AY41" s="822">
        <f t="shared" si="46"/>
        <v>0</v>
      </c>
      <c r="AZ41" s="823">
        <f t="shared" si="47"/>
        <v>0</v>
      </c>
      <c r="BA41" s="824" t="str">
        <f t="shared" si="48"/>
        <v/>
      </c>
      <c r="BB41" s="798">
        <f t="shared" si="49"/>
        <v>0</v>
      </c>
      <c r="BC41" s="825" t="str">
        <f t="shared" si="50"/>
        <v/>
      </c>
      <c r="BD41" s="826">
        <f t="shared" si="51"/>
        <v>0</v>
      </c>
      <c r="BE41" s="827" t="str">
        <f t="shared" si="52"/>
        <v/>
      </c>
      <c r="BF41" s="828">
        <f>IF(OR($A41="",$F41=0),"",SUM(Errors!C39,Errors!J39))</f>
        <v>0</v>
      </c>
      <c r="BG41" s="793">
        <f>IF(OR($A41="",$F41=0),"",SUM(Errors!D39,Errors!K39))</f>
        <v>0</v>
      </c>
      <c r="BH41" s="793">
        <f>IF(OR($A41="",$F41=0),"",SUM(Errors!E39,Errors!L39))</f>
        <v>0</v>
      </c>
      <c r="BI41" s="793">
        <f>IF(OR($A41="",$F41=0),"",SUM(Errors!F39,Errors!M39))</f>
        <v>0</v>
      </c>
      <c r="BJ41" s="829">
        <f>IF(OR($A41="",$F41=0),"",SUM(Errors!G39,Errors!N39))</f>
        <v>0</v>
      </c>
      <c r="BK41" s="766">
        <f t="shared" si="53"/>
        <v>0</v>
      </c>
      <c r="BL41" s="830" t="str">
        <f t="shared" si="54"/>
        <v/>
      </c>
      <c r="BM41" s="830" t="str">
        <f t="shared" si="55"/>
        <v/>
      </c>
      <c r="BN41" s="817" t="str">
        <f t="shared" si="56"/>
        <v/>
      </c>
      <c r="BO41" s="818">
        <f>IF(OR($A41="",$F41=0),"",SUM(Errors!C67,Errors!J67))</f>
        <v>0</v>
      </c>
      <c r="BP41" s="819">
        <f>IF(OR($A41="",$F41=0),"",SUM(Errors!D67,Errors!K67))</f>
        <v>0</v>
      </c>
      <c r="BQ41" s="819">
        <f>IF(OR($A41="",$F41=0),"",SUM(Errors!E67,Errors!L67))</f>
        <v>0</v>
      </c>
      <c r="BR41" s="819">
        <f>IF(OR($A41="",$F41=0),"",SUM(Errors!F67,Errors!M67))</f>
        <v>0</v>
      </c>
      <c r="BS41" s="819">
        <f>IF(OR($A41="",$F41=0),"",SUM(Errors!G67,Errors!N67))</f>
        <v>0</v>
      </c>
      <c r="BT41" s="288" t="str">
        <f t="shared" si="57"/>
        <v/>
      </c>
    </row>
    <row r="42" spans="1:72" s="108" customFormat="1" ht="19.5" customHeight="1" x14ac:dyDescent="0.3">
      <c r="A42" s="287" t="str">
        <f>IF(ISBLANK(IGRF!$H25),"",IGRF!$H25)</f>
        <v/>
      </c>
      <c r="B42" s="205" t="str">
        <f>IF(ISBLANK(IGRF!$I25),"",IGRF!$I25)</f>
        <v/>
      </c>
      <c r="C42" s="206" t="str">
        <f>IF(A42="","",SUM(LU!AH23,LU!AH122))</f>
        <v/>
      </c>
      <c r="D42" s="206" t="str">
        <f>IF(A42="","",SUM(LU!W23,LU!W122))</f>
        <v/>
      </c>
      <c r="E42" s="207" t="str">
        <f>IF(A42="","",SUM(LU!AC23,LU!AC122))</f>
        <v/>
      </c>
      <c r="F42" s="764" t="str">
        <f>IF(A42="","",(SUM(C42:E42)-(SUMPRODUCT(--(Lineups!AC$4:AC$41=A42),--(Lineups!AA$4:AA$41="SP"))+SUMPRODUCT(--(Lineups!AG$4:AG$41=A42),--(Lineups!AA$4:AA$41="SP"))+SUMPRODUCT(--(Lineups!AC$50:AC$87=A42),--(Lineups!AA$50:AA$87="SP"))+SUMPRODUCT(--(Lineups!AG$50:AG$87=A42),--(Lineups!AA$50:AA$87="SP")))))</f>
        <v/>
      </c>
      <c r="G42" s="765" t="str">
        <f>IF(OR(A42="",F42=0,LU!D$3+LU!D$102=0),"",F42/(LU!D$3+LU!D$102))</f>
        <v/>
      </c>
      <c r="H42" s="766" t="str">
        <f>IF(OR(C42=0,A42=""),"",SK!T216)</f>
        <v/>
      </c>
      <c r="I42" s="767" t="str">
        <f>IF(OR(A42="",SK!U216="",SK!U216=0),"",H42/SK!U216)</f>
        <v/>
      </c>
      <c r="J42" s="786" t="str">
        <f>IF(OR(C42=0,A42=""),"",SK!W216)</f>
        <v/>
      </c>
      <c r="K42" s="787" t="str">
        <f>IF(OR(C42=0,A42=""),"",SK!X216)</f>
        <v/>
      </c>
      <c r="L42" s="788" t="str">
        <f>IF(OR(C42=0,A42=""),"",SK!Z216)</f>
        <v/>
      </c>
      <c r="M42" s="788" t="str">
        <f>IF(OR(C42=0,A42=""),"",SK!AB216)</f>
        <v/>
      </c>
      <c r="N42" s="789" t="str">
        <f t="shared" si="32"/>
        <v/>
      </c>
      <c r="O42" s="790" t="str">
        <f>IF(OR(A42="",C42=0),"",SK!Y216)</f>
        <v/>
      </c>
      <c r="P42" s="791" t="str">
        <f t="shared" si="33"/>
        <v/>
      </c>
      <c r="Q42" s="792" t="str">
        <f>IF(OR(A42="",F42=0),"",SUM(LU!AJ69,LU!AJ168))</f>
        <v/>
      </c>
      <c r="R42" s="793" t="str">
        <f>IF(OR(A42="",F42=0),"",SUM(LU!AJ92,LU!AJ191))</f>
        <v/>
      </c>
      <c r="S42" s="766" t="str">
        <f>IF(OR(A42="",F42=0),"",SUM(LU!AJ46,LU!AJ145))</f>
        <v/>
      </c>
      <c r="T42" s="793" t="str">
        <f>IF(OR(A42="",C42=0),"",SUM(LU!AH46,LU!AH145))</f>
        <v/>
      </c>
      <c r="U42" s="794" t="str">
        <f t="shared" si="34"/>
        <v/>
      </c>
      <c r="V42" s="795" t="str">
        <f>IF(OR(A42="",D42=0),"",SUM(LU!W46,LU!W145))</f>
        <v/>
      </c>
      <c r="W42" s="794" t="str">
        <f t="shared" si="35"/>
        <v/>
      </c>
      <c r="X42" s="795" t="str">
        <f>IF(OR(A42="",E42=0),"",SUM(LU!AC46,LU!AC145))</f>
        <v/>
      </c>
      <c r="Y42" s="794" t="str">
        <f t="shared" si="36"/>
        <v/>
      </c>
      <c r="Z42" s="791" t="str">
        <f t="shared" si="37"/>
        <v/>
      </c>
      <c r="AA42" s="796" t="str">
        <f ca="1">IF(OR(A42="",F42=0,Q$48="-",LU!$W$5=0),"",Q42-Q$48)</f>
        <v/>
      </c>
      <c r="AB42" s="797" t="str">
        <f ca="1">IF(OR(A42="",F42=0,R$48="-",LU!$W$5=0),"",R42-R$48)</f>
        <v/>
      </c>
      <c r="AC42" s="798" t="str">
        <f t="shared" ca="1" si="38"/>
        <v/>
      </c>
      <c r="AD42" s="799" t="str">
        <f t="shared" si="39"/>
        <v/>
      </c>
      <c r="AE42" s="799" t="str">
        <f t="shared" si="40"/>
        <v/>
      </c>
      <c r="AF42" s="800" t="str">
        <f t="shared" si="41"/>
        <v/>
      </c>
      <c r="AG42" s="801" t="str">
        <f ca="1">IF(OR($A42="",Z42="",Z$48="-",LU!$W$5=0),"",Z42-Z$48)</f>
        <v/>
      </c>
      <c r="AH42" s="1111" t="str">
        <f>IF(OR(A42="",F42=0),"",SUM(PT!U84,PT!U85))</f>
        <v/>
      </c>
      <c r="AI42" s="1112"/>
      <c r="AJ42" s="287" t="str">
        <f t="shared" si="42"/>
        <v/>
      </c>
      <c r="AK42" s="208" t="str">
        <f t="shared" si="31"/>
        <v/>
      </c>
      <c r="AL42" s="818" t="str">
        <f>IF(OR($A42="",$F42=0),"",SUM(Actions!C40,Actions!J40))</f>
        <v/>
      </c>
      <c r="AM42" s="819" t="str">
        <f>IF(OR($A42="",$F42=0),"",SUM(Actions!D40,Actions!K40))</f>
        <v/>
      </c>
      <c r="AN42" s="819" t="str">
        <f>IF(OR($A42="",$F42=0),"",SUM(Actions!E40,Actions!L40))</f>
        <v/>
      </c>
      <c r="AO42" s="819" t="str">
        <f>IF(OR($A42="",$F42=0),"",SUM(Actions!F40,Actions!M40))</f>
        <v/>
      </c>
      <c r="AP42" s="819" t="str">
        <f>IF(OR($A42="",$F42=0),"",SUM(Actions!G40,Actions!N40))</f>
        <v/>
      </c>
      <c r="AQ42" s="820" t="str">
        <f t="shared" si="43"/>
        <v/>
      </c>
      <c r="AR42" s="792" t="str">
        <f>IF(OR($A42="",$F42=0),"",SUM(Actions!C68,Actions!J68))</f>
        <v/>
      </c>
      <c r="AS42" s="793" t="str">
        <f>IF(OR($A42="",$F42=0),"",SUM(Actions!D68,Actions!K68))</f>
        <v/>
      </c>
      <c r="AT42" s="793" t="str">
        <f>IF(OR($A42="",$F42=0),"",SUM(Actions!E68,Actions!L68))</f>
        <v/>
      </c>
      <c r="AU42" s="793" t="str">
        <f>IF(OR($A42="",$F42=0),"",SUM(Actions!F68,Actions!M68))</f>
        <v/>
      </c>
      <c r="AV42" s="793" t="str">
        <f>IF(OR($A42="",$F42=0),"",SUM(Actions!G68,Actions!N68))</f>
        <v/>
      </c>
      <c r="AW42" s="766" t="str">
        <f t="shared" si="44"/>
        <v/>
      </c>
      <c r="AX42" s="821" t="str">
        <f t="shared" si="45"/>
        <v/>
      </c>
      <c r="AY42" s="822" t="str">
        <f t="shared" si="46"/>
        <v/>
      </c>
      <c r="AZ42" s="823" t="str">
        <f t="shared" si="47"/>
        <v/>
      </c>
      <c r="BA42" s="824" t="str">
        <f t="shared" si="48"/>
        <v/>
      </c>
      <c r="BB42" s="798" t="str">
        <f t="shared" si="49"/>
        <v/>
      </c>
      <c r="BC42" s="825" t="str">
        <f t="shared" si="50"/>
        <v/>
      </c>
      <c r="BD42" s="826" t="str">
        <f t="shared" si="51"/>
        <v/>
      </c>
      <c r="BE42" s="827" t="str">
        <f t="shared" si="52"/>
        <v/>
      </c>
      <c r="BF42" s="828" t="str">
        <f>IF(OR($A42="",$F42=0),"",SUM(Errors!C40,Errors!J40))</f>
        <v/>
      </c>
      <c r="BG42" s="793" t="str">
        <f>IF(OR($A42="",$F42=0),"",SUM(Errors!D40,Errors!K40))</f>
        <v/>
      </c>
      <c r="BH42" s="793" t="str">
        <f>IF(OR($A42="",$F42=0),"",SUM(Errors!E40,Errors!L40))</f>
        <v/>
      </c>
      <c r="BI42" s="793" t="str">
        <f>IF(OR($A42="",$F42=0),"",SUM(Errors!F40,Errors!M40))</f>
        <v/>
      </c>
      <c r="BJ42" s="829" t="str">
        <f>IF(OR($A42="",$F42=0),"",SUM(Errors!G40,Errors!N40))</f>
        <v/>
      </c>
      <c r="BK42" s="766" t="str">
        <f t="shared" si="53"/>
        <v/>
      </c>
      <c r="BL42" s="830" t="str">
        <f t="shared" si="54"/>
        <v/>
      </c>
      <c r="BM42" s="830" t="str">
        <f t="shared" si="55"/>
        <v/>
      </c>
      <c r="BN42" s="817" t="str">
        <f t="shared" si="56"/>
        <v/>
      </c>
      <c r="BO42" s="818" t="str">
        <f>IF(OR($A42="",$F42=0),"",SUM(Errors!C68,Errors!J68))</f>
        <v/>
      </c>
      <c r="BP42" s="819" t="str">
        <f>IF(OR($A42="",$F42=0),"",SUM(Errors!D68,Errors!K68))</f>
        <v/>
      </c>
      <c r="BQ42" s="819" t="str">
        <f>IF(OR($A42="",$F42=0),"",SUM(Errors!E68,Errors!L68))</f>
        <v/>
      </c>
      <c r="BR42" s="819" t="str">
        <f>IF(OR($A42="",$F42=0),"",SUM(Errors!F68,Errors!M68))</f>
        <v/>
      </c>
      <c r="BS42" s="819" t="str">
        <f>IF(OR($A42="",$F42=0),"",SUM(Errors!G68,Errors!N68))</f>
        <v/>
      </c>
      <c r="BT42" s="288" t="str">
        <f t="shared" si="57"/>
        <v/>
      </c>
    </row>
    <row r="43" spans="1:72" s="108" customFormat="1" ht="19.95" customHeight="1" x14ac:dyDescent="0.3">
      <c r="A43" s="287" t="str">
        <f>IF(ISBLANK(IGRF!$H26),"",IGRF!$H26)</f>
        <v/>
      </c>
      <c r="B43" s="205" t="str">
        <f>IF(ISBLANK(IGRF!$I26),"",IGRF!$I26)</f>
        <v/>
      </c>
      <c r="C43" s="206" t="str">
        <f>IF(A43="","",SUM(LU!AH24,LU!AH123))</f>
        <v/>
      </c>
      <c r="D43" s="206" t="str">
        <f>IF(A43="","",SUM(LU!W24,LU!W123))</f>
        <v/>
      </c>
      <c r="E43" s="207" t="str">
        <f>IF(A43="","",SUM(LU!AC24,LU!AC123))</f>
        <v/>
      </c>
      <c r="F43" s="764" t="str">
        <f>IF(A43="","",(SUM(C43:E43)-(SUMPRODUCT(--(Lineups!AC$4:AC$41=A43),--(Lineups!AA$4:AA$41="SP"))+SUMPRODUCT(--(Lineups!AG$4:AG$41=A43),--(Lineups!AA$4:AA$41="SP"))+SUMPRODUCT(--(Lineups!AC$50:AC$87=A43),--(Lineups!AA$50:AA$87="SP"))+SUMPRODUCT(--(Lineups!AG$50:AG$87=A43),--(Lineups!AA$50:AA$87="SP")))))</f>
        <v/>
      </c>
      <c r="G43" s="765" t="str">
        <f>IF(OR(A43="",F43=0,LU!D$3+LU!D$102=0),"",F43/(LU!D$3+LU!D$102))</f>
        <v/>
      </c>
      <c r="H43" s="766" t="str">
        <f>IF(OR(C43=0,A43=""),"",SK!T219)</f>
        <v/>
      </c>
      <c r="I43" s="767" t="str">
        <f>IF(OR(A43="",SK!U219="",SK!U219=0),"",H43/SK!U219)</f>
        <v/>
      </c>
      <c r="J43" s="786" t="str">
        <f>IF(OR(C43=0,A43=""),"",SK!W219)</f>
        <v/>
      </c>
      <c r="K43" s="787" t="str">
        <f>IF(OR(C43=0,A43=""),"",SK!X219)</f>
        <v/>
      </c>
      <c r="L43" s="788" t="str">
        <f>IF(OR(C43=0,A43=""),"",SK!Z219)</f>
        <v/>
      </c>
      <c r="M43" s="788" t="str">
        <f>IF(OR(C43=0,A43=""),"",SK!AB219)</f>
        <v/>
      </c>
      <c r="N43" s="789" t="str">
        <f t="shared" si="32"/>
        <v/>
      </c>
      <c r="O43" s="790" t="str">
        <f>IF(OR(A43="",C43=0),"",SK!Y219)</f>
        <v/>
      </c>
      <c r="P43" s="791" t="str">
        <f t="shared" si="33"/>
        <v/>
      </c>
      <c r="Q43" s="792" t="str">
        <f>IF(OR(A43="",F43=0),"",SUM(LU!AJ70,LU!AJ169))</f>
        <v/>
      </c>
      <c r="R43" s="793" t="str">
        <f>IF(OR(A43="",F43=0),"",SUM(LU!AJ93,LU!AJ192))</f>
        <v/>
      </c>
      <c r="S43" s="766" t="str">
        <f>IF(OR(A43="",F43=0),"",SUM(LU!AJ47,LU!AJ146))</f>
        <v/>
      </c>
      <c r="T43" s="793" t="str">
        <f>IF(OR(A43="",C43=0),"",SUM(LU!AH47,LU!AH146))</f>
        <v/>
      </c>
      <c r="U43" s="794" t="str">
        <f t="shared" si="34"/>
        <v/>
      </c>
      <c r="V43" s="795" t="str">
        <f>IF(OR(A43="",D43=0),"",SUM(LU!W47,LU!W146))</f>
        <v/>
      </c>
      <c r="W43" s="794" t="str">
        <f t="shared" si="35"/>
        <v/>
      </c>
      <c r="X43" s="795" t="str">
        <f>IF(OR(A43="",E43=0),"",SUM(LU!AC47,LU!AC146))</f>
        <v/>
      </c>
      <c r="Y43" s="794" t="str">
        <f t="shared" si="36"/>
        <v/>
      </c>
      <c r="Z43" s="791" t="str">
        <f t="shared" si="37"/>
        <v/>
      </c>
      <c r="AA43" s="796" t="str">
        <f ca="1">IF(OR(A43="",F43=0,Q$48="-",LU!$W$5=0),"",Q43-Q$48)</f>
        <v/>
      </c>
      <c r="AB43" s="797" t="str">
        <f ca="1">IF(OR(A43="",F43=0,R$48="-",LU!$W$5=0),"",R43-R$48)</f>
        <v/>
      </c>
      <c r="AC43" s="798" t="str">
        <f t="shared" ca="1" si="38"/>
        <v/>
      </c>
      <c r="AD43" s="799" t="str">
        <f t="shared" si="39"/>
        <v/>
      </c>
      <c r="AE43" s="799" t="str">
        <f t="shared" si="40"/>
        <v/>
      </c>
      <c r="AF43" s="800" t="str">
        <f t="shared" si="41"/>
        <v/>
      </c>
      <c r="AG43" s="801" t="str">
        <f ca="1">IF(OR($A43="",Z43="",Z$48="-",LU!$W$5=0),"",Z43-Z$48)</f>
        <v/>
      </c>
      <c r="AH43" s="1111" t="str">
        <f>IF(OR(A43="",F43=0),"",SUM(PT!U86,PT!U87))</f>
        <v/>
      </c>
      <c r="AI43" s="1112"/>
      <c r="AJ43" s="287" t="str">
        <f t="shared" si="42"/>
        <v/>
      </c>
      <c r="AK43" s="208" t="str">
        <f t="shared" si="31"/>
        <v/>
      </c>
      <c r="AL43" s="818" t="str">
        <f>IF(OR($A43="",$F43=0),"",SUM(Actions!C41,Actions!J41))</f>
        <v/>
      </c>
      <c r="AM43" s="819" t="str">
        <f>IF(OR($A43="",$F43=0),"",SUM(Actions!D41,Actions!K41))</f>
        <v/>
      </c>
      <c r="AN43" s="819" t="str">
        <f>IF(OR($A43="",$F43=0),"",SUM(Actions!E41,Actions!L41))</f>
        <v/>
      </c>
      <c r="AO43" s="819" t="str">
        <f>IF(OR($A43="",$F43=0),"",SUM(Actions!F41,Actions!M41))</f>
        <v/>
      </c>
      <c r="AP43" s="819" t="str">
        <f>IF(OR($A43="",$F43=0),"",SUM(Actions!G41,Actions!N41))</f>
        <v/>
      </c>
      <c r="AQ43" s="820" t="str">
        <f t="shared" si="43"/>
        <v/>
      </c>
      <c r="AR43" s="792" t="str">
        <f>IF(OR($A43="",$F43=0),"",SUM(Actions!C69,Actions!J69))</f>
        <v/>
      </c>
      <c r="AS43" s="793" t="str">
        <f>IF(OR($A43="",$F43=0),"",SUM(Actions!D69,Actions!K69))</f>
        <v/>
      </c>
      <c r="AT43" s="793" t="str">
        <f>IF(OR($A43="",$F43=0),"",SUM(Actions!E69,Actions!L69))</f>
        <v/>
      </c>
      <c r="AU43" s="793" t="str">
        <f>IF(OR($A43="",$F43=0),"",SUM(Actions!F69,Actions!M69))</f>
        <v/>
      </c>
      <c r="AV43" s="793" t="str">
        <f>IF(OR($A43="",$F43=0),"",SUM(Actions!G69,Actions!N69))</f>
        <v/>
      </c>
      <c r="AW43" s="766" t="str">
        <f t="shared" si="44"/>
        <v/>
      </c>
      <c r="AX43" s="821" t="str">
        <f t="shared" si="45"/>
        <v/>
      </c>
      <c r="AY43" s="822" t="str">
        <f t="shared" si="46"/>
        <v/>
      </c>
      <c r="AZ43" s="823" t="str">
        <f t="shared" si="47"/>
        <v/>
      </c>
      <c r="BA43" s="824" t="str">
        <f t="shared" si="48"/>
        <v/>
      </c>
      <c r="BB43" s="798" t="str">
        <f t="shared" si="49"/>
        <v/>
      </c>
      <c r="BC43" s="825" t="str">
        <f t="shared" si="50"/>
        <v/>
      </c>
      <c r="BD43" s="826" t="str">
        <f t="shared" si="51"/>
        <v/>
      </c>
      <c r="BE43" s="827" t="str">
        <f t="shared" si="52"/>
        <v/>
      </c>
      <c r="BF43" s="828" t="str">
        <f>IF(OR($A43="",$F43=0),"",SUM(Errors!C41,Errors!J41))</f>
        <v/>
      </c>
      <c r="BG43" s="793" t="str">
        <f>IF(OR($A43="",$F43=0),"",SUM(Errors!D41,Errors!K41))</f>
        <v/>
      </c>
      <c r="BH43" s="793" t="str">
        <f>IF(OR($A43="",$F43=0),"",SUM(Errors!E41,Errors!L41))</f>
        <v/>
      </c>
      <c r="BI43" s="793" t="str">
        <f>IF(OR($A43="",$F43=0),"",SUM(Errors!F41,Errors!M41))</f>
        <v/>
      </c>
      <c r="BJ43" s="829" t="str">
        <f>IF(OR($A43="",$F43=0),"",SUM(Errors!G41,Errors!N41))</f>
        <v/>
      </c>
      <c r="BK43" s="766" t="str">
        <f t="shared" si="53"/>
        <v/>
      </c>
      <c r="BL43" s="830" t="str">
        <f t="shared" si="54"/>
        <v/>
      </c>
      <c r="BM43" s="830" t="str">
        <f t="shared" si="55"/>
        <v/>
      </c>
      <c r="BN43" s="817" t="str">
        <f t="shared" si="56"/>
        <v/>
      </c>
      <c r="BO43" s="818" t="str">
        <f>IF(OR($A43="",$F43=0),"",SUM(Errors!C69,Errors!J69))</f>
        <v/>
      </c>
      <c r="BP43" s="819" t="str">
        <f>IF(OR($A43="",$F43=0),"",SUM(Errors!D69,Errors!K69))</f>
        <v/>
      </c>
      <c r="BQ43" s="819" t="str">
        <f>IF(OR($A43="",$F43=0),"",SUM(Errors!E69,Errors!L69))</f>
        <v/>
      </c>
      <c r="BR43" s="819" t="str">
        <f>IF(OR($A43="",$F43=0),"",SUM(Errors!F69,Errors!M69))</f>
        <v/>
      </c>
      <c r="BS43" s="819" t="str">
        <f>IF(OR($A43="",$F43=0),"",SUM(Errors!G69,Errors!N69))</f>
        <v/>
      </c>
      <c r="BT43" s="288" t="str">
        <f t="shared" si="57"/>
        <v/>
      </c>
    </row>
    <row r="44" spans="1:72" s="108" customFormat="1" ht="19.95" customHeight="1" x14ac:dyDescent="0.3">
      <c r="A44" s="287" t="str">
        <f>IF(ISBLANK(IGRF!$H27),"",IGRF!$H27)</f>
        <v/>
      </c>
      <c r="B44" s="205" t="str">
        <f>IF(ISBLANK(IGRF!$I27),"",IGRF!$I27)</f>
        <v/>
      </c>
      <c r="C44" s="206" t="str">
        <f>IF(A44="","",SUM(LU!AH25,LU!AH124))</f>
        <v/>
      </c>
      <c r="D44" s="206" t="str">
        <f>IF(A44="","",SUM(LU!W25,LU!W124))</f>
        <v/>
      </c>
      <c r="E44" s="207" t="str">
        <f>IF(A44="","",SUM(LU!AC25,LU!AC124))</f>
        <v/>
      </c>
      <c r="F44" s="764" t="str">
        <f>IF(A44="","",(SUM(C44:E44)-(SUMPRODUCT(--(Lineups!AC$4:AC$41=A44),--(Lineups!AA$4:AA$41="SP"))+SUMPRODUCT(--(Lineups!AG$4:AG$41=A44),--(Lineups!AA$4:AA$41="SP"))+SUMPRODUCT(--(Lineups!AC$50:AC$87=A44),--(Lineups!AA$50:AA$87="SP"))+SUMPRODUCT(--(Lineups!AG$50:AG$87=A44),--(Lineups!AA$50:AA$87="SP")))))</f>
        <v/>
      </c>
      <c r="G44" s="765" t="str">
        <f>IF(OR(A44="",F44=0,LU!D$3+LU!D$102=0),"",F44/(LU!D$3+LU!D$102))</f>
        <v/>
      </c>
      <c r="H44" s="766" t="str">
        <f>IF(OR(C44=0,A44=""),"",SK!T222)</f>
        <v/>
      </c>
      <c r="I44" s="767" t="str">
        <f>IF(OR(A44="",SK!U222="",SK!U222=0),"",H44/SK!U222)</f>
        <v/>
      </c>
      <c r="J44" s="786" t="str">
        <f>IF(OR(C44=0,A44=""),"",SK!W222)</f>
        <v/>
      </c>
      <c r="K44" s="787" t="str">
        <f>IF(OR(C44=0,A44=""),"",SK!X222)</f>
        <v/>
      </c>
      <c r="L44" s="788" t="str">
        <f>IF(OR(C44=0,A44=""),"",SK!Z222)</f>
        <v/>
      </c>
      <c r="M44" s="788" t="str">
        <f>IF(OR(C44=0,A44=""),"",SK!AB222)</f>
        <v/>
      </c>
      <c r="N44" s="789" t="str">
        <f t="shared" si="32"/>
        <v/>
      </c>
      <c r="O44" s="790" t="str">
        <f>IF(OR(A44="",C44=0),"",SK!Y222)</f>
        <v/>
      </c>
      <c r="P44" s="791" t="str">
        <f t="shared" si="33"/>
        <v/>
      </c>
      <c r="Q44" s="792" t="str">
        <f>IF(OR(A44="",F44=0),"",SUM(LU!AJ71,LU!AJ170))</f>
        <v/>
      </c>
      <c r="R44" s="793" t="str">
        <f>IF(OR(A44="",F44=0),"",SUM(LU!AJ94,LU!AJ193))</f>
        <v/>
      </c>
      <c r="S44" s="766" t="str">
        <f>IF(OR(A44="",F44=0),"",SUM(LU!AJ48,LU!AJ147))</f>
        <v/>
      </c>
      <c r="T44" s="793" t="str">
        <f>IF(OR(A44="",C44=0),"",SUM(LU!AH48,LU!AH147))</f>
        <v/>
      </c>
      <c r="U44" s="794" t="str">
        <f t="shared" si="34"/>
        <v/>
      </c>
      <c r="V44" s="795" t="str">
        <f>IF(OR(A44="",D44=0),"",SUM(LU!W48,LU!W147))</f>
        <v/>
      </c>
      <c r="W44" s="794" t="str">
        <f t="shared" si="35"/>
        <v/>
      </c>
      <c r="X44" s="795" t="str">
        <f>IF(OR(A44="",E44=0),"",SUM(LU!AC48,LU!AC147))</f>
        <v/>
      </c>
      <c r="Y44" s="794" t="str">
        <f t="shared" si="36"/>
        <v/>
      </c>
      <c r="Z44" s="791" t="str">
        <f t="shared" si="37"/>
        <v/>
      </c>
      <c r="AA44" s="796" t="str">
        <f ca="1">IF(OR(A44="",F44=0,Q$48="-",LU!$W$5=0),"",Q44-Q$48)</f>
        <v/>
      </c>
      <c r="AB44" s="797" t="str">
        <f ca="1">IF(OR(A44="",F44=0,R$48="-",LU!$W$5=0),"",R44-R$48)</f>
        <v/>
      </c>
      <c r="AC44" s="798" t="str">
        <f t="shared" ca="1" si="38"/>
        <v/>
      </c>
      <c r="AD44" s="799" t="str">
        <f t="shared" si="39"/>
        <v/>
      </c>
      <c r="AE44" s="799" t="str">
        <f t="shared" si="40"/>
        <v/>
      </c>
      <c r="AF44" s="800" t="str">
        <f t="shared" si="41"/>
        <v/>
      </c>
      <c r="AG44" s="801" t="str">
        <f ca="1">IF(OR($A44="",Z44="",Z$48="-",LU!$W$5=0),"",Z44-Z$48)</f>
        <v/>
      </c>
      <c r="AH44" s="1111" t="str">
        <f>IF(OR(A44="",F44=0),"",SUM(PT!U88,PT!U89))</f>
        <v/>
      </c>
      <c r="AI44" s="1112"/>
      <c r="AJ44" s="287" t="str">
        <f t="shared" si="42"/>
        <v/>
      </c>
      <c r="AK44" s="208" t="str">
        <f t="shared" si="31"/>
        <v/>
      </c>
      <c r="AL44" s="818" t="str">
        <f>IF(OR($A44="",$F44=0),"",SUM(Actions!C42,Actions!J42))</f>
        <v/>
      </c>
      <c r="AM44" s="819" t="str">
        <f>IF(OR($A44="",$F44=0),"",SUM(Actions!D42,Actions!K42))</f>
        <v/>
      </c>
      <c r="AN44" s="819" t="str">
        <f>IF(OR($A44="",$F44=0),"",SUM(Actions!E42,Actions!L42))</f>
        <v/>
      </c>
      <c r="AO44" s="819" t="str">
        <f>IF(OR($A44="",$F44=0),"",SUM(Actions!F42,Actions!M42))</f>
        <v/>
      </c>
      <c r="AP44" s="819" t="str">
        <f>IF(OR($A44="",$F44=0),"",SUM(Actions!G42,Actions!N42))</f>
        <v/>
      </c>
      <c r="AQ44" s="820" t="str">
        <f t="shared" si="43"/>
        <v/>
      </c>
      <c r="AR44" s="792" t="str">
        <f>IF(OR($A44="",$F44=0),"",SUM(Actions!C70,Actions!J70))</f>
        <v/>
      </c>
      <c r="AS44" s="793" t="str">
        <f>IF(OR($A44="",$F44=0),"",SUM(Actions!D70,Actions!K70))</f>
        <v/>
      </c>
      <c r="AT44" s="793" t="str">
        <f>IF(OR($A44="",$F44=0),"",SUM(Actions!E70,Actions!L70))</f>
        <v/>
      </c>
      <c r="AU44" s="793" t="str">
        <f>IF(OR($A44="",$F44=0),"",SUM(Actions!F70,Actions!M70))</f>
        <v/>
      </c>
      <c r="AV44" s="793" t="str">
        <f>IF(OR($A44="",$F44=0),"",SUM(Actions!G70,Actions!N70))</f>
        <v/>
      </c>
      <c r="AW44" s="766" t="str">
        <f t="shared" si="44"/>
        <v/>
      </c>
      <c r="AX44" s="821" t="str">
        <f t="shared" si="45"/>
        <v/>
      </c>
      <c r="AY44" s="822" t="str">
        <f t="shared" si="46"/>
        <v/>
      </c>
      <c r="AZ44" s="823" t="str">
        <f t="shared" si="47"/>
        <v/>
      </c>
      <c r="BA44" s="824" t="str">
        <f t="shared" si="48"/>
        <v/>
      </c>
      <c r="BB44" s="798" t="str">
        <f t="shared" si="49"/>
        <v/>
      </c>
      <c r="BC44" s="825" t="str">
        <f t="shared" si="50"/>
        <v/>
      </c>
      <c r="BD44" s="826" t="str">
        <f t="shared" si="51"/>
        <v/>
      </c>
      <c r="BE44" s="827" t="str">
        <f t="shared" si="52"/>
        <v/>
      </c>
      <c r="BF44" s="828" t="str">
        <f>IF(OR($A44="",$F44=0),"",SUM(Errors!C42,Errors!J42))</f>
        <v/>
      </c>
      <c r="BG44" s="793" t="str">
        <f>IF(OR($A44="",$F44=0),"",SUM(Errors!D42,Errors!K42))</f>
        <v/>
      </c>
      <c r="BH44" s="793" t="str">
        <f>IF(OR($A44="",$F44=0),"",SUM(Errors!E42,Errors!L42))</f>
        <v/>
      </c>
      <c r="BI44" s="793" t="str">
        <f>IF(OR($A44="",$F44=0),"",SUM(Errors!F42,Errors!M42))</f>
        <v/>
      </c>
      <c r="BJ44" s="829" t="str">
        <f>IF(OR($A44="",$F44=0),"",SUM(Errors!G42,Errors!N42))</f>
        <v/>
      </c>
      <c r="BK44" s="766" t="str">
        <f t="shared" si="53"/>
        <v/>
      </c>
      <c r="BL44" s="830" t="str">
        <f t="shared" si="54"/>
        <v/>
      </c>
      <c r="BM44" s="830" t="str">
        <f t="shared" si="55"/>
        <v/>
      </c>
      <c r="BN44" s="817" t="str">
        <f t="shared" si="56"/>
        <v/>
      </c>
      <c r="BO44" s="818" t="str">
        <f>IF(OR($A44="",$F44=0),"",SUM(Errors!C70,Errors!J70))</f>
        <v/>
      </c>
      <c r="BP44" s="819" t="str">
        <f>IF(OR($A44="",$F44=0),"",SUM(Errors!D70,Errors!K70))</f>
        <v/>
      </c>
      <c r="BQ44" s="819" t="str">
        <f>IF(OR($A44="",$F44=0),"",SUM(Errors!E70,Errors!L70))</f>
        <v/>
      </c>
      <c r="BR44" s="819" t="str">
        <f>IF(OR($A44="",$F44=0),"",SUM(Errors!F70,Errors!M70))</f>
        <v/>
      </c>
      <c r="BS44" s="819" t="str">
        <f>IF(OR($A44="",$F44=0),"",SUM(Errors!G70,Errors!N70))</f>
        <v/>
      </c>
      <c r="BT44" s="288" t="str">
        <f t="shared" si="57"/>
        <v/>
      </c>
    </row>
    <row r="45" spans="1:72" s="108" customFormat="1" ht="19.95" customHeight="1" x14ac:dyDescent="0.3">
      <c r="A45" s="287" t="str">
        <f>IF(ISBLANK(IGRF!$H28),"",IGRF!$H28)</f>
        <v/>
      </c>
      <c r="B45" s="205" t="str">
        <f>IF(ISBLANK(IGRF!$I28),"",IGRF!$I28)</f>
        <v/>
      </c>
      <c r="C45" s="206" t="str">
        <f>IF(A45="","",SUM(LU!AH26,LU!AH125))</f>
        <v/>
      </c>
      <c r="D45" s="206" t="str">
        <f>IF(A45="","",SUM(LU!W26,LU!W125))</f>
        <v/>
      </c>
      <c r="E45" s="207" t="str">
        <f>IF(A45="","",SUM(LU!AC26,LU!AC125))</f>
        <v/>
      </c>
      <c r="F45" s="764" t="str">
        <f>IF(A45="","",(SUM(C45:E45)-(SUMPRODUCT(--(Lineups!AC$4:AC$41=A45),--(Lineups!AA$4:AA$41="SP"))+SUMPRODUCT(--(Lineups!AG$4:AG$41=A45),--(Lineups!AA$4:AA$41="SP"))+SUMPRODUCT(--(Lineups!AC$50:AC$87=A45),--(Lineups!AA$50:AA$87="SP"))+SUMPRODUCT(--(Lineups!AG$50:AG$87=A45),--(Lineups!AA$50:AA$87="SP")))))</f>
        <v/>
      </c>
      <c r="G45" s="765" t="str">
        <f>IF(OR(A45="",F45=0,LU!D$3+LU!D$102=0),"",F45/(LU!D$3+LU!D$102))</f>
        <v/>
      </c>
      <c r="H45" s="766" t="str">
        <f>IF(OR(C45=0,A45=""),"",SK!T225)</f>
        <v/>
      </c>
      <c r="I45" s="767" t="str">
        <f>IF(OR(A45="",SK!U225="",SK!U225=0),"",H45/SK!U225)</f>
        <v/>
      </c>
      <c r="J45" s="786" t="str">
        <f>IF(OR(C45=0,A45=""),"",SK!W225)</f>
        <v/>
      </c>
      <c r="K45" s="787" t="str">
        <f>IF(OR(C45=0,A45=""),"",SK!X225)</f>
        <v/>
      </c>
      <c r="L45" s="788" t="str">
        <f>IF(OR(C45=0,A45=""),"",SK!Z225)</f>
        <v/>
      </c>
      <c r="M45" s="788" t="str">
        <f>IF(OR(C45=0,A45=""),"",SK!AB225)</f>
        <v/>
      </c>
      <c r="N45" s="789" t="str">
        <f t="shared" si="32"/>
        <v/>
      </c>
      <c r="O45" s="790" t="str">
        <f>IF(OR(A45="",C45=0),"",SK!Y225)</f>
        <v/>
      </c>
      <c r="P45" s="791" t="str">
        <f t="shared" si="33"/>
        <v/>
      </c>
      <c r="Q45" s="792" t="str">
        <f>IF(OR(A45="",F45=0),"",SUM(LU!AJ72,LU!AJ171))</f>
        <v/>
      </c>
      <c r="R45" s="793" t="str">
        <f>IF(OR(A45="",F45=0),"",SUM(LU!AJ95,LU!AJ194))</f>
        <v/>
      </c>
      <c r="S45" s="766" t="str">
        <f>IF(OR(A45="",F45=0),"",SUM(LU!AJ49,LU!AJ148))</f>
        <v/>
      </c>
      <c r="T45" s="793" t="str">
        <f>IF(OR(A45="",C45=0),"",SUM(LU!AH49,LU!AH148))</f>
        <v/>
      </c>
      <c r="U45" s="794" t="str">
        <f t="shared" si="34"/>
        <v/>
      </c>
      <c r="V45" s="795" t="str">
        <f>IF(OR(A45="",D45=0),"",SUM(LU!W49,LU!W148))</f>
        <v/>
      </c>
      <c r="W45" s="794" t="str">
        <f t="shared" si="35"/>
        <v/>
      </c>
      <c r="X45" s="795" t="str">
        <f>IF(OR(A45="",E45=0),"",SUM(LU!AC49,LU!AC148))</f>
        <v/>
      </c>
      <c r="Y45" s="794" t="str">
        <f t="shared" si="36"/>
        <v/>
      </c>
      <c r="Z45" s="791" t="str">
        <f t="shared" si="37"/>
        <v/>
      </c>
      <c r="AA45" s="796" t="str">
        <f ca="1">IF(OR(A45="",F45=0,Q$48="-",LU!$W$5=0),"",Q45-Q$48)</f>
        <v/>
      </c>
      <c r="AB45" s="797" t="str">
        <f ca="1">IF(OR(A45="",F45=0,R$48="-",LU!$W$5=0),"",R45-R$48)</f>
        <v/>
      </c>
      <c r="AC45" s="798" t="str">
        <f t="shared" ca="1" si="38"/>
        <v/>
      </c>
      <c r="AD45" s="799" t="str">
        <f t="shared" si="39"/>
        <v/>
      </c>
      <c r="AE45" s="799" t="str">
        <f t="shared" si="40"/>
        <v/>
      </c>
      <c r="AF45" s="800" t="str">
        <f t="shared" si="41"/>
        <v/>
      </c>
      <c r="AG45" s="801" t="str">
        <f ca="1">IF(OR($A45="",Z45="",Z$48="-",LU!$W$5=0),"",Z45-Z$48)</f>
        <v/>
      </c>
      <c r="AH45" s="1111" t="str">
        <f>IF(OR(A45="",F45=0),"",SUM(PT!U90,PT!U91))</f>
        <v/>
      </c>
      <c r="AI45" s="1112"/>
      <c r="AJ45" s="287" t="str">
        <f t="shared" si="42"/>
        <v/>
      </c>
      <c r="AK45" s="208" t="str">
        <f t="shared" si="31"/>
        <v/>
      </c>
      <c r="AL45" s="818" t="str">
        <f>IF(OR($A45="",$F45=0),"",SUM(Actions!C43,Actions!J43))</f>
        <v/>
      </c>
      <c r="AM45" s="819" t="str">
        <f>IF(OR($A45="",$F45=0),"",SUM(Actions!D43,Actions!K43))</f>
        <v/>
      </c>
      <c r="AN45" s="819" t="str">
        <f>IF(OR($A45="",$F45=0),"",SUM(Actions!E43,Actions!L43))</f>
        <v/>
      </c>
      <c r="AO45" s="819" t="str">
        <f>IF(OR($A45="",$F45=0),"",SUM(Actions!F43,Actions!M43))</f>
        <v/>
      </c>
      <c r="AP45" s="819" t="str">
        <f>IF(OR($A45="",$F45=0),"",SUM(Actions!G43,Actions!N43))</f>
        <v/>
      </c>
      <c r="AQ45" s="820" t="str">
        <f t="shared" si="43"/>
        <v/>
      </c>
      <c r="AR45" s="792" t="str">
        <f>IF(OR($A45="",$F45=0),"",SUM(Actions!C71,Actions!J71))</f>
        <v/>
      </c>
      <c r="AS45" s="793" t="str">
        <f>IF(OR($A45="",$F45=0),"",SUM(Actions!D71,Actions!K71))</f>
        <v/>
      </c>
      <c r="AT45" s="793" t="str">
        <f>IF(OR($A45="",$F45=0),"",SUM(Actions!E71,Actions!L71))</f>
        <v/>
      </c>
      <c r="AU45" s="793" t="str">
        <f>IF(OR($A45="",$F45=0),"",SUM(Actions!F71,Actions!M71))</f>
        <v/>
      </c>
      <c r="AV45" s="793" t="str">
        <f>IF(OR($A45="",$F45=0),"",SUM(Actions!G71,Actions!N71))</f>
        <v/>
      </c>
      <c r="AW45" s="766" t="str">
        <f t="shared" si="44"/>
        <v/>
      </c>
      <c r="AX45" s="821" t="str">
        <f t="shared" si="45"/>
        <v/>
      </c>
      <c r="AY45" s="822" t="str">
        <f t="shared" si="46"/>
        <v/>
      </c>
      <c r="AZ45" s="823" t="str">
        <f t="shared" si="47"/>
        <v/>
      </c>
      <c r="BA45" s="824" t="str">
        <f t="shared" si="48"/>
        <v/>
      </c>
      <c r="BB45" s="798" t="str">
        <f t="shared" si="49"/>
        <v/>
      </c>
      <c r="BC45" s="825" t="str">
        <f t="shared" si="50"/>
        <v/>
      </c>
      <c r="BD45" s="826" t="str">
        <f t="shared" si="51"/>
        <v/>
      </c>
      <c r="BE45" s="827" t="str">
        <f t="shared" si="52"/>
        <v/>
      </c>
      <c r="BF45" s="828" t="str">
        <f>IF(OR($A45="",$F45=0),"",SUM(Errors!C43,Errors!J43))</f>
        <v/>
      </c>
      <c r="BG45" s="793" t="str">
        <f>IF(OR($A45="",$F45=0),"",SUM(Errors!D43,Errors!K43))</f>
        <v/>
      </c>
      <c r="BH45" s="793" t="str">
        <f>IF(OR($A45="",$F45=0),"",SUM(Errors!E43,Errors!L43))</f>
        <v/>
      </c>
      <c r="BI45" s="793" t="str">
        <f>IF(OR($A45="",$F45=0),"",SUM(Errors!F43,Errors!M43))</f>
        <v/>
      </c>
      <c r="BJ45" s="829" t="str">
        <f>IF(OR($A45="",$F45=0),"",SUM(Errors!G43,Errors!N43))</f>
        <v/>
      </c>
      <c r="BK45" s="766" t="str">
        <f t="shared" si="53"/>
        <v/>
      </c>
      <c r="BL45" s="830" t="str">
        <f t="shared" si="54"/>
        <v/>
      </c>
      <c r="BM45" s="830" t="str">
        <f t="shared" si="55"/>
        <v/>
      </c>
      <c r="BN45" s="817" t="str">
        <f t="shared" si="56"/>
        <v/>
      </c>
      <c r="BO45" s="818" t="str">
        <f>IF(OR($A45="",$F45=0),"",SUM(Errors!C71,Errors!J71))</f>
        <v/>
      </c>
      <c r="BP45" s="819" t="str">
        <f>IF(OR($A45="",$F45=0),"",SUM(Errors!D71,Errors!K71))</f>
        <v/>
      </c>
      <c r="BQ45" s="819" t="str">
        <f>IF(OR($A45="",$F45=0),"",SUM(Errors!E71,Errors!L71))</f>
        <v/>
      </c>
      <c r="BR45" s="819" t="str">
        <f>IF(OR($A45="",$F45=0),"",SUM(Errors!F71,Errors!M71))</f>
        <v/>
      </c>
      <c r="BS45" s="819" t="str">
        <f>IF(OR($A45="",$F45=0),"",SUM(Errors!G71,Errors!N71))</f>
        <v/>
      </c>
      <c r="BT45" s="288" t="str">
        <f t="shared" si="57"/>
        <v/>
      </c>
    </row>
    <row r="46" spans="1:72" s="108" customFormat="1" ht="19.95" customHeight="1" x14ac:dyDescent="0.3">
      <c r="A46" s="287" t="str">
        <f>IF(ISBLANK(IGRF!$H29),"",IGRF!$H29)</f>
        <v/>
      </c>
      <c r="B46" s="205" t="str">
        <f>IF(ISBLANK(IGRF!$I29),"",IGRF!$I29)</f>
        <v/>
      </c>
      <c r="C46" s="206" t="str">
        <f>IF(A46="","",SUM(LU!AH27,LU!AH126))</f>
        <v/>
      </c>
      <c r="D46" s="206" t="str">
        <f>IF(A46="","",SUM(LU!W27,LU!W126))</f>
        <v/>
      </c>
      <c r="E46" s="207" t="str">
        <f>IF(A46="","",SUM(LU!AC27,LU!AC126))</f>
        <v/>
      </c>
      <c r="F46" s="764" t="str">
        <f>IF(A46="","",(SUM(C46:E46)-(SUMPRODUCT(--(Lineups!AC$4:AC$41=A46),--(Lineups!AA$4:AA$41="SP"))+SUMPRODUCT(--(Lineups!AG$4:AG$41=A46),--(Lineups!AA$4:AA$41="SP"))+SUMPRODUCT(--(Lineups!AC$50:AC$87=A46),--(Lineups!AA$50:AA$87="SP"))+SUMPRODUCT(--(Lineups!AG$50:AG$87=A46),--(Lineups!AA$50:AA$87="SP")))))</f>
        <v/>
      </c>
      <c r="G46" s="765" t="str">
        <f>IF(OR(A46="",F46=0,LU!D$3+LU!D$102=0),"",F46/(LU!D$3+LU!D$102))</f>
        <v/>
      </c>
      <c r="H46" s="766" t="str">
        <f>IF(OR(C46=0,A46=""),"",SK!T228)</f>
        <v/>
      </c>
      <c r="I46" s="767" t="str">
        <f>IF(OR(A46="",SK!U228="",SK!U228=0),"",H46/SK!U228)</f>
        <v/>
      </c>
      <c r="J46" s="786" t="str">
        <f>IF(OR(C46=0,A46=""),"",SK!W228)</f>
        <v/>
      </c>
      <c r="K46" s="787" t="str">
        <f>IF(OR(C46=0,A46=""),"",SK!X228)</f>
        <v/>
      </c>
      <c r="L46" s="788" t="str">
        <f>IF(OR(C46=0,A46=""),"",SK!Z228)</f>
        <v/>
      </c>
      <c r="M46" s="788" t="str">
        <f>IF(OR(C46=0,A46=""),"",SK!AB228)</f>
        <v/>
      </c>
      <c r="N46" s="789" t="str">
        <f t="shared" si="32"/>
        <v/>
      </c>
      <c r="O46" s="790" t="str">
        <f>IF(OR(A46="",C46=0),"",SK!Y228)</f>
        <v/>
      </c>
      <c r="P46" s="791" t="str">
        <f t="shared" si="33"/>
        <v/>
      </c>
      <c r="Q46" s="792" t="str">
        <f>IF(OR(A46="",F46=0),"",SUM(LU!AJ73,LU!AJ172))</f>
        <v/>
      </c>
      <c r="R46" s="793" t="str">
        <f>IF(OR(A46="",F46=0),"",SUM(LU!AJ96,LU!AJ195))</f>
        <v/>
      </c>
      <c r="S46" s="766" t="str">
        <f>IF(OR(A46="",F46=0),"",SUM(LU!AJ50,LU!AJ149))</f>
        <v/>
      </c>
      <c r="T46" s="793" t="str">
        <f>IF(OR(A46="",C46=0),"",SUM(LU!AH50,LU!AH149))</f>
        <v/>
      </c>
      <c r="U46" s="794" t="str">
        <f t="shared" si="34"/>
        <v/>
      </c>
      <c r="V46" s="795" t="str">
        <f>IF(OR(A46="",D46=0),"",SUM(LU!W50,LU!W149))</f>
        <v/>
      </c>
      <c r="W46" s="794" t="str">
        <f t="shared" si="35"/>
        <v/>
      </c>
      <c r="X46" s="795" t="str">
        <f>IF(OR(A46="",E46=0),"",SUM(LU!AC50,LU!AC149))</f>
        <v/>
      </c>
      <c r="Y46" s="794" t="str">
        <f t="shared" si="36"/>
        <v/>
      </c>
      <c r="Z46" s="791" t="str">
        <f t="shared" si="37"/>
        <v/>
      </c>
      <c r="AA46" s="796" t="str">
        <f ca="1">IF(OR(A46="",F46=0,Q$48="-",LU!$W$5=0),"",Q46-Q$48)</f>
        <v/>
      </c>
      <c r="AB46" s="797" t="str">
        <f ca="1">IF(OR(A46="",F46=0,R$48="-",LU!$W$5=0),"",R46-R$48)</f>
        <v/>
      </c>
      <c r="AC46" s="798" t="str">
        <f t="shared" ca="1" si="38"/>
        <v/>
      </c>
      <c r="AD46" s="799" t="str">
        <f t="shared" si="39"/>
        <v/>
      </c>
      <c r="AE46" s="799" t="str">
        <f t="shared" si="40"/>
        <v/>
      </c>
      <c r="AF46" s="800" t="str">
        <f t="shared" si="41"/>
        <v/>
      </c>
      <c r="AG46" s="801" t="str">
        <f ca="1">IF(OR($A46="",Z46="",Z$48="-",LU!$W$5=0),"",Z46-Z$48)</f>
        <v/>
      </c>
      <c r="AH46" s="1111" t="str">
        <f>IF(OR(A46="",F46=0),"",SUM(PT!U92,PT!U93))</f>
        <v/>
      </c>
      <c r="AI46" s="1112"/>
      <c r="AJ46" s="287" t="str">
        <f t="shared" si="42"/>
        <v/>
      </c>
      <c r="AK46" s="208" t="str">
        <f t="shared" si="31"/>
        <v/>
      </c>
      <c r="AL46" s="818" t="str">
        <f>IF(OR($A46="",$F46=0),"",SUM(Actions!C44,Actions!J44))</f>
        <v/>
      </c>
      <c r="AM46" s="819" t="str">
        <f>IF(OR($A46="",$F46=0),"",SUM(Actions!D44,Actions!K44))</f>
        <v/>
      </c>
      <c r="AN46" s="819" t="str">
        <f>IF(OR($A46="",$F46=0),"",SUM(Actions!E44,Actions!L44))</f>
        <v/>
      </c>
      <c r="AO46" s="819" t="str">
        <f>IF(OR($A46="",$F46=0),"",SUM(Actions!F44,Actions!M44))</f>
        <v/>
      </c>
      <c r="AP46" s="819" t="str">
        <f>IF(OR($A46="",$F46=0),"",SUM(Actions!G44,Actions!N44))</f>
        <v/>
      </c>
      <c r="AQ46" s="820" t="str">
        <f t="shared" si="43"/>
        <v/>
      </c>
      <c r="AR46" s="792" t="str">
        <f>IF(OR($A46="",$F46=0),"",SUM(Actions!C72,Actions!J72))</f>
        <v/>
      </c>
      <c r="AS46" s="793" t="str">
        <f>IF(OR($A46="",$F46=0),"",SUM(Actions!D72,Actions!K72))</f>
        <v/>
      </c>
      <c r="AT46" s="793" t="str">
        <f>IF(OR($A46="",$F46=0),"",SUM(Actions!E72,Actions!L72))</f>
        <v/>
      </c>
      <c r="AU46" s="793" t="str">
        <f>IF(OR($A46="",$F46=0),"",SUM(Actions!F72,Actions!M72))</f>
        <v/>
      </c>
      <c r="AV46" s="793" t="str">
        <f>IF(OR($A46="",$F46=0),"",SUM(Actions!G72,Actions!N72))</f>
        <v/>
      </c>
      <c r="AW46" s="766" t="str">
        <f t="shared" si="44"/>
        <v/>
      </c>
      <c r="AX46" s="821" t="str">
        <f t="shared" si="45"/>
        <v/>
      </c>
      <c r="AY46" s="822" t="str">
        <f t="shared" si="46"/>
        <v/>
      </c>
      <c r="AZ46" s="823" t="str">
        <f t="shared" si="47"/>
        <v/>
      </c>
      <c r="BA46" s="824" t="str">
        <f t="shared" si="48"/>
        <v/>
      </c>
      <c r="BB46" s="798" t="str">
        <f t="shared" si="49"/>
        <v/>
      </c>
      <c r="BC46" s="825" t="str">
        <f t="shared" si="50"/>
        <v/>
      </c>
      <c r="BD46" s="826" t="str">
        <f t="shared" si="51"/>
        <v/>
      </c>
      <c r="BE46" s="827" t="str">
        <f t="shared" si="52"/>
        <v/>
      </c>
      <c r="BF46" s="828" t="str">
        <f>IF(OR($A46="",$F46=0),"",SUM(Errors!C44,Errors!J44))</f>
        <v/>
      </c>
      <c r="BG46" s="793" t="str">
        <f>IF(OR($A46="",$F46=0),"",SUM(Errors!D44,Errors!K44))</f>
        <v/>
      </c>
      <c r="BH46" s="793" t="str">
        <f>IF(OR($A46="",$F46=0),"",SUM(Errors!E44,Errors!L44))</f>
        <v/>
      </c>
      <c r="BI46" s="793" t="str">
        <f>IF(OR($A46="",$F46=0),"",SUM(Errors!F44,Errors!M44))</f>
        <v/>
      </c>
      <c r="BJ46" s="829" t="str">
        <f>IF(OR($A46="",$F46=0),"",SUM(Errors!G44,Errors!N44))</f>
        <v/>
      </c>
      <c r="BK46" s="766" t="str">
        <f t="shared" si="53"/>
        <v/>
      </c>
      <c r="BL46" s="830" t="str">
        <f t="shared" si="54"/>
        <v/>
      </c>
      <c r="BM46" s="830" t="str">
        <f t="shared" si="55"/>
        <v/>
      </c>
      <c r="BN46" s="817" t="str">
        <f t="shared" si="56"/>
        <v/>
      </c>
      <c r="BO46" s="818" t="str">
        <f>IF(OR($A46="",$F46=0),"",SUM(Errors!C72,Errors!J72))</f>
        <v/>
      </c>
      <c r="BP46" s="819" t="str">
        <f>IF(OR($A46="",$F46=0),"",SUM(Errors!D72,Errors!K72))</f>
        <v/>
      </c>
      <c r="BQ46" s="819" t="str">
        <f>IF(OR($A46="",$F46=0),"",SUM(Errors!E72,Errors!L72))</f>
        <v/>
      </c>
      <c r="BR46" s="819" t="str">
        <f>IF(OR($A46="",$F46=0),"",SUM(Errors!F72,Errors!M72))</f>
        <v/>
      </c>
      <c r="BS46" s="819" t="str">
        <f>IF(OR($A46="",$F46=0),"",SUM(Errors!G72,Errors!N72))</f>
        <v/>
      </c>
      <c r="BT46" s="288" t="str">
        <f t="shared" si="57"/>
        <v/>
      </c>
    </row>
    <row r="47" spans="1:72" s="108" customFormat="1" ht="19.5" customHeight="1" thickBot="1" x14ac:dyDescent="0.35">
      <c r="A47" s="287" t="str">
        <f>IF(ISBLANK(IGRF!$H30),"",IGRF!$H30)</f>
        <v/>
      </c>
      <c r="B47" s="205" t="str">
        <f>IF(ISBLANK(IGRF!$I30),"",IGRF!$I30)</f>
        <v/>
      </c>
      <c r="C47" s="206" t="str">
        <f>IF(A47="","",SUM(LU!AH28,LU!AH127))</f>
        <v/>
      </c>
      <c r="D47" s="206" t="str">
        <f>IF(A47="","",SUM(LU!W28,LU!W127))</f>
        <v/>
      </c>
      <c r="E47" s="206" t="str">
        <f>IF(A47="","",SUM(LU!AC28,LU!AC127))</f>
        <v/>
      </c>
      <c r="F47" s="768" t="str">
        <f>IF(A47="","",(SUM(C47:E47)-(SUMPRODUCT(--(Lineups!AC$4:AC$41=A47),--(Lineups!AA$4:AA$41="SP"))+SUMPRODUCT(--(Lineups!AG$4:AG$41=A47),--(Lineups!AA$4:AA$41="SP"))+SUMPRODUCT(--(Lineups!AC$50:AC$87=A47),--(Lineups!AA$50:AA$87="SP"))+SUMPRODUCT(--(Lineups!AG$50:AG$87=A47),--(Lineups!AA$50:AA$87="SP")))))</f>
        <v/>
      </c>
      <c r="G47" s="769" t="str">
        <f>IF(OR(A47="",F47=0,LU!D$3+LU!D$102=0),"",F47/(LU!D$3+LU!D$102))</f>
        <v/>
      </c>
      <c r="H47" s="766" t="str">
        <f>IF(OR(C47=0,A47=""),"",SK!T231)</f>
        <v/>
      </c>
      <c r="I47" s="767" t="str">
        <f>IF(OR(A47="",SK!U231="",SK!U231=0),"",H47/SK!U231)</f>
        <v/>
      </c>
      <c r="J47" s="786" t="str">
        <f>IF(OR(C47=0,A47=""),"",SK!W231)</f>
        <v/>
      </c>
      <c r="K47" s="787" t="str">
        <f>IF(OR(C47=0,A47=""),"",SK!X231)</f>
        <v/>
      </c>
      <c r="L47" s="788" t="str">
        <f>IF(OR(C47=0,A47=""),"",SK!Z231)</f>
        <v/>
      </c>
      <c r="M47" s="788" t="str">
        <f>IF(OR(C47=0,A47=""),"",SK!AB231)</f>
        <v/>
      </c>
      <c r="N47" s="789" t="str">
        <f t="shared" si="32"/>
        <v/>
      </c>
      <c r="O47" s="802" t="str">
        <f>IF(OR(A47="",C47=0),"",SK!Y231)</f>
        <v/>
      </c>
      <c r="P47" s="803" t="str">
        <f t="shared" si="33"/>
        <v/>
      </c>
      <c r="Q47" s="792" t="str">
        <f>IF(OR(A47="",F47=0),"",SUM(LU!AJ74,LU!AJ173))</f>
        <v/>
      </c>
      <c r="R47" s="793" t="str">
        <f>IF(OR(A47="",F47=0),"",SUM(LU!AJ97,LU!AJ196))</f>
        <v/>
      </c>
      <c r="S47" s="766" t="str">
        <f>IF(OR(A47="",F47=0),"",SUM(LU!AJ51,LU!AJ150))</f>
        <v/>
      </c>
      <c r="T47" s="793" t="str">
        <f>IF(OR(A47="",C47=0),"",SUM(LU!AH51,LU!AH150))</f>
        <v/>
      </c>
      <c r="U47" s="794" t="str">
        <f t="shared" si="34"/>
        <v/>
      </c>
      <c r="V47" s="795" t="str">
        <f>IF(OR(A47="",D47=0),"",SUM(LU!W51,LU!W150))</f>
        <v/>
      </c>
      <c r="W47" s="794" t="str">
        <f t="shared" si="35"/>
        <v/>
      </c>
      <c r="X47" s="795" t="str">
        <f>IF(OR(A47="",E47=0),"",SUM(LU!AC51,LU!AC150))</f>
        <v/>
      </c>
      <c r="Y47" s="794" t="str">
        <f t="shared" si="36"/>
        <v/>
      </c>
      <c r="Z47" s="804" t="str">
        <f t="shared" si="37"/>
        <v/>
      </c>
      <c r="AA47" s="796" t="str">
        <f ca="1">IF(OR(A47="",F47=0,Q$48="-",LU!$W$5=0),"",Q47-Q$48)</f>
        <v/>
      </c>
      <c r="AB47" s="797" t="str">
        <f ca="1">IF(OR(A47="",F47=0,R$48="-",LU!$W$5=0),"",R47-R$48)</f>
        <v/>
      </c>
      <c r="AC47" s="798" t="str">
        <f t="shared" ca="1" si="38"/>
        <v/>
      </c>
      <c r="AD47" s="799" t="str">
        <f t="shared" si="39"/>
        <v/>
      </c>
      <c r="AE47" s="799" t="str">
        <f t="shared" si="40"/>
        <v/>
      </c>
      <c r="AF47" s="800" t="str">
        <f t="shared" si="41"/>
        <v/>
      </c>
      <c r="AG47" s="801" t="str">
        <f ca="1">IF(OR($A47="",Z47="",Z$48="-",LU!$W$5=0),"",Z47-Z$48)</f>
        <v/>
      </c>
      <c r="AH47" s="1113" t="str">
        <f>IF(OR(A47="",F47=0),"",SUM(PT!U94,PT!U95))</f>
        <v/>
      </c>
      <c r="AI47" s="1114"/>
      <c r="AJ47" s="287" t="str">
        <f t="shared" si="42"/>
        <v/>
      </c>
      <c r="AK47" s="208" t="str">
        <f t="shared" si="31"/>
        <v/>
      </c>
      <c r="AL47" s="818" t="str">
        <f>IF(OR($A47="",$F47=0),"",SUM(Actions!C45,Actions!J45))</f>
        <v/>
      </c>
      <c r="AM47" s="819" t="str">
        <f>IF(OR($A47="",$F47=0),"",SUM(Actions!D45,Actions!K45))</f>
        <v/>
      </c>
      <c r="AN47" s="819" t="str">
        <f>IF(OR($A47="",$F47=0),"",SUM(Actions!E45,Actions!L45))</f>
        <v/>
      </c>
      <c r="AO47" s="819" t="str">
        <f>IF(OR($A47="",$F47=0),"",SUM(Actions!F45,Actions!M45))</f>
        <v/>
      </c>
      <c r="AP47" s="819" t="str">
        <f>IF(OR($A47="",$F47=0),"",SUM(Actions!G45,Actions!N45))</f>
        <v/>
      </c>
      <c r="AQ47" s="820" t="str">
        <f t="shared" si="43"/>
        <v/>
      </c>
      <c r="AR47" s="792" t="str">
        <f>IF(OR($A47="",$F47=0),"",SUM(Actions!C73,Actions!J73))</f>
        <v/>
      </c>
      <c r="AS47" s="793" t="str">
        <f>IF(OR($A47="",$F47=0),"",SUM(Actions!D73,Actions!K73))</f>
        <v/>
      </c>
      <c r="AT47" s="793" t="str">
        <f>IF(OR($A47="",$F47=0),"",SUM(Actions!E73,Actions!L73))</f>
        <v/>
      </c>
      <c r="AU47" s="793" t="str">
        <f>IF(OR($A47="",$F47=0),"",SUM(Actions!F73,Actions!M73))</f>
        <v/>
      </c>
      <c r="AV47" s="793" t="str">
        <f>IF(OR($A47="",$F47=0),"",SUM(Actions!G73,Actions!N73))</f>
        <v/>
      </c>
      <c r="AW47" s="766" t="str">
        <f t="shared" si="44"/>
        <v/>
      </c>
      <c r="AX47" s="821" t="str">
        <f t="shared" si="45"/>
        <v/>
      </c>
      <c r="AY47" s="822" t="str">
        <f t="shared" si="46"/>
        <v/>
      </c>
      <c r="AZ47" s="823" t="str">
        <f t="shared" si="47"/>
        <v/>
      </c>
      <c r="BA47" s="824" t="str">
        <f t="shared" si="48"/>
        <v/>
      </c>
      <c r="BB47" s="798" t="str">
        <f t="shared" si="49"/>
        <v/>
      </c>
      <c r="BC47" s="825" t="str">
        <f t="shared" si="50"/>
        <v/>
      </c>
      <c r="BD47" s="826" t="str">
        <f t="shared" si="51"/>
        <v/>
      </c>
      <c r="BE47" s="827" t="str">
        <f t="shared" si="52"/>
        <v/>
      </c>
      <c r="BF47" s="828" t="str">
        <f>IF(OR($A47="",$F47=0),"",SUM(Errors!C45,Errors!J45))</f>
        <v/>
      </c>
      <c r="BG47" s="793" t="str">
        <f>IF(OR($A47="",$F47=0),"",SUM(Errors!D45,Errors!K45))</f>
        <v/>
      </c>
      <c r="BH47" s="793" t="str">
        <f>IF(OR($A47="",$F47=0),"",SUM(Errors!E45,Errors!L45))</f>
        <v/>
      </c>
      <c r="BI47" s="793" t="str">
        <f>IF(OR($A47="",$F47=0),"",SUM(Errors!F45,Errors!M45))</f>
        <v/>
      </c>
      <c r="BJ47" s="829" t="str">
        <f>IF(OR($A47="",$F47=0),"",SUM(Errors!G45,Errors!N45))</f>
        <v/>
      </c>
      <c r="BK47" s="766" t="str">
        <f t="shared" si="53"/>
        <v/>
      </c>
      <c r="BL47" s="830" t="str">
        <f t="shared" si="54"/>
        <v/>
      </c>
      <c r="BM47" s="830" t="str">
        <f t="shared" si="55"/>
        <v/>
      </c>
      <c r="BN47" s="817" t="str">
        <f t="shared" si="56"/>
        <v/>
      </c>
      <c r="BO47" s="831" t="str">
        <f>IF(OR($A47="",$F47=0),"",SUM(Errors!C73,Errors!J73))</f>
        <v/>
      </c>
      <c r="BP47" s="832" t="str">
        <f>IF(OR($A47="",$F47=0),"",SUM(Errors!D73,Errors!K73))</f>
        <v/>
      </c>
      <c r="BQ47" s="832" t="str">
        <f>IF(OR($A47="",$F47=0),"",SUM(Errors!E73,Errors!L73))</f>
        <v/>
      </c>
      <c r="BR47" s="832" t="str">
        <f>IF(OR($A47="",$F47=0),"",SUM(Errors!F73,Errors!M73))</f>
        <v/>
      </c>
      <c r="BS47" s="832" t="str">
        <f>IF(OR($A47="",$F47=0),"",SUM(Errors!G73,Errors!N73))</f>
        <v/>
      </c>
      <c r="BT47" s="289" t="str">
        <f t="shared" si="57"/>
        <v/>
      </c>
    </row>
    <row r="48" spans="1:72" s="6" customFormat="1" ht="20.25" customHeight="1" thickBot="1" x14ac:dyDescent="0.3">
      <c r="A48" s="1128" t="s">
        <v>164</v>
      </c>
      <c r="B48" s="1128"/>
      <c r="C48" s="310">
        <f>SUM(C28:C47)</f>
        <v>46</v>
      </c>
      <c r="D48" s="310">
        <f>SUM(D28:D47)</f>
        <v>45</v>
      </c>
      <c r="E48" s="310">
        <f>SUM(E28:E47)</f>
        <v>143</v>
      </c>
      <c r="F48" s="310">
        <f>SUM(F28:F47)</f>
        <v>234</v>
      </c>
      <c r="G48" s="311">
        <f>IF(COUNT(G28:G47)=0,"-",SUM(G28:G47)/COUNT(G28:G47))</f>
        <v>0.35562310030395133</v>
      </c>
      <c r="H48" s="310">
        <f ca="1">SUM(H28:H47)</f>
        <v>77</v>
      </c>
      <c r="I48" s="312">
        <f ca="1">IF(LU!W3+LU!W102=0,"-",H48/(LU!W3+LU!W102))</f>
        <v>1.6382978723404256</v>
      </c>
      <c r="J48" s="313">
        <f ca="1">SUM(J28:J47)</f>
        <v>2</v>
      </c>
      <c r="K48" s="310">
        <f ca="1">SUM(K28:K47)</f>
        <v>23</v>
      </c>
      <c r="L48" s="310">
        <f ca="1">SUM(L28:L47)</f>
        <v>21</v>
      </c>
      <c r="M48" s="310">
        <f ca="1">SUM(M28:M47)</f>
        <v>6</v>
      </c>
      <c r="N48" s="314">
        <f ca="1">IF(C48=0,"-",K48/C48)</f>
        <v>0.5</v>
      </c>
      <c r="O48" s="310">
        <f ca="1">SUM(O28:O47)</f>
        <v>22</v>
      </c>
      <c r="P48" s="315">
        <f t="shared" ref="P48:Z48" ca="1" si="58">IF(COUNT(P28:P47)=0,"-",SUM(P28:P47)/COUNT(P28:P47))</f>
        <v>-4.5812499999999998</v>
      </c>
      <c r="Q48" s="316">
        <f t="shared" ca="1" si="58"/>
        <v>27.5</v>
      </c>
      <c r="R48" s="317">
        <f t="shared" ca="1" si="58"/>
        <v>87.5</v>
      </c>
      <c r="S48" s="318">
        <f t="shared" ca="1" si="58"/>
        <v>-60</v>
      </c>
      <c r="T48" s="318">
        <f t="shared" ca="1" si="58"/>
        <v>-38</v>
      </c>
      <c r="U48" s="318">
        <f t="shared" ca="1" si="58"/>
        <v>-5.8644005847953213</v>
      </c>
      <c r="V48" s="318">
        <f t="shared" ca="1" si="58"/>
        <v>-28.6</v>
      </c>
      <c r="W48" s="318">
        <f t="shared" ca="1" si="58"/>
        <v>-1.3698412698412699</v>
      </c>
      <c r="X48" s="318">
        <f t="shared" ca="1" si="58"/>
        <v>-49.545454545454547</v>
      </c>
      <c r="Y48" s="318">
        <f t="shared" ca="1" si="58"/>
        <v>-3.6421331048888601</v>
      </c>
      <c r="Z48" s="318">
        <f t="shared" ca="1" si="58"/>
        <v>-3.9656281261204294</v>
      </c>
      <c r="AA48" s="319" t="s">
        <v>165</v>
      </c>
      <c r="AB48" s="320" t="s">
        <v>165</v>
      </c>
      <c r="AC48" s="320" t="s">
        <v>165</v>
      </c>
      <c r="AD48" s="319" t="s">
        <v>165</v>
      </c>
      <c r="AE48" s="320" t="s">
        <v>165</v>
      </c>
      <c r="AF48" s="320" t="s">
        <v>165</v>
      </c>
      <c r="AG48" s="321" t="s">
        <v>165</v>
      </c>
      <c r="AH48" s="1109">
        <f>SUM(AH28:AI47)</f>
        <v>30</v>
      </c>
      <c r="AI48" s="1110"/>
      <c r="AJ48" s="1128" t="s">
        <v>164</v>
      </c>
      <c r="AK48" s="1128"/>
      <c r="AL48" s="313">
        <f t="shared" ref="AL48:AY48" si="59">SUM(AL28:AL47)</f>
        <v>0</v>
      </c>
      <c r="AM48" s="310">
        <f t="shared" si="59"/>
        <v>0</v>
      </c>
      <c r="AN48" s="310">
        <f t="shared" si="59"/>
        <v>0</v>
      </c>
      <c r="AO48" s="310">
        <f t="shared" si="59"/>
        <v>0</v>
      </c>
      <c r="AP48" s="310">
        <f t="shared" si="59"/>
        <v>0</v>
      </c>
      <c r="AQ48" s="322">
        <f t="shared" si="59"/>
        <v>0</v>
      </c>
      <c r="AR48" s="323">
        <f t="shared" si="59"/>
        <v>0</v>
      </c>
      <c r="AS48" s="310">
        <f t="shared" si="59"/>
        <v>0</v>
      </c>
      <c r="AT48" s="310">
        <f t="shared" si="59"/>
        <v>0</v>
      </c>
      <c r="AU48" s="310">
        <f t="shared" si="59"/>
        <v>0</v>
      </c>
      <c r="AV48" s="310">
        <f t="shared" si="59"/>
        <v>0</v>
      </c>
      <c r="AW48" s="310">
        <f t="shared" si="59"/>
        <v>0</v>
      </c>
      <c r="AX48" s="310">
        <f t="shared" si="59"/>
        <v>0</v>
      </c>
      <c r="AY48" s="322">
        <f t="shared" si="59"/>
        <v>0</v>
      </c>
      <c r="AZ48" s="324">
        <f>IF(F48=0,"-",AQ48/F48)</f>
        <v>0</v>
      </c>
      <c r="BA48" s="325" t="str">
        <f>IF(COUNT(BA28:BA47)=0,"-",SUM(BA28:BA47)/COUNT(BA28:BA47))</f>
        <v>-</v>
      </c>
      <c r="BB48" s="326">
        <f>IF(F48=0,"-",AW48/F48)</f>
        <v>0</v>
      </c>
      <c r="BC48" s="325" t="str">
        <f>IF(COUNT(BC28:BC47)=0,"-",SUM(BC28:BC47)/COUNT(BC28:BC47))</f>
        <v>-</v>
      </c>
      <c r="BD48" s="326">
        <f>IF(F48=0,"-",AX48/F48)</f>
        <v>0</v>
      </c>
      <c r="BE48" s="325" t="str">
        <f>IF(COUNT(BE28:BE47)=0,"-",SUM(BE28:BE47)/COUNT(BE28:BE47))</f>
        <v>-</v>
      </c>
      <c r="BF48" s="316">
        <f t="shared" ref="BF48:BK48" si="60">SUM(BF28:BF47)</f>
        <v>0</v>
      </c>
      <c r="BG48" s="310">
        <f t="shared" si="60"/>
        <v>0</v>
      </c>
      <c r="BH48" s="310">
        <f t="shared" si="60"/>
        <v>0</v>
      </c>
      <c r="BI48" s="310">
        <f t="shared" si="60"/>
        <v>0</v>
      </c>
      <c r="BJ48" s="310">
        <f t="shared" si="60"/>
        <v>0</v>
      </c>
      <c r="BK48" s="310">
        <f t="shared" si="60"/>
        <v>0</v>
      </c>
      <c r="BL48" s="314" t="str">
        <f>IF(COUNT(BL28:BL43)=0,"-",AVERAGE(BL28:BL43))</f>
        <v>-</v>
      </c>
      <c r="BM48" s="314" t="str">
        <f>IF(SUM(AT48,AU48,BG48,BH48)=0,"-",SUM(AT48,AU48)/SUM(AT48,AU48,BG48,BH48))</f>
        <v>-</v>
      </c>
      <c r="BN48" s="327" t="str">
        <f>IF(SUM(AR48:AS48,BF48,BJ48)=0,"-",SUM(AR48,AS48)/(SUM(AR48,AS48,BF48,BJ48)))</f>
        <v>-</v>
      </c>
      <c r="BO48" s="313">
        <f t="shared" ref="BO48:BT48" si="61">SUM(BO28:BO47)</f>
        <v>0</v>
      </c>
      <c r="BP48" s="310">
        <f t="shared" si="61"/>
        <v>0</v>
      </c>
      <c r="BQ48" s="310">
        <f t="shared" si="61"/>
        <v>0</v>
      </c>
      <c r="BR48" s="310">
        <f t="shared" si="61"/>
        <v>0</v>
      </c>
      <c r="BS48" s="310">
        <f t="shared" si="61"/>
        <v>0</v>
      </c>
      <c r="BT48" s="322">
        <f t="shared" si="61"/>
        <v>0</v>
      </c>
    </row>
  </sheetData>
  <mergeCells count="65">
    <mergeCell ref="A26:B26"/>
    <mergeCell ref="AJ26:AK26"/>
    <mergeCell ref="A48:B48"/>
    <mergeCell ref="AJ48:AK48"/>
    <mergeCell ref="AH4:AI4"/>
    <mergeCell ref="AJ4:AK4"/>
    <mergeCell ref="AH5:AI5"/>
    <mergeCell ref="AH6:AI6"/>
    <mergeCell ref="AH7:AI7"/>
    <mergeCell ref="AH8:AI8"/>
    <mergeCell ref="AH9:AI9"/>
    <mergeCell ref="AH10:AI10"/>
    <mergeCell ref="AH11:AI11"/>
    <mergeCell ref="AH12:AI12"/>
    <mergeCell ref="AH13:AI13"/>
    <mergeCell ref="AH14:AI14"/>
    <mergeCell ref="AL4:AY4"/>
    <mergeCell ref="AZ4:BD4"/>
    <mergeCell ref="BF4:BN4"/>
    <mergeCell ref="BO4:BT4"/>
    <mergeCell ref="A4:B4"/>
    <mergeCell ref="C4:F4"/>
    <mergeCell ref="J4:O4"/>
    <mergeCell ref="Q4:Z4"/>
    <mergeCell ref="AA4:AG4"/>
    <mergeCell ref="A1:AI1"/>
    <mergeCell ref="AJ1:BT1"/>
    <mergeCell ref="A2:AI2"/>
    <mergeCell ref="AJ2:BT2"/>
    <mergeCell ref="A3:AI3"/>
    <mergeCell ref="AJ3:BT3"/>
    <mergeCell ref="AH15:AI15"/>
    <mergeCell ref="AH16:AI16"/>
    <mergeCell ref="AH17:AI17"/>
    <mergeCell ref="AH18:AI18"/>
    <mergeCell ref="AH19:AI19"/>
    <mergeCell ref="AH20:AI20"/>
    <mergeCell ref="AH21:AI21"/>
    <mergeCell ref="AH26:AI26"/>
    <mergeCell ref="AH27:AI27"/>
    <mergeCell ref="AH28:AI28"/>
    <mergeCell ref="AH36:AI36"/>
    <mergeCell ref="AH37:AI37"/>
    <mergeCell ref="AH38:AI38"/>
    <mergeCell ref="AH29:AI29"/>
    <mergeCell ref="AH30:AI30"/>
    <mergeCell ref="AH31:AI31"/>
    <mergeCell ref="AH32:AI32"/>
    <mergeCell ref="AH33:AI33"/>
    <mergeCell ref="AH48:AI48"/>
    <mergeCell ref="AH22:AI22"/>
    <mergeCell ref="AH23:AI23"/>
    <mergeCell ref="AH24:AI24"/>
    <mergeCell ref="AH25:AI25"/>
    <mergeCell ref="AH44:AI44"/>
    <mergeCell ref="AH45:AI45"/>
    <mergeCell ref="AH46:AI46"/>
    <mergeCell ref="AH47:AI47"/>
    <mergeCell ref="AH39:AI39"/>
    <mergeCell ref="AH40:AI40"/>
    <mergeCell ref="AH41:AI41"/>
    <mergeCell ref="AH42:AI42"/>
    <mergeCell ref="AH43:AI43"/>
    <mergeCell ref="AH34:AI34"/>
    <mergeCell ref="AH35:AI35"/>
  </mergeCells>
  <phoneticPr fontId="8" type="noConversion"/>
  <printOptions horizontalCentered="1" verticalCentered="1"/>
  <pageMargins left="0.25" right="0.25" top="0.25" bottom="0.25" header="0.51180555555555551" footer="0.51180555555555551"/>
  <pageSetup scale="56" firstPageNumber="0" orientation="landscape" horizontalDpi="300" verticalDpi="300"/>
  <headerFooter alignWithMargins="0"/>
  <colBreaks count="1" manualBreakCount="1">
    <brk id="35" max="1048575" man="1"/>
  </colBreaks>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0" tint="-0.14999847407452621"/>
  </sheetPr>
  <dimension ref="A1:AC58"/>
  <sheetViews>
    <sheetView workbookViewId="0">
      <selection sqref="A1:C1"/>
    </sheetView>
  </sheetViews>
  <sheetFormatPr defaultColWidth="9.33203125" defaultRowHeight="13.8" x14ac:dyDescent="0.3"/>
  <cols>
    <col min="1" max="1" width="5.6640625" style="686" customWidth="1"/>
    <col min="2" max="2" width="20.6640625" style="686" customWidth="1"/>
    <col min="3" max="3" width="4.6640625" style="686" customWidth="1"/>
    <col min="4" max="11" width="3.6640625" style="686" customWidth="1"/>
    <col min="12" max="12" width="4.33203125" style="686" customWidth="1"/>
    <col min="13" max="19" width="3.6640625" style="686" customWidth="1"/>
    <col min="20" max="20" width="5.6640625" style="686" customWidth="1"/>
    <col min="21" max="21" width="5.44140625" style="686" customWidth="1"/>
    <col min="22" max="22" width="9.33203125" style="686" customWidth="1"/>
    <col min="23" max="23" width="5.33203125" style="686" customWidth="1"/>
    <col min="24" max="24" width="6.6640625" style="686" customWidth="1"/>
    <col min="25" max="28" width="4.44140625" style="686" customWidth="1"/>
    <col min="29" max="16384" width="9.33203125" style="182"/>
  </cols>
  <sheetData>
    <row r="1" spans="1:29" ht="20.25" customHeight="1" thickBot="1" x14ac:dyDescent="0.35">
      <c r="A1" s="1163">
        <f>IF(IGRF!$B$5="","",IGRF!$B$5)</f>
        <v>41832</v>
      </c>
      <c r="B1" s="1163"/>
      <c r="C1" s="1163"/>
      <c r="D1" s="1164" t="s">
        <v>170</v>
      </c>
      <c r="E1" s="1164"/>
      <c r="F1" s="1164"/>
      <c r="G1" s="1164"/>
      <c r="H1" s="1164"/>
      <c r="I1" s="1164"/>
      <c r="J1" s="1164"/>
      <c r="K1" s="1164"/>
      <c r="L1" s="1164"/>
      <c r="M1" s="1164"/>
      <c r="N1" s="1164"/>
      <c r="O1" s="1164"/>
      <c r="P1" s="1164"/>
      <c r="Q1" s="1164"/>
      <c r="R1" s="1164"/>
      <c r="S1" s="1164"/>
      <c r="T1" s="1164"/>
      <c r="U1" s="1164"/>
      <c r="V1" s="1164"/>
      <c r="W1" s="1165"/>
      <c r="X1" s="1165"/>
    </row>
    <row r="2" spans="1:29" ht="60" customHeight="1" thickBot="1" x14ac:dyDescent="0.35">
      <c r="A2" s="1166" t="str">
        <f>Score!A1</f>
        <v>Rat City Rollergirls / All-Stars</v>
      </c>
      <c r="B2" s="1166"/>
      <c r="C2" s="1166"/>
      <c r="D2" s="1167" t="s">
        <v>605</v>
      </c>
      <c r="E2" s="1168"/>
      <c r="F2" s="1168"/>
      <c r="G2" s="1168"/>
      <c r="H2" s="1168"/>
      <c r="I2" s="1168"/>
      <c r="J2" s="1168"/>
      <c r="K2" s="1168"/>
      <c r="L2" s="1168"/>
      <c r="M2" s="1168"/>
      <c r="N2" s="1168"/>
      <c r="O2" s="1168"/>
      <c r="P2" s="1168"/>
      <c r="Q2" s="1168"/>
      <c r="R2" s="1168"/>
      <c r="S2" s="1168"/>
      <c r="T2" s="1169"/>
      <c r="U2" s="687"/>
      <c r="V2" s="687"/>
      <c r="W2" s="1170" t="s">
        <v>171</v>
      </c>
      <c r="X2" s="1171"/>
      <c r="Y2" s="688"/>
      <c r="Z2" s="688"/>
      <c r="AA2" s="688"/>
      <c r="AB2" s="688"/>
      <c r="AC2" s="686"/>
    </row>
    <row r="3" spans="1:29" ht="60.75" customHeight="1" x14ac:dyDescent="0.3">
      <c r="A3" s="689" t="s">
        <v>187</v>
      </c>
      <c r="B3" s="1161" t="s">
        <v>172</v>
      </c>
      <c r="C3" s="1162"/>
      <c r="D3" s="690" t="s">
        <v>190</v>
      </c>
      <c r="E3" s="691" t="s">
        <v>202</v>
      </c>
      <c r="F3" s="692" t="s">
        <v>205</v>
      </c>
      <c r="G3" s="692" t="s">
        <v>198</v>
      </c>
      <c r="H3" s="692" t="s">
        <v>69</v>
      </c>
      <c r="I3" s="692" t="s">
        <v>70</v>
      </c>
      <c r="J3" s="692" t="s">
        <v>207</v>
      </c>
      <c r="K3" s="692" t="s">
        <v>71</v>
      </c>
      <c r="L3" s="692" t="s">
        <v>72</v>
      </c>
      <c r="M3" s="692" t="s">
        <v>211</v>
      </c>
      <c r="N3" s="692" t="s">
        <v>194</v>
      </c>
      <c r="O3" s="692" t="s">
        <v>73</v>
      </c>
      <c r="P3" s="692" t="s">
        <v>74</v>
      </c>
      <c r="Q3" s="693" t="s">
        <v>75</v>
      </c>
      <c r="R3" s="693" t="s">
        <v>312</v>
      </c>
      <c r="S3" s="693" t="s">
        <v>173</v>
      </c>
      <c r="T3" s="694" t="s">
        <v>76</v>
      </c>
      <c r="U3" s="695" t="s">
        <v>597</v>
      </c>
      <c r="V3" s="696" t="s">
        <v>214</v>
      </c>
      <c r="W3" s="697" t="s">
        <v>77</v>
      </c>
      <c r="X3" s="698" t="s">
        <v>599</v>
      </c>
      <c r="Y3" s="699"/>
      <c r="Z3" s="699"/>
      <c r="AA3" s="699"/>
      <c r="AB3" s="699"/>
      <c r="AC3" s="686"/>
    </row>
    <row r="4" spans="1:29" ht="25.2" customHeight="1" x14ac:dyDescent="0.3">
      <c r="A4" s="700" t="str">
        <f>IF(IGRF!B11="","",IGRF!B11)</f>
        <v>12</v>
      </c>
      <c r="B4" s="1157" t="str">
        <f>IF(IGRF!C11="","",IGRF!C11)</f>
        <v>Carmen Getsome</v>
      </c>
      <c r="C4" s="1158"/>
      <c r="D4" s="701">
        <f>IF($A4="","",SUM(PT!E3,PT!E4))</f>
        <v>1</v>
      </c>
      <c r="E4" s="702">
        <f>IF($A4="","",SUM(PT!F3,PT!F4))</f>
        <v>0</v>
      </c>
      <c r="F4" s="702">
        <f>IF($A4="","",SUM(PT!G3,PT!G4))</f>
        <v>0</v>
      </c>
      <c r="G4" s="702">
        <f>IF($A4="","",SUM(PT!H3,PT!H4))</f>
        <v>1</v>
      </c>
      <c r="H4" s="702">
        <f>IF($A4="","",SUM(PT!I3,PT!I4))</f>
        <v>1</v>
      </c>
      <c r="I4" s="702">
        <f>IF($A4="","",SUM(PT!J3,PT!J4))</f>
        <v>0</v>
      </c>
      <c r="J4" s="702">
        <f>IF($A4="","",SUM(PT!K3,PT!K4))</f>
        <v>0</v>
      </c>
      <c r="K4" s="702">
        <f>IF($A4="","",SUM(PT!L3,PT!L4))</f>
        <v>0</v>
      </c>
      <c r="L4" s="702">
        <f>IF($A4="","",SUM(PT!M3,PT!M4))</f>
        <v>0</v>
      </c>
      <c r="M4" s="702">
        <f>IF($A4="","",SUM(PT!N3,PT!N4))</f>
        <v>1</v>
      </c>
      <c r="N4" s="702">
        <f>IF($A4="","",SUM(PT!O3,PT!O4))</f>
        <v>1</v>
      </c>
      <c r="O4" s="702">
        <f>IF($A4="","",SUM(PT!P3,PT!P4))</f>
        <v>0</v>
      </c>
      <c r="P4" s="702">
        <f>IF($A4="","",SUM(PT!Q3,PT!Q4))</f>
        <v>0</v>
      </c>
      <c r="Q4" s="702">
        <f>IF($A4="","",SUM(PT!R3,PT!R4))</f>
        <v>0</v>
      </c>
      <c r="R4" s="702">
        <f>IF($A4="","",SUM(PT!S3,PT!S4))</f>
        <v>0</v>
      </c>
      <c r="S4" s="703">
        <f>IF($A4="","",SUM(PT!T3,PT!T4))</f>
        <v>0</v>
      </c>
      <c r="T4" s="704">
        <f>IF($A4="","",SUM(D4:S4))</f>
        <v>5</v>
      </c>
      <c r="U4" s="705">
        <f>IF($A4="","",SUM(PT!U3,PT!U4))</f>
        <v>5</v>
      </c>
      <c r="V4" s="706" t="str">
        <f>IF($A4="","",PT!AJ4)</f>
        <v/>
      </c>
      <c r="W4" s="707">
        <f>'Game Summary'!F6</f>
        <v>24</v>
      </c>
      <c r="X4" s="708">
        <f t="shared" ref="X4:X23" si="0">IF(OR(W4="",W4=0),"",U4/W4)</f>
        <v>0.20833333333333334</v>
      </c>
      <c r="Y4" s="699"/>
      <c r="Z4" s="699"/>
      <c r="AA4" s="699"/>
      <c r="AB4" s="699"/>
      <c r="AC4" s="686"/>
    </row>
    <row r="5" spans="1:29" ht="25.2" customHeight="1" x14ac:dyDescent="0.3">
      <c r="A5" s="709" t="str">
        <f>IF(IGRF!B12="","",IGRF!B12)</f>
        <v>123</v>
      </c>
      <c r="B5" s="1155" t="str">
        <f>IF(IGRF!C12="","",IGRF!C12)</f>
        <v>Nelson</v>
      </c>
      <c r="C5" s="1156"/>
      <c r="D5" s="710">
        <f>IF($A5="","",SUM(PT!E5,PT!E6))</f>
        <v>0</v>
      </c>
      <c r="E5" s="711">
        <f>IF($A5="","",SUM(PT!F5,PT!F6))</f>
        <v>0</v>
      </c>
      <c r="F5" s="712">
        <f>IF($A5="","",SUM(PT!G5,PT!G6))</f>
        <v>0</v>
      </c>
      <c r="G5" s="713">
        <f>IF($A5="","",SUM(PT!H5,PT!H6))</f>
        <v>0</v>
      </c>
      <c r="H5" s="713">
        <f>IF($A5="","",SUM(PT!I5,PT!I6))</f>
        <v>0</v>
      </c>
      <c r="I5" s="713">
        <f>IF($A5="","",SUM(PT!J5,PT!J6))</f>
        <v>0</v>
      </c>
      <c r="J5" s="713">
        <f>IF($A5="","",SUM(PT!K5,PT!K6))</f>
        <v>1</v>
      </c>
      <c r="K5" s="713">
        <f>IF($A5="","",SUM(PT!L5,PT!L6))</f>
        <v>0</v>
      </c>
      <c r="L5" s="713">
        <f>IF($A5="","",SUM(PT!M5,PT!M6))</f>
        <v>0</v>
      </c>
      <c r="M5" s="713">
        <f>IF($A5="","",SUM(PT!N5,PT!N6))</f>
        <v>0</v>
      </c>
      <c r="N5" s="713">
        <f>IF($A5="","",SUM(PT!O5,PT!O6))</f>
        <v>0</v>
      </c>
      <c r="O5" s="713">
        <f>IF($A5="","",SUM(PT!P5,PT!P6))</f>
        <v>0</v>
      </c>
      <c r="P5" s="713">
        <f>IF($A5="","",SUM(PT!Q5,PT!Q6))</f>
        <v>0</v>
      </c>
      <c r="Q5" s="713">
        <f>IF($A5="","",SUM(PT!R5,PT!R6))</f>
        <v>0</v>
      </c>
      <c r="R5" s="713">
        <f>IF($A5="","",SUM(PT!S5,PT!S6))</f>
        <v>0</v>
      </c>
      <c r="S5" s="713">
        <f>IF($A5="","",SUM(PT!T5,PT!T6))</f>
        <v>0</v>
      </c>
      <c r="T5" s="714">
        <f t="shared" ref="T5:T23" si="1">IF($A5="","",SUM(D5:S5))</f>
        <v>1</v>
      </c>
      <c r="U5" s="715">
        <f>IF($A5="","",SUM(PT!U5,PT!U6))</f>
        <v>1</v>
      </c>
      <c r="V5" s="716" t="str">
        <f>IF($A5="","",PT!AJ6)</f>
        <v/>
      </c>
      <c r="W5" s="717">
        <f>'Game Summary'!F7</f>
        <v>20</v>
      </c>
      <c r="X5" s="718">
        <f t="shared" si="0"/>
        <v>0.05</v>
      </c>
      <c r="Y5" s="699"/>
      <c r="Z5" s="699"/>
      <c r="AA5" s="699"/>
      <c r="AB5" s="699"/>
      <c r="AC5" s="686"/>
    </row>
    <row r="6" spans="1:29" ht="25.2" customHeight="1" x14ac:dyDescent="0.3">
      <c r="A6" s="700" t="str">
        <f>IF(IGRF!B13="","",IGRF!B13)</f>
        <v>14</v>
      </c>
      <c r="B6" s="1157" t="str">
        <f>IF(IGRF!C13="","",IGRF!C13)</f>
        <v>Shorty Ounce</v>
      </c>
      <c r="C6" s="1158"/>
      <c r="D6" s="701">
        <f>IF($A6="","",SUM(PT!E7,PT!E8))</f>
        <v>0</v>
      </c>
      <c r="E6" s="702">
        <f>IF($A6="","",SUM(PT!F7,PT!F8))</f>
        <v>0</v>
      </c>
      <c r="F6" s="702">
        <f>IF($A6="","",SUM(PT!G7,PT!G8))</f>
        <v>1</v>
      </c>
      <c r="G6" s="702">
        <f>IF($A6="","",SUM(PT!H7,PT!H8))</f>
        <v>0</v>
      </c>
      <c r="H6" s="702">
        <f>IF($A6="","",SUM(PT!I7,PT!I8))</f>
        <v>1</v>
      </c>
      <c r="I6" s="702">
        <f>IF($A6="","",SUM(PT!J7,PT!J8))</f>
        <v>0</v>
      </c>
      <c r="J6" s="702">
        <f>IF($A6="","",SUM(PT!K7,PT!K8))</f>
        <v>0</v>
      </c>
      <c r="K6" s="702">
        <f>IF($A6="","",SUM(PT!L7,PT!L8))</f>
        <v>0</v>
      </c>
      <c r="L6" s="702">
        <f>IF($A6="","",SUM(PT!M7,PT!M8))</f>
        <v>0</v>
      </c>
      <c r="M6" s="702">
        <f>IF($A6="","",SUM(PT!N7,PT!N8))</f>
        <v>0</v>
      </c>
      <c r="N6" s="702">
        <f>IF($A6="","",SUM(PT!O7,PT!O8))</f>
        <v>0</v>
      </c>
      <c r="O6" s="702">
        <f>IF($A6="","",SUM(PT!P7,PT!P8))</f>
        <v>0</v>
      </c>
      <c r="P6" s="702">
        <f>IF($A6="","",SUM(PT!Q7,PT!Q8))</f>
        <v>0</v>
      </c>
      <c r="Q6" s="702">
        <f>IF($A6="","",SUM(PT!R7,PT!R8))</f>
        <v>0</v>
      </c>
      <c r="R6" s="702">
        <f>IF($A6="","",SUM(PT!S7,PT!S8))</f>
        <v>0</v>
      </c>
      <c r="S6" s="703">
        <f>IF($A6="","",SUM(PT!T7,PT!T8))</f>
        <v>0</v>
      </c>
      <c r="T6" s="704">
        <f t="shared" si="1"/>
        <v>2</v>
      </c>
      <c r="U6" s="705">
        <f>IF($A6="","",SUM(PT!U7,PT!U8))</f>
        <v>2</v>
      </c>
      <c r="V6" s="706" t="str">
        <f>IF($A6="","",PT!AJ8)</f>
        <v/>
      </c>
      <c r="W6" s="707">
        <f>'Game Summary'!F8</f>
        <v>20</v>
      </c>
      <c r="X6" s="708">
        <f t="shared" si="0"/>
        <v>0.1</v>
      </c>
      <c r="Y6" s="699"/>
      <c r="Z6" s="699"/>
      <c r="AA6" s="699"/>
      <c r="AB6" s="699"/>
      <c r="AC6" s="686"/>
    </row>
    <row r="7" spans="1:29" ht="25.2" customHeight="1" x14ac:dyDescent="0.3">
      <c r="A7" s="709" t="str">
        <f>IF(IGRF!B14="","",IGRF!B14)</f>
        <v>1618</v>
      </c>
      <c r="B7" s="1155" t="str">
        <f>IF(IGRF!C14="","",IGRF!C14)</f>
        <v>Sintripital Force</v>
      </c>
      <c r="C7" s="1156"/>
      <c r="D7" s="710">
        <f>IF($A7="","",SUM(PT!E9,PT!E10))</f>
        <v>0</v>
      </c>
      <c r="E7" s="711">
        <f>IF($A7="","",SUM(PT!F9,PT!F10))</f>
        <v>0</v>
      </c>
      <c r="F7" s="712">
        <f>IF($A7="","",SUM(PT!G9,PT!G10))</f>
        <v>0</v>
      </c>
      <c r="G7" s="713">
        <f>IF($A7="","",SUM(PT!H9,PT!H10))</f>
        <v>0</v>
      </c>
      <c r="H7" s="713">
        <f>IF($A7="","",SUM(PT!I9,PT!I10))</f>
        <v>0</v>
      </c>
      <c r="I7" s="713">
        <f>IF($A7="","",SUM(PT!J9,PT!J10))</f>
        <v>0</v>
      </c>
      <c r="J7" s="713">
        <f>IF($A7="","",SUM(PT!K9,PT!K10))</f>
        <v>0</v>
      </c>
      <c r="K7" s="713">
        <f>IF($A7="","",SUM(PT!L9,PT!L10))</f>
        <v>0</v>
      </c>
      <c r="L7" s="713">
        <f>IF($A7="","",SUM(PT!M9,PT!M10))</f>
        <v>0</v>
      </c>
      <c r="M7" s="713">
        <f>IF($A7="","",SUM(PT!N9,PT!N10))</f>
        <v>0</v>
      </c>
      <c r="N7" s="713">
        <f>IF($A7="","",SUM(PT!O9,PT!O10))</f>
        <v>0</v>
      </c>
      <c r="O7" s="713">
        <f>IF($A7="","",SUM(PT!P9,PT!P10))</f>
        <v>0</v>
      </c>
      <c r="P7" s="713">
        <f>IF($A7="","",SUM(PT!Q9,PT!Q10))</f>
        <v>0</v>
      </c>
      <c r="Q7" s="713">
        <f>IF($A7="","",SUM(PT!R9,PT!R10))</f>
        <v>0</v>
      </c>
      <c r="R7" s="713">
        <f>IF($A7="","",SUM(PT!S9,PT!S10))</f>
        <v>0</v>
      </c>
      <c r="S7" s="713">
        <f>IF($A7="","",SUM(PT!T9,PT!T10))</f>
        <v>0</v>
      </c>
      <c r="T7" s="714">
        <f t="shared" si="1"/>
        <v>0</v>
      </c>
      <c r="U7" s="715">
        <f>IF($A7="","",SUM(PT!U9,PT!U10))</f>
        <v>0</v>
      </c>
      <c r="V7" s="716" t="str">
        <f>IF($A7="","",PT!AJ10)</f>
        <v/>
      </c>
      <c r="W7" s="717">
        <f>'Game Summary'!F9</f>
        <v>10</v>
      </c>
      <c r="X7" s="718">
        <f t="shared" si="0"/>
        <v>0</v>
      </c>
      <c r="Y7" s="699"/>
      <c r="Z7" s="699"/>
      <c r="AA7" s="699"/>
      <c r="AB7" s="699"/>
      <c r="AC7" s="686"/>
    </row>
    <row r="8" spans="1:29" ht="25.2" customHeight="1" x14ac:dyDescent="0.3">
      <c r="A8" s="700" t="str">
        <f>IF(IGRF!B15="","",IGRF!B15)</f>
        <v>22</v>
      </c>
      <c r="B8" s="1157" t="str">
        <f>IF(IGRF!C15="","",IGRF!C15)</f>
        <v>Sami Automatic</v>
      </c>
      <c r="C8" s="1158"/>
      <c r="D8" s="701">
        <f>IF($A8="","",SUM(PT!E11,PT!E12))</f>
        <v>0</v>
      </c>
      <c r="E8" s="702">
        <f>IF($A8="","",SUM(PT!F11,PT!F12))</f>
        <v>0</v>
      </c>
      <c r="F8" s="702">
        <f>IF($A8="","",SUM(PT!G11,PT!G12))</f>
        <v>0</v>
      </c>
      <c r="G8" s="702">
        <f>IF($A8="","",SUM(PT!H11,PT!H12))</f>
        <v>1</v>
      </c>
      <c r="H8" s="702">
        <f>IF($A8="","",SUM(PT!I11,PT!I12))</f>
        <v>0</v>
      </c>
      <c r="I8" s="702">
        <f>IF($A8="","",SUM(PT!J11,PT!J12))</f>
        <v>0</v>
      </c>
      <c r="J8" s="702">
        <f>IF($A8="","",SUM(PT!K11,PT!K12))</f>
        <v>1</v>
      </c>
      <c r="K8" s="702">
        <f>IF($A8="","",SUM(PT!L11,PT!L12))</f>
        <v>0</v>
      </c>
      <c r="L8" s="702">
        <f>IF($A8="","",SUM(PT!M11,PT!M12))</f>
        <v>0</v>
      </c>
      <c r="M8" s="702">
        <f>IF($A8="","",SUM(PT!N11,PT!N12))</f>
        <v>0</v>
      </c>
      <c r="N8" s="702">
        <f>IF($A8="","",SUM(PT!O11,PT!O12))</f>
        <v>0</v>
      </c>
      <c r="O8" s="702">
        <f>IF($A8="","",SUM(PT!P11,PT!P12))</f>
        <v>0</v>
      </c>
      <c r="P8" s="702">
        <f>IF($A8="","",SUM(PT!Q11,PT!Q12))</f>
        <v>0</v>
      </c>
      <c r="Q8" s="702">
        <f>IF($A8="","",SUM(PT!R11,PT!R12))</f>
        <v>0</v>
      </c>
      <c r="R8" s="702">
        <f>IF($A8="","",SUM(PT!S11,PT!S12))</f>
        <v>0</v>
      </c>
      <c r="S8" s="703">
        <f>IF($A8="","",SUM(PT!T11,PT!T12))</f>
        <v>0</v>
      </c>
      <c r="T8" s="704">
        <f t="shared" si="1"/>
        <v>2</v>
      </c>
      <c r="U8" s="705">
        <f>IF($A8="","",SUM(PT!U11,PT!U12))</f>
        <v>2</v>
      </c>
      <c r="V8" s="706" t="str">
        <f>IF($A8="","",PT!AJ12)</f>
        <v/>
      </c>
      <c r="W8" s="707">
        <f>'Game Summary'!F10</f>
        <v>17</v>
      </c>
      <c r="X8" s="708">
        <f t="shared" si="0"/>
        <v>0.11764705882352941</v>
      </c>
      <c r="Y8" s="699"/>
      <c r="Z8" s="699"/>
      <c r="AA8" s="699"/>
      <c r="AB8" s="699"/>
      <c r="AC8" s="686"/>
    </row>
    <row r="9" spans="1:29" ht="25.2" customHeight="1" x14ac:dyDescent="0.3">
      <c r="A9" s="709" t="str">
        <f>IF(IGRF!B16="","",IGRF!B16)</f>
        <v>23</v>
      </c>
      <c r="B9" s="1155" t="str">
        <f>IF(IGRF!C16="","",IGRF!C16)</f>
        <v>LeBrawn Maimes</v>
      </c>
      <c r="C9" s="1156"/>
      <c r="D9" s="710">
        <f>IF($A9="","",SUM(PT!E13,PT!E14))</f>
        <v>0</v>
      </c>
      <c r="E9" s="711">
        <f>IF($A9="","",SUM(PT!F13,PT!F14))</f>
        <v>0</v>
      </c>
      <c r="F9" s="712">
        <f>IF($A9="","",SUM(PT!G13,PT!G14))</f>
        <v>0</v>
      </c>
      <c r="G9" s="713">
        <f>IF($A9="","",SUM(PT!H13,PT!H14))</f>
        <v>0</v>
      </c>
      <c r="H9" s="713">
        <f>IF($A9="","",SUM(PT!I13,PT!I14))</f>
        <v>0</v>
      </c>
      <c r="I9" s="713">
        <f>IF($A9="","",SUM(PT!J13,PT!J14))</f>
        <v>0</v>
      </c>
      <c r="J9" s="713">
        <f>IF($A9="","",SUM(PT!K13,PT!K14))</f>
        <v>1</v>
      </c>
      <c r="K9" s="713">
        <f>IF($A9="","",SUM(PT!L13,PT!L14))</f>
        <v>0</v>
      </c>
      <c r="L9" s="713">
        <f>IF($A9="","",SUM(PT!M13,PT!M14))</f>
        <v>0</v>
      </c>
      <c r="M9" s="713">
        <f>IF($A9="","",SUM(PT!N13,PT!N14))</f>
        <v>0</v>
      </c>
      <c r="N9" s="713">
        <f>IF($A9="","",SUM(PT!O13,PT!O14))</f>
        <v>1</v>
      </c>
      <c r="O9" s="713">
        <f>IF($A9="","",SUM(PT!P13,PT!P14))</f>
        <v>0</v>
      </c>
      <c r="P9" s="713">
        <f>IF($A9="","",SUM(PT!Q13,PT!Q14))</f>
        <v>0</v>
      </c>
      <c r="Q9" s="713">
        <f>IF($A9="","",SUM(PT!R13,PT!R14))</f>
        <v>0</v>
      </c>
      <c r="R9" s="713">
        <f>IF($A9="","",SUM(PT!S13,PT!S14))</f>
        <v>0</v>
      </c>
      <c r="S9" s="713">
        <f>IF($A9="","",SUM(PT!T13,PT!T14))</f>
        <v>0</v>
      </c>
      <c r="T9" s="714">
        <f t="shared" si="1"/>
        <v>2</v>
      </c>
      <c r="U9" s="715">
        <f>IF($A9="","",SUM(PT!U13,PT!U14))</f>
        <v>2</v>
      </c>
      <c r="V9" s="716" t="str">
        <f>IF($A9="","",PT!AJ14)</f>
        <v/>
      </c>
      <c r="W9" s="717">
        <f>'Game Summary'!F11</f>
        <v>12</v>
      </c>
      <c r="X9" s="718">
        <f t="shared" si="0"/>
        <v>0.16666666666666666</v>
      </c>
      <c r="Y9" s="699"/>
      <c r="Z9" s="699"/>
      <c r="AA9" s="699"/>
      <c r="AB9" s="699"/>
      <c r="AC9" s="686"/>
    </row>
    <row r="10" spans="1:29" ht="25.2" customHeight="1" x14ac:dyDescent="0.3">
      <c r="A10" s="700" t="str">
        <f>IF(IGRF!B17="","",IGRF!B17)</f>
        <v>321</v>
      </c>
      <c r="B10" s="1157" t="str">
        <f>IF(IGRF!C17="","",IGRF!C17)</f>
        <v>Missile America</v>
      </c>
      <c r="C10" s="1158"/>
      <c r="D10" s="701">
        <f>IF($A10="","",SUM(PT!E15,PT!E16))</f>
        <v>0</v>
      </c>
      <c r="E10" s="702">
        <f>IF($A10="","",SUM(PT!F15,PT!F16))</f>
        <v>1</v>
      </c>
      <c r="F10" s="702">
        <f>IF($A10="","",SUM(PT!G15,PT!G16))</f>
        <v>0</v>
      </c>
      <c r="G10" s="702">
        <f>IF($A10="","",SUM(PT!H15,PT!H16))</f>
        <v>0</v>
      </c>
      <c r="H10" s="702">
        <f>IF($A10="","",SUM(PT!I15,PT!I16))</f>
        <v>1</v>
      </c>
      <c r="I10" s="702">
        <f>IF($A10="","",SUM(PT!J15,PT!J16))</f>
        <v>0</v>
      </c>
      <c r="J10" s="702">
        <f>IF($A10="","",SUM(PT!K15,PT!K16))</f>
        <v>1</v>
      </c>
      <c r="K10" s="702">
        <f>IF($A10="","",SUM(PT!L15,PT!L16))</f>
        <v>0</v>
      </c>
      <c r="L10" s="702">
        <f>IF($A10="","",SUM(PT!M15,PT!M16))</f>
        <v>1</v>
      </c>
      <c r="M10" s="702">
        <f>IF($A10="","",SUM(PT!N15,PT!N16))</f>
        <v>1</v>
      </c>
      <c r="N10" s="702">
        <f>IF($A10="","",SUM(PT!O15,PT!O16))</f>
        <v>0</v>
      </c>
      <c r="O10" s="702">
        <f>IF($A10="","",SUM(PT!P15,PT!P16))</f>
        <v>0</v>
      </c>
      <c r="P10" s="702">
        <f>IF($A10="","",SUM(PT!Q15,PT!Q16))</f>
        <v>0</v>
      </c>
      <c r="Q10" s="702">
        <f>IF($A10="","",SUM(PT!R15,PT!R16))</f>
        <v>0</v>
      </c>
      <c r="R10" s="702">
        <f>IF($A10="","",SUM(PT!S15,PT!S16))</f>
        <v>0</v>
      </c>
      <c r="S10" s="703">
        <f>IF($A10="","",SUM(PT!T15,PT!T16))</f>
        <v>0</v>
      </c>
      <c r="T10" s="704">
        <f t="shared" si="1"/>
        <v>5</v>
      </c>
      <c r="U10" s="705">
        <f>IF($A10="","",SUM(PT!U15,PT!U16))</f>
        <v>5</v>
      </c>
      <c r="V10" s="706" t="str">
        <f>IF($A10="","",PT!AJ16)</f>
        <v/>
      </c>
      <c r="W10" s="707">
        <f>'Game Summary'!F12</f>
        <v>22</v>
      </c>
      <c r="X10" s="708">
        <f t="shared" si="0"/>
        <v>0.22727272727272727</v>
      </c>
      <c r="Y10" s="699"/>
      <c r="Z10" s="699"/>
      <c r="AA10" s="699"/>
      <c r="AB10" s="699"/>
      <c r="AC10" s="686"/>
    </row>
    <row r="11" spans="1:29" ht="25.2" customHeight="1" x14ac:dyDescent="0.3">
      <c r="A11" s="709" t="str">
        <f>IF(IGRF!B18="","",IGRF!B18)</f>
        <v>4</v>
      </c>
      <c r="B11" s="1155" t="str">
        <f>IF(IGRF!C18="","",IGRF!C18)</f>
        <v>Belle Tolls</v>
      </c>
      <c r="C11" s="1156"/>
      <c r="D11" s="710">
        <f>IF($A11="","",SUM(PT!E17,PT!E18))</f>
        <v>0</v>
      </c>
      <c r="E11" s="711">
        <f>IF($A11="","",SUM(PT!F17,PT!F18))</f>
        <v>1</v>
      </c>
      <c r="F11" s="712">
        <f>IF($A11="","",SUM(PT!G17,PT!G18))</f>
        <v>0</v>
      </c>
      <c r="G11" s="713">
        <f>IF($A11="","",SUM(PT!H17,PT!H18))</f>
        <v>0</v>
      </c>
      <c r="H11" s="713">
        <f>IF($A11="","",SUM(PT!I17,PT!I18))</f>
        <v>0</v>
      </c>
      <c r="I11" s="713">
        <f>IF($A11="","",SUM(PT!J17,PT!J18))</f>
        <v>0</v>
      </c>
      <c r="J11" s="713">
        <f>IF($A11="","",SUM(PT!K17,PT!K18))</f>
        <v>0</v>
      </c>
      <c r="K11" s="713">
        <f>IF($A11="","",SUM(PT!L17,PT!L18))</f>
        <v>0</v>
      </c>
      <c r="L11" s="713">
        <f>IF($A11="","",SUM(PT!M17,PT!M18))</f>
        <v>0</v>
      </c>
      <c r="M11" s="713">
        <f>IF($A11="","",SUM(PT!N17,PT!N18))</f>
        <v>0</v>
      </c>
      <c r="N11" s="713">
        <f>IF($A11="","",SUM(PT!O17,PT!O18))</f>
        <v>0</v>
      </c>
      <c r="O11" s="713">
        <f>IF($A11="","",SUM(PT!P17,PT!P18))</f>
        <v>0</v>
      </c>
      <c r="P11" s="713">
        <f>IF($A11="","",SUM(PT!Q17,PT!Q18))</f>
        <v>0</v>
      </c>
      <c r="Q11" s="713">
        <f>IF($A11="","",SUM(PT!R17,PT!R18))</f>
        <v>0</v>
      </c>
      <c r="R11" s="713">
        <f>IF($A11="","",SUM(PT!S17,PT!S18))</f>
        <v>0</v>
      </c>
      <c r="S11" s="713">
        <f>IF($A11="","",SUM(PT!T17,PT!T18))</f>
        <v>1</v>
      </c>
      <c r="T11" s="714">
        <f t="shared" si="1"/>
        <v>2</v>
      </c>
      <c r="U11" s="715">
        <f>IF($A11="","",SUM(PT!U17,PT!U18))</f>
        <v>2</v>
      </c>
      <c r="V11" s="716" t="str">
        <f>IF($A11="","",PT!AJ18)</f>
        <v/>
      </c>
      <c r="W11" s="717">
        <f>'Game Summary'!F13</f>
        <v>14</v>
      </c>
      <c r="X11" s="718">
        <f t="shared" si="0"/>
        <v>0.14285714285714285</v>
      </c>
      <c r="Y11" s="699"/>
      <c r="Z11" s="699"/>
      <c r="AA11" s="699"/>
      <c r="AB11" s="699"/>
      <c r="AC11" s="686"/>
    </row>
    <row r="12" spans="1:29" ht="25.2" customHeight="1" x14ac:dyDescent="0.3">
      <c r="A12" s="700" t="str">
        <f>IF(IGRF!B19="","",IGRF!B19)</f>
        <v>505</v>
      </c>
      <c r="B12" s="1157" t="str">
        <f>IF(IGRF!C19="","",IGRF!C19)</f>
        <v>Teddy Rupp</v>
      </c>
      <c r="C12" s="1158"/>
      <c r="D12" s="701">
        <f>IF($A12="","",SUM(PT!E19,PT!E20))</f>
        <v>0</v>
      </c>
      <c r="E12" s="702">
        <f>IF($A12="","",SUM(PT!F19,PT!F20))</f>
        <v>0</v>
      </c>
      <c r="F12" s="702">
        <f>IF($A12="","",SUM(PT!G19,PT!G20))</f>
        <v>1</v>
      </c>
      <c r="G12" s="702">
        <f>IF($A12="","",SUM(PT!H19,PT!H20))</f>
        <v>0</v>
      </c>
      <c r="H12" s="702">
        <f>IF($A12="","",SUM(PT!I19,PT!I20))</f>
        <v>0</v>
      </c>
      <c r="I12" s="702">
        <f>IF($A12="","",SUM(PT!J19,PT!J20))</f>
        <v>0</v>
      </c>
      <c r="J12" s="702">
        <f>IF($A12="","",SUM(PT!K19,PT!K20))</f>
        <v>1</v>
      </c>
      <c r="K12" s="702">
        <f>IF($A12="","",SUM(PT!L19,PT!L20))</f>
        <v>0</v>
      </c>
      <c r="L12" s="702">
        <f>IF($A12="","",SUM(PT!M19,PT!M20))</f>
        <v>0</v>
      </c>
      <c r="M12" s="702">
        <f>IF($A12="","",SUM(PT!N19,PT!N20))</f>
        <v>0</v>
      </c>
      <c r="N12" s="702">
        <f>IF($A12="","",SUM(PT!O19,PT!O20))</f>
        <v>0</v>
      </c>
      <c r="O12" s="702">
        <f>IF($A12="","",SUM(PT!P19,PT!P20))</f>
        <v>0</v>
      </c>
      <c r="P12" s="702">
        <f>IF($A12="","",SUM(PT!Q19,PT!Q20))</f>
        <v>0</v>
      </c>
      <c r="Q12" s="702">
        <f>IF($A12="","",SUM(PT!R19,PT!R20))</f>
        <v>0</v>
      </c>
      <c r="R12" s="702">
        <f>IF($A12="","",SUM(PT!S19,PT!S20))</f>
        <v>0</v>
      </c>
      <c r="S12" s="703">
        <f>IF($A12="","",SUM(PT!T19,PT!T20))</f>
        <v>0</v>
      </c>
      <c r="T12" s="704">
        <f t="shared" si="1"/>
        <v>2</v>
      </c>
      <c r="U12" s="705">
        <f>IF($A12="","",SUM(PT!U19,PT!U20))</f>
        <v>2</v>
      </c>
      <c r="V12" s="706" t="str">
        <f>IF($A12="","",PT!AJ20)</f>
        <v/>
      </c>
      <c r="W12" s="707">
        <f>'Game Summary'!F14</f>
        <v>18</v>
      </c>
      <c r="X12" s="708">
        <f t="shared" si="0"/>
        <v>0.1111111111111111</v>
      </c>
      <c r="Y12" s="699"/>
      <c r="Z12" s="699"/>
      <c r="AA12" s="699"/>
      <c r="AB12" s="699"/>
      <c r="AC12" s="686"/>
    </row>
    <row r="13" spans="1:29" ht="25.2" customHeight="1" x14ac:dyDescent="0.3">
      <c r="A13" s="709" t="str">
        <f>IF(IGRF!B20="","",IGRF!B20)</f>
        <v>53</v>
      </c>
      <c r="B13" s="1155" t="str">
        <f>IF(IGRF!C20="","",IGRF!C20)</f>
        <v>Raven Seaward</v>
      </c>
      <c r="C13" s="1156"/>
      <c r="D13" s="710">
        <f>IF($A13="","",SUM(PT!E21,PT!E22))</f>
        <v>0</v>
      </c>
      <c r="E13" s="711">
        <f>IF($A13="","",SUM(PT!F21,PT!F22))</f>
        <v>0</v>
      </c>
      <c r="F13" s="712">
        <f>IF($A13="","",SUM(PT!G21,PT!G22))</f>
        <v>0</v>
      </c>
      <c r="G13" s="713">
        <f>IF($A13="","",SUM(PT!H21,PT!H22))</f>
        <v>0</v>
      </c>
      <c r="H13" s="713">
        <f>IF($A13="","",SUM(PT!I21,PT!I22))</f>
        <v>0</v>
      </c>
      <c r="I13" s="713">
        <f>IF($A13="","",SUM(PT!J21,PT!J22))</f>
        <v>0</v>
      </c>
      <c r="J13" s="713">
        <f>IF($A13="","",SUM(PT!K21,PT!K22))</f>
        <v>0</v>
      </c>
      <c r="K13" s="713">
        <f>IF($A13="","",SUM(PT!L21,PT!L22))</f>
        <v>0</v>
      </c>
      <c r="L13" s="713">
        <f>IF($A13="","",SUM(PT!M21,PT!M22))</f>
        <v>0</v>
      </c>
      <c r="M13" s="713">
        <f>IF($A13="","",SUM(PT!N21,PT!N22))</f>
        <v>0</v>
      </c>
      <c r="N13" s="713">
        <f>IF($A13="","",SUM(PT!O21,PT!O22))</f>
        <v>0</v>
      </c>
      <c r="O13" s="713">
        <f>IF($A13="","",SUM(PT!P21,PT!P22))</f>
        <v>0</v>
      </c>
      <c r="P13" s="713">
        <f>IF($A13="","",SUM(PT!Q21,PT!Q22))</f>
        <v>0</v>
      </c>
      <c r="Q13" s="713">
        <f>IF($A13="","",SUM(PT!R21,PT!R22))</f>
        <v>0</v>
      </c>
      <c r="R13" s="713">
        <f>IF($A13="","",SUM(PT!S21,PT!S22))</f>
        <v>0</v>
      </c>
      <c r="S13" s="713">
        <f>IF($A13="","",SUM(PT!T21,PT!T22))</f>
        <v>0</v>
      </c>
      <c r="T13" s="714">
        <f t="shared" si="1"/>
        <v>0</v>
      </c>
      <c r="U13" s="715">
        <f>IF($A13="","",SUM(PT!U21,PT!U22))</f>
        <v>0</v>
      </c>
      <c r="V13" s="716" t="str">
        <f>IF($A13="","",PT!AJ22)</f>
        <v/>
      </c>
      <c r="W13" s="717">
        <f>'Game Summary'!F15</f>
        <v>19</v>
      </c>
      <c r="X13" s="718">
        <f t="shared" si="0"/>
        <v>0</v>
      </c>
      <c r="Y13" s="699"/>
      <c r="Z13" s="699"/>
      <c r="AA13" s="699"/>
      <c r="AB13" s="699"/>
      <c r="AC13" s="686"/>
    </row>
    <row r="14" spans="1:29" ht="25.2" customHeight="1" x14ac:dyDescent="0.3">
      <c r="A14" s="700" t="str">
        <f>IF(IGRF!B21="","",IGRF!B21)</f>
        <v>761</v>
      </c>
      <c r="B14" s="1157" t="str">
        <f>IF(IGRF!C21="","",IGRF!C21)</f>
        <v>Rawkhell SqWelch</v>
      </c>
      <c r="C14" s="1158"/>
      <c r="D14" s="701">
        <f>IF($A14="","",SUM(PT!E23,PT!E24))</f>
        <v>0</v>
      </c>
      <c r="E14" s="702">
        <f>IF($A14="","",SUM(PT!F23,PT!F24))</f>
        <v>0</v>
      </c>
      <c r="F14" s="702">
        <f>IF($A14="","",SUM(PT!G23,PT!G24))</f>
        <v>0</v>
      </c>
      <c r="G14" s="702">
        <f>IF($A14="","",SUM(PT!H23,PT!H24))</f>
        <v>0</v>
      </c>
      <c r="H14" s="702">
        <f>IF($A14="","",SUM(PT!I23,PT!I24))</f>
        <v>1</v>
      </c>
      <c r="I14" s="702">
        <f>IF($A14="","",SUM(PT!J23,PT!J24))</f>
        <v>0</v>
      </c>
      <c r="J14" s="702">
        <f>IF($A14="","",SUM(PT!K23,PT!K24))</f>
        <v>0</v>
      </c>
      <c r="K14" s="702">
        <f>IF($A14="","",SUM(PT!L23,PT!L24))</f>
        <v>0</v>
      </c>
      <c r="L14" s="702">
        <f>IF($A14="","",SUM(PT!M23,PT!M24))</f>
        <v>0</v>
      </c>
      <c r="M14" s="702">
        <f>IF($A14="","",SUM(PT!N23,PT!N24))</f>
        <v>0</v>
      </c>
      <c r="N14" s="702">
        <f>IF($A14="","",SUM(PT!O23,PT!O24))</f>
        <v>1</v>
      </c>
      <c r="O14" s="702">
        <f>IF($A14="","",SUM(PT!P23,PT!P24))</f>
        <v>0</v>
      </c>
      <c r="P14" s="702">
        <f>IF($A14="","",SUM(PT!Q23,PT!Q24))</f>
        <v>0</v>
      </c>
      <c r="Q14" s="702">
        <f>IF($A14="","",SUM(PT!R23,PT!R24))</f>
        <v>0</v>
      </c>
      <c r="R14" s="702">
        <f>IF($A14="","",SUM(PT!S23,PT!S24))</f>
        <v>0</v>
      </c>
      <c r="S14" s="703">
        <f>IF($A14="","",SUM(PT!T23,PT!T24))</f>
        <v>0</v>
      </c>
      <c r="T14" s="704">
        <f t="shared" si="1"/>
        <v>2</v>
      </c>
      <c r="U14" s="705">
        <f>IF($A14="","",SUM(PT!U23,PT!U24))</f>
        <v>2</v>
      </c>
      <c r="V14" s="706" t="str">
        <f>IF($A14="","",PT!AJ24)</f>
        <v/>
      </c>
      <c r="W14" s="707">
        <f>'Game Summary'!F16</f>
        <v>11</v>
      </c>
      <c r="X14" s="708">
        <f t="shared" si="0"/>
        <v>0.18181818181818182</v>
      </c>
      <c r="Y14" s="699"/>
      <c r="Z14" s="699"/>
      <c r="AA14" s="699"/>
      <c r="AB14" s="699"/>
      <c r="AC14" s="686"/>
    </row>
    <row r="15" spans="1:29" ht="25.2" customHeight="1" x14ac:dyDescent="0.3">
      <c r="A15" s="709" t="str">
        <f>IF(IGRF!B22="","",IGRF!B22)</f>
        <v>808</v>
      </c>
      <c r="B15" s="1155" t="str">
        <f>IF(IGRF!C22="","",IGRF!C22)</f>
        <v>Kendle Bjelland</v>
      </c>
      <c r="C15" s="1156"/>
      <c r="D15" s="710">
        <f>IF($A15="","",SUM(PT!E25,PT!E26))</f>
        <v>0</v>
      </c>
      <c r="E15" s="711">
        <f>IF($A15="","",SUM(PT!F25,PT!F26))</f>
        <v>0</v>
      </c>
      <c r="F15" s="712">
        <f>IF($A15="","",SUM(PT!G25,PT!G26))</f>
        <v>1</v>
      </c>
      <c r="G15" s="713">
        <f>IF($A15="","",SUM(PT!H25,PT!H26))</f>
        <v>0</v>
      </c>
      <c r="H15" s="713">
        <f>IF($A15="","",SUM(PT!I25,PT!I26))</f>
        <v>0</v>
      </c>
      <c r="I15" s="713">
        <f>IF($A15="","",SUM(PT!J25,PT!J26))</f>
        <v>0</v>
      </c>
      <c r="J15" s="713">
        <f>IF($A15="","",SUM(PT!K25,PT!K26))</f>
        <v>0</v>
      </c>
      <c r="K15" s="713">
        <f>IF($A15="","",SUM(PT!L25,PT!L26))</f>
        <v>0</v>
      </c>
      <c r="L15" s="713">
        <f>IF($A15="","",SUM(PT!M25,PT!M26))</f>
        <v>0</v>
      </c>
      <c r="M15" s="713">
        <f>IF($A15="","",SUM(PT!N25,PT!N26))</f>
        <v>0</v>
      </c>
      <c r="N15" s="713">
        <f>IF($A15="","",SUM(PT!O25,PT!O26))</f>
        <v>1</v>
      </c>
      <c r="O15" s="713">
        <f>IF($A15="","",SUM(PT!P25,PT!P26))</f>
        <v>0</v>
      </c>
      <c r="P15" s="713">
        <f>IF($A15="","",SUM(PT!Q25,PT!Q26))</f>
        <v>0</v>
      </c>
      <c r="Q15" s="713">
        <f>IF($A15="","",SUM(PT!R25,PT!R26))</f>
        <v>0</v>
      </c>
      <c r="R15" s="713">
        <f>IF($A15="","",SUM(PT!S25,PT!S26))</f>
        <v>0</v>
      </c>
      <c r="S15" s="713">
        <f>IF($A15="","",SUM(PT!T25,PT!T26))</f>
        <v>0</v>
      </c>
      <c r="T15" s="714">
        <f t="shared" si="1"/>
        <v>2</v>
      </c>
      <c r="U15" s="715">
        <f>IF($A15="","",SUM(PT!U25,PT!U26))</f>
        <v>2</v>
      </c>
      <c r="V15" s="716" t="str">
        <f>IF($A15="","",PT!AJ26)</f>
        <v/>
      </c>
      <c r="W15" s="717">
        <f>'Game Summary'!F17</f>
        <v>13</v>
      </c>
      <c r="X15" s="718">
        <f t="shared" si="0"/>
        <v>0.15384615384615385</v>
      </c>
      <c r="Y15" s="699"/>
      <c r="Z15" s="699"/>
      <c r="AA15" s="699"/>
      <c r="AB15" s="699"/>
      <c r="AC15" s="686"/>
    </row>
    <row r="16" spans="1:29" ht="25.2" customHeight="1" x14ac:dyDescent="0.3">
      <c r="A16" s="700" t="str">
        <f>IF(IGRF!B23="","",IGRF!B23)</f>
        <v>9</v>
      </c>
      <c r="B16" s="1157" t="str">
        <f>IF(IGRF!C23="","",IGRF!C23)</f>
        <v>P. Wilhelm</v>
      </c>
      <c r="C16" s="1158"/>
      <c r="D16" s="701">
        <f>IF($A16="","",SUM(PT!E27,PT!E28))</f>
        <v>0</v>
      </c>
      <c r="E16" s="702">
        <f>IF($A16="","",SUM(PT!F27,PT!F28))</f>
        <v>1</v>
      </c>
      <c r="F16" s="702">
        <f>IF($A16="","",SUM(PT!G27,PT!G28))</f>
        <v>0</v>
      </c>
      <c r="G16" s="702">
        <f>IF($A16="","",SUM(PT!H27,PT!H28))</f>
        <v>0</v>
      </c>
      <c r="H16" s="702">
        <f>IF($A16="","",SUM(PT!I27,PT!I28))</f>
        <v>0</v>
      </c>
      <c r="I16" s="702">
        <f>IF($A16="","",SUM(PT!J27,PT!J28))</f>
        <v>0</v>
      </c>
      <c r="J16" s="702">
        <f>IF($A16="","",SUM(PT!K27,PT!K28))</f>
        <v>0</v>
      </c>
      <c r="K16" s="702">
        <f>IF($A16="","",SUM(PT!L27,PT!L28))</f>
        <v>1</v>
      </c>
      <c r="L16" s="702">
        <f>IF($A16="","",SUM(PT!M27,PT!M28))</f>
        <v>0</v>
      </c>
      <c r="M16" s="702">
        <f>IF($A16="","",SUM(PT!N27,PT!N28))</f>
        <v>1</v>
      </c>
      <c r="N16" s="702">
        <f>IF($A16="","",SUM(PT!O27,PT!O28))</f>
        <v>0</v>
      </c>
      <c r="O16" s="702">
        <f>IF($A16="","",SUM(PT!P27,PT!P28))</f>
        <v>0</v>
      </c>
      <c r="P16" s="702">
        <f>IF($A16="","",SUM(PT!Q27,PT!Q28))</f>
        <v>0</v>
      </c>
      <c r="Q16" s="702">
        <f>IF($A16="","",SUM(PT!R27,PT!R28))</f>
        <v>0</v>
      </c>
      <c r="R16" s="702">
        <f>IF($A16="","",SUM(PT!S27,PT!S28))</f>
        <v>0</v>
      </c>
      <c r="S16" s="703">
        <f>IF($A16="","",SUM(PT!T27,PT!T28))</f>
        <v>0</v>
      </c>
      <c r="T16" s="704">
        <f t="shared" si="1"/>
        <v>3</v>
      </c>
      <c r="U16" s="705">
        <f>IF($A16="","",SUM(PT!U27,PT!U28))</f>
        <v>3</v>
      </c>
      <c r="V16" s="706" t="str">
        <f>IF($A16="","",PT!AJ28)</f>
        <v/>
      </c>
      <c r="W16" s="707">
        <f>'Game Summary'!F18</f>
        <v>21</v>
      </c>
      <c r="X16" s="708">
        <f t="shared" si="0"/>
        <v>0.14285714285714285</v>
      </c>
      <c r="Y16" s="699"/>
      <c r="Z16" s="699"/>
      <c r="AA16" s="699"/>
      <c r="AB16" s="699"/>
      <c r="AC16" s="686"/>
    </row>
    <row r="17" spans="1:29" ht="25.2" customHeight="1" x14ac:dyDescent="0.3">
      <c r="A17" s="709" t="str">
        <f>IF(IGRF!B24="","",IGRF!B24)</f>
        <v>911</v>
      </c>
      <c r="B17" s="1155" t="str">
        <f>IF(IGRF!C24="","",IGRF!C24)</f>
        <v>Luna Negra</v>
      </c>
      <c r="C17" s="1156"/>
      <c r="D17" s="710">
        <f>IF($A17="","",SUM(PT!E29,PT!E30))</f>
        <v>1</v>
      </c>
      <c r="E17" s="711">
        <f>IF($A17="","",SUM(PT!F29,PT!F30))</f>
        <v>0</v>
      </c>
      <c r="F17" s="712">
        <f>IF($A17="","",SUM(PT!G29,PT!G30))</f>
        <v>0</v>
      </c>
      <c r="G17" s="713">
        <f>IF($A17="","",SUM(PT!H29,PT!H30))</f>
        <v>0</v>
      </c>
      <c r="H17" s="713">
        <f>IF($A17="","",SUM(PT!I29,PT!I30))</f>
        <v>0</v>
      </c>
      <c r="I17" s="713">
        <f>IF($A17="","",SUM(PT!J29,PT!J30))</f>
        <v>0</v>
      </c>
      <c r="J17" s="713">
        <f>IF($A17="","",SUM(PT!K29,PT!K30))</f>
        <v>0</v>
      </c>
      <c r="K17" s="713">
        <f>IF($A17="","",SUM(PT!L29,PT!L30))</f>
        <v>0</v>
      </c>
      <c r="L17" s="713">
        <f>IF($A17="","",SUM(PT!M29,PT!M30))</f>
        <v>0</v>
      </c>
      <c r="M17" s="713">
        <f>IF($A17="","",SUM(PT!N29,PT!N30))</f>
        <v>0</v>
      </c>
      <c r="N17" s="713">
        <f>IF($A17="","",SUM(PT!O29,PT!O30))</f>
        <v>1</v>
      </c>
      <c r="O17" s="713">
        <f>IF($A17="","",SUM(PT!P29,PT!P30))</f>
        <v>0</v>
      </c>
      <c r="P17" s="713">
        <f>IF($A17="","",SUM(PT!Q29,PT!Q30))</f>
        <v>1</v>
      </c>
      <c r="Q17" s="713">
        <f>IF($A17="","",SUM(PT!R29,PT!R30))</f>
        <v>0</v>
      </c>
      <c r="R17" s="713">
        <f>IF($A17="","",SUM(PT!S29,PT!S30))</f>
        <v>0</v>
      </c>
      <c r="S17" s="713">
        <f>IF($A17="","",SUM(PT!T29,PT!T30))</f>
        <v>0</v>
      </c>
      <c r="T17" s="714">
        <f t="shared" si="1"/>
        <v>3</v>
      </c>
      <c r="U17" s="715">
        <f>IF($A17="","",SUM(PT!U29,PT!U30))</f>
        <v>3</v>
      </c>
      <c r="V17" s="716" t="str">
        <f>IF($A17="","",PT!AJ30)</f>
        <v/>
      </c>
      <c r="W17" s="717">
        <f>'Game Summary'!F19</f>
        <v>14</v>
      </c>
      <c r="X17" s="718">
        <f t="shared" si="0"/>
        <v>0.21428571428571427</v>
      </c>
      <c r="Y17" s="699"/>
      <c r="Z17" s="699"/>
      <c r="AA17" s="699"/>
      <c r="AB17" s="699"/>
      <c r="AC17" s="686"/>
    </row>
    <row r="18" spans="1:29" ht="25.2" customHeight="1" x14ac:dyDescent="0.3">
      <c r="A18" s="700" t="str">
        <f>IF(IGRF!B25="","",IGRF!B25)</f>
        <v>0</v>
      </c>
      <c r="B18" s="1157" t="str">
        <f>IF(IGRF!C25="","",IGRF!C25)</f>
        <v>Enurgizer Bunny</v>
      </c>
      <c r="C18" s="1158"/>
      <c r="D18" s="701">
        <f>IF($A18="","",SUM(PT!E31,PT!E32))</f>
        <v>0</v>
      </c>
      <c r="E18" s="702">
        <f>IF($A18="","",SUM(PT!F31,PT!F32))</f>
        <v>0</v>
      </c>
      <c r="F18" s="702">
        <f>IF($A18="","",SUM(PT!G31,PT!G32))</f>
        <v>0</v>
      </c>
      <c r="G18" s="702">
        <f>IF($A18="","",SUM(PT!H31,PT!H32))</f>
        <v>0</v>
      </c>
      <c r="H18" s="702">
        <f>IF($A18="","",SUM(PT!I31,PT!I32))</f>
        <v>0</v>
      </c>
      <c r="I18" s="702">
        <f>IF($A18="","",SUM(PT!J31,PT!J32))</f>
        <v>0</v>
      </c>
      <c r="J18" s="702">
        <f>IF($A18="","",SUM(PT!K31,PT!K32))</f>
        <v>0</v>
      </c>
      <c r="K18" s="702">
        <f>IF($A18="","",SUM(PT!L31,PT!L32))</f>
        <v>0</v>
      </c>
      <c r="L18" s="702">
        <f>IF($A18="","",SUM(PT!M31,PT!M32))</f>
        <v>0</v>
      </c>
      <c r="M18" s="702">
        <f>IF($A18="","",SUM(PT!N31,PT!N32))</f>
        <v>0</v>
      </c>
      <c r="N18" s="702">
        <f>IF($A18="","",SUM(PT!O31,PT!O32))</f>
        <v>0</v>
      </c>
      <c r="O18" s="702">
        <f>IF($A18="","",SUM(PT!P31,PT!P32))</f>
        <v>0</v>
      </c>
      <c r="P18" s="702">
        <f>IF($A18="","",SUM(PT!Q31,PT!Q32))</f>
        <v>0</v>
      </c>
      <c r="Q18" s="702">
        <f>IF($A18="","",SUM(PT!R31,PT!R32))</f>
        <v>0</v>
      </c>
      <c r="R18" s="702">
        <f>IF($A18="","",SUM(PT!S31,PT!S32))</f>
        <v>0</v>
      </c>
      <c r="S18" s="703">
        <f>IF($A18="","",SUM(PT!T31,PT!T32))</f>
        <v>0</v>
      </c>
      <c r="T18" s="704">
        <f t="shared" si="1"/>
        <v>0</v>
      </c>
      <c r="U18" s="705">
        <f>IF($A18="","",SUM(PT!U31,PT!U32))</f>
        <v>0</v>
      </c>
      <c r="V18" s="706" t="str">
        <f>IF($A18="","",PT!AJ32)</f>
        <v/>
      </c>
      <c r="W18" s="707">
        <f>'Game Summary'!F20</f>
        <v>0</v>
      </c>
      <c r="X18" s="708" t="str">
        <f t="shared" si="0"/>
        <v/>
      </c>
      <c r="Y18" s="699"/>
      <c r="Z18" s="699"/>
      <c r="AA18" s="699"/>
      <c r="AB18" s="699"/>
      <c r="AC18" s="686"/>
    </row>
    <row r="19" spans="1:29" ht="25.2" customHeight="1" x14ac:dyDescent="0.3">
      <c r="A19" s="709" t="str">
        <f>IF(IGRF!B26="","",IGRF!B26)</f>
        <v>88</v>
      </c>
      <c r="B19" s="1155" t="str">
        <f>IF(IGRF!C26="","",IGRF!C26)</f>
        <v>Ophelia Melons</v>
      </c>
      <c r="C19" s="1156"/>
      <c r="D19" s="710">
        <f>IF($A19="","",SUM(PT!E33,PT!E34))</f>
        <v>0</v>
      </c>
      <c r="E19" s="711">
        <f>IF($A19="","",SUM(PT!F33,PT!F34))</f>
        <v>0</v>
      </c>
      <c r="F19" s="712">
        <f>IF($A19="","",SUM(PT!G33,PT!G34))</f>
        <v>0</v>
      </c>
      <c r="G19" s="713">
        <f>IF($A19="","",SUM(PT!H33,PT!H34))</f>
        <v>0</v>
      </c>
      <c r="H19" s="713">
        <f>IF($A19="","",SUM(PT!I33,PT!I34))</f>
        <v>0</v>
      </c>
      <c r="I19" s="713">
        <f>IF($A19="","",SUM(PT!J33,PT!J34))</f>
        <v>0</v>
      </c>
      <c r="J19" s="713">
        <f>IF($A19="","",SUM(PT!K33,PT!K34))</f>
        <v>0</v>
      </c>
      <c r="K19" s="713">
        <f>IF($A19="","",SUM(PT!L33,PT!L34))</f>
        <v>0</v>
      </c>
      <c r="L19" s="713">
        <f>IF($A19="","",SUM(PT!M33,PT!M34))</f>
        <v>0</v>
      </c>
      <c r="M19" s="713">
        <f>IF($A19="","",SUM(PT!N33,PT!N34))</f>
        <v>0</v>
      </c>
      <c r="N19" s="713">
        <f>IF($A19="","",SUM(PT!O33,PT!O34))</f>
        <v>0</v>
      </c>
      <c r="O19" s="713">
        <f>IF($A19="","",SUM(PT!P33,PT!P34))</f>
        <v>0</v>
      </c>
      <c r="P19" s="713">
        <f>IF($A19="","",SUM(PT!Q33,PT!Q34))</f>
        <v>0</v>
      </c>
      <c r="Q19" s="713">
        <f>IF($A19="","",SUM(PT!R33,PT!R34))</f>
        <v>0</v>
      </c>
      <c r="R19" s="713">
        <f>IF($A19="","",SUM(PT!S33,PT!S34))</f>
        <v>0</v>
      </c>
      <c r="S19" s="713">
        <f>IF($A19="","",SUM(PT!T33,PT!T34))</f>
        <v>0</v>
      </c>
      <c r="T19" s="714">
        <f t="shared" si="1"/>
        <v>0</v>
      </c>
      <c r="U19" s="715">
        <f>IF($A19="","",SUM(PT!U33,PT!U34))</f>
        <v>0</v>
      </c>
      <c r="V19" s="716" t="str">
        <f>IF($A19="","",PT!AJ34)</f>
        <v/>
      </c>
      <c r="W19" s="717">
        <f>'Game Summary'!F21</f>
        <v>0</v>
      </c>
      <c r="X19" s="718" t="str">
        <f t="shared" si="0"/>
        <v/>
      </c>
      <c r="Y19" s="699"/>
      <c r="Z19" s="699"/>
      <c r="AA19" s="699"/>
      <c r="AB19" s="699"/>
      <c r="AC19" s="686"/>
    </row>
    <row r="20" spans="1:29" s="719" customFormat="1" ht="25.2" customHeight="1" x14ac:dyDescent="0.25">
      <c r="A20" s="700" t="str">
        <f>IF(IGRF!B27="","",IGRF!B27)</f>
        <v/>
      </c>
      <c r="B20" s="1157" t="str">
        <f>IF(IGRF!C27="","",IGRF!C27)</f>
        <v/>
      </c>
      <c r="C20" s="1158"/>
      <c r="D20" s="701" t="str">
        <f>IF($A20="","",SUM(PT!E35,PT!E36))</f>
        <v/>
      </c>
      <c r="E20" s="702" t="str">
        <f>IF($A20="","",SUM(PT!F35,PT!F36))</f>
        <v/>
      </c>
      <c r="F20" s="702" t="str">
        <f>IF($A20="","",SUM(PT!G35,PT!G36))</f>
        <v/>
      </c>
      <c r="G20" s="702" t="str">
        <f>IF($A20="","",SUM(PT!H35,PT!H36))</f>
        <v/>
      </c>
      <c r="H20" s="702" t="str">
        <f>IF($A20="","",SUM(PT!I35,PT!I36))</f>
        <v/>
      </c>
      <c r="I20" s="702" t="str">
        <f>IF($A20="","",SUM(PT!J35,PT!J36))</f>
        <v/>
      </c>
      <c r="J20" s="702" t="str">
        <f>IF($A20="","",SUM(PT!K35,PT!K36))</f>
        <v/>
      </c>
      <c r="K20" s="702" t="str">
        <f>IF($A20="","",SUM(PT!L35,PT!L36))</f>
        <v/>
      </c>
      <c r="L20" s="702" t="str">
        <f>IF($A20="","",SUM(PT!M35,PT!M36))</f>
        <v/>
      </c>
      <c r="M20" s="702" t="str">
        <f>IF($A20="","",SUM(PT!N35,PT!N36))</f>
        <v/>
      </c>
      <c r="N20" s="702" t="str">
        <f>IF($A20="","",SUM(PT!O35,PT!O36))</f>
        <v/>
      </c>
      <c r="O20" s="702" t="str">
        <f>IF($A20="","",SUM(PT!P35,PT!P36))</f>
        <v/>
      </c>
      <c r="P20" s="702" t="str">
        <f>IF($A20="","",SUM(PT!Q35,PT!Q36))</f>
        <v/>
      </c>
      <c r="Q20" s="702" t="str">
        <f>IF($A20="","",SUM(PT!R35,PT!R36))</f>
        <v/>
      </c>
      <c r="R20" s="702" t="str">
        <f>IF($A20="","",SUM(PT!S35,PT!S36))</f>
        <v/>
      </c>
      <c r="S20" s="703" t="str">
        <f>IF($A20="","",SUM(PT!T35,PT!T36))</f>
        <v/>
      </c>
      <c r="T20" s="704" t="str">
        <f t="shared" si="1"/>
        <v/>
      </c>
      <c r="U20" s="705" t="str">
        <f>IF($A20="","",SUM(PT!U35,PT!U36))</f>
        <v/>
      </c>
      <c r="V20" s="706" t="str">
        <f>IF($A20="","",PT!AJ36)</f>
        <v/>
      </c>
      <c r="W20" s="707" t="str">
        <f>'Game Summary'!F22</f>
        <v/>
      </c>
      <c r="X20" s="708" t="str">
        <f t="shared" si="0"/>
        <v/>
      </c>
    </row>
    <row r="21" spans="1:29" ht="25.2" customHeight="1" x14ac:dyDescent="0.3">
      <c r="A21" s="709" t="str">
        <f>IF(IGRF!B28="","",IGRF!B28)</f>
        <v/>
      </c>
      <c r="B21" s="1155" t="str">
        <f>IF(IGRF!C28="","",IGRF!C28)</f>
        <v/>
      </c>
      <c r="C21" s="1156"/>
      <c r="D21" s="710" t="str">
        <f>IF($A21="","",SUM(PT!E37,PT!E38))</f>
        <v/>
      </c>
      <c r="E21" s="711" t="str">
        <f>IF($A21="","",SUM(PT!F37,PT!F38))</f>
        <v/>
      </c>
      <c r="F21" s="712" t="str">
        <f>IF($A21="","",SUM(PT!G37,PT!G38))</f>
        <v/>
      </c>
      <c r="G21" s="713" t="str">
        <f>IF($A21="","",SUM(PT!H37,PT!H38))</f>
        <v/>
      </c>
      <c r="H21" s="713" t="str">
        <f>IF($A21="","",SUM(PT!I37,PT!I38))</f>
        <v/>
      </c>
      <c r="I21" s="713" t="str">
        <f>IF($A21="","",SUM(PT!J37,PT!J38))</f>
        <v/>
      </c>
      <c r="J21" s="713" t="str">
        <f>IF($A21="","",SUM(PT!K37,PT!K38))</f>
        <v/>
      </c>
      <c r="K21" s="713" t="str">
        <f>IF($A21="","",SUM(PT!L37,PT!L38))</f>
        <v/>
      </c>
      <c r="L21" s="713" t="str">
        <f>IF($A21="","",SUM(PT!M37,PT!M38))</f>
        <v/>
      </c>
      <c r="M21" s="713" t="str">
        <f>IF($A21="","",SUM(PT!N37,PT!N38))</f>
        <v/>
      </c>
      <c r="N21" s="713" t="str">
        <f>IF($A21="","",SUM(PT!O37,PT!O38))</f>
        <v/>
      </c>
      <c r="O21" s="713" t="str">
        <f>IF($A21="","",SUM(PT!P37,PT!P38))</f>
        <v/>
      </c>
      <c r="P21" s="713" t="str">
        <f>IF($A21="","",SUM(PT!Q37,PT!Q38))</f>
        <v/>
      </c>
      <c r="Q21" s="713" t="str">
        <f>IF($A21="","",SUM(PT!R37,PT!R38))</f>
        <v/>
      </c>
      <c r="R21" s="713" t="str">
        <f>IF($A21="","",SUM(PT!S37,PT!S38))</f>
        <v/>
      </c>
      <c r="S21" s="713" t="str">
        <f>IF($A21="","",SUM(PT!T37,PT!T38))</f>
        <v/>
      </c>
      <c r="T21" s="714" t="str">
        <f t="shared" si="1"/>
        <v/>
      </c>
      <c r="U21" s="715" t="str">
        <f>IF($A21="","",SUM(PT!U37,PT!U38))</f>
        <v/>
      </c>
      <c r="V21" s="716" t="str">
        <f>IF($A21="","",PT!AJ38)</f>
        <v/>
      </c>
      <c r="W21" s="717" t="str">
        <f>'Game Summary'!F23</f>
        <v/>
      </c>
      <c r="X21" s="718" t="str">
        <f t="shared" si="0"/>
        <v/>
      </c>
      <c r="Y21" s="688"/>
      <c r="Z21" s="688"/>
      <c r="AA21" s="688"/>
      <c r="AB21" s="688"/>
      <c r="AC21" s="686"/>
    </row>
    <row r="22" spans="1:29" ht="25.2" customHeight="1" x14ac:dyDescent="0.3">
      <c r="A22" s="700" t="str">
        <f>IF(IGRF!B29="","",IGRF!B29)</f>
        <v/>
      </c>
      <c r="B22" s="1157" t="str">
        <f>IF(IGRF!C29="","",IGRF!C29)</f>
        <v/>
      </c>
      <c r="C22" s="1158"/>
      <c r="D22" s="701" t="str">
        <f>IF($A22="","",SUM(PT!E39,PT!E40))</f>
        <v/>
      </c>
      <c r="E22" s="702" t="str">
        <f>IF($A22="","",SUM(PT!F39,PT!F40))</f>
        <v/>
      </c>
      <c r="F22" s="702" t="str">
        <f>IF($A22="","",SUM(PT!G39,PT!G40))</f>
        <v/>
      </c>
      <c r="G22" s="702" t="str">
        <f>IF($A22="","",SUM(PT!H39,PT!H40))</f>
        <v/>
      </c>
      <c r="H22" s="702" t="str">
        <f>IF($A22="","",SUM(PT!I39,PT!I40))</f>
        <v/>
      </c>
      <c r="I22" s="702" t="str">
        <f>IF($A22="","",SUM(PT!J39,PT!J40))</f>
        <v/>
      </c>
      <c r="J22" s="702" t="str">
        <f>IF($A22="","",SUM(PT!K39,PT!K40))</f>
        <v/>
      </c>
      <c r="K22" s="702" t="str">
        <f>IF($A22="","",SUM(PT!L39,PT!L40))</f>
        <v/>
      </c>
      <c r="L22" s="702" t="str">
        <f>IF($A22="","",SUM(PT!M39,PT!M40))</f>
        <v/>
      </c>
      <c r="M22" s="702" t="str">
        <f>IF($A22="","",SUM(PT!N39,PT!N40))</f>
        <v/>
      </c>
      <c r="N22" s="702" t="str">
        <f>IF($A22="","",SUM(PT!O39,PT!O40))</f>
        <v/>
      </c>
      <c r="O22" s="702" t="str">
        <f>IF($A22="","",SUM(PT!P39,PT!P40))</f>
        <v/>
      </c>
      <c r="P22" s="702" t="str">
        <f>IF($A22="","",SUM(PT!Q39,PT!Q40))</f>
        <v/>
      </c>
      <c r="Q22" s="702" t="str">
        <f>IF($A22="","",SUM(PT!R39,PT!R40))</f>
        <v/>
      </c>
      <c r="R22" s="702" t="str">
        <f>IF($A22="","",SUM(PT!S39,PT!S40))</f>
        <v/>
      </c>
      <c r="S22" s="703" t="str">
        <f>IF($A22="","",SUM(PT!T39,PT!T40))</f>
        <v/>
      </c>
      <c r="T22" s="704" t="str">
        <f t="shared" si="1"/>
        <v/>
      </c>
      <c r="U22" s="705" t="str">
        <f>IF($A22="","",SUM(PT!U39,PT!U40))</f>
        <v/>
      </c>
      <c r="V22" s="706" t="str">
        <f>IF($A22="","",PT!AJ40)</f>
        <v/>
      </c>
      <c r="W22" s="707" t="str">
        <f>'Game Summary'!F24</f>
        <v/>
      </c>
      <c r="X22" s="708" t="str">
        <f t="shared" si="0"/>
        <v/>
      </c>
      <c r="Y22" s="699"/>
      <c r="Z22" s="699"/>
      <c r="AA22" s="699"/>
      <c r="AB22" s="699"/>
      <c r="AC22" s="686"/>
    </row>
    <row r="23" spans="1:29" ht="25.2" customHeight="1" thickBot="1" x14ac:dyDescent="0.35">
      <c r="A23" s="709" t="str">
        <f>IF(IGRF!B30="","",IGRF!B30)</f>
        <v/>
      </c>
      <c r="B23" s="1155" t="str">
        <f>IF(IGRF!C30="","",IGRF!C30)</f>
        <v/>
      </c>
      <c r="C23" s="1172"/>
      <c r="D23" s="710" t="str">
        <f>IF($A23="","",SUM(PT!E41,PT!E42))</f>
        <v/>
      </c>
      <c r="E23" s="711" t="str">
        <f>IF($A23="","",SUM(PT!F41,PT!F42))</f>
        <v/>
      </c>
      <c r="F23" s="712" t="str">
        <f>IF($A23="","",SUM(PT!G41,PT!G42))</f>
        <v/>
      </c>
      <c r="G23" s="713" t="str">
        <f>IF($A23="","",SUM(PT!H41,PT!H42))</f>
        <v/>
      </c>
      <c r="H23" s="713" t="str">
        <f>IF($A23="","",SUM(PT!I41,PT!I42))</f>
        <v/>
      </c>
      <c r="I23" s="713" t="str">
        <f>IF($A23="","",SUM(PT!J41,PT!J42))</f>
        <v/>
      </c>
      <c r="J23" s="713" t="str">
        <f>IF($A23="","",SUM(PT!K41,PT!K42))</f>
        <v/>
      </c>
      <c r="K23" s="713" t="str">
        <f>IF($A23="","",SUM(PT!L41,PT!L42))</f>
        <v/>
      </c>
      <c r="L23" s="713" t="str">
        <f>IF($A23="","",SUM(PT!M41,PT!M42))</f>
        <v/>
      </c>
      <c r="M23" s="713" t="str">
        <f>IF($A23="","",SUM(PT!N41,PT!N42))</f>
        <v/>
      </c>
      <c r="N23" s="713" t="str">
        <f>IF($A23="","",SUM(PT!O41,PT!O42))</f>
        <v/>
      </c>
      <c r="O23" s="713" t="str">
        <f>IF($A23="","",SUM(PT!P41,PT!P42))</f>
        <v/>
      </c>
      <c r="P23" s="713" t="str">
        <f>IF($A23="","",SUM(PT!Q41,PT!Q42))</f>
        <v/>
      </c>
      <c r="Q23" s="713" t="str">
        <f>IF($A23="","",SUM(PT!R41,PT!R42))</f>
        <v/>
      </c>
      <c r="R23" s="713" t="str">
        <f>IF($A23="","",SUM(PT!S41,PT!S42))</f>
        <v/>
      </c>
      <c r="S23" s="713" t="str">
        <f>IF($A23="","",SUM(PT!T41,PT!T42))</f>
        <v/>
      </c>
      <c r="T23" s="714" t="str">
        <f t="shared" si="1"/>
        <v/>
      </c>
      <c r="U23" s="715" t="str">
        <f>IF($A23="","",SUM(PT!U41,PT!U42))</f>
        <v/>
      </c>
      <c r="V23" s="716" t="str">
        <f>IF($A23="","",PT!AJ42)</f>
        <v/>
      </c>
      <c r="W23" s="717" t="str">
        <f>'Game Summary'!F25</f>
        <v/>
      </c>
      <c r="X23" s="718" t="str">
        <f t="shared" si="0"/>
        <v/>
      </c>
      <c r="Y23" s="699"/>
      <c r="Z23" s="699"/>
      <c r="AA23" s="699"/>
      <c r="AB23" s="699"/>
      <c r="AC23" s="686"/>
    </row>
    <row r="24" spans="1:29" ht="21.75" customHeight="1" x14ac:dyDescent="0.3">
      <c r="A24" s="1159" t="s">
        <v>540</v>
      </c>
      <c r="B24" s="1160"/>
      <c r="C24" s="720" t="str">
        <f>PT!AJ44</f>
        <v/>
      </c>
      <c r="D24" s="1143" t="s">
        <v>190</v>
      </c>
      <c r="E24" s="1143" t="s">
        <v>202</v>
      </c>
      <c r="F24" s="1143" t="s">
        <v>205</v>
      </c>
      <c r="G24" s="1143" t="s">
        <v>198</v>
      </c>
      <c r="H24" s="1143" t="s">
        <v>69</v>
      </c>
      <c r="I24" s="1143" t="s">
        <v>70</v>
      </c>
      <c r="J24" s="1143" t="s">
        <v>207</v>
      </c>
      <c r="K24" s="1143" t="s">
        <v>71</v>
      </c>
      <c r="L24" s="1143" t="s">
        <v>72</v>
      </c>
      <c r="M24" s="1143" t="s">
        <v>211</v>
      </c>
      <c r="N24" s="1143" t="s">
        <v>194</v>
      </c>
      <c r="O24" s="1143" t="s">
        <v>73</v>
      </c>
      <c r="P24" s="1143" t="s">
        <v>74</v>
      </c>
      <c r="Q24" s="1143" t="s">
        <v>75</v>
      </c>
      <c r="R24" s="1143" t="s">
        <v>312</v>
      </c>
      <c r="S24" s="1143" t="s">
        <v>173</v>
      </c>
      <c r="T24" s="1146" t="s">
        <v>76</v>
      </c>
      <c r="U24" s="721"/>
      <c r="V24" s="722">
        <f>SUM(PT!X49:AI49,C24,C25)</f>
        <v>0</v>
      </c>
      <c r="W24" s="723">
        <f>IF(COUNT(W4:W23)=0,"-",SUM(W4:W23)/COUNT(W4:W23))</f>
        <v>14.6875</v>
      </c>
      <c r="X24" s="724">
        <f>IF(COUNT(X4:X23)=0,"-",SUM(X4:X23)/COUNT(X4:X23))</f>
        <v>0.12976394520512169</v>
      </c>
      <c r="Y24" s="699"/>
      <c r="Z24" s="699"/>
      <c r="AA24" s="699"/>
      <c r="AB24" s="699"/>
      <c r="AC24" s="686"/>
    </row>
    <row r="25" spans="1:29" ht="20.25" customHeight="1" thickBot="1" x14ac:dyDescent="0.35">
      <c r="A25" s="1149" t="s">
        <v>540</v>
      </c>
      <c r="B25" s="1150"/>
      <c r="C25" s="725" t="str">
        <f>PT!AJ46</f>
        <v/>
      </c>
      <c r="D25" s="1144"/>
      <c r="E25" s="1144"/>
      <c r="F25" s="1144"/>
      <c r="G25" s="1144"/>
      <c r="H25" s="1144"/>
      <c r="I25" s="1144"/>
      <c r="J25" s="1144"/>
      <c r="K25" s="1144"/>
      <c r="L25" s="1144"/>
      <c r="M25" s="1144"/>
      <c r="N25" s="1144"/>
      <c r="O25" s="1144"/>
      <c r="P25" s="1144"/>
      <c r="Q25" s="1144"/>
      <c r="R25" s="1144"/>
      <c r="S25" s="1144"/>
      <c r="T25" s="1147"/>
      <c r="U25" s="726"/>
      <c r="V25" s="1151" t="s">
        <v>78</v>
      </c>
      <c r="W25" s="1153"/>
      <c r="X25" s="1153"/>
      <c r="Y25" s="699"/>
      <c r="Z25" s="699"/>
      <c r="AA25" s="699"/>
      <c r="AB25" s="699"/>
      <c r="AC25" s="686"/>
    </row>
    <row r="26" spans="1:29" ht="19.95" customHeight="1" thickBot="1" x14ac:dyDescent="0.35">
      <c r="A26" s="1129"/>
      <c r="B26" s="1154"/>
      <c r="C26" s="1154"/>
      <c r="D26" s="1145"/>
      <c r="E26" s="1145"/>
      <c r="F26" s="1145"/>
      <c r="G26" s="1145"/>
      <c r="H26" s="1145"/>
      <c r="I26" s="1145"/>
      <c r="J26" s="1145"/>
      <c r="K26" s="1145"/>
      <c r="L26" s="1145"/>
      <c r="M26" s="1145"/>
      <c r="N26" s="1145"/>
      <c r="O26" s="1145"/>
      <c r="P26" s="1145"/>
      <c r="Q26" s="1145"/>
      <c r="R26" s="1145"/>
      <c r="S26" s="1145"/>
      <c r="T26" s="1148"/>
      <c r="U26" s="726"/>
      <c r="V26" s="1152"/>
      <c r="W26" s="1153"/>
      <c r="X26" s="1153"/>
      <c r="Y26" s="699"/>
      <c r="Z26" s="699"/>
      <c r="AA26" s="699"/>
      <c r="AB26" s="699"/>
      <c r="AC26" s="686"/>
    </row>
    <row r="27" spans="1:29" ht="12.75" customHeight="1" thickBot="1" x14ac:dyDescent="0.35">
      <c r="A27" s="1129" t="s">
        <v>541</v>
      </c>
      <c r="B27" s="1129"/>
      <c r="C27" s="1129"/>
      <c r="D27" s="727">
        <f>SUM(D4:D23)</f>
        <v>2</v>
      </c>
      <c r="E27" s="727">
        <f t="shared" ref="E27:S27" si="2">SUM(E4:E23)</f>
        <v>3</v>
      </c>
      <c r="F27" s="727">
        <f t="shared" si="2"/>
        <v>3</v>
      </c>
      <c r="G27" s="727">
        <f t="shared" si="2"/>
        <v>2</v>
      </c>
      <c r="H27" s="727">
        <f t="shared" si="2"/>
        <v>4</v>
      </c>
      <c r="I27" s="727">
        <f t="shared" si="2"/>
        <v>0</v>
      </c>
      <c r="J27" s="727">
        <f t="shared" si="2"/>
        <v>5</v>
      </c>
      <c r="K27" s="727">
        <f t="shared" si="2"/>
        <v>1</v>
      </c>
      <c r="L27" s="727">
        <f t="shared" si="2"/>
        <v>1</v>
      </c>
      <c r="M27" s="727">
        <f t="shared" si="2"/>
        <v>3</v>
      </c>
      <c r="N27" s="727">
        <f t="shared" si="2"/>
        <v>5</v>
      </c>
      <c r="O27" s="727">
        <f t="shared" si="2"/>
        <v>0</v>
      </c>
      <c r="P27" s="727">
        <f t="shared" si="2"/>
        <v>1</v>
      </c>
      <c r="Q27" s="727">
        <f t="shared" si="2"/>
        <v>0</v>
      </c>
      <c r="R27" s="727">
        <f t="shared" si="2"/>
        <v>0</v>
      </c>
      <c r="S27" s="727">
        <f t="shared" si="2"/>
        <v>1</v>
      </c>
      <c r="T27" s="728">
        <f>SUM(T4:T23)</f>
        <v>31</v>
      </c>
      <c r="U27" s="726">
        <f>SUM(U4:U23,C24,C25)</f>
        <v>31</v>
      </c>
      <c r="V27" s="1130" t="s">
        <v>594</v>
      </c>
      <c r="W27" s="1130"/>
      <c r="X27" s="1131"/>
      <c r="Y27" s="699"/>
      <c r="Z27" s="699"/>
      <c r="AA27" s="699"/>
      <c r="AB27" s="699"/>
      <c r="AC27" s="686"/>
    </row>
    <row r="28" spans="1:29" ht="12.75" customHeight="1" thickBot="1" x14ac:dyDescent="0.35">
      <c r="A28" s="1129"/>
      <c r="B28" s="1129"/>
      <c r="C28" s="1129"/>
      <c r="D28" s="1132" t="s">
        <v>542</v>
      </c>
      <c r="E28" s="1132"/>
      <c r="F28" s="1132"/>
      <c r="G28" s="1132"/>
      <c r="H28" s="1132"/>
      <c r="I28" s="1132"/>
      <c r="J28" s="1133">
        <f>IF(OR(LU!D3=0,LU!D102=0),"",T27/(LU!D3+LU!D102))</f>
        <v>0.65957446808510634</v>
      </c>
      <c r="K28" s="1133"/>
      <c r="L28" s="1134" t="s">
        <v>596</v>
      </c>
      <c r="M28" s="1134"/>
      <c r="N28" s="1134"/>
      <c r="O28" s="1134"/>
      <c r="P28" s="1134"/>
      <c r="Q28" s="729"/>
      <c r="R28" s="1135">
        <f>IF(T27+T56=0,"",T27/(T27+T56))</f>
        <v>0.50819672131147542</v>
      </c>
      <c r="S28" s="1135"/>
      <c r="T28" s="730"/>
      <c r="U28" s="1136">
        <f>IF(U27+U56=0,"",U27/(U27+U56))</f>
        <v>0.50819672131147542</v>
      </c>
      <c r="V28" s="1137" t="s">
        <v>595</v>
      </c>
      <c r="W28" s="1137"/>
      <c r="X28" s="1138"/>
      <c r="Y28" s="699"/>
      <c r="Z28" s="699"/>
      <c r="AA28" s="699"/>
      <c r="AB28" s="699"/>
      <c r="AC28" s="686"/>
    </row>
    <row r="29" spans="1:29" ht="12.75" customHeight="1" thickBot="1" x14ac:dyDescent="0.35">
      <c r="A29" s="1129"/>
      <c r="B29" s="1129"/>
      <c r="C29" s="1129"/>
      <c r="D29" s="1141" t="s">
        <v>79</v>
      </c>
      <c r="E29" s="1141"/>
      <c r="F29" s="1141"/>
      <c r="G29" s="1141"/>
      <c r="H29" s="1141"/>
      <c r="I29" s="1141"/>
      <c r="J29" s="1142">
        <f>IF(OR(J28="",J57=""),"",J28-J57)</f>
        <v>2.1276595744680771E-2</v>
      </c>
      <c r="K29" s="1142"/>
      <c r="L29" s="1134"/>
      <c r="M29" s="1134"/>
      <c r="N29" s="1134"/>
      <c r="O29" s="1134"/>
      <c r="P29" s="1134"/>
      <c r="Q29" s="729"/>
      <c r="R29" s="1135"/>
      <c r="S29" s="1135"/>
      <c r="T29" s="731"/>
      <c r="U29" s="1136"/>
      <c r="V29" s="1139"/>
      <c r="W29" s="1139"/>
      <c r="X29" s="1140"/>
      <c r="Y29" s="699"/>
      <c r="Z29" s="699"/>
      <c r="AA29" s="699"/>
      <c r="AB29" s="699"/>
      <c r="AC29" s="686"/>
    </row>
    <row r="30" spans="1:29" ht="20.25" customHeight="1" thickBot="1" x14ac:dyDescent="0.35">
      <c r="A30" s="1163">
        <f>IF(IGRF!$B$5="","",IGRF!$B$5)</f>
        <v>41832</v>
      </c>
      <c r="B30" s="1163"/>
      <c r="C30" s="1163"/>
      <c r="D30" s="1164" t="s">
        <v>170</v>
      </c>
      <c r="E30" s="1164"/>
      <c r="F30" s="1164"/>
      <c r="G30" s="1164"/>
      <c r="H30" s="1164"/>
      <c r="I30" s="1164"/>
      <c r="J30" s="1164"/>
      <c r="K30" s="1164"/>
      <c r="L30" s="1164"/>
      <c r="M30" s="1164"/>
      <c r="N30" s="1164"/>
      <c r="O30" s="1164"/>
      <c r="P30" s="1164"/>
      <c r="Q30" s="1164"/>
      <c r="R30" s="1164"/>
      <c r="S30" s="1164"/>
      <c r="T30" s="1164"/>
      <c r="U30" s="1164"/>
      <c r="V30" s="1164"/>
      <c r="W30" s="1165"/>
      <c r="X30" s="1165"/>
      <c r="Y30" s="699"/>
      <c r="Z30" s="699"/>
      <c r="AA30" s="699"/>
      <c r="AB30" s="699"/>
      <c r="AC30" s="686"/>
    </row>
    <row r="31" spans="1:29" ht="66" customHeight="1" thickBot="1" x14ac:dyDescent="0.35">
      <c r="A31" s="1166" t="str">
        <f>Score!$T$1</f>
        <v>Houston Roller Derby / All-Stars</v>
      </c>
      <c r="B31" s="1166"/>
      <c r="C31" s="1166"/>
      <c r="D31" s="1167" t="str">
        <f>D2</f>
        <v>Penalties by Skaters</v>
      </c>
      <c r="E31" s="1168"/>
      <c r="F31" s="1168"/>
      <c r="G31" s="1168"/>
      <c r="H31" s="1168"/>
      <c r="I31" s="1168"/>
      <c r="J31" s="1168"/>
      <c r="K31" s="1168"/>
      <c r="L31" s="1168"/>
      <c r="M31" s="1168"/>
      <c r="N31" s="1168"/>
      <c r="O31" s="1168"/>
      <c r="P31" s="1168"/>
      <c r="Q31" s="1168"/>
      <c r="R31" s="1168"/>
      <c r="S31" s="1168"/>
      <c r="T31" s="1169"/>
      <c r="U31" s="687"/>
      <c r="V31" s="687"/>
      <c r="W31" s="1170" t="str">
        <f>W2</f>
        <v>EXTRAPOLATED</v>
      </c>
      <c r="X31" s="1171"/>
      <c r="Y31" s="699"/>
      <c r="Z31" s="699"/>
      <c r="AA31" s="699"/>
      <c r="AB31" s="699"/>
      <c r="AC31" s="686"/>
    </row>
    <row r="32" spans="1:29" ht="62.25" customHeight="1" x14ac:dyDescent="0.3">
      <c r="A32" s="689" t="s">
        <v>187</v>
      </c>
      <c r="B32" s="1161" t="s">
        <v>172</v>
      </c>
      <c r="C32" s="1162"/>
      <c r="D32" s="690" t="str">
        <f t="shared" ref="D32:P32" si="3">D3</f>
        <v>Back Block</v>
      </c>
      <c r="E32" s="691" t="str">
        <f t="shared" si="3"/>
        <v>High Block</v>
      </c>
      <c r="F32" s="692" t="str">
        <f t="shared" si="3"/>
        <v>Low Block</v>
      </c>
      <c r="G32" s="692" t="str">
        <f t="shared" si="3"/>
        <v>Elbows</v>
      </c>
      <c r="H32" s="692" t="str">
        <f t="shared" si="3"/>
        <v>Forearms &amp; Hands</v>
      </c>
      <c r="I32" s="692" t="str">
        <f t="shared" si="3"/>
        <v>Block w/ Head</v>
      </c>
      <c r="J32" s="692" t="str">
        <f t="shared" si="3"/>
        <v>Multi-Player</v>
      </c>
      <c r="K32" s="692" t="str">
        <f t="shared" si="3"/>
        <v>OOB Blocking</v>
      </c>
      <c r="L32" s="692" t="str">
        <f t="shared" si="3"/>
        <v>Direction of Gameplay</v>
      </c>
      <c r="M32" s="692" t="str">
        <f t="shared" si="3"/>
        <v>Out of Play</v>
      </c>
      <c r="N32" s="692" t="str">
        <f t="shared" si="3"/>
        <v>Cut Track</v>
      </c>
      <c r="O32" s="692" t="str">
        <f t="shared" si="3"/>
        <v>Skating OOB</v>
      </c>
      <c r="P32" s="692" t="str">
        <f t="shared" si="3"/>
        <v>Illegal Procedure</v>
      </c>
      <c r="Q32" s="693" t="s">
        <v>75</v>
      </c>
      <c r="R32" s="693" t="str">
        <f>R3</f>
        <v>Delay of Game</v>
      </c>
      <c r="S32" s="693" t="str">
        <f>S3</f>
        <v>Misconduct</v>
      </c>
      <c r="T32" s="694" t="s">
        <v>76</v>
      </c>
      <c r="U32" s="695" t="s">
        <v>597</v>
      </c>
      <c r="V32" s="696" t="s">
        <v>214</v>
      </c>
      <c r="W32" s="697" t="s">
        <v>77</v>
      </c>
      <c r="X32" s="698" t="s">
        <v>599</v>
      </c>
      <c r="Y32" s="699"/>
      <c r="Z32" s="699"/>
      <c r="AA32" s="699"/>
      <c r="AB32" s="699"/>
      <c r="AC32" s="686"/>
    </row>
    <row r="33" spans="1:29" ht="25.2" customHeight="1" x14ac:dyDescent="0.3">
      <c r="A33" s="700" t="str">
        <f>IF(IGRF!H11="","",IGRF!H11)</f>
        <v>112</v>
      </c>
      <c r="B33" s="1157" t="str">
        <f>IF(IGRF!I11="","",IGRF!I11)</f>
        <v>Singapore Rogue</v>
      </c>
      <c r="C33" s="1158"/>
      <c r="D33" s="701">
        <f>IF($A33="","",SUM(PT!E56,PT!E57))</f>
        <v>0</v>
      </c>
      <c r="E33" s="702">
        <f>IF($A33="","",SUM(PT!F56,PT!F57))</f>
        <v>0</v>
      </c>
      <c r="F33" s="702">
        <f>IF($A33="","",SUM(PT!G56,PT!G57))</f>
        <v>0</v>
      </c>
      <c r="G33" s="702">
        <f>IF($A33="","",SUM(PT!H56,PT!H57))</f>
        <v>0</v>
      </c>
      <c r="H33" s="702">
        <f>IF($A33="","",SUM(PT!I56,PT!I57))</f>
        <v>0</v>
      </c>
      <c r="I33" s="702">
        <f>IF($A33="","",SUM(PT!J56,PT!J57))</f>
        <v>0</v>
      </c>
      <c r="J33" s="702">
        <f>IF($A33="","",SUM(PT!K56,PT!K57))</f>
        <v>0</v>
      </c>
      <c r="K33" s="702">
        <f>IF($A33="","",SUM(PT!L56,PT!L57))</f>
        <v>0</v>
      </c>
      <c r="L33" s="702">
        <f>IF($A33="","",SUM(PT!M56,PT!M57))</f>
        <v>0</v>
      </c>
      <c r="M33" s="702">
        <f>IF($A33="","",SUM(PT!N56,PT!N57))</f>
        <v>1</v>
      </c>
      <c r="N33" s="702">
        <f>IF($A33="","",SUM(PT!O56,PT!O57))</f>
        <v>2</v>
      </c>
      <c r="O33" s="702">
        <f>IF($A33="","",SUM(PT!P56,PT!P57))</f>
        <v>0</v>
      </c>
      <c r="P33" s="702">
        <f>IF($A33="","",SUM(PT!Q56,PT!Q57))</f>
        <v>0</v>
      </c>
      <c r="Q33" s="702">
        <f>IF($A33="","",SUM(PT!R56,PT!R57))</f>
        <v>0</v>
      </c>
      <c r="R33" s="702">
        <f>IF($A33="","",SUM(PT!S56,PT!S57))</f>
        <v>0</v>
      </c>
      <c r="S33" s="703">
        <f>IF($A33="","",SUM(PT!T56,PT!T57))</f>
        <v>0</v>
      </c>
      <c r="T33" s="704">
        <f>IF($A33="","",SUM(D33:S33))</f>
        <v>3</v>
      </c>
      <c r="U33" s="705">
        <f>IF($A33="","",SUM(PT!U56,PT!U57))</f>
        <v>3</v>
      </c>
      <c r="V33" s="706" t="str">
        <f>IF($A33="","",PT!AJ57)</f>
        <v/>
      </c>
      <c r="W33" s="707">
        <f>'Game Summary'!F28</f>
        <v>21</v>
      </c>
      <c r="X33" s="708">
        <f t="shared" ref="X33:X52" si="4">IF(OR(W33="",W33=0),"",U33/W33)</f>
        <v>0.14285714285714285</v>
      </c>
      <c r="Y33" s="699"/>
      <c r="Z33" s="699"/>
      <c r="AA33" s="699"/>
      <c r="AB33" s="699"/>
      <c r="AC33" s="686"/>
    </row>
    <row r="34" spans="1:29" ht="25.2" customHeight="1" x14ac:dyDescent="0.3">
      <c r="A34" s="709" t="str">
        <f>IF(IGRF!H12="","",IGRF!H12)</f>
        <v>1542</v>
      </c>
      <c r="B34" s="1155" t="str">
        <f>IF(IGRF!I12="","",IGRF!I12)</f>
        <v>Mary Queen of Skates</v>
      </c>
      <c r="C34" s="1156"/>
      <c r="D34" s="710">
        <f>IF($A34="","",SUM(PT!E58,PT!E59))</f>
        <v>0</v>
      </c>
      <c r="E34" s="711">
        <f>IF($A34="","",SUM(PT!F58,PT!F59))</f>
        <v>0</v>
      </c>
      <c r="F34" s="712">
        <f>IF($A34="","",SUM(PT!G58,PT!G59))</f>
        <v>0</v>
      </c>
      <c r="G34" s="713">
        <f>IF($A34="","",SUM(PT!H58,PT!H59))</f>
        <v>0</v>
      </c>
      <c r="H34" s="713">
        <f>IF($A34="","",SUM(PT!I58,PT!I59))</f>
        <v>0</v>
      </c>
      <c r="I34" s="713">
        <f>IF($A34="","",SUM(PT!J58,PT!J59))</f>
        <v>0</v>
      </c>
      <c r="J34" s="713">
        <f>IF($A34="","",SUM(PT!K58,PT!K59))</f>
        <v>1</v>
      </c>
      <c r="K34" s="713">
        <f>IF($A34="","",SUM(PT!L58,PT!L59))</f>
        <v>0</v>
      </c>
      <c r="L34" s="713">
        <f>IF($A34="","",SUM(PT!M58,PT!M59))</f>
        <v>0</v>
      </c>
      <c r="M34" s="713">
        <f>IF($A34="","",SUM(PT!N58,PT!N59))</f>
        <v>0</v>
      </c>
      <c r="N34" s="713">
        <f>IF($A34="","",SUM(PT!O58,PT!O59))</f>
        <v>0</v>
      </c>
      <c r="O34" s="713">
        <f>IF($A34="","",SUM(PT!P58,PT!P59))</f>
        <v>0</v>
      </c>
      <c r="P34" s="713">
        <f>IF($A34="","",SUM(PT!Q58,PT!Q59))</f>
        <v>0</v>
      </c>
      <c r="Q34" s="713">
        <f>IF($A34="","",SUM(PT!R58,PT!R59))</f>
        <v>0</v>
      </c>
      <c r="R34" s="713">
        <f>IF($A34="","",SUM(PT!S58,PT!S59))</f>
        <v>0</v>
      </c>
      <c r="S34" s="713">
        <f>IF($A34="","",SUM(PT!T58,PT!T59))</f>
        <v>0</v>
      </c>
      <c r="T34" s="714">
        <f t="shared" ref="T34:T52" si="5">IF($A34="","",SUM(D34:S34))</f>
        <v>1</v>
      </c>
      <c r="U34" s="715">
        <f>IF($A34="","",SUM(PT!U58,PT!U59))</f>
        <v>1</v>
      </c>
      <c r="V34" s="716" t="str">
        <f>IF($A34="","",PT!AJ59)</f>
        <v/>
      </c>
      <c r="W34" s="717">
        <f>'Game Summary'!F29</f>
        <v>7</v>
      </c>
      <c r="X34" s="718">
        <f t="shared" si="4"/>
        <v>0.14285714285714285</v>
      </c>
      <c r="Y34" s="699"/>
      <c r="Z34" s="699"/>
      <c r="AA34" s="699"/>
      <c r="AB34" s="699"/>
      <c r="AC34" s="686"/>
    </row>
    <row r="35" spans="1:29" ht="25.2" customHeight="1" x14ac:dyDescent="0.3">
      <c r="A35" s="700" t="str">
        <f>IF(IGRF!H13="","",IGRF!H13)</f>
        <v>16</v>
      </c>
      <c r="B35" s="1157" t="str">
        <f>IF(IGRF!I13="","",IGRF!I13)</f>
        <v>Mistilla</v>
      </c>
      <c r="C35" s="1158"/>
      <c r="D35" s="701">
        <f>IF($A35="","",SUM(PT!E60,PT!E61))</f>
        <v>0</v>
      </c>
      <c r="E35" s="702">
        <f>IF($A35="","",SUM(PT!F60,PT!F61))</f>
        <v>0</v>
      </c>
      <c r="F35" s="702">
        <f>IF($A35="","",SUM(PT!G60,PT!G61))</f>
        <v>0</v>
      </c>
      <c r="G35" s="702">
        <f>IF($A35="","",SUM(PT!H60,PT!H61))</f>
        <v>0</v>
      </c>
      <c r="H35" s="702">
        <f>IF($A35="","",SUM(PT!I60,PT!I61))</f>
        <v>0</v>
      </c>
      <c r="I35" s="702">
        <f>IF($A35="","",SUM(PT!J60,PT!J61))</f>
        <v>0</v>
      </c>
      <c r="J35" s="702">
        <f>IF($A35="","",SUM(PT!K60,PT!K61))</f>
        <v>0</v>
      </c>
      <c r="K35" s="702">
        <f>IF($A35="","",SUM(PT!L60,PT!L61))</f>
        <v>0</v>
      </c>
      <c r="L35" s="702">
        <f>IF($A35="","",SUM(PT!M60,PT!M61))</f>
        <v>0</v>
      </c>
      <c r="M35" s="702">
        <f>IF($A35="","",SUM(PT!N60,PT!N61))</f>
        <v>1</v>
      </c>
      <c r="N35" s="702">
        <f>IF($A35="","",SUM(PT!O60,PT!O61))</f>
        <v>2</v>
      </c>
      <c r="O35" s="702">
        <f>IF($A35="","",SUM(PT!P60,PT!P61))</f>
        <v>0</v>
      </c>
      <c r="P35" s="702">
        <f>IF($A35="","",SUM(PT!Q60,PT!Q61))</f>
        <v>0</v>
      </c>
      <c r="Q35" s="702">
        <f>IF($A35="","",SUM(PT!R60,PT!R61))</f>
        <v>0</v>
      </c>
      <c r="R35" s="702">
        <f>IF($A35="","",SUM(PT!S60,PT!S61))</f>
        <v>0</v>
      </c>
      <c r="S35" s="703">
        <f>IF($A35="","",SUM(PT!T60,PT!T61))</f>
        <v>0</v>
      </c>
      <c r="T35" s="704">
        <f t="shared" si="5"/>
        <v>3</v>
      </c>
      <c r="U35" s="705">
        <f>IF($A35="","",SUM(PT!U60,PT!U61))</f>
        <v>3</v>
      </c>
      <c r="V35" s="706" t="str">
        <f>IF($A35="","",PT!AJ61)</f>
        <v/>
      </c>
      <c r="W35" s="707">
        <f>'Game Summary'!F30</f>
        <v>22</v>
      </c>
      <c r="X35" s="708">
        <f t="shared" si="4"/>
        <v>0.13636363636363635</v>
      </c>
      <c r="Y35" s="699"/>
      <c r="Z35" s="699"/>
      <c r="AA35" s="699"/>
      <c r="AB35" s="699"/>
      <c r="AC35" s="686"/>
    </row>
    <row r="36" spans="1:29" ht="25.2" customHeight="1" x14ac:dyDescent="0.3">
      <c r="A36" s="709" t="str">
        <f>IF(IGRF!H14="","",IGRF!H14)</f>
        <v>19</v>
      </c>
      <c r="B36" s="1155" t="str">
        <f>IF(IGRF!I14="","",IGRF!I14)</f>
        <v>Betty Watchett</v>
      </c>
      <c r="C36" s="1156"/>
      <c r="D36" s="710">
        <f>IF($A36="","",SUM(PT!E62,PT!E63))</f>
        <v>1</v>
      </c>
      <c r="E36" s="711">
        <f>IF($A36="","",SUM(PT!F62,PT!F63))</f>
        <v>0</v>
      </c>
      <c r="F36" s="712">
        <f>IF($A36="","",SUM(PT!G62,PT!G63))</f>
        <v>0</v>
      </c>
      <c r="G36" s="713">
        <f>IF($A36="","",SUM(PT!H62,PT!H63))</f>
        <v>0</v>
      </c>
      <c r="H36" s="713">
        <f>IF($A36="","",SUM(PT!I62,PT!I63))</f>
        <v>0</v>
      </c>
      <c r="I36" s="713">
        <f>IF($A36="","",SUM(PT!J62,PT!J63))</f>
        <v>0</v>
      </c>
      <c r="J36" s="713">
        <f>IF($A36="","",SUM(PT!K62,PT!K63))</f>
        <v>1</v>
      </c>
      <c r="K36" s="713">
        <f>IF($A36="","",SUM(PT!L62,PT!L63))</f>
        <v>0</v>
      </c>
      <c r="L36" s="713">
        <f>IF($A36="","",SUM(PT!M62,PT!M63))</f>
        <v>0</v>
      </c>
      <c r="M36" s="713">
        <f>IF($A36="","",SUM(PT!N62,PT!N63))</f>
        <v>1</v>
      </c>
      <c r="N36" s="713">
        <f>IF($A36="","",SUM(PT!O62,PT!O63))</f>
        <v>2</v>
      </c>
      <c r="O36" s="713">
        <f>IF($A36="","",SUM(PT!P62,PT!P63))</f>
        <v>0</v>
      </c>
      <c r="P36" s="713">
        <f>IF($A36="","",SUM(PT!Q62,PT!Q63))</f>
        <v>0</v>
      </c>
      <c r="Q36" s="713">
        <f>IF($A36="","",SUM(PT!R62,PT!R63))</f>
        <v>0</v>
      </c>
      <c r="R36" s="713">
        <f>IF($A36="","",SUM(PT!S62,PT!S63))</f>
        <v>0</v>
      </c>
      <c r="S36" s="713">
        <f>IF($A36="","",SUM(PT!T62,PT!T63))</f>
        <v>0</v>
      </c>
      <c r="T36" s="714">
        <f t="shared" si="5"/>
        <v>5</v>
      </c>
      <c r="U36" s="715">
        <f>IF($A36="","",SUM(PT!U62,PT!U63))</f>
        <v>5</v>
      </c>
      <c r="V36" s="716" t="str">
        <f>IF($A36="","",PT!AJ63)</f>
        <v/>
      </c>
      <c r="W36" s="717">
        <f>'Game Summary'!F31</f>
        <v>22</v>
      </c>
      <c r="X36" s="718">
        <f t="shared" si="4"/>
        <v>0.22727272727272727</v>
      </c>
      <c r="Y36" s="699"/>
      <c r="Z36" s="699"/>
      <c r="AA36" s="699"/>
      <c r="AB36" s="699"/>
      <c r="AC36" s="686"/>
    </row>
    <row r="37" spans="1:29" ht="25.2" customHeight="1" x14ac:dyDescent="0.3">
      <c r="A37" s="700" t="str">
        <f>IF(IGRF!H15="","",IGRF!H15)</f>
        <v>2000</v>
      </c>
      <c r="B37" s="1157" t="str">
        <f>IF(IGRF!I15="","",IGRF!I15)</f>
        <v>Lisa Lava</v>
      </c>
      <c r="C37" s="1158"/>
      <c r="D37" s="701">
        <f>IF($A37="","",SUM(PT!E64,PT!E65))</f>
        <v>0</v>
      </c>
      <c r="E37" s="702">
        <f>IF($A37="","",SUM(PT!F64,PT!F65))</f>
        <v>0</v>
      </c>
      <c r="F37" s="702">
        <f>IF($A37="","",SUM(PT!G64,PT!G65))</f>
        <v>0</v>
      </c>
      <c r="G37" s="702">
        <f>IF($A37="","",SUM(PT!H64,PT!H65))</f>
        <v>0</v>
      </c>
      <c r="H37" s="702">
        <f>IF($A37="","",SUM(PT!I64,PT!I65))</f>
        <v>0</v>
      </c>
      <c r="I37" s="702">
        <f>IF($A37="","",SUM(PT!J64,PT!J65))</f>
        <v>0</v>
      </c>
      <c r="J37" s="702">
        <f>IF($A37="","",SUM(PT!K64,PT!K65))</f>
        <v>0</v>
      </c>
      <c r="K37" s="702">
        <f>IF($A37="","",SUM(PT!L64,PT!L65))</f>
        <v>0</v>
      </c>
      <c r="L37" s="702">
        <f>IF($A37="","",SUM(PT!M64,PT!M65))</f>
        <v>0</v>
      </c>
      <c r="M37" s="702">
        <f>IF($A37="","",SUM(PT!N64,PT!N65))</f>
        <v>0</v>
      </c>
      <c r="N37" s="702">
        <f>IF($A37="","",SUM(PT!O64,PT!O65))</f>
        <v>0</v>
      </c>
      <c r="O37" s="702">
        <f>IF($A37="","",SUM(PT!P64,PT!P65))</f>
        <v>0</v>
      </c>
      <c r="P37" s="702">
        <f>IF($A37="","",SUM(PT!Q64,PT!Q65))</f>
        <v>0</v>
      </c>
      <c r="Q37" s="702">
        <f>IF($A37="","",SUM(PT!R64,PT!R65))</f>
        <v>0</v>
      </c>
      <c r="R37" s="702">
        <f>IF($A37="","",SUM(PT!S64,PT!S65))</f>
        <v>0</v>
      </c>
      <c r="S37" s="703">
        <f>IF($A37="","",SUM(PT!T64,PT!T65))</f>
        <v>0</v>
      </c>
      <c r="T37" s="704">
        <f t="shared" si="5"/>
        <v>0</v>
      </c>
      <c r="U37" s="705">
        <f>IF($A37="","",SUM(PT!U64,PT!U65))</f>
        <v>0</v>
      </c>
      <c r="V37" s="706" t="str">
        <f>IF($A37="","",PT!AJ65)</f>
        <v/>
      </c>
      <c r="W37" s="707">
        <f>'Game Summary'!F32</f>
        <v>16</v>
      </c>
      <c r="X37" s="708">
        <f t="shared" si="4"/>
        <v>0</v>
      </c>
      <c r="Y37" s="699"/>
      <c r="Z37" s="699"/>
      <c r="AA37" s="699"/>
      <c r="AB37" s="699"/>
      <c r="AC37" s="686"/>
    </row>
    <row r="38" spans="1:29" ht="25.2" customHeight="1" x14ac:dyDescent="0.3">
      <c r="A38" s="709" t="str">
        <f>IF(IGRF!H16="","",IGRF!H16)</f>
        <v>201</v>
      </c>
      <c r="B38" s="1155" t="str">
        <f>IF(IGRF!I16="","",IGRF!I16)</f>
        <v>Dutch Destroyer</v>
      </c>
      <c r="C38" s="1156"/>
      <c r="D38" s="710">
        <f>IF($A38="","",SUM(PT!E66,PT!E67))</f>
        <v>0</v>
      </c>
      <c r="E38" s="711">
        <f>IF($A38="","",SUM(PT!F66,PT!F67))</f>
        <v>0</v>
      </c>
      <c r="F38" s="712">
        <f>IF($A38="","",SUM(PT!G66,PT!G67))</f>
        <v>1</v>
      </c>
      <c r="G38" s="713">
        <f>IF($A38="","",SUM(PT!H66,PT!H67))</f>
        <v>0</v>
      </c>
      <c r="H38" s="713">
        <f>IF($A38="","",SUM(PT!I66,PT!I67))</f>
        <v>0</v>
      </c>
      <c r="I38" s="713">
        <f>IF($A38="","",SUM(PT!J66,PT!J67))</f>
        <v>0</v>
      </c>
      <c r="J38" s="713">
        <f>IF($A38="","",SUM(PT!K66,PT!K67))</f>
        <v>0</v>
      </c>
      <c r="K38" s="713">
        <f>IF($A38="","",SUM(PT!L66,PT!L67))</f>
        <v>0</v>
      </c>
      <c r="L38" s="713">
        <f>IF($A38="","",SUM(PT!M66,PT!M67))</f>
        <v>0</v>
      </c>
      <c r="M38" s="713">
        <f>IF($A38="","",SUM(PT!N66,PT!N67))</f>
        <v>0</v>
      </c>
      <c r="N38" s="713">
        <f>IF($A38="","",SUM(PT!O66,PT!O67))</f>
        <v>0</v>
      </c>
      <c r="O38" s="713">
        <f>IF($A38="","",SUM(PT!P66,PT!P67))</f>
        <v>0</v>
      </c>
      <c r="P38" s="713">
        <f>IF($A38="","",SUM(PT!Q66,PT!Q67))</f>
        <v>0</v>
      </c>
      <c r="Q38" s="713">
        <f>IF($A38="","",SUM(PT!R66,PT!R67))</f>
        <v>0</v>
      </c>
      <c r="R38" s="713">
        <f>IF($A38="","",SUM(PT!S66,PT!S67))</f>
        <v>0</v>
      </c>
      <c r="S38" s="713">
        <f>IF($A38="","",SUM(PT!T66,PT!T67))</f>
        <v>0</v>
      </c>
      <c r="T38" s="714">
        <f t="shared" si="5"/>
        <v>1</v>
      </c>
      <c r="U38" s="715">
        <f>IF($A38="","",SUM(PT!U66,PT!U67))</f>
        <v>1</v>
      </c>
      <c r="V38" s="716" t="str">
        <f>IF($A38="","",PT!AJ67)</f>
        <v/>
      </c>
      <c r="W38" s="717">
        <f>'Game Summary'!F33</f>
        <v>9</v>
      </c>
      <c r="X38" s="718">
        <f t="shared" si="4"/>
        <v>0.1111111111111111</v>
      </c>
      <c r="Y38" s="699"/>
      <c r="Z38" s="699"/>
      <c r="AA38" s="699"/>
      <c r="AB38" s="699"/>
      <c r="AC38" s="686"/>
    </row>
    <row r="39" spans="1:29" ht="25.2" customHeight="1" x14ac:dyDescent="0.3">
      <c r="A39" s="700" t="str">
        <f>IF(IGRF!H17="","",IGRF!H17)</f>
        <v>21</v>
      </c>
      <c r="B39" s="1157" t="str">
        <f>IF(IGRF!I17="","",IGRF!I17)</f>
        <v>Jekyll &amp; Heidi</v>
      </c>
      <c r="C39" s="1158"/>
      <c r="D39" s="701">
        <f>IF($A39="","",SUM(PT!E68,PT!E69))</f>
        <v>1</v>
      </c>
      <c r="E39" s="702">
        <f>IF($A39="","",SUM(PT!F68,PT!F69))</f>
        <v>0</v>
      </c>
      <c r="F39" s="702">
        <f>IF($A39="","",SUM(PT!G68,PT!G69))</f>
        <v>0</v>
      </c>
      <c r="G39" s="702">
        <f>IF($A39="","",SUM(PT!H68,PT!H69))</f>
        <v>0</v>
      </c>
      <c r="H39" s="702">
        <f>IF($A39="","",SUM(PT!I68,PT!I69))</f>
        <v>1</v>
      </c>
      <c r="I39" s="702">
        <f>IF($A39="","",SUM(PT!J68,PT!J69))</f>
        <v>0</v>
      </c>
      <c r="J39" s="702">
        <f>IF($A39="","",SUM(PT!K68,PT!K69))</f>
        <v>0</v>
      </c>
      <c r="K39" s="702">
        <f>IF($A39="","",SUM(PT!L68,PT!L69))</f>
        <v>1</v>
      </c>
      <c r="L39" s="702">
        <f>IF($A39="","",SUM(PT!M68,PT!M69))</f>
        <v>1</v>
      </c>
      <c r="M39" s="702">
        <f>IF($A39="","",SUM(PT!N68,PT!N69))</f>
        <v>0</v>
      </c>
      <c r="N39" s="702">
        <f>IF($A39="","",SUM(PT!O68,PT!O69))</f>
        <v>1</v>
      </c>
      <c r="O39" s="702">
        <f>IF($A39="","",SUM(PT!P68,PT!P69))</f>
        <v>0</v>
      </c>
      <c r="P39" s="702">
        <f>IF($A39="","",SUM(PT!Q68,PT!Q69))</f>
        <v>0</v>
      </c>
      <c r="Q39" s="702">
        <f>IF($A39="","",SUM(PT!R68,PT!R69))</f>
        <v>0</v>
      </c>
      <c r="R39" s="702">
        <f>IF($A39="","",SUM(PT!S68,PT!S69))</f>
        <v>0</v>
      </c>
      <c r="S39" s="703">
        <f>IF($A39="","",SUM(PT!T68,PT!T69))</f>
        <v>0</v>
      </c>
      <c r="T39" s="704">
        <f t="shared" si="5"/>
        <v>5</v>
      </c>
      <c r="U39" s="705">
        <f>IF($A39="","",SUM(PT!U68,PT!U69))</f>
        <v>5</v>
      </c>
      <c r="V39" s="706" t="str">
        <f>IF($A39="","",PT!AJ69)</f>
        <v/>
      </c>
      <c r="W39" s="707">
        <f>'Game Summary'!F34</f>
        <v>25</v>
      </c>
      <c r="X39" s="708">
        <f t="shared" si="4"/>
        <v>0.2</v>
      </c>
      <c r="Y39" s="699"/>
      <c r="Z39" s="699"/>
      <c r="AA39" s="699"/>
      <c r="AB39" s="699"/>
      <c r="AC39" s="686"/>
    </row>
    <row r="40" spans="1:29" ht="25.2" customHeight="1" x14ac:dyDescent="0.3">
      <c r="A40" s="709" t="str">
        <f>IF(IGRF!H18="","",IGRF!H18)</f>
        <v>22</v>
      </c>
      <c r="B40" s="1155" t="str">
        <f>IF(IGRF!I18="","",IGRF!I18)</f>
        <v>Freight Train</v>
      </c>
      <c r="C40" s="1156"/>
      <c r="D40" s="710">
        <f>IF($A40="","",SUM(PT!E70,PT!E71))</f>
        <v>1</v>
      </c>
      <c r="E40" s="711">
        <f>IF($A40="","",SUM(PT!F70,PT!F71))</f>
        <v>0</v>
      </c>
      <c r="F40" s="712">
        <f>IF($A40="","",SUM(PT!G70,PT!G71))</f>
        <v>0</v>
      </c>
      <c r="G40" s="713">
        <f>IF($A40="","",SUM(PT!H70,PT!H71))</f>
        <v>0</v>
      </c>
      <c r="H40" s="713">
        <f>IF($A40="","",SUM(PT!I70,PT!I71))</f>
        <v>0</v>
      </c>
      <c r="I40" s="713">
        <f>IF($A40="","",SUM(PT!J70,PT!J71))</f>
        <v>0</v>
      </c>
      <c r="J40" s="713">
        <f>IF($A40="","",SUM(PT!K70,PT!K71))</f>
        <v>0</v>
      </c>
      <c r="K40" s="713">
        <f>IF($A40="","",SUM(PT!L70,PT!L71))</f>
        <v>0</v>
      </c>
      <c r="L40" s="713">
        <f>IF($A40="","",SUM(PT!M70,PT!M71))</f>
        <v>0</v>
      </c>
      <c r="M40" s="713">
        <f>IF($A40="","",SUM(PT!N70,PT!N71))</f>
        <v>0</v>
      </c>
      <c r="N40" s="713">
        <f>IF($A40="","",SUM(PT!O70,PT!O71))</f>
        <v>1</v>
      </c>
      <c r="O40" s="713">
        <f>IF($A40="","",SUM(PT!P70,PT!P71))</f>
        <v>0</v>
      </c>
      <c r="P40" s="713">
        <f>IF($A40="","",SUM(PT!Q70,PT!Q71))</f>
        <v>0</v>
      </c>
      <c r="Q40" s="713">
        <f>IF($A40="","",SUM(PT!R70,PT!R71))</f>
        <v>0</v>
      </c>
      <c r="R40" s="713">
        <f>IF($A40="","",SUM(PT!S70,PT!S71))</f>
        <v>0</v>
      </c>
      <c r="S40" s="713">
        <f>IF($A40="","",SUM(PT!T70,PT!T71))</f>
        <v>0</v>
      </c>
      <c r="T40" s="714">
        <f t="shared" si="5"/>
        <v>2</v>
      </c>
      <c r="U40" s="715">
        <f>IF($A40="","",SUM(PT!U70,PT!U71))</f>
        <v>2</v>
      </c>
      <c r="V40" s="716" t="str">
        <f>IF($A40="","",PT!AJ71)</f>
        <v/>
      </c>
      <c r="W40" s="717">
        <f>'Game Summary'!F35</f>
        <v>19</v>
      </c>
      <c r="X40" s="718">
        <f t="shared" si="4"/>
        <v>0.10526315789473684</v>
      </c>
      <c r="Y40" s="699"/>
      <c r="Z40" s="699"/>
      <c r="AA40" s="699"/>
      <c r="AB40" s="699"/>
      <c r="AC40" s="686"/>
    </row>
    <row r="41" spans="1:29" ht="25.2" customHeight="1" x14ac:dyDescent="0.3">
      <c r="A41" s="700" t="str">
        <f>IF(IGRF!H19="","",IGRF!H19)</f>
        <v>312</v>
      </c>
      <c r="B41" s="1157" t="str">
        <f>IF(IGRF!I19="","",IGRF!I19)</f>
        <v>2x Force</v>
      </c>
      <c r="C41" s="1158"/>
      <c r="D41" s="701">
        <f>IF($A41="","",SUM(PT!E72,PT!E73))</f>
        <v>0</v>
      </c>
      <c r="E41" s="702">
        <f>IF($A41="","",SUM(PT!F72,PT!F73))</f>
        <v>0</v>
      </c>
      <c r="F41" s="702">
        <f>IF($A41="","",SUM(PT!G72,PT!G73))</f>
        <v>0</v>
      </c>
      <c r="G41" s="702">
        <f>IF($A41="","",SUM(PT!H72,PT!H73))</f>
        <v>0</v>
      </c>
      <c r="H41" s="702">
        <f>IF($A41="","",SUM(PT!I72,PT!I73))</f>
        <v>2</v>
      </c>
      <c r="I41" s="702">
        <f>IF($A41="","",SUM(PT!J72,PT!J73))</f>
        <v>0</v>
      </c>
      <c r="J41" s="702">
        <f>IF($A41="","",SUM(PT!K72,PT!K73))</f>
        <v>0</v>
      </c>
      <c r="K41" s="702">
        <f>IF($A41="","",SUM(PT!L72,PT!L73))</f>
        <v>0</v>
      </c>
      <c r="L41" s="702">
        <f>IF($A41="","",SUM(PT!M72,PT!M73))</f>
        <v>0</v>
      </c>
      <c r="M41" s="702">
        <f>IF($A41="","",SUM(PT!N72,PT!N73))</f>
        <v>0</v>
      </c>
      <c r="N41" s="702">
        <f>IF($A41="","",SUM(PT!O72,PT!O73))</f>
        <v>0</v>
      </c>
      <c r="O41" s="702">
        <f>IF($A41="","",SUM(PT!P72,PT!P73))</f>
        <v>0</v>
      </c>
      <c r="P41" s="702">
        <f>IF($A41="","",SUM(PT!Q72,PT!Q73))</f>
        <v>0</v>
      </c>
      <c r="Q41" s="702">
        <f>IF($A41="","",SUM(PT!R72,PT!R73))</f>
        <v>0</v>
      </c>
      <c r="R41" s="702">
        <f>IF($A41="","",SUM(PT!S72,PT!S73))</f>
        <v>0</v>
      </c>
      <c r="S41" s="703">
        <f>IF($A41="","",SUM(PT!T72,PT!T73))</f>
        <v>0</v>
      </c>
      <c r="T41" s="704">
        <f t="shared" si="5"/>
        <v>2</v>
      </c>
      <c r="U41" s="705">
        <f>IF($A41="","",SUM(PT!U72,PT!U73))</f>
        <v>2</v>
      </c>
      <c r="V41" s="706" t="str">
        <f>IF($A41="","",PT!AJ73)</f>
        <v/>
      </c>
      <c r="W41" s="707">
        <f>'Game Summary'!F36</f>
        <v>23</v>
      </c>
      <c r="X41" s="708">
        <f t="shared" si="4"/>
        <v>8.6956521739130432E-2</v>
      </c>
      <c r="Y41" s="699"/>
      <c r="Z41" s="699"/>
      <c r="AA41" s="699"/>
      <c r="AB41" s="699"/>
      <c r="AC41" s="686"/>
    </row>
    <row r="42" spans="1:29" ht="25.2" customHeight="1" x14ac:dyDescent="0.3">
      <c r="A42" s="709" t="str">
        <f>IF(IGRF!H20="","",IGRF!H20)</f>
        <v>51</v>
      </c>
      <c r="B42" s="1155" t="str">
        <f>IF(IGRF!I20="","",IGRF!I20)</f>
        <v>Bustin’ Beaver</v>
      </c>
      <c r="C42" s="1156"/>
      <c r="D42" s="710">
        <f>IF($A42="","",SUM(PT!E74,PT!E75))</f>
        <v>0</v>
      </c>
      <c r="E42" s="711">
        <f>IF($A42="","",SUM(PT!F74,PT!F75))</f>
        <v>0</v>
      </c>
      <c r="F42" s="712">
        <f>IF($A42="","",SUM(PT!G74,PT!G75))</f>
        <v>0</v>
      </c>
      <c r="G42" s="713">
        <f>IF($A42="","",SUM(PT!H74,PT!H75))</f>
        <v>0</v>
      </c>
      <c r="H42" s="713">
        <f>IF($A42="","",SUM(PT!I74,PT!I75))</f>
        <v>0</v>
      </c>
      <c r="I42" s="713">
        <f>IF($A42="","",SUM(PT!J74,PT!J75))</f>
        <v>0</v>
      </c>
      <c r="J42" s="713">
        <f>IF($A42="","",SUM(PT!K74,PT!K75))</f>
        <v>0</v>
      </c>
      <c r="K42" s="713">
        <f>IF($A42="","",SUM(PT!L74,PT!L75))</f>
        <v>0</v>
      </c>
      <c r="L42" s="713">
        <f>IF($A42="","",SUM(PT!M74,PT!M75))</f>
        <v>0</v>
      </c>
      <c r="M42" s="713">
        <f>IF($A42="","",SUM(PT!N74,PT!N75))</f>
        <v>0</v>
      </c>
      <c r="N42" s="713">
        <f>IF($A42="","",SUM(PT!O74,PT!O75))</f>
        <v>2</v>
      </c>
      <c r="O42" s="713">
        <f>IF($A42="","",SUM(PT!P74,PT!P75))</f>
        <v>0</v>
      </c>
      <c r="P42" s="713">
        <f>IF($A42="","",SUM(PT!Q74,PT!Q75))</f>
        <v>0</v>
      </c>
      <c r="Q42" s="713">
        <f>IF($A42="","",SUM(PT!R74,PT!R75))</f>
        <v>0</v>
      </c>
      <c r="R42" s="713">
        <f>IF($A42="","",SUM(PT!S74,PT!S75))</f>
        <v>0</v>
      </c>
      <c r="S42" s="713">
        <f>IF($A42="","",SUM(PT!T74,PT!T75))</f>
        <v>0</v>
      </c>
      <c r="T42" s="714">
        <f t="shared" si="5"/>
        <v>2</v>
      </c>
      <c r="U42" s="715">
        <f>IF($A42="","",SUM(PT!U74,PT!U75))</f>
        <v>2</v>
      </c>
      <c r="V42" s="716" t="str">
        <f>IF($A42="","",PT!AJ75)</f>
        <v/>
      </c>
      <c r="W42" s="717">
        <f>'Game Summary'!F37</f>
        <v>8</v>
      </c>
      <c r="X42" s="718">
        <f t="shared" si="4"/>
        <v>0.25</v>
      </c>
    </row>
    <row r="43" spans="1:29" ht="25.2" customHeight="1" x14ac:dyDescent="0.3">
      <c r="A43" s="700" t="str">
        <f>IF(IGRF!H21="","",IGRF!H21)</f>
        <v>5309</v>
      </c>
      <c r="B43" s="1157" t="str">
        <f>IF(IGRF!I21="","",IGRF!I21)</f>
        <v>Toxic Assets</v>
      </c>
      <c r="C43" s="1158"/>
      <c r="D43" s="701">
        <f>IF($A43="","",SUM(PT!E76,PT!E77))</f>
        <v>0</v>
      </c>
      <c r="E43" s="702">
        <f>IF($A43="","",SUM(PT!F76,PT!F77))</f>
        <v>0</v>
      </c>
      <c r="F43" s="702">
        <f>IF($A43="","",SUM(PT!G76,PT!G77))</f>
        <v>0</v>
      </c>
      <c r="G43" s="702">
        <f>IF($A43="","",SUM(PT!H76,PT!H77))</f>
        <v>0</v>
      </c>
      <c r="H43" s="702">
        <f>IF($A43="","",SUM(PT!I76,PT!I77))</f>
        <v>0</v>
      </c>
      <c r="I43" s="702">
        <f>IF($A43="","",SUM(PT!J76,PT!J77))</f>
        <v>0</v>
      </c>
      <c r="J43" s="702">
        <f>IF($A43="","",SUM(PT!K76,PT!K77))</f>
        <v>0</v>
      </c>
      <c r="K43" s="702">
        <f>IF($A43="","",SUM(PT!L76,PT!L77))</f>
        <v>0</v>
      </c>
      <c r="L43" s="702">
        <f>IF($A43="","",SUM(PT!M76,PT!M77))</f>
        <v>0</v>
      </c>
      <c r="M43" s="702">
        <f>IF($A43="","",SUM(PT!N76,PT!N77))</f>
        <v>0</v>
      </c>
      <c r="N43" s="702">
        <f>IF($A43="","",SUM(PT!O76,PT!O77))</f>
        <v>0</v>
      </c>
      <c r="O43" s="702">
        <f>IF($A43="","",SUM(PT!P76,PT!P77))</f>
        <v>0</v>
      </c>
      <c r="P43" s="702">
        <f>IF($A43="","",SUM(PT!Q76,PT!Q77))</f>
        <v>0</v>
      </c>
      <c r="Q43" s="702">
        <f>IF($A43="","",SUM(PT!R76,PT!R77))</f>
        <v>0</v>
      </c>
      <c r="R43" s="702">
        <f>IF($A43="","",SUM(PT!S76,PT!S77))</f>
        <v>0</v>
      </c>
      <c r="S43" s="703">
        <f>IF($A43="","",SUM(PT!T76,PT!T77))</f>
        <v>0</v>
      </c>
      <c r="T43" s="704">
        <f t="shared" si="5"/>
        <v>0</v>
      </c>
      <c r="U43" s="705">
        <f>IF($A43="","",SUM(PT!U76,PT!U77))</f>
        <v>0</v>
      </c>
      <c r="V43" s="706" t="str">
        <f>IF($A43="","",PT!AJ77)</f>
        <v/>
      </c>
      <c r="W43" s="707">
        <f>'Game Summary'!F38</f>
        <v>17</v>
      </c>
      <c r="X43" s="708">
        <f t="shared" si="4"/>
        <v>0</v>
      </c>
    </row>
    <row r="44" spans="1:29" ht="25.2" customHeight="1" x14ac:dyDescent="0.3">
      <c r="A44" s="709" t="str">
        <f>IF(IGRF!H22="","",IGRF!H22)</f>
        <v>69</v>
      </c>
      <c r="B44" s="1155" t="str">
        <f>IF(IGRF!I22="","",IGRF!I22)</f>
        <v>Death By Chocolate</v>
      </c>
      <c r="C44" s="1156"/>
      <c r="D44" s="710">
        <f>IF($A44="","",SUM(PT!E78,PT!E79))</f>
        <v>0</v>
      </c>
      <c r="E44" s="711">
        <f>IF($A44="","",SUM(PT!F78,PT!F79))</f>
        <v>0</v>
      </c>
      <c r="F44" s="712">
        <f>IF($A44="","",SUM(PT!G78,PT!G79))</f>
        <v>0</v>
      </c>
      <c r="G44" s="713">
        <f>IF($A44="","",SUM(PT!H78,PT!H79))</f>
        <v>0</v>
      </c>
      <c r="H44" s="713">
        <f>IF($A44="","",SUM(PT!I78,PT!I79))</f>
        <v>1</v>
      </c>
      <c r="I44" s="713">
        <f>IF($A44="","",SUM(PT!J78,PT!J79))</f>
        <v>0</v>
      </c>
      <c r="J44" s="713">
        <f>IF($A44="","",SUM(PT!K78,PT!K79))</f>
        <v>0</v>
      </c>
      <c r="K44" s="713">
        <f>IF($A44="","",SUM(PT!L78,PT!L79))</f>
        <v>0</v>
      </c>
      <c r="L44" s="713">
        <f>IF($A44="","",SUM(PT!M78,PT!M79))</f>
        <v>0</v>
      </c>
      <c r="M44" s="713">
        <f>IF($A44="","",SUM(PT!N78,PT!N79))</f>
        <v>0</v>
      </c>
      <c r="N44" s="713">
        <f>IF($A44="","",SUM(PT!O78,PT!O79))</f>
        <v>2</v>
      </c>
      <c r="O44" s="713">
        <f>IF($A44="","",SUM(PT!P78,PT!P79))</f>
        <v>0</v>
      </c>
      <c r="P44" s="713">
        <f>IF($A44="","",SUM(PT!Q78,PT!Q79))</f>
        <v>0</v>
      </c>
      <c r="Q44" s="713">
        <f>IF($A44="","",SUM(PT!R78,PT!R79))</f>
        <v>0</v>
      </c>
      <c r="R44" s="713">
        <f>IF($A44="","",SUM(PT!S78,PT!S79))</f>
        <v>0</v>
      </c>
      <c r="S44" s="713">
        <f>IF($A44="","",SUM(PT!T78,PT!T79))</f>
        <v>0</v>
      </c>
      <c r="T44" s="714">
        <f t="shared" si="5"/>
        <v>3</v>
      </c>
      <c r="U44" s="715">
        <f>IF($A44="","",SUM(PT!U78,PT!U79))</f>
        <v>3</v>
      </c>
      <c r="V44" s="716" t="str">
        <f>IF($A44="","",PT!AJ79)</f>
        <v/>
      </c>
      <c r="W44" s="717">
        <f>'Game Summary'!F39</f>
        <v>16</v>
      </c>
      <c r="X44" s="718">
        <f t="shared" si="4"/>
        <v>0.1875</v>
      </c>
    </row>
    <row r="45" spans="1:29" ht="25.2" customHeight="1" x14ac:dyDescent="0.3">
      <c r="A45" s="700" t="str">
        <f>IF(IGRF!H23="","",IGRF!H23)</f>
        <v>9</v>
      </c>
      <c r="B45" s="1157" t="str">
        <f>IF(IGRF!I23="","",IGRF!I23)</f>
        <v>Big Bad Voodoo Dollie</v>
      </c>
      <c r="C45" s="1158"/>
      <c r="D45" s="701">
        <f>IF($A45="","",SUM(PT!E80,PT!E81))</f>
        <v>0</v>
      </c>
      <c r="E45" s="702">
        <f>IF($A45="","",SUM(PT!F80,PT!F81))</f>
        <v>0</v>
      </c>
      <c r="F45" s="702">
        <f>IF($A45="","",SUM(PT!G80,PT!G81))</f>
        <v>0</v>
      </c>
      <c r="G45" s="702">
        <f>IF($A45="","",SUM(PT!H80,PT!H81))</f>
        <v>0</v>
      </c>
      <c r="H45" s="702">
        <f>IF($A45="","",SUM(PT!I80,PT!I81))</f>
        <v>0</v>
      </c>
      <c r="I45" s="702">
        <f>IF($A45="","",SUM(PT!J80,PT!J81))</f>
        <v>0</v>
      </c>
      <c r="J45" s="702">
        <f>IF($A45="","",SUM(PT!K80,PT!K81))</f>
        <v>0</v>
      </c>
      <c r="K45" s="702">
        <f>IF($A45="","",SUM(PT!L80,PT!L81))</f>
        <v>0</v>
      </c>
      <c r="L45" s="702">
        <f>IF($A45="","",SUM(PT!M80,PT!M81))</f>
        <v>0</v>
      </c>
      <c r="M45" s="702">
        <f>IF($A45="","",SUM(PT!N80,PT!N81))</f>
        <v>0</v>
      </c>
      <c r="N45" s="702">
        <f>IF($A45="","",SUM(PT!O80,PT!O81))</f>
        <v>0</v>
      </c>
      <c r="O45" s="702">
        <f>IF($A45="","",SUM(PT!P80,PT!P81))</f>
        <v>0</v>
      </c>
      <c r="P45" s="702">
        <f>IF($A45="","",SUM(PT!Q80,PT!Q81))</f>
        <v>0</v>
      </c>
      <c r="Q45" s="702">
        <f>IF($A45="","",SUM(PT!R80,PT!R81))</f>
        <v>0</v>
      </c>
      <c r="R45" s="702">
        <f>IF($A45="","",SUM(PT!S80,PT!S81))</f>
        <v>0</v>
      </c>
      <c r="S45" s="703">
        <f>IF($A45="","",SUM(PT!T80,PT!T81))</f>
        <v>0</v>
      </c>
      <c r="T45" s="704">
        <f t="shared" si="5"/>
        <v>0</v>
      </c>
      <c r="U45" s="705">
        <f>IF($A45="","",SUM(PT!U80,PT!U81))</f>
        <v>0</v>
      </c>
      <c r="V45" s="706" t="str">
        <f>IF($A45="","",PT!AJ81)</f>
        <v/>
      </c>
      <c r="W45" s="707">
        <f>'Game Summary'!F40</f>
        <v>9</v>
      </c>
      <c r="X45" s="708">
        <f t="shared" si="4"/>
        <v>0</v>
      </c>
    </row>
    <row r="46" spans="1:29" ht="25.2" customHeight="1" x14ac:dyDescent="0.3">
      <c r="A46" s="709" t="str">
        <f>IF(IGRF!H24="","",IGRF!H24)</f>
        <v>93</v>
      </c>
      <c r="B46" s="1155" t="str">
        <f>IF(IGRF!I24="","",IGRF!I24)</f>
        <v>Erma Gerd</v>
      </c>
      <c r="C46" s="1156"/>
      <c r="D46" s="710">
        <f>IF($A46="","",SUM(PT!E82,PT!E83))</f>
        <v>1</v>
      </c>
      <c r="E46" s="711">
        <f>IF($A46="","",SUM(PT!F82,PT!F83))</f>
        <v>0</v>
      </c>
      <c r="F46" s="712">
        <f>IF($A46="","",SUM(PT!G82,PT!G83))</f>
        <v>0</v>
      </c>
      <c r="G46" s="713">
        <f>IF($A46="","",SUM(PT!H82,PT!H83))</f>
        <v>0</v>
      </c>
      <c r="H46" s="713">
        <f>IF($A46="","",SUM(PT!I82,PT!I83))</f>
        <v>0</v>
      </c>
      <c r="I46" s="713">
        <f>IF($A46="","",SUM(PT!J82,PT!J83))</f>
        <v>0</v>
      </c>
      <c r="J46" s="713">
        <f>IF($A46="","",SUM(PT!K82,PT!K83))</f>
        <v>0</v>
      </c>
      <c r="K46" s="713">
        <f>IF($A46="","",SUM(PT!L82,PT!L83))</f>
        <v>0</v>
      </c>
      <c r="L46" s="713">
        <f>IF($A46="","",SUM(PT!M82,PT!M83))</f>
        <v>1</v>
      </c>
      <c r="M46" s="713">
        <f>IF($A46="","",SUM(PT!N82,PT!N83))</f>
        <v>0</v>
      </c>
      <c r="N46" s="713">
        <f>IF($A46="","",SUM(PT!O82,PT!O83))</f>
        <v>1</v>
      </c>
      <c r="O46" s="713">
        <f>IF($A46="","",SUM(PT!P82,PT!P83))</f>
        <v>0</v>
      </c>
      <c r="P46" s="713">
        <f>IF($A46="","",SUM(PT!Q82,PT!Q83))</f>
        <v>0</v>
      </c>
      <c r="Q46" s="713">
        <f>IF($A46="","",SUM(PT!R82,PT!R83))</f>
        <v>0</v>
      </c>
      <c r="R46" s="713">
        <f>IF($A46="","",SUM(PT!S82,PT!S83))</f>
        <v>0</v>
      </c>
      <c r="S46" s="713">
        <f>IF($A46="","",SUM(PT!T82,PT!T83))</f>
        <v>0</v>
      </c>
      <c r="T46" s="714">
        <f t="shared" si="5"/>
        <v>3</v>
      </c>
      <c r="U46" s="715">
        <f>IF($A46="","",SUM(PT!U82,PT!U83))</f>
        <v>3</v>
      </c>
      <c r="V46" s="716" t="str">
        <f>IF($A46="","",PT!AJ83)</f>
        <v/>
      </c>
      <c r="W46" s="717">
        <f>'Game Summary'!F41</f>
        <v>20</v>
      </c>
      <c r="X46" s="718">
        <f t="shared" si="4"/>
        <v>0.15</v>
      </c>
    </row>
    <row r="47" spans="1:29" ht="25.2" customHeight="1" x14ac:dyDescent="0.3">
      <c r="A47" s="700" t="str">
        <f>IF(IGRF!H25="","",IGRF!H25)</f>
        <v/>
      </c>
      <c r="B47" s="1157" t="str">
        <f>IF(IGRF!I25="","",IGRF!I25)</f>
        <v/>
      </c>
      <c r="C47" s="1158"/>
      <c r="D47" s="701" t="str">
        <f>IF($A47="","",SUM(PT!E84,PT!E85))</f>
        <v/>
      </c>
      <c r="E47" s="702" t="str">
        <f>IF($A47="","",SUM(PT!F84,PT!F85))</f>
        <v/>
      </c>
      <c r="F47" s="702" t="str">
        <f>IF($A47="","",SUM(PT!G84,PT!G85))</f>
        <v/>
      </c>
      <c r="G47" s="702" t="str">
        <f>IF($A47="","",SUM(PT!H84,PT!H85))</f>
        <v/>
      </c>
      <c r="H47" s="702" t="str">
        <f>IF($A47="","",SUM(PT!I84,PT!I85))</f>
        <v/>
      </c>
      <c r="I47" s="702" t="str">
        <f>IF($A47="","",SUM(PT!J84,PT!J85))</f>
        <v/>
      </c>
      <c r="J47" s="702" t="str">
        <f>IF($A47="","",SUM(PT!K84,PT!K85))</f>
        <v/>
      </c>
      <c r="K47" s="702" t="str">
        <f>IF($A47="","",SUM(PT!L84,PT!L85))</f>
        <v/>
      </c>
      <c r="L47" s="702" t="str">
        <f>IF($A47="","",SUM(PT!M84,PT!M85))</f>
        <v/>
      </c>
      <c r="M47" s="702" t="str">
        <f>IF($A47="","",SUM(PT!N84,PT!N85))</f>
        <v/>
      </c>
      <c r="N47" s="702" t="str">
        <f>IF($A47="","",SUM(PT!O84,PT!O85))</f>
        <v/>
      </c>
      <c r="O47" s="702" t="str">
        <f>IF($A47="","",SUM(PT!P84,PT!P85))</f>
        <v/>
      </c>
      <c r="P47" s="702" t="str">
        <f>IF($A47="","",SUM(PT!Q84,PT!Q85))</f>
        <v/>
      </c>
      <c r="Q47" s="702" t="str">
        <f>IF($A47="","",SUM(PT!R84,PT!R85))</f>
        <v/>
      </c>
      <c r="R47" s="702" t="str">
        <f>IF($A47="","",SUM(PT!S84,PT!S85))</f>
        <v/>
      </c>
      <c r="S47" s="703" t="str">
        <f>IF($A47="","",SUM(PT!T84,PT!T85))</f>
        <v/>
      </c>
      <c r="T47" s="704" t="str">
        <f t="shared" si="5"/>
        <v/>
      </c>
      <c r="U47" s="705" t="str">
        <f>IF($A47="","",SUM(PT!U84,PT!U85))</f>
        <v/>
      </c>
      <c r="V47" s="706" t="str">
        <f>IF($A47="","",PT!AJ85)</f>
        <v/>
      </c>
      <c r="W47" s="707" t="str">
        <f>'Game Summary'!F42</f>
        <v/>
      </c>
      <c r="X47" s="708" t="str">
        <f t="shared" si="4"/>
        <v/>
      </c>
    </row>
    <row r="48" spans="1:29" ht="25.2" customHeight="1" x14ac:dyDescent="0.3">
      <c r="A48" s="709" t="str">
        <f>IF(IGRF!H26="","",IGRF!H26)</f>
        <v/>
      </c>
      <c r="B48" s="1155" t="str">
        <f>IF(IGRF!I26="","",IGRF!I26)</f>
        <v/>
      </c>
      <c r="C48" s="1156"/>
      <c r="D48" s="710" t="str">
        <f>IF($A48="","",SUM(PT!E86,PT!E87))</f>
        <v/>
      </c>
      <c r="E48" s="711" t="str">
        <f>IF($A48="","",SUM(PT!F86,PT!F87))</f>
        <v/>
      </c>
      <c r="F48" s="712" t="str">
        <f>IF($A48="","",SUM(PT!G86,PT!G87))</f>
        <v/>
      </c>
      <c r="G48" s="713" t="str">
        <f>IF($A48="","",SUM(PT!H86,PT!H87))</f>
        <v/>
      </c>
      <c r="H48" s="713" t="str">
        <f>IF($A48="","",SUM(PT!I86,PT!I87))</f>
        <v/>
      </c>
      <c r="I48" s="713" t="str">
        <f>IF($A48="","",SUM(PT!J86,PT!J87))</f>
        <v/>
      </c>
      <c r="J48" s="713" t="str">
        <f>IF($A48="","",SUM(PT!K86,PT!K87))</f>
        <v/>
      </c>
      <c r="K48" s="713" t="str">
        <f>IF($A48="","",SUM(PT!L86,PT!L87))</f>
        <v/>
      </c>
      <c r="L48" s="713" t="str">
        <f>IF($A48="","",SUM(PT!M86,PT!M87))</f>
        <v/>
      </c>
      <c r="M48" s="713" t="str">
        <f>IF($A48="","",SUM(PT!N86,PT!N87))</f>
        <v/>
      </c>
      <c r="N48" s="713" t="str">
        <f>IF($A48="","",SUM(PT!O86,PT!O87))</f>
        <v/>
      </c>
      <c r="O48" s="713" t="str">
        <f>IF($A48="","",SUM(PT!P86,PT!P87))</f>
        <v/>
      </c>
      <c r="P48" s="713" t="str">
        <f>IF($A48="","",SUM(PT!Q86,PT!Q87))</f>
        <v/>
      </c>
      <c r="Q48" s="713" t="str">
        <f>IF($A48="","",SUM(PT!R86,PT!R87))</f>
        <v/>
      </c>
      <c r="R48" s="713" t="str">
        <f>IF($A48="","",SUM(PT!S86,PT!S87))</f>
        <v/>
      </c>
      <c r="S48" s="713" t="str">
        <f>IF($A48="","",SUM(PT!T86,PT!T87))</f>
        <v/>
      </c>
      <c r="T48" s="714" t="str">
        <f t="shared" si="5"/>
        <v/>
      </c>
      <c r="U48" s="715" t="str">
        <f>IF($A48="","",SUM(PT!U86,PT!U87))</f>
        <v/>
      </c>
      <c r="V48" s="716" t="str">
        <f>IF($A48="","",PT!AJ87)</f>
        <v/>
      </c>
      <c r="W48" s="717" t="str">
        <f>'Game Summary'!F43</f>
        <v/>
      </c>
      <c r="X48" s="718" t="str">
        <f t="shared" si="4"/>
        <v/>
      </c>
    </row>
    <row r="49" spans="1:24" ht="25.2" customHeight="1" x14ac:dyDescent="0.3">
      <c r="A49" s="700" t="str">
        <f>IF(IGRF!H27="","",IGRF!H27)</f>
        <v/>
      </c>
      <c r="B49" s="1157" t="str">
        <f>IF(IGRF!I27="","",IGRF!I27)</f>
        <v/>
      </c>
      <c r="C49" s="1158"/>
      <c r="D49" s="701" t="str">
        <f>IF($A49="","",SUM(PT!E88,PT!E89))</f>
        <v/>
      </c>
      <c r="E49" s="702" t="str">
        <f>IF($A49="","",SUM(PT!F88,PT!F89))</f>
        <v/>
      </c>
      <c r="F49" s="702" t="str">
        <f>IF($A49="","",SUM(PT!G88,PT!G89))</f>
        <v/>
      </c>
      <c r="G49" s="702" t="str">
        <f>IF($A49="","",SUM(PT!H88,PT!H89))</f>
        <v/>
      </c>
      <c r="H49" s="702" t="str">
        <f>IF($A49="","",SUM(PT!I88,PT!I89))</f>
        <v/>
      </c>
      <c r="I49" s="702" t="str">
        <f>IF($A49="","",SUM(PT!J88,PT!J89))</f>
        <v/>
      </c>
      <c r="J49" s="702" t="str">
        <f>IF($A49="","",SUM(PT!K88,PT!K89))</f>
        <v/>
      </c>
      <c r="K49" s="702" t="str">
        <f>IF($A49="","",SUM(PT!L88,PT!L89))</f>
        <v/>
      </c>
      <c r="L49" s="702" t="str">
        <f>IF($A49="","",SUM(PT!M88,PT!M89))</f>
        <v/>
      </c>
      <c r="M49" s="702" t="str">
        <f>IF($A49="","",SUM(PT!N88,PT!N89))</f>
        <v/>
      </c>
      <c r="N49" s="702" t="str">
        <f>IF($A49="","",SUM(PT!O88,PT!O89))</f>
        <v/>
      </c>
      <c r="O49" s="702" t="str">
        <f>IF($A49="","",SUM(PT!P88,PT!P89))</f>
        <v/>
      </c>
      <c r="P49" s="702" t="str">
        <f>IF($A49="","",SUM(PT!Q88,PT!Q89))</f>
        <v/>
      </c>
      <c r="Q49" s="702" t="str">
        <f>IF($A49="","",SUM(PT!R88,PT!R89))</f>
        <v/>
      </c>
      <c r="R49" s="702" t="str">
        <f>IF($A49="","",SUM(PT!S88,PT!S89))</f>
        <v/>
      </c>
      <c r="S49" s="703" t="str">
        <f>IF($A49="","",SUM(PT!T88,PT!T89))</f>
        <v/>
      </c>
      <c r="T49" s="704" t="str">
        <f t="shared" si="5"/>
        <v/>
      </c>
      <c r="U49" s="705" t="str">
        <f>IF($A49="","",SUM(PT!U88,PT!U89))</f>
        <v/>
      </c>
      <c r="V49" s="706" t="str">
        <f>IF($A49="","",PT!AJ89)</f>
        <v/>
      </c>
      <c r="W49" s="707" t="str">
        <f>'Game Summary'!F44</f>
        <v/>
      </c>
      <c r="X49" s="708" t="str">
        <f t="shared" si="4"/>
        <v/>
      </c>
    </row>
    <row r="50" spans="1:24" ht="25.2" customHeight="1" x14ac:dyDescent="0.3">
      <c r="A50" s="709" t="str">
        <f>IF(IGRF!H28="","",IGRF!H28)</f>
        <v/>
      </c>
      <c r="B50" s="1155" t="str">
        <f>IF(IGRF!I28="","",IGRF!I28)</f>
        <v/>
      </c>
      <c r="C50" s="1156"/>
      <c r="D50" s="710" t="str">
        <f>IF($A50="","",SUM(PT!E90,PT!E91))</f>
        <v/>
      </c>
      <c r="E50" s="711" t="str">
        <f>IF($A50="","",SUM(PT!F90,PT!F91))</f>
        <v/>
      </c>
      <c r="F50" s="712" t="str">
        <f>IF($A50="","",SUM(PT!G90,PT!G91))</f>
        <v/>
      </c>
      <c r="G50" s="713" t="str">
        <f>IF($A50="","",SUM(PT!H90,PT!H91))</f>
        <v/>
      </c>
      <c r="H50" s="713" t="str">
        <f>IF($A50="","",SUM(PT!I90,PT!I91))</f>
        <v/>
      </c>
      <c r="I50" s="713" t="str">
        <f>IF($A50="","",SUM(PT!J90,PT!J91))</f>
        <v/>
      </c>
      <c r="J50" s="713" t="str">
        <f>IF($A50="","",SUM(PT!K90,PT!K91))</f>
        <v/>
      </c>
      <c r="K50" s="713" t="str">
        <f>IF($A50="","",SUM(PT!L90,PT!L91))</f>
        <v/>
      </c>
      <c r="L50" s="713" t="str">
        <f>IF($A50="","",SUM(PT!M90,PT!M91))</f>
        <v/>
      </c>
      <c r="M50" s="713" t="str">
        <f>IF($A50="","",SUM(PT!N90,PT!N91))</f>
        <v/>
      </c>
      <c r="N50" s="713" t="str">
        <f>IF($A50="","",SUM(PT!O90,PT!O91))</f>
        <v/>
      </c>
      <c r="O50" s="713" t="str">
        <f>IF($A50="","",SUM(PT!P90,PT!P91))</f>
        <v/>
      </c>
      <c r="P50" s="713" t="str">
        <f>IF($A50="","",SUM(PT!Q90,PT!Q91))</f>
        <v/>
      </c>
      <c r="Q50" s="713" t="str">
        <f>IF($A50="","",SUM(PT!R90,PT!R91))</f>
        <v/>
      </c>
      <c r="R50" s="713" t="str">
        <f>IF($A50="","",SUM(PT!S90,PT!S91))</f>
        <v/>
      </c>
      <c r="S50" s="713" t="str">
        <f>IF($A50="","",SUM(PT!T90,PT!T91))</f>
        <v/>
      </c>
      <c r="T50" s="714" t="str">
        <f t="shared" si="5"/>
        <v/>
      </c>
      <c r="U50" s="715" t="str">
        <f>IF($A50="","",SUM(PT!U90,PT!U91))</f>
        <v/>
      </c>
      <c r="V50" s="716" t="str">
        <f>IF($A50="","",PT!AJ91)</f>
        <v/>
      </c>
      <c r="W50" s="717" t="str">
        <f>'Game Summary'!F45</f>
        <v/>
      </c>
      <c r="X50" s="718" t="str">
        <f t="shared" si="4"/>
        <v/>
      </c>
    </row>
    <row r="51" spans="1:24" ht="25.2" customHeight="1" x14ac:dyDescent="0.3">
      <c r="A51" s="700" t="str">
        <f>IF(IGRF!H29="","",IGRF!H29)</f>
        <v/>
      </c>
      <c r="B51" s="1157" t="str">
        <f>IF(IGRF!I29="","",IGRF!I29)</f>
        <v/>
      </c>
      <c r="C51" s="1158"/>
      <c r="D51" s="701" t="str">
        <f>IF($A51="","",SUM(PT!E92,PT!E93))</f>
        <v/>
      </c>
      <c r="E51" s="702" t="str">
        <f>IF($A51="","",SUM(PT!F92,PT!F93))</f>
        <v/>
      </c>
      <c r="F51" s="702" t="str">
        <f>IF($A51="","",SUM(PT!G92,PT!G93))</f>
        <v/>
      </c>
      <c r="G51" s="702" t="str">
        <f>IF($A51="","",SUM(PT!H92,PT!H93))</f>
        <v/>
      </c>
      <c r="H51" s="702" t="str">
        <f>IF($A51="","",SUM(PT!I92,PT!I93))</f>
        <v/>
      </c>
      <c r="I51" s="702" t="str">
        <f>IF($A51="","",SUM(PT!J92,PT!J93))</f>
        <v/>
      </c>
      <c r="J51" s="702" t="str">
        <f>IF($A51="","",SUM(PT!K92,PT!K93))</f>
        <v/>
      </c>
      <c r="K51" s="702" t="str">
        <f>IF($A51="","",SUM(PT!L92,PT!L93))</f>
        <v/>
      </c>
      <c r="L51" s="702" t="str">
        <f>IF($A51="","",SUM(PT!M92,PT!M93))</f>
        <v/>
      </c>
      <c r="M51" s="702" t="str">
        <f>IF($A51="","",SUM(PT!N92,PT!N93))</f>
        <v/>
      </c>
      <c r="N51" s="702" t="str">
        <f>IF($A51="","",SUM(PT!O92,PT!O93))</f>
        <v/>
      </c>
      <c r="O51" s="702" t="str">
        <f>IF($A51="","",SUM(PT!P92,PT!P93))</f>
        <v/>
      </c>
      <c r="P51" s="702" t="str">
        <f>IF($A51="","",SUM(PT!Q92,PT!Q93))</f>
        <v/>
      </c>
      <c r="Q51" s="702" t="str">
        <f>IF($A51="","",SUM(PT!R92,PT!R93))</f>
        <v/>
      </c>
      <c r="R51" s="702" t="str">
        <f>IF($A51="","",SUM(PT!S92,PT!S93))</f>
        <v/>
      </c>
      <c r="S51" s="703" t="str">
        <f>IF($A51="","",SUM(PT!T92,PT!T93))</f>
        <v/>
      </c>
      <c r="T51" s="704" t="str">
        <f t="shared" si="5"/>
        <v/>
      </c>
      <c r="U51" s="705" t="str">
        <f>IF($A51="","",SUM(PT!U92,PT!U93))</f>
        <v/>
      </c>
      <c r="V51" s="706" t="str">
        <f>IF($A51="","",PT!AJ93)</f>
        <v/>
      </c>
      <c r="W51" s="707" t="str">
        <f>'Game Summary'!F46</f>
        <v/>
      </c>
      <c r="X51" s="708" t="str">
        <f t="shared" si="4"/>
        <v/>
      </c>
    </row>
    <row r="52" spans="1:24" ht="25.2" customHeight="1" thickBot="1" x14ac:dyDescent="0.35">
      <c r="A52" s="709" t="str">
        <f>IF(IGRF!H30="","",IGRF!H30)</f>
        <v/>
      </c>
      <c r="B52" s="1155" t="str">
        <f>IF(IGRF!I30="","",IGRF!I30)</f>
        <v/>
      </c>
      <c r="C52" s="1156"/>
      <c r="D52" s="710" t="str">
        <f>IF($A52="","",SUM(PT!E94,PT!E95))</f>
        <v/>
      </c>
      <c r="E52" s="711" t="str">
        <f>IF($A52="","",SUM(PT!F94,PT!F95))</f>
        <v/>
      </c>
      <c r="F52" s="712" t="str">
        <f>IF($A52="","",SUM(PT!G94,PT!G95))</f>
        <v/>
      </c>
      <c r="G52" s="713" t="str">
        <f>IF($A52="","",SUM(PT!H94,PT!H95))</f>
        <v/>
      </c>
      <c r="H52" s="713" t="str">
        <f>IF($A52="","",SUM(PT!I94,PT!I95))</f>
        <v/>
      </c>
      <c r="I52" s="713" t="str">
        <f>IF($A52="","",SUM(PT!J94,PT!J95))</f>
        <v/>
      </c>
      <c r="J52" s="713" t="str">
        <f>IF($A52="","",SUM(PT!K94,PT!K95))</f>
        <v/>
      </c>
      <c r="K52" s="713" t="str">
        <f>IF($A52="","",SUM(PT!L94,PT!L95))</f>
        <v/>
      </c>
      <c r="L52" s="713" t="str">
        <f>IF($A52="","",SUM(PT!M94,PT!M95))</f>
        <v/>
      </c>
      <c r="M52" s="713" t="str">
        <f>IF($A52="","",SUM(PT!N94,PT!N95))</f>
        <v/>
      </c>
      <c r="N52" s="713" t="str">
        <f>IF($A52="","",SUM(PT!O94,PT!O95))</f>
        <v/>
      </c>
      <c r="O52" s="713" t="str">
        <f>IF($A52="","",SUM(PT!P94,PT!P95))</f>
        <v/>
      </c>
      <c r="P52" s="713" t="str">
        <f>IF($A52="","",SUM(PT!Q94,PT!Q95))</f>
        <v/>
      </c>
      <c r="Q52" s="713" t="str">
        <f>IF($A52="","",SUM(PT!R94,PT!R95))</f>
        <v/>
      </c>
      <c r="R52" s="713" t="str">
        <f>IF($A52="","",SUM(PT!S94,PT!S95))</f>
        <v/>
      </c>
      <c r="S52" s="713" t="str">
        <f>IF($A52="","",SUM(PT!T94,PT!T95))</f>
        <v/>
      </c>
      <c r="T52" s="714" t="str">
        <f t="shared" si="5"/>
        <v/>
      </c>
      <c r="U52" s="715" t="str">
        <f>IF($A52="","",SUM(PT!U94,PT!U95))</f>
        <v/>
      </c>
      <c r="V52" s="716" t="str">
        <f>IF($A52="","",PT!AJ95)</f>
        <v/>
      </c>
      <c r="W52" s="717" t="str">
        <f>'Game Summary'!F47</f>
        <v/>
      </c>
      <c r="X52" s="718" t="str">
        <f t="shared" si="4"/>
        <v/>
      </c>
    </row>
    <row r="53" spans="1:24" ht="21.75" customHeight="1" x14ac:dyDescent="0.3">
      <c r="A53" s="1159" t="s">
        <v>540</v>
      </c>
      <c r="B53" s="1160"/>
      <c r="C53" s="720" t="str">
        <f>PT!AJ97</f>
        <v/>
      </c>
      <c r="D53" s="1143" t="s">
        <v>190</v>
      </c>
      <c r="E53" s="1143" t="s">
        <v>202</v>
      </c>
      <c r="F53" s="1143" t="s">
        <v>205</v>
      </c>
      <c r="G53" s="1143" t="s">
        <v>198</v>
      </c>
      <c r="H53" s="1143" t="s">
        <v>69</v>
      </c>
      <c r="I53" s="1143" t="s">
        <v>70</v>
      </c>
      <c r="J53" s="1143" t="s">
        <v>207</v>
      </c>
      <c r="K53" s="1143" t="s">
        <v>71</v>
      </c>
      <c r="L53" s="1143" t="s">
        <v>72</v>
      </c>
      <c r="M53" s="1143" t="s">
        <v>211</v>
      </c>
      <c r="N53" s="1143" t="s">
        <v>194</v>
      </c>
      <c r="O53" s="1143" t="s">
        <v>73</v>
      </c>
      <c r="P53" s="1143" t="s">
        <v>74</v>
      </c>
      <c r="Q53" s="1143" t="s">
        <v>75</v>
      </c>
      <c r="R53" s="1143" t="s">
        <v>312</v>
      </c>
      <c r="S53" s="1143" t="s">
        <v>173</v>
      </c>
      <c r="T53" s="1146" t="s">
        <v>76</v>
      </c>
      <c r="U53" s="721"/>
      <c r="V53" s="722">
        <f>SUM(PT!X102:AI102,C53,C54)</f>
        <v>0</v>
      </c>
      <c r="W53" s="723">
        <f>IF(COUNT(W33:W52)=0,"-",SUM(W33:W52)/COUNT(W33:W52))</f>
        <v>16.714285714285715</v>
      </c>
      <c r="X53" s="724">
        <f>IF(COUNT(X33:X52)=0,"-",SUM(X33:X52)/COUNT(X33:X52))</f>
        <v>0.12429867429254483</v>
      </c>
    </row>
    <row r="54" spans="1:24" ht="21" customHeight="1" thickBot="1" x14ac:dyDescent="0.35">
      <c r="A54" s="1149" t="s">
        <v>540</v>
      </c>
      <c r="B54" s="1150"/>
      <c r="C54" s="725" t="str">
        <f>PT!AJ99</f>
        <v/>
      </c>
      <c r="D54" s="1144"/>
      <c r="E54" s="1144"/>
      <c r="F54" s="1144"/>
      <c r="G54" s="1144"/>
      <c r="H54" s="1144"/>
      <c r="I54" s="1144"/>
      <c r="J54" s="1144"/>
      <c r="K54" s="1144"/>
      <c r="L54" s="1144"/>
      <c r="M54" s="1144"/>
      <c r="N54" s="1144"/>
      <c r="O54" s="1144"/>
      <c r="P54" s="1144"/>
      <c r="Q54" s="1144"/>
      <c r="R54" s="1144"/>
      <c r="S54" s="1144"/>
      <c r="T54" s="1147"/>
      <c r="U54" s="726"/>
      <c r="V54" s="1151" t="s">
        <v>78</v>
      </c>
      <c r="W54" s="1153"/>
      <c r="X54" s="1153"/>
    </row>
    <row r="55" spans="1:24" ht="19.95" customHeight="1" thickBot="1" x14ac:dyDescent="0.35">
      <c r="A55" s="1129"/>
      <c r="B55" s="1154"/>
      <c r="C55" s="1154"/>
      <c r="D55" s="1145"/>
      <c r="E55" s="1145"/>
      <c r="F55" s="1145"/>
      <c r="G55" s="1145"/>
      <c r="H55" s="1145"/>
      <c r="I55" s="1145"/>
      <c r="J55" s="1145"/>
      <c r="K55" s="1145"/>
      <c r="L55" s="1145"/>
      <c r="M55" s="1145"/>
      <c r="N55" s="1145"/>
      <c r="O55" s="1145"/>
      <c r="P55" s="1145"/>
      <c r="Q55" s="1145"/>
      <c r="R55" s="1145"/>
      <c r="S55" s="1145"/>
      <c r="T55" s="1148"/>
      <c r="U55" s="726"/>
      <c r="V55" s="1152"/>
      <c r="W55" s="1153"/>
      <c r="X55" s="1153"/>
    </row>
    <row r="56" spans="1:24" ht="12.75" customHeight="1" thickBot="1" x14ac:dyDescent="0.35">
      <c r="A56" s="1129" t="s">
        <v>541</v>
      </c>
      <c r="B56" s="1129"/>
      <c r="C56" s="1129"/>
      <c r="D56" s="727">
        <f>SUM(D33:D52)</f>
        <v>4</v>
      </c>
      <c r="E56" s="727">
        <f t="shared" ref="E56:T56" si="6">SUM(E33:E52)</f>
        <v>0</v>
      </c>
      <c r="F56" s="727">
        <f t="shared" si="6"/>
        <v>1</v>
      </c>
      <c r="G56" s="727">
        <f t="shared" si="6"/>
        <v>0</v>
      </c>
      <c r="H56" s="727">
        <f t="shared" si="6"/>
        <v>4</v>
      </c>
      <c r="I56" s="727">
        <f t="shared" si="6"/>
        <v>0</v>
      </c>
      <c r="J56" s="727">
        <f t="shared" si="6"/>
        <v>2</v>
      </c>
      <c r="K56" s="727">
        <f t="shared" si="6"/>
        <v>1</v>
      </c>
      <c r="L56" s="727">
        <f t="shared" si="6"/>
        <v>2</v>
      </c>
      <c r="M56" s="727">
        <f t="shared" si="6"/>
        <v>3</v>
      </c>
      <c r="N56" s="727">
        <f t="shared" si="6"/>
        <v>13</v>
      </c>
      <c r="O56" s="727">
        <f t="shared" si="6"/>
        <v>0</v>
      </c>
      <c r="P56" s="727">
        <f t="shared" si="6"/>
        <v>0</v>
      </c>
      <c r="Q56" s="727">
        <f t="shared" si="6"/>
        <v>0</v>
      </c>
      <c r="R56" s="727">
        <f t="shared" si="6"/>
        <v>0</v>
      </c>
      <c r="S56" s="727">
        <f t="shared" si="6"/>
        <v>0</v>
      </c>
      <c r="T56" s="727">
        <f t="shared" si="6"/>
        <v>30</v>
      </c>
      <c r="U56" s="726">
        <f>SUM(U33:U52,C53,C54)</f>
        <v>30</v>
      </c>
      <c r="V56" s="1130" t="s">
        <v>594</v>
      </c>
      <c r="W56" s="1130"/>
      <c r="X56" s="1131"/>
    </row>
    <row r="57" spans="1:24" ht="12.75" customHeight="1" thickBot="1" x14ac:dyDescent="0.35">
      <c r="A57" s="1129"/>
      <c r="B57" s="1129"/>
      <c r="C57" s="1129"/>
      <c r="D57" s="1132" t="s">
        <v>542</v>
      </c>
      <c r="E57" s="1132"/>
      <c r="F57" s="1132"/>
      <c r="G57" s="1132"/>
      <c r="H57" s="1132"/>
      <c r="I57" s="1132"/>
      <c r="J57" s="1133">
        <f>IF(OR(LU!W3=0,LU!W102=0),"",T56/(LU!W3+LU!W102))</f>
        <v>0.63829787234042556</v>
      </c>
      <c r="K57" s="1133"/>
      <c r="L57" s="1134" t="s">
        <v>596</v>
      </c>
      <c r="M57" s="1134"/>
      <c r="N57" s="1134"/>
      <c r="O57" s="1134"/>
      <c r="P57" s="1134"/>
      <c r="Q57" s="729"/>
      <c r="R57" s="1135">
        <f>IF(T27+T56=0,"",T56/(T27+T56))</f>
        <v>0.49180327868852458</v>
      </c>
      <c r="S57" s="1135"/>
      <c r="T57" s="730"/>
      <c r="U57" s="1136">
        <f>IF(U27+U56=0,"",U56/(U27+U56))</f>
        <v>0.49180327868852458</v>
      </c>
      <c r="V57" s="1137" t="s">
        <v>595</v>
      </c>
      <c r="W57" s="1137"/>
      <c r="X57" s="1138"/>
    </row>
    <row r="58" spans="1:24" ht="13.5" customHeight="1" thickBot="1" x14ac:dyDescent="0.35">
      <c r="A58" s="1129"/>
      <c r="B58" s="1129"/>
      <c r="C58" s="1129"/>
      <c r="D58" s="1141" t="s">
        <v>79</v>
      </c>
      <c r="E58" s="1141"/>
      <c r="F58" s="1141"/>
      <c r="G58" s="1141"/>
      <c r="H58" s="1141"/>
      <c r="I58" s="1141"/>
      <c r="J58" s="1142">
        <f>IF(OR(J28="",J57=""),"",J57-J28)</f>
        <v>-2.1276595744680771E-2</v>
      </c>
      <c r="K58" s="1142"/>
      <c r="L58" s="1134"/>
      <c r="M58" s="1134"/>
      <c r="N58" s="1134"/>
      <c r="O58" s="1134"/>
      <c r="P58" s="1134"/>
      <c r="Q58" s="729"/>
      <c r="R58" s="1135"/>
      <c r="S58" s="1135"/>
      <c r="T58" s="731"/>
      <c r="U58" s="1136"/>
      <c r="V58" s="1139"/>
      <c r="W58" s="1139"/>
      <c r="X58" s="1140"/>
    </row>
  </sheetData>
  <mergeCells count="118">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s>
  <printOptions horizontalCentered="1" verticalCentered="1"/>
  <pageMargins left="0.25" right="0.25" top="0.25" bottom="0.25" header="0.51180555555555551" footer="0.51180555555555551"/>
  <pageSetup scale="77" firstPageNumber="0" fitToWidth="0" fitToHeight="0" orientation="landscape" horizontalDpi="300" verticalDpi="300"/>
  <headerFooter alignWithMargins="0"/>
  <rowBreaks count="1" manualBreakCount="1">
    <brk id="29" max="16383" man="1"/>
  </rowBreaks>
  <colBreaks count="1" manualBreakCount="1">
    <brk id="24" max="1048575" man="1"/>
  </colBreaks>
  <ignoredErrors>
    <ignoredError sqref="A1" emptyCellReference="1"/>
  </ignoredErrors>
  <legacy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April 2014 Release for 3/1/2014 Ruleset</Description0>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0D998D-5930-4DC8-8A9F-6A32FC7EA694}">
  <ds:schemaRefs>
    <ds:schemaRef ds:uri="http://purl.org/dc/elements/1.1/"/>
    <ds:schemaRef ds:uri="http://www.w3.org/XML/1998/namespace"/>
    <ds:schemaRef ds:uri="1650dc55-6804-4c8f-aa3c-5e816bdd9c33"/>
    <ds:schemaRef ds:uri="f0d1fba5-b851-4fbb-ad26-6f3fee8e9285"/>
    <ds:schemaRef ds:uri="http://schemas.openxmlformats.org/package/2006/metadata/core-properties"/>
    <ds:schemaRef ds:uri="http://purl.org/dc/dcmitype/"/>
    <ds:schemaRef ds:uri="http://purl.org/dc/terms/"/>
    <ds:schemaRef ds:uri="http://schemas.microsoft.com/office/2006/documentManagement/types"/>
    <ds:schemaRef ds:uri="c201eecb-b093-46ba-b276-c6fd26ee6b78"/>
    <ds:schemaRef ds:uri="http://schemas.microsoft.com/office/2006/metadata/properties"/>
  </ds:schemaRefs>
</ds:datastoreItem>
</file>

<file path=customXml/itemProps2.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4F6312F-917D-41D3-8AEC-A0CF9928D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15</vt:i4>
      </vt:variant>
    </vt:vector>
  </HeadingPairs>
  <TitlesOfParts>
    <vt:vector size="37" baseType="lpstr">
      <vt:lpstr>Read Me</vt:lpstr>
      <vt:lpstr>Star Passes</vt:lpstr>
      <vt:lpstr>IGRF</vt:lpstr>
      <vt:lpstr>Score</vt:lpstr>
      <vt:lpstr>Penalties</vt:lpstr>
      <vt:lpstr>Lineups</vt:lpstr>
      <vt:lpstr>Expulsion-Suspension Form</vt:lpstr>
      <vt:lpstr>Game Summary</vt:lpstr>
      <vt:lpstr>Penalty Summary</vt:lpstr>
      <vt:lpstr>Official Reviews</vt:lpstr>
      <vt:lpstr>Actions</vt:lpstr>
      <vt:lpstr>Errors</vt:lpstr>
      <vt:lpstr>Game Clock</vt:lpstr>
      <vt:lpstr>Penalty Box</vt:lpstr>
      <vt:lpstr>Whiteboards</vt:lpstr>
      <vt:lpstr>Dual Trackers</vt:lpstr>
      <vt:lpstr>NOTT Score</vt:lpstr>
      <vt:lpstr>LU</vt:lpstr>
      <vt:lpstr>PT</vt:lpstr>
      <vt:lpstr>SK</vt:lpstr>
      <vt:lpstr>Credits</vt:lpstr>
      <vt:lpstr>Colophon</vt:lpstr>
      <vt:lpstr>Score!ao</vt:lpstr>
      <vt:lpstr>Actions!Print_Area</vt:lpstr>
      <vt:lpstr>'Dual Trackers'!Print_Area</vt:lpstr>
      <vt:lpstr>Errors!Print_Area</vt:lpstr>
      <vt:lpstr>'Expulsion-Suspension Form'!Print_Area</vt:lpstr>
      <vt:lpstr>'Game Clock'!Print_Area</vt:lpstr>
      <vt:lpstr>'Game Summary'!Print_Area</vt:lpstr>
      <vt:lpstr>IGRF!Print_Area</vt:lpstr>
      <vt:lpstr>Lineups!Print_Area</vt:lpstr>
      <vt:lpstr>'Official Reviews'!Print_Area</vt:lpstr>
      <vt:lpstr>Penalties!Print_Area</vt:lpstr>
      <vt:lpstr>'Penalty Box'!Print_Area</vt:lpstr>
      <vt:lpstr>'Penalty Summary'!Print_Area</vt:lpstr>
      <vt:lpstr>'Read Me'!Print_Area</vt:lpstr>
      <vt:lpstr>Score!Print_Area</vt:lpstr>
    </vt:vector>
  </TitlesOfParts>
  <Company>Women's Flat Track Derby Association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lastModifiedBy>S. David McKinstry</cp:lastModifiedBy>
  <cp:lastPrinted>2014-07-12T22:26:51Z</cp:lastPrinted>
  <dcterms:created xsi:type="dcterms:W3CDTF">2012-01-20T00:04:57Z</dcterms:created>
  <dcterms:modified xsi:type="dcterms:W3CDTF">2014-11-20T19:51:22Z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ies>
</file>