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3720" yWindow="0" windowWidth="37470" windowHeight="177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I23" i="1" l="1"/>
  <c r="AB23" i="1" s="1"/>
  <c r="H23" i="1"/>
  <c r="BF23" i="1"/>
  <c r="BH23" i="1" s="1"/>
  <c r="AD23" i="1" s="1"/>
  <c r="B23" i="1"/>
  <c r="D23" i="1"/>
  <c r="C23" i="1"/>
  <c r="M23" i="1" l="1"/>
  <c r="T23" i="1" s="1"/>
  <c r="K23" i="1"/>
  <c r="L23" i="1" s="1"/>
  <c r="AE23" i="1"/>
  <c r="AG23" i="1" s="1"/>
  <c r="AF23" i="1" l="1"/>
  <c r="H7" i="12" l="1"/>
  <c r="I7" i="12"/>
  <c r="J7" i="12"/>
  <c r="K7" i="12"/>
  <c r="L7" i="12"/>
  <c r="G7" i="12"/>
  <c r="A25" i="1" l="1"/>
  <c r="C25" i="1" s="1"/>
  <c r="A22" i="1"/>
  <c r="F22" i="1" s="1"/>
  <c r="I22" i="1" l="1"/>
  <c r="C22" i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AB16" i="1"/>
  <c r="F21" i="12" s="1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S12" i="1" s="1"/>
  <c r="O8" i="1"/>
  <c r="O10" i="1"/>
  <c r="Q10" i="1" s="1"/>
  <c r="R10" i="1" s="1"/>
  <c r="S10" i="1" s="1"/>
  <c r="O6" i="1"/>
  <c r="Q6" i="1" s="1"/>
  <c r="R6" i="1" s="1"/>
  <c r="S6" i="1" s="1"/>
  <c r="O13" i="1"/>
  <c r="Q13" i="1" s="1"/>
  <c r="R13" i="1" s="1"/>
  <c r="S13" i="1" s="1"/>
  <c r="J6" i="1"/>
  <c r="L6" i="1" s="1"/>
  <c r="M6" i="1" s="1"/>
  <c r="N6" i="1" s="1"/>
  <c r="J13" i="1"/>
  <c r="L13" i="1" s="1"/>
  <c r="M13" i="1" s="1"/>
  <c r="N13" i="1" s="1"/>
  <c r="J12" i="1"/>
  <c r="L12" i="1" s="1"/>
  <c r="L9" i="1"/>
  <c r="M9" i="1" s="1"/>
  <c r="N9" i="1" s="1"/>
  <c r="L11" i="1"/>
  <c r="M11" i="1" s="1"/>
  <c r="N11" i="1" s="1"/>
  <c r="J8" i="1"/>
  <c r="J10" i="1"/>
  <c r="O11" i="1"/>
  <c r="O9" i="1"/>
  <c r="O5" i="1"/>
  <c r="M12" i="1" l="1"/>
  <c r="N12" i="1" s="1"/>
  <c r="L10" i="1"/>
  <c r="M10" i="1" s="1"/>
  <c r="N10" i="1" s="1"/>
  <c r="Q9" i="1"/>
  <c r="R9" i="1" s="1"/>
  <c r="S9" i="1" s="1"/>
  <c r="Q11" i="1"/>
  <c r="R11" i="1" s="1"/>
  <c r="S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AB22" i="1"/>
  <c r="G31" i="12" s="1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N3" i="1" l="1"/>
  <c r="S3" i="1"/>
  <c r="B25" i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M22" i="1"/>
  <c r="G29" i="12" s="1"/>
  <c r="B16" i="12"/>
  <c r="K22" i="1"/>
  <c r="P8" i="1" l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C15" i="12"/>
  <c r="K4" i="1"/>
  <c r="P4" i="1"/>
  <c r="Q4" i="1" s="1"/>
  <c r="R4" i="1" s="1"/>
  <c r="S4" i="1" s="1"/>
  <c r="O2" i="1"/>
  <c r="H2" i="1" s="1"/>
  <c r="C16" i="12"/>
  <c r="AF22" i="1"/>
  <c r="G34" i="12" s="1"/>
  <c r="C14" i="12"/>
  <c r="C17" i="12"/>
  <c r="B14" i="12"/>
  <c r="B17" i="12"/>
  <c r="L22" i="1"/>
  <c r="K2" i="1" l="1"/>
  <c r="L4" i="1"/>
  <c r="M4" i="1" s="1"/>
  <c r="N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N2" i="1"/>
  <c r="P2" i="1" l="1"/>
  <c r="Q2" i="1" s="1"/>
  <c r="R2" i="1" s="1"/>
  <c r="S2" i="1" l="1"/>
  <c r="M16" i="1" s="1"/>
  <c r="U16" i="1" s="1"/>
  <c r="L16" i="1"/>
  <c r="B5" i="12" s="1"/>
  <c r="AF16" i="1" l="1"/>
  <c r="B6" i="12"/>
</calcChain>
</file>

<file path=xl/sharedStrings.xml><?xml version="1.0" encoding="utf-8"?>
<sst xmlns="http://schemas.openxmlformats.org/spreadsheetml/2006/main" count="550" uniqueCount="325">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</sst>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S33" sqref="S33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 t="e">
        <f>Расчет!$I$16</f>
        <v>#N/A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 t="e">
        <f>Расчет!$J$16</f>
        <v>#N/A</v>
      </c>
      <c r="C3" s="180"/>
      <c r="L3" s="183"/>
    </row>
    <row r="4" spans="1:13" ht="16.5" thickBot="1" x14ac:dyDescent="0.25">
      <c r="A4" s="178" t="s">
        <v>3</v>
      </c>
      <c r="B4" s="179" t="e">
        <f>Расчет!$K$16</f>
        <v>#N/A</v>
      </c>
      <c r="C4" s="180"/>
      <c r="L4" s="169" t="s">
        <v>4</v>
      </c>
    </row>
    <row r="5" spans="1:13" ht="15.75" thickBot="1" x14ac:dyDescent="0.25">
      <c r="A5" s="181" t="s">
        <v>5</v>
      </c>
      <c r="B5" s="179" t="e">
        <f>Расчет!$L$16</f>
        <v>#N/A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#N/A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11.248458447844351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 t="e">
        <f>$B14+$B$17</f>
        <v>#N/A</v>
      </c>
      <c r="C10" s="182" t="e">
        <f>$C14+$C$17</f>
        <v>#N/A</v>
      </c>
      <c r="D10" s="192" t="e">
        <f>ABS(100-(C10/MAX(C10:C12)*100))</f>
        <v>#N/A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 t="e">
        <f>ABS(100-(C11/MAX(C10:C12)*100))</f>
        <v>#N/A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1</v>
      </c>
      <c r="C12" s="187">
        <f t="shared" si="2"/>
        <v>5.3475935828877006</v>
      </c>
      <c r="D12" s="194" t="e">
        <f>ABS(100-(C12/MAX(C10:C12)*100))</f>
        <v>#N/A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 t="e">
        <f>SUMIF($24:$24,A14,$27:$27)</f>
        <v>#N/A</v>
      </c>
      <c r="C14" s="195" t="e">
        <f>SUMIF($24:$24,A14,$29:$29)</f>
        <v>#N/A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1</v>
      </c>
      <c r="C16" s="195">
        <f>SUMIF($24:$24,A16,$29:$29)</f>
        <v>5.3475935828877006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>
        <f>Расчет!$W$16</f>
        <v>0</v>
      </c>
      <c r="D21" s="186"/>
      <c r="E21" s="186"/>
      <c r="F21" s="207" t="str">
        <f>Расчет!AA16&amp;" "&amp;Расчет!AB16&amp;"x"&amp;Расчет!AC16</f>
        <v xml:space="preserve"> 5x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>
        <f>Расчет!$X$16</f>
        <v>0</v>
      </c>
      <c r="D22" s="186"/>
      <c r="E22" s="186"/>
      <c r="F22" s="210" t="str">
        <f>Расчет!AD16&amp;"м"</f>
        <v>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0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/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L1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 t="e">
        <f>IF(VLOOKUP(H$7,Расчет!$A$22:$AM$91,6,FALSE)=0,"",VLOOKUP(H$7,Расчет!$A$22:$AM$91,6,FALSE))</f>
        <v>#N/A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 t="e">
        <f>IF(VLOOKUP(H$7,Расчет!$A$22:$AM$91,10,FALSE)=0,"",VLOOKUP(H$7,Расчет!$A$22:$AM$91,10,FALSE))</f>
        <v>#N/A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 t="e">
        <f>IF(VLOOKUP(H$7,Расчет!$A$22:$AM$91,8,FALSE)=0,"",VLOOKUP(H$7,Расчет!$A$22:$AM$91,8,FALSE))</f>
        <v>#N/A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 t="e">
        <f>IF(VLOOKUP(H$7,Расчет!$A$22:$AM$91,13,FALSE)=0,"",VLOOKUP(H$7,Расчет!$A$22:$AM$91,13,FALSE))</f>
        <v>#N/A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e">
        <f>IF(VLOOKUP(H$7,Расчет!$A$22:$AM$91,28,FALSE)=0,"",VLOOKUP(H$7,Расчет!$A$22:$AM$91,28,FALSE)&amp;"x"&amp;VLOOKUP(H$7,Расчет!$A$22:$AM$91,29,FALSE))</f>
        <v>#N/A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25</v>
      </c>
      <c r="H32" s="218" t="e">
        <f>IF(VLOOKUP(H$7,Расчет!$A$22:$AM$91,30,FALSE)=0,"",VLOOKUP(H$7,Расчет!$A$22:$AM$91,30,FALSE))</f>
        <v>#N/A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0.52672905722024987</v>
      </c>
      <c r="H34" s="219" t="e">
        <f>IF(VLOOKUP(H$7,Расчет!$A$22:$AM$91,32,FALSE)=0,"",VLOOKUP(H$7,Расчет!$A$22:$AM$91,32,FALSE))</f>
        <v>#N/A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0.86904310453798528</v>
      </c>
      <c r="H35" s="219" t="e">
        <f>IF(VLOOKUP(H$7,Расчет!$A$22:$AM$91,33,FALSE)=0,"",VLOOKUP(H$7,Расчет!$A$22:$AM$91,33,FALSE))</f>
        <v>#N/A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e">
        <f>IF(VLOOKUP(H$7,Расчет!$A$22:$AM$91,4,FALSE)=0,"",VLOOKUP(H$7,Расчет!$A$22:$AM$91,4,FALSE))</f>
        <v>#N/A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tabSelected="1" zoomScale="85" zoomScaleNormal="85" workbookViewId="0">
      <selection activeCell="AA16" sqref="AA16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1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 t="e">
        <f>SUM(F3:F13)</f>
        <v>#N/A</v>
      </c>
      <c r="G2" s="51" t="e">
        <f>J2/F2</f>
        <v>#N/A</v>
      </c>
      <c r="H2" s="51" t="e">
        <f>O2/F2</f>
        <v>#N/A</v>
      </c>
      <c r="I2" s="52">
        <v>380</v>
      </c>
      <c r="J2" s="51" t="e">
        <f>SUM(J3:J13)</f>
        <v>#N/A</v>
      </c>
      <c r="K2" s="51" t="e">
        <f t="shared" ref="K2" si="0">SUM(K3:K13)</f>
        <v>#N/A</v>
      </c>
      <c r="L2" s="51" t="e">
        <f>SQRT(POWER(J2,2)+POWER(K2,2))</f>
        <v>#N/A</v>
      </c>
      <c r="M2" s="51" t="e">
        <f>J2/L2</f>
        <v>#N/A</v>
      </c>
      <c r="N2" s="53" t="e">
        <f>J2*1000/M2/I2/SQRT(IF(I2=220,1,3))</f>
        <v>#N/A</v>
      </c>
      <c r="O2" s="51" t="e">
        <f>SUM(O3:O13)</f>
        <v>#N/A</v>
      </c>
      <c r="P2" s="51" t="e">
        <f t="shared" ref="P2" si="1">SUM(P3:P13)</f>
        <v>#N/A</v>
      </c>
      <c r="Q2" s="51" t="e">
        <f>SQRT(POWER(O2,2)+POWER(P2,2))</f>
        <v>#N/A</v>
      </c>
      <c r="R2" s="51" t="e">
        <f>O2/Q2</f>
        <v>#N/A</v>
      </c>
      <c r="S2" s="53" t="e">
        <f>O2*1000/R2/I2/SQRT(IF(I2=220,1,3))</f>
        <v>#N/A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$J3*1000/$M3/$I3/SQRT(IF($I3=220,1,3))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$J3*1000/$M3/$I3/SQRT(IF($I3=220,1,3))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>$J4*1000/$M4/$I4/SQRT(IF($I4=220,1,3))</f>
        <v>#DIV/0!</v>
      </c>
      <c r="O4" s="46">
        <f>$F4*$H4</f>
        <v>0</v>
      </c>
      <c r="P4" s="46">
        <f t="shared" ref="P4:P13" si="5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>$O4*1000/$R4/$I4/SQRT(IF($I4=220,1,3))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6">SQRT(POWER($J5,2)+POWER($K5,2))</f>
        <v>0</v>
      </c>
      <c r="M5" s="48" t="e">
        <f t="shared" ref="M5:M13" si="7">$J5/$L5</f>
        <v>#DIV/0!</v>
      </c>
      <c r="N5" s="48" t="e">
        <f t="shared" ref="N5:N13" si="8">$J5*1000/$M5/$I5/SQRT(IF($I5=220,1,3))</f>
        <v>#DIV/0!</v>
      </c>
      <c r="O5" s="46">
        <f t="shared" ref="O5:O13" si="9">$F5*$H5</f>
        <v>0</v>
      </c>
      <c r="P5" s="46">
        <f t="shared" si="5"/>
        <v>0</v>
      </c>
      <c r="Q5" s="46">
        <f t="shared" ref="Q5:Q13" si="10">SQRT(POWER($O5,2)+POWER($P5,2))</f>
        <v>0</v>
      </c>
      <c r="R5" s="48" t="e">
        <f t="shared" ref="R5:R13" si="11">$O5/$Q5</f>
        <v>#DIV/0!</v>
      </c>
      <c r="S5" s="48" t="e">
        <f t="shared" ref="S5:S13" si="12">$O5*1000/$R5/$I5/SQRT(IF($I5=220,1,3))</f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6"/>
        <v>0</v>
      </c>
      <c r="M6" s="48" t="e">
        <f t="shared" si="7"/>
        <v>#DIV/0!</v>
      </c>
      <c r="N6" s="48" t="e">
        <f t="shared" si="8"/>
        <v>#DIV/0!</v>
      </c>
      <c r="O6" s="46">
        <f t="shared" si="9"/>
        <v>0</v>
      </c>
      <c r="P6" s="46">
        <f t="shared" si="5"/>
        <v>0</v>
      </c>
      <c r="Q6" s="46">
        <f t="shared" si="10"/>
        <v>0</v>
      </c>
      <c r="R6" s="48" t="e">
        <f t="shared" si="11"/>
        <v>#DIV/0!</v>
      </c>
      <c r="S6" s="48" t="e">
        <f t="shared" si="12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6"/>
        <v>0</v>
      </c>
      <c r="M7" s="48" t="e">
        <f t="shared" si="7"/>
        <v>#DIV/0!</v>
      </c>
      <c r="N7" s="48" t="e">
        <f t="shared" si="8"/>
        <v>#DIV/0!</v>
      </c>
      <c r="O7" s="46">
        <f t="shared" si="9"/>
        <v>0</v>
      </c>
      <c r="P7" s="46">
        <f t="shared" si="5"/>
        <v>0</v>
      </c>
      <c r="Q7" s="46">
        <f t="shared" si="10"/>
        <v>0</v>
      </c>
      <c r="R7" s="48" t="e">
        <f t="shared" si="11"/>
        <v>#DIV/0!</v>
      </c>
      <c r="S7" s="48" t="e">
        <f t="shared" si="12"/>
        <v>#DIV/0!</v>
      </c>
      <c r="AA7" s="1"/>
    </row>
    <row r="8" spans="1:51" outlineLevel="1" x14ac:dyDescent="0.25">
      <c r="D8" s="44" t="s">
        <v>323</v>
      </c>
      <c r="E8" s="42">
        <v>5</v>
      </c>
      <c r="F8" s="46" t="e">
        <f t="shared" si="2"/>
        <v>#N/A</v>
      </c>
      <c r="G8" s="47">
        <v>0</v>
      </c>
      <c r="H8" s="47">
        <v>0.85</v>
      </c>
      <c r="I8" s="39">
        <v>380</v>
      </c>
      <c r="J8" s="46" t="e">
        <f t="shared" si="3"/>
        <v>#N/A</v>
      </c>
      <c r="K8" s="46" t="e">
        <f t="shared" si="4"/>
        <v>#N/A</v>
      </c>
      <c r="L8" s="46" t="e">
        <f t="shared" si="6"/>
        <v>#N/A</v>
      </c>
      <c r="M8" s="48" t="e">
        <f t="shared" si="7"/>
        <v>#N/A</v>
      </c>
      <c r="N8" s="48" t="e">
        <f t="shared" si="8"/>
        <v>#N/A</v>
      </c>
      <c r="O8" s="46" t="e">
        <f t="shared" si="9"/>
        <v>#N/A</v>
      </c>
      <c r="P8" s="46" t="e">
        <f t="shared" si="5"/>
        <v>#N/A</v>
      </c>
      <c r="Q8" s="46" t="e">
        <f t="shared" si="10"/>
        <v>#N/A</v>
      </c>
      <c r="R8" s="48" t="e">
        <f t="shared" si="11"/>
        <v>#N/A</v>
      </c>
      <c r="S8" s="48" t="e">
        <f t="shared" si="12"/>
        <v>#N/A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6"/>
        <v>0</v>
      </c>
      <c r="M9" s="48" t="e">
        <f t="shared" si="7"/>
        <v>#DIV/0!</v>
      </c>
      <c r="N9" s="48" t="e">
        <f t="shared" si="8"/>
        <v>#DIV/0!</v>
      </c>
      <c r="O9" s="46">
        <f t="shared" si="9"/>
        <v>0</v>
      </c>
      <c r="P9" s="46">
        <f t="shared" si="5"/>
        <v>0</v>
      </c>
      <c r="Q9" s="46">
        <f t="shared" si="10"/>
        <v>0</v>
      </c>
      <c r="R9" s="48" t="e">
        <f t="shared" si="11"/>
        <v>#DIV/0!</v>
      </c>
      <c r="S9" s="48" t="e">
        <f t="shared" si="12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6"/>
        <v>0</v>
      </c>
      <c r="M10" s="48" t="e">
        <f t="shared" si="7"/>
        <v>#DIV/0!</v>
      </c>
      <c r="N10" s="48" t="e">
        <f t="shared" si="8"/>
        <v>#DIV/0!</v>
      </c>
      <c r="O10" s="46">
        <f t="shared" si="9"/>
        <v>0</v>
      </c>
      <c r="P10" s="46">
        <f t="shared" si="5"/>
        <v>0</v>
      </c>
      <c r="Q10" s="46">
        <f t="shared" si="10"/>
        <v>0</v>
      </c>
      <c r="R10" s="48" t="e">
        <f t="shared" si="11"/>
        <v>#DIV/0!</v>
      </c>
      <c r="S10" s="48" t="e">
        <f t="shared" si="12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6"/>
        <v>0</v>
      </c>
      <c r="M11" s="48" t="e">
        <f t="shared" si="7"/>
        <v>#DIV/0!</v>
      </c>
      <c r="N11" s="48" t="e">
        <f t="shared" si="8"/>
        <v>#DIV/0!</v>
      </c>
      <c r="O11" s="46">
        <f t="shared" si="9"/>
        <v>0</v>
      </c>
      <c r="P11" s="46">
        <f t="shared" si="5"/>
        <v>0</v>
      </c>
      <c r="Q11" s="46">
        <f t="shared" si="10"/>
        <v>0</v>
      </c>
      <c r="R11" s="48" t="e">
        <f t="shared" si="11"/>
        <v>#DIV/0!</v>
      </c>
      <c r="S11" s="48" t="e">
        <f t="shared" si="12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6"/>
        <v>0</v>
      </c>
      <c r="M12" s="48" t="e">
        <f t="shared" si="7"/>
        <v>#DIV/0!</v>
      </c>
      <c r="N12" s="48" t="e">
        <f t="shared" si="8"/>
        <v>#DIV/0!</v>
      </c>
      <c r="O12" s="46">
        <f t="shared" si="9"/>
        <v>0</v>
      </c>
      <c r="P12" s="46">
        <f t="shared" si="5"/>
        <v>0</v>
      </c>
      <c r="Q12" s="46">
        <f t="shared" si="10"/>
        <v>0</v>
      </c>
      <c r="R12" s="48" t="e">
        <f t="shared" si="11"/>
        <v>#DIV/0!</v>
      </c>
      <c r="S12" s="48" t="e">
        <f t="shared" si="12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6"/>
        <v>0</v>
      </c>
      <c r="M13" s="40" t="e">
        <f t="shared" si="7"/>
        <v>#DIV/0!</v>
      </c>
      <c r="N13" s="162" t="e">
        <f t="shared" si="8"/>
        <v>#DIV/0!</v>
      </c>
      <c r="O13" s="163">
        <f t="shared" si="9"/>
        <v>0</v>
      </c>
      <c r="P13" s="163">
        <f t="shared" si="5"/>
        <v>0</v>
      </c>
      <c r="Q13" s="163">
        <f t="shared" si="10"/>
        <v>0</v>
      </c>
      <c r="R13" s="162" t="e">
        <f t="shared" si="11"/>
        <v>#DIV/0!</v>
      </c>
      <c r="S13" s="162" t="e">
        <f t="shared" si="12"/>
        <v>#DIV/0!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 t="e">
        <f>$F$2</f>
        <v>#N/A</v>
      </c>
      <c r="J16" s="167" t="e">
        <f>IF($K$16=$J$2,$G$2,$H$2)</f>
        <v>#N/A</v>
      </c>
      <c r="K16" s="167" t="e">
        <f>MAX($J$2,$O$2)</f>
        <v>#N/A</v>
      </c>
      <c r="L16" s="167" t="e">
        <f>IF($K$16=$J$2,$M$2,$R$2)</f>
        <v>#N/A</v>
      </c>
      <c r="M16" s="167" t="e">
        <f>MAX($S$2,$N$2)</f>
        <v>#N/A</v>
      </c>
      <c r="N16" s="167">
        <f>'Расчет КЗ'!$C$27</f>
        <v>11.248458447844351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#N/A</v>
      </c>
      <c r="V16" s="130"/>
      <c r="W16" s="149"/>
      <c r="X16" s="149"/>
      <c r="Y16" s="149"/>
      <c r="Z16" s="130"/>
      <c r="AA16" s="36"/>
      <c r="AB16" s="150">
        <f>IF($I2=220,3,5)</f>
        <v>5</v>
      </c>
      <c r="AC16" s="149"/>
      <c r="AD16" s="149"/>
      <c r="AE16" s="130"/>
      <c r="AF16" s="151" t="e">
        <f>100*$M16*$AD16*(IF($I2=220,2,1))*(0.01758*IF(MAX($J$2,$O$2)=$J$2,$M$2,$R$2)/$AC16+0.00008*(SQRT(1-IF(MAX($J$2,$O$2)=$J$2,$M$2,$R$2)^2)))/$I2</f>
        <v>#N/A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f>VLOOKUP($A22,Revit!$A$3:$G$31,5,FALSE)</f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J22*1000/H22/I22/SQRT(IF(I22=220,1,3))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IF($I22=220,3,5)</f>
        <v>3</v>
      </c>
      <c r="AC22" s="28">
        <v>2.5</v>
      </c>
      <c r="AD22" s="39">
        <f>BH22</f>
        <v>25</v>
      </c>
      <c r="AE22" s="39">
        <f>BF22</f>
        <v>18</v>
      </c>
      <c r="AF22" s="34">
        <f>100*$M22*$AE22*(IF($I22=220,2,1))*(0.01758*$H22/$AC22+0.00008*(SQRT(1-$H22^2)))/$I22</f>
        <v>0.52672905722024987</v>
      </c>
      <c r="AG22" s="34">
        <f>$I22/(2*(0.01758*$AE22/$AC22))/1000</f>
        <v>0.86904310453798528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18</v>
      </c>
      <c r="BG22" s="39"/>
      <c r="BH22" s="1">
        <f>MROUND((BF22)*BE22,5)</f>
        <v>25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e">
        <f>VLOOKUP($A23,Revit!$A$3:$G$31,2,FALSE)</f>
        <v>#N/A</v>
      </c>
      <c r="C23" s="24" t="str">
        <f t="shared" ref="C23" si="18">$C$21&amp;$A23</f>
        <v>N2</v>
      </c>
      <c r="D23" s="230" t="e">
        <f>VLOOKUP($A23,Revit!$A$3:$G$31,3,FALSE)</f>
        <v>#N/A</v>
      </c>
      <c r="E23" s="36"/>
      <c r="F23" s="231" t="e">
        <f>VLOOKUP($A23,Revit!$A$3:$G$31,4,FALSE)</f>
        <v>#N/A</v>
      </c>
      <c r="G23" s="28">
        <v>5</v>
      </c>
      <c r="H23" s="231" t="e">
        <f>VLOOKUP($A23,Revit!$A$3:$G$31,6,FALSE)</f>
        <v>#N/A</v>
      </c>
      <c r="I23" s="233" t="e">
        <f>VLOOKUP($A23,Revit!$A$3:$G$31,5,FALSE)</f>
        <v>#N/A</v>
      </c>
      <c r="J23" s="40" t="e">
        <f t="shared" ref="J23" si="19">F23</f>
        <v>#N/A</v>
      </c>
      <c r="K23" s="40" t="e">
        <f t="shared" ref="K23" si="20">TAN(ACOS(H23))*J23</f>
        <v>#N/A</v>
      </c>
      <c r="L23" s="40" t="e">
        <f t="shared" ref="L23" si="21">SQRT(POWER(J23,2)+POWER(K23,2))</f>
        <v>#N/A</v>
      </c>
      <c r="M23" s="125" t="e">
        <f t="shared" ref="M23" si="22">J23*1000/H23/I23/SQRT(IF(I23=220,1,3))</f>
        <v>#N/A</v>
      </c>
      <c r="N23" s="28" t="s">
        <v>11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 t="e">
        <f t="shared" ref="T23" si="23">$M23*$T$20</f>
        <v>#N/A</v>
      </c>
      <c r="U23" s="24">
        <f>(VLOOKUP($AC23,Кабель!$A$22:$M$36,7,FALSE))*$U$20</f>
        <v>17.5</v>
      </c>
      <c r="V23" s="40">
        <f t="shared" ref="V23" si="24">(IF(OR($S23="C",$S23="С"),10,5))*$Q23*$V$20/1000</f>
        <v>0.1</v>
      </c>
      <c r="W23" s="28"/>
      <c r="X23" s="28"/>
      <c r="Y23" s="28"/>
      <c r="Z23" s="28"/>
      <c r="AA23" s="36" t="s">
        <v>108</v>
      </c>
      <c r="AB23" s="24" t="e">
        <f t="shared" ref="AB23" si="25">IF($I23=220,3,5)</f>
        <v>#N/A</v>
      </c>
      <c r="AC23" s="28">
        <v>2.5</v>
      </c>
      <c r="AD23" s="39" t="e">
        <f t="shared" ref="AD23" si="26">BH23</f>
        <v>#N/A</v>
      </c>
      <c r="AE23" s="39" t="e">
        <f t="shared" ref="AE23" si="27">BF23</f>
        <v>#N/A</v>
      </c>
      <c r="AF23" s="34" t="e">
        <f t="shared" ref="AF23" si="28">100*$M23*$AE23*(IF($I23=220,2,1))*(0.01758*$H23/$AC23+0.00008*(SQRT(1-$H23^2)))/$I23</f>
        <v>#N/A</v>
      </c>
      <c r="AG23" s="34" t="e">
        <f t="shared" ref="AG23" si="29">$I23/(2*(0.01758*$AE23/$AC23))/1000</f>
        <v>#N/A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30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 t="e">
        <f>VLOOKUP($A23,Revit!$A$3:$G$31,7,FALSE)</f>
        <v>#N/A</v>
      </c>
      <c r="BG23" s="39"/>
      <c r="BH23" s="1" t="e">
        <f t="shared" ref="BH23" si="31">MROUND((BF23)*BE23,5)</f>
        <v>#N/A</v>
      </c>
      <c r="BI23" s="1">
        <f t="shared" ref="BI23" si="32">MROUND(BG23*1.2,5)</f>
        <v>0</v>
      </c>
    </row>
    <row r="24" spans="1:61" x14ac:dyDescent="0.25">
      <c r="A24" s="235">
        <f t="shared" ref="A24:A25" si="33">ROW()-21</f>
        <v>3</v>
      </c>
      <c r="B24" s="38" t="str">
        <f t="shared" ref="B24" si="34">$D$15</f>
        <v>ЩС-1</v>
      </c>
      <c r="C24" s="24" t="str">
        <f t="shared" ref="C24:C25" si="35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6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3"/>
        <v>4</v>
      </c>
      <c r="B25" s="38" t="str">
        <f>$D$15</f>
        <v>ЩС-1</v>
      </c>
      <c r="C25" s="24" t="str">
        <f t="shared" si="35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6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8" priority="291">
      <formula>$Q21&gt;$U21</formula>
    </cfRule>
  </conditionalFormatting>
  <conditionalFormatting sqref="AF21:AF22 AF25:AF26">
    <cfRule type="cellIs" dxfId="27" priority="288" operator="greaterThan">
      <formula>3</formula>
    </cfRule>
  </conditionalFormatting>
  <conditionalFormatting sqref="Y25:Y26 Y21:Y23">
    <cfRule type="expression" dxfId="26" priority="287">
      <formula>$Y21&lt;$Q21</formula>
    </cfRule>
  </conditionalFormatting>
  <conditionalFormatting sqref="AS21:BC22 AS25:BC26">
    <cfRule type="cellIs" dxfId="25" priority="286" operator="greaterThan">
      <formula>0</formula>
    </cfRule>
  </conditionalFormatting>
  <conditionalFormatting sqref="AD21:AE22 AD25:AE26">
    <cfRule type="cellIs" dxfId="24" priority="285" operator="equal">
      <formula>0</formula>
    </cfRule>
  </conditionalFormatting>
  <conditionalFormatting sqref="I25:I26 I21:I23">
    <cfRule type="cellIs" dxfId="23" priority="184" operator="equal">
      <formula>380</formula>
    </cfRule>
    <cfRule type="cellIs" dxfId="22" priority="283" operator="equal">
      <formula>380</formula>
    </cfRule>
  </conditionalFormatting>
  <conditionalFormatting sqref="T25:T26 T21:T23">
    <cfRule type="expression" dxfId="21" priority="963">
      <formula>$T21&gt;IF($AK21&gt;0,$AK21,$Q21)</formula>
    </cfRule>
  </conditionalFormatting>
  <conditionalFormatting sqref="V25:V26 V21:V23">
    <cfRule type="expression" dxfId="20" priority="964">
      <formula>$V21&gt;$AG21</formula>
    </cfRule>
  </conditionalFormatting>
  <conditionalFormatting sqref="Q25:Q26 Q21 Q23">
    <cfRule type="expression" dxfId="19" priority="242">
      <formula>$Q21&lt;$M21</formula>
    </cfRule>
  </conditionalFormatting>
  <conditionalFormatting sqref="BF22:BG22">
    <cfRule type="cellIs" dxfId="18" priority="198" operator="equal">
      <formula>0</formula>
    </cfRule>
  </conditionalFormatting>
  <conditionalFormatting sqref="H3:H13">
    <cfRule type="expression" dxfId="17" priority="172">
      <formula>NOT($H3=$G3)</formula>
    </cfRule>
  </conditionalFormatting>
  <conditionalFormatting sqref="AF16">
    <cfRule type="cellIs" dxfId="16" priority="171" operator="greaterThan">
      <formula>3</formula>
    </cfRule>
  </conditionalFormatting>
  <conditionalFormatting sqref="Q16">
    <cfRule type="expression" dxfId="15" priority="170">
      <formula>AND($Q$16&gt;$R$16,$Q$16&gt;$U$16)</formula>
    </cfRule>
  </conditionalFormatting>
  <conditionalFormatting sqref="AF23">
    <cfRule type="cellIs" dxfId="14" priority="41" operator="greaterThan">
      <formula>3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18</v>
      </c>
      <c r="H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45" t="s">
        <v>137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7"/>
    </row>
    <row r="6" spans="1:16" x14ac:dyDescent="0.25">
      <c r="A6" s="248" t="s">
        <v>138</v>
      </c>
      <c r="B6" s="248"/>
      <c r="C6" s="12">
        <v>3</v>
      </c>
      <c r="D6" s="12">
        <v>2</v>
      </c>
      <c r="E6" s="248"/>
      <c r="F6" s="12">
        <v>3</v>
      </c>
      <c r="G6" s="12">
        <v>2</v>
      </c>
      <c r="H6" s="248"/>
      <c r="I6" s="248"/>
      <c r="J6" s="248"/>
      <c r="K6" s="248"/>
      <c r="L6" s="248"/>
      <c r="M6" s="248"/>
    </row>
    <row r="7" spans="1:16" ht="15.75" thickBot="1" x14ac:dyDescent="0.3">
      <c r="A7" s="249"/>
      <c r="B7" s="249"/>
      <c r="C7" s="13" t="s">
        <v>139</v>
      </c>
      <c r="D7" s="13" t="s">
        <v>139</v>
      </c>
      <c r="E7" s="249"/>
      <c r="F7" s="13" t="s">
        <v>140</v>
      </c>
      <c r="G7" s="13" t="s">
        <v>140</v>
      </c>
      <c r="H7" s="249"/>
      <c r="I7" s="249"/>
      <c r="J7" s="249"/>
      <c r="K7" s="249"/>
      <c r="L7" s="249"/>
      <c r="M7" s="249"/>
    </row>
    <row r="8" spans="1:16" x14ac:dyDescent="0.25">
      <c r="A8" s="248" t="s">
        <v>141</v>
      </c>
      <c r="B8" s="12">
        <v>3</v>
      </c>
      <c r="C8" s="12">
        <v>2</v>
      </c>
      <c r="D8" s="248"/>
      <c r="E8" s="12">
        <v>3</v>
      </c>
      <c r="F8" s="12">
        <v>2</v>
      </c>
      <c r="G8" s="248"/>
      <c r="H8" s="248"/>
      <c r="I8" s="248"/>
      <c r="J8" s="248"/>
      <c r="K8" s="248"/>
      <c r="L8" s="248"/>
      <c r="M8" s="248"/>
    </row>
    <row r="9" spans="1:16" ht="15.75" thickBot="1" x14ac:dyDescent="0.3">
      <c r="A9" s="249"/>
      <c r="B9" s="13" t="s">
        <v>139</v>
      </c>
      <c r="C9" s="13" t="s">
        <v>139</v>
      </c>
      <c r="D9" s="249"/>
      <c r="E9" s="13" t="s">
        <v>140</v>
      </c>
      <c r="F9" s="13" t="s">
        <v>140</v>
      </c>
      <c r="G9" s="249"/>
      <c r="H9" s="249"/>
      <c r="I9" s="249"/>
      <c r="J9" s="249"/>
      <c r="K9" s="249"/>
      <c r="L9" s="249"/>
      <c r="M9" s="249"/>
    </row>
    <row r="10" spans="1:16" x14ac:dyDescent="0.25">
      <c r="A10" s="248" t="s">
        <v>142</v>
      </c>
      <c r="B10" s="248"/>
      <c r="C10" s="248"/>
      <c r="D10" s="248"/>
      <c r="E10" s="12">
        <v>3</v>
      </c>
      <c r="F10" s="12">
        <v>2</v>
      </c>
      <c r="G10" s="248"/>
      <c r="H10" s="12">
        <v>3</v>
      </c>
      <c r="I10" s="248"/>
      <c r="J10" s="12">
        <v>2</v>
      </c>
      <c r="K10" s="248"/>
      <c r="L10" s="248"/>
      <c r="M10" s="248"/>
    </row>
    <row r="11" spans="1:16" ht="15.75" thickBot="1" x14ac:dyDescent="0.3">
      <c r="A11" s="249"/>
      <c r="B11" s="249"/>
      <c r="C11" s="249"/>
      <c r="D11" s="249"/>
      <c r="E11" s="13" t="s">
        <v>139</v>
      </c>
      <c r="F11" s="13" t="s">
        <v>139</v>
      </c>
      <c r="G11" s="249"/>
      <c r="H11" s="13" t="s">
        <v>140</v>
      </c>
      <c r="I11" s="249"/>
      <c r="J11" s="13" t="s">
        <v>140</v>
      </c>
      <c r="K11" s="249"/>
      <c r="L11" s="249"/>
      <c r="M11" s="249"/>
    </row>
    <row r="12" spans="1:16" x14ac:dyDescent="0.25">
      <c r="A12" s="248" t="s">
        <v>143</v>
      </c>
      <c r="B12" s="248"/>
      <c r="C12" s="248"/>
      <c r="D12" s="12">
        <v>3</v>
      </c>
      <c r="E12" s="12">
        <v>2</v>
      </c>
      <c r="F12" s="248"/>
      <c r="G12" s="12">
        <v>3</v>
      </c>
      <c r="H12" s="12">
        <v>2</v>
      </c>
      <c r="I12" s="248"/>
      <c r="J12" s="248"/>
      <c r="K12" s="248"/>
      <c r="L12" s="248"/>
      <c r="M12" s="248"/>
    </row>
    <row r="13" spans="1:16" ht="15.75" thickBot="1" x14ac:dyDescent="0.3">
      <c r="A13" s="249"/>
      <c r="B13" s="249"/>
      <c r="C13" s="249"/>
      <c r="D13" s="13" t="s">
        <v>139</v>
      </c>
      <c r="E13" s="13" t="s">
        <v>139</v>
      </c>
      <c r="F13" s="249"/>
      <c r="G13" s="13" t="s">
        <v>140</v>
      </c>
      <c r="H13" s="13" t="s">
        <v>140</v>
      </c>
      <c r="I13" s="249"/>
      <c r="J13" s="249"/>
      <c r="K13" s="249"/>
      <c r="L13" s="249"/>
      <c r="M13" s="249"/>
    </row>
    <row r="14" spans="1:16" x14ac:dyDescent="0.25">
      <c r="A14" s="248" t="s">
        <v>144</v>
      </c>
      <c r="B14" s="248"/>
      <c r="C14" s="248"/>
      <c r="D14" s="248"/>
      <c r="E14" s="248"/>
      <c r="F14" s="12">
        <v>3</v>
      </c>
      <c r="G14" s="248"/>
      <c r="H14" s="12">
        <v>2</v>
      </c>
      <c r="I14" s="12">
        <v>3</v>
      </c>
      <c r="J14" s="248"/>
      <c r="K14" s="12">
        <v>2</v>
      </c>
      <c r="L14" s="248"/>
      <c r="M14" s="248"/>
    </row>
    <row r="15" spans="1:16" ht="15.75" thickBot="1" x14ac:dyDescent="0.3">
      <c r="A15" s="249"/>
      <c r="B15" s="249"/>
      <c r="C15" s="249"/>
      <c r="D15" s="249"/>
      <c r="E15" s="249"/>
      <c r="F15" s="13" t="s">
        <v>139</v>
      </c>
      <c r="G15" s="249"/>
      <c r="H15" s="13" t="s">
        <v>139</v>
      </c>
      <c r="I15" s="13" t="s">
        <v>140</v>
      </c>
      <c r="J15" s="249"/>
      <c r="K15" s="13" t="s">
        <v>140</v>
      </c>
      <c r="L15" s="249"/>
      <c r="M15" s="249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8"/>
      <c r="I16" s="12">
        <v>2</v>
      </c>
      <c r="J16" s="12">
        <v>3</v>
      </c>
      <c r="K16" s="248"/>
      <c r="L16" s="12">
        <v>2</v>
      </c>
      <c r="M16" s="248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9"/>
      <c r="I17" s="13" t="s">
        <v>139</v>
      </c>
      <c r="J17" s="13" t="s">
        <v>140</v>
      </c>
      <c r="K17" s="249"/>
      <c r="L17" s="13" t="s">
        <v>140</v>
      </c>
      <c r="M17" s="249"/>
      <c r="O17" s="22"/>
    </row>
    <row r="18" spans="1:18" x14ac:dyDescent="0.25">
      <c r="A18" s="248" t="s">
        <v>146</v>
      </c>
      <c r="B18" s="248"/>
      <c r="C18" s="248"/>
      <c r="D18" s="248"/>
      <c r="E18" s="248"/>
      <c r="F18" s="248"/>
      <c r="G18" s="250"/>
      <c r="H18" s="12">
        <v>3</v>
      </c>
      <c r="I18" s="248"/>
      <c r="J18" s="12">
        <v>2</v>
      </c>
      <c r="K18" s="12">
        <v>3</v>
      </c>
      <c r="L18" s="248"/>
      <c r="M18" s="12">
        <v>2</v>
      </c>
      <c r="O18" s="22"/>
    </row>
    <row r="19" spans="1:18" ht="15.75" thickBot="1" x14ac:dyDescent="0.3">
      <c r="A19" s="249"/>
      <c r="B19" s="249"/>
      <c r="C19" s="249"/>
      <c r="D19" s="249"/>
      <c r="E19" s="249"/>
      <c r="F19" s="249"/>
      <c r="G19" s="251"/>
      <c r="H19" s="13" t="s">
        <v>139</v>
      </c>
      <c r="I19" s="249"/>
      <c r="J19" s="13" t="s">
        <v>139</v>
      </c>
      <c r="K19" s="13" t="s">
        <v>140</v>
      </c>
      <c r="L19" s="249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53" t="s">
        <v>158</v>
      </c>
      <c r="B40" s="253" t="s">
        <v>159</v>
      </c>
      <c r="C40" s="254" t="s">
        <v>160</v>
      </c>
      <c r="D40" s="254"/>
      <c r="E40" s="254"/>
      <c r="F40" s="254"/>
      <c r="G40" s="254"/>
      <c r="H40" s="254"/>
      <c r="I40" s="254"/>
      <c r="J40" s="254"/>
      <c r="K40" s="254"/>
    </row>
    <row r="41" spans="1:16" ht="36" customHeight="1" x14ac:dyDescent="0.25">
      <c r="A41" s="253"/>
      <c r="B41" s="253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52" t="s">
        <v>183</v>
      </c>
      <c r="B49" s="252"/>
      <c r="C49" s="252"/>
      <c r="E49" s="252" t="s">
        <v>184</v>
      </c>
      <c r="F49" s="252"/>
      <c r="G49" s="252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  <mergeCell ref="A16:A17"/>
    <mergeCell ref="B16:B17"/>
    <mergeCell ref="C16:C17"/>
    <mergeCell ref="D16:D17"/>
    <mergeCell ref="E16:E17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I10:I11"/>
    <mergeCell ref="K10:K11"/>
    <mergeCell ref="L10:L11"/>
    <mergeCell ref="M10:M11"/>
    <mergeCell ref="A12:A13"/>
    <mergeCell ref="B12:B13"/>
    <mergeCell ref="C12:C13"/>
    <mergeCell ref="F12:F13"/>
    <mergeCell ref="I12:I13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workbookViewId="0">
      <selection activeCell="K8" sqref="K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>
        <v>0</v>
      </c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0.15079999999999999</v>
      </c>
      <c r="J6" s="86">
        <f>(E6*H6)+(E7*H7)</f>
        <v>0.154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18.34</v>
      </c>
      <c r="P6" s="86">
        <f>(K6*N6)+(K7*N7)</f>
        <v>3.0799999999999996</v>
      </c>
      <c r="Q6" s="226">
        <v>0</v>
      </c>
      <c r="R6" s="84">
        <v>150</v>
      </c>
      <c r="S6" s="85">
        <f>VLOOKUP(R6,Кабели,2,FALSE)</f>
        <v>0.124</v>
      </c>
      <c r="T6" s="85">
        <f>VLOOKUP(R6,Кабели,3,FALSE)</f>
        <v>7.9000000000000001E-2</v>
      </c>
      <c r="U6" s="87">
        <f>Q6*S6</f>
        <v>0</v>
      </c>
      <c r="V6" s="88">
        <f>Q6*T6</f>
        <v>0</v>
      </c>
      <c r="W6" s="83">
        <v>0</v>
      </c>
      <c r="X6" s="84">
        <v>150</v>
      </c>
      <c r="Y6" s="85">
        <f>VLOOKUP(X6,Кабели,2,FALSE)</f>
        <v>0.124</v>
      </c>
      <c r="Z6" s="85">
        <f>VLOOKUP(X6,Кабели,3,FALSE)</f>
        <v>7.9000000000000001E-2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2</v>
      </c>
      <c r="F7" s="89">
        <v>240</v>
      </c>
      <c r="G7" s="85">
        <f>VLOOKUP(F7,Кабели,2,FALSE)</f>
        <v>7.5399999999999995E-2</v>
      </c>
      <c r="H7" s="85">
        <f>VLOOKUP(F7,Кабели,3,FALSE)</f>
        <v>7.6999999999999999E-2</v>
      </c>
      <c r="I7" s="89"/>
      <c r="J7" s="89"/>
      <c r="K7" s="83">
        <v>35</v>
      </c>
      <c r="L7" s="84">
        <v>35</v>
      </c>
      <c r="M7" s="85">
        <f>VLOOKUP(L7,Кабели,2,FALSE)</f>
        <v>0.52400000000000002</v>
      </c>
      <c r="N7" s="85">
        <f>VLOOKUP(L7,Кабели,3,FALSE)</f>
        <v>8.7999999999999995E-2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19.103047576666665</v>
      </c>
      <c r="D12" t="s">
        <v>212</v>
      </c>
    </row>
    <row r="13" spans="2:34" ht="23.25" x14ac:dyDescent="0.35">
      <c r="B13" s="8" t="s">
        <v>213</v>
      </c>
      <c r="C13">
        <f>D6+J6+V6+P6+AB6+AH6</f>
        <v>7.5225168654053096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74.575447576666662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17.224516865405306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117.3072899535257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5.9060295681711636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20.530822845339092</v>
      </c>
      <c r="D24" t="s">
        <v>212</v>
      </c>
    </row>
    <row r="25" spans="1:4" ht="23.25" x14ac:dyDescent="0.35">
      <c r="B25" s="8" t="s">
        <v>221</v>
      </c>
      <c r="C25">
        <f>SQRT(3)*C24</f>
        <v>35.560428289323127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11.248458447844351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/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2022-04-06T08:47:35Z</dcterms:modified>
  <cp:category/>
  <cp:contentStatus/>
</cp:coreProperties>
</file>